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업무\1. 공고문\2026년\00. 에코순환루트 매포터널 경관조명 설치공사\"/>
    </mc:Choice>
  </mc:AlternateContent>
  <xr:revisionPtr revIDLastSave="0" documentId="8_{CA59A027-87CE-4E99-884B-6960DC4282ED}" xr6:coauthVersionLast="36" xr6:coauthVersionMax="36" xr10:uidLastSave="{00000000-0000-0000-0000-000000000000}"/>
  <bookViews>
    <workbookView xWindow="0" yWindow="0" windowWidth="28800" windowHeight="11190" tabRatio="956" firstSheet="3" activeTab="5" xr2:uid="{00000000-000D-0000-FFFF-FFFF00000000}"/>
  </bookViews>
  <sheets>
    <sheet name="설계서" sheetId="389" state="hidden" r:id="rId1"/>
    <sheet name="내역서표지" sheetId="22" state="hidden" r:id="rId2"/>
    <sheet name="원가 계산서_변경전후" sheetId="394" state="hidden" r:id="rId3"/>
    <sheet name="1. 도급공사 내역서" sheetId="260" r:id="rId4"/>
    <sheet name="4.내역서-폐기물 운반,처리비" sheetId="309" state="hidden" r:id="rId5"/>
    <sheet name="2. 관급자재 내역서" sheetId="373" r:id="rId6"/>
    <sheet name="일위대가표지" sheetId="24" state="hidden" r:id="rId7"/>
    <sheet name="3.내역서-고재처리비" sheetId="305" state="hidden" r:id="rId8"/>
    <sheet name="수량산출표지" sheetId="25" state="hidden" r:id="rId9"/>
    <sheet name="산출집계(고재처리비)" sheetId="336" state="hidden" r:id="rId10"/>
    <sheet name="총괄산출집계" sheetId="384" state="hidden" r:id="rId11"/>
    <sheet name="수량산출서(고재처리비)" sheetId="304" state="hidden" r:id="rId12"/>
    <sheet name="단가비교표표지" sheetId="26" state="hidden" r:id="rId13"/>
    <sheet name="부록단가비교표" sheetId="8" state="hidden" r:id="rId14"/>
    <sheet name="기초산출서" sheetId="144" state="hidden" r:id="rId15"/>
    <sheet name="각종기초산출" sheetId="276" state="hidden" r:id="rId16"/>
    <sheet name="단가산출서표지" sheetId="45" state="hidden" r:id="rId17"/>
    <sheet name="견적서" sheetId="65" state="hidden" r:id="rId18"/>
    <sheet name="기계경비" sheetId="390" state="hidden" r:id="rId19"/>
    <sheet name="기계경비(OLD)" sheetId="30" state="hidden" r:id="rId20"/>
    <sheet name="단가산출(아스팔트)" sheetId="219" state="hidden" r:id="rId21"/>
    <sheet name="단가산출(터파기및되메우기)" sheetId="31" state="hidden" r:id="rId22"/>
    <sheet name="기계경비적용기준" sheetId="393" state="hidden" r:id="rId23"/>
    <sheet name="단가산출총괄표" sheetId="391" state="hidden" r:id="rId24"/>
    <sheet name="단가산출" sheetId="392" state="hidden" r:id="rId25"/>
    <sheet name="단가산출(관로터파기)" sheetId="49" state="hidden" r:id="rId26"/>
    <sheet name="가로등건주" sheetId="60" state="hidden" r:id="rId27"/>
    <sheet name="Sheet1" sheetId="377" state="hidden" r:id="rId28"/>
    <sheet name="인건비" sheetId="10" state="hidden" r:id="rId29"/>
    <sheet name="계산서" sheetId="277" state="hidden" r:id="rId30"/>
  </sheets>
  <functionGroups builtInGroupCount="19"/>
  <externalReferences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</externalReferences>
  <definedNames>
    <definedName name="_1_0_0_F" localSheetId="7" hidden="1">#REF!</definedName>
    <definedName name="_1_0_0_F" localSheetId="4" hidden="1">#REF!</definedName>
    <definedName name="_1_0_0_F" localSheetId="9" hidden="1">#REF!</definedName>
    <definedName name="_1_0_0_F" localSheetId="0" hidden="1">#REF!</definedName>
    <definedName name="_1_0_0_F" localSheetId="11" hidden="1">#REF!</definedName>
    <definedName name="_1_0_0_F" localSheetId="2" hidden="1">#REF!</definedName>
    <definedName name="_1_0_0_F" localSheetId="10" hidden="1">#REF!</definedName>
    <definedName name="_1_0_0_F" hidden="1">#REF!</definedName>
    <definedName name="_1_3_0Crite">#REF!</definedName>
    <definedName name="_10G__Extract">#REF!</definedName>
    <definedName name="_2_3_0Criteria">#REF!</definedName>
    <definedName name="_4_3__Crite">#REF!</definedName>
    <definedName name="_6_3__Criteria">#REF!</definedName>
    <definedName name="_7G_0Extr">#REF!</definedName>
    <definedName name="_8G_0Extract">#REF!</definedName>
    <definedName name="_9G__Extr">#REF!</definedName>
    <definedName name="_B22">[1]일위대가!$1400:$1413=[1]일위대가!$A$1400</definedName>
    <definedName name="_Dist_Values" localSheetId="7" hidden="1">#REF!</definedName>
    <definedName name="_Dist_Values" localSheetId="4" hidden="1">#REF!</definedName>
    <definedName name="_Dist_Values" localSheetId="9" hidden="1">#REF!</definedName>
    <definedName name="_Dist_Values" localSheetId="0" hidden="1">#REF!</definedName>
    <definedName name="_Dist_Values" localSheetId="11" hidden="1">#REF!</definedName>
    <definedName name="_Dist_Values" localSheetId="2" hidden="1">#REF!</definedName>
    <definedName name="_Dist_Values" localSheetId="10" hidden="1">#REF!</definedName>
    <definedName name="_Dist_Values" hidden="1">#REF!</definedName>
    <definedName name="_Fill" localSheetId="7" hidden="1">#REF!</definedName>
    <definedName name="_Fill" localSheetId="4" hidden="1">#REF!</definedName>
    <definedName name="_Fill" localSheetId="20" hidden="1">#REF!</definedName>
    <definedName name="_Fill" localSheetId="9" hidden="1">#REF!</definedName>
    <definedName name="_Fill" localSheetId="0" hidden="1">#REF!</definedName>
    <definedName name="_Fill" localSheetId="11" hidden="1">#REF!</definedName>
    <definedName name="_Fill" localSheetId="2" hidden="1">#REF!</definedName>
    <definedName name="_Fill" localSheetId="10" hidden="1">#REF!</definedName>
    <definedName name="_Fill" hidden="1">#REF!</definedName>
    <definedName name="_K02">[1]일위대가!$732:$745=[1]일위대가!$A$732</definedName>
    <definedName name="_Key1" localSheetId="7" hidden="1">#REF!</definedName>
    <definedName name="_Key1" localSheetId="4" hidden="1">#REF!</definedName>
    <definedName name="_Key1" localSheetId="20" hidden="1">#REF!</definedName>
    <definedName name="_Key1" localSheetId="9" hidden="1">#REF!</definedName>
    <definedName name="_Key1" localSheetId="0" hidden="1">#REF!</definedName>
    <definedName name="_Key1" localSheetId="11" hidden="1">#REF!</definedName>
    <definedName name="_Key1" localSheetId="2" hidden="1">#REF!</definedName>
    <definedName name="_Key1" localSheetId="10" hidden="1">#REF!</definedName>
    <definedName name="_Key1" hidden="1">#REF!</definedName>
    <definedName name="_Key2" localSheetId="7" hidden="1">#REF!</definedName>
    <definedName name="_Key2" localSheetId="4" hidden="1">#REF!</definedName>
    <definedName name="_Key2" localSheetId="20" hidden="1">#REF!</definedName>
    <definedName name="_Key2" localSheetId="9" hidden="1">#REF!</definedName>
    <definedName name="_Key2" localSheetId="0" hidden="1">#REF!</definedName>
    <definedName name="_Key2" localSheetId="11" hidden="1">#REF!</definedName>
    <definedName name="_Key2" localSheetId="2" hidden="1">#REF!</definedName>
    <definedName name="_Key2" localSheetId="10" hidden="1">#REF!</definedName>
    <definedName name="_Key2" hidden="1">#REF!</definedName>
    <definedName name="_NMB96">#REF!</definedName>
    <definedName name="_O03">[1]일위대가!$1516:$1529=[1]일위대가!$A$1516</definedName>
    <definedName name="_Order1" hidden="1">255</definedName>
    <definedName name="_Order2" hidden="1">255</definedName>
    <definedName name="_Parse_Out" localSheetId="7" hidden="1">#REF!</definedName>
    <definedName name="_Parse_Out" localSheetId="4" hidden="1">#REF!</definedName>
    <definedName name="_Parse_Out" localSheetId="9" hidden="1">#REF!</definedName>
    <definedName name="_Parse_Out" localSheetId="0" hidden="1">#REF!</definedName>
    <definedName name="_Parse_Out" localSheetId="11" hidden="1">#REF!</definedName>
    <definedName name="_Parse_Out" localSheetId="2" hidden="1">#REF!</definedName>
    <definedName name="_Parse_Out" localSheetId="10" hidden="1">#REF!</definedName>
    <definedName name="_Parse_Out" hidden="1">#REF!</definedName>
    <definedName name="_Regression_Int" hidden="1">1</definedName>
    <definedName name="_Sort" localSheetId="7" hidden="1">#REF!</definedName>
    <definedName name="_Sort" localSheetId="4" hidden="1">#REF!</definedName>
    <definedName name="_Sort" localSheetId="20" hidden="1">#REF!</definedName>
    <definedName name="_Sort" localSheetId="9" hidden="1">#REF!</definedName>
    <definedName name="_Sort" localSheetId="0" hidden="1">#REF!</definedName>
    <definedName name="_Sort" localSheetId="11" hidden="1">#REF!</definedName>
    <definedName name="_Sort" localSheetId="2" hidden="1">#REF!</definedName>
    <definedName name="_Sort" localSheetId="10" hidden="1">#REF!</definedName>
    <definedName name="_Sort" hidden="1">#REF!</definedName>
    <definedName name="_xleta.T" hidden="1" xlm="1">#NAME?</definedName>
    <definedName name="\a">#REF!</definedName>
    <definedName name="\c">#N/A</definedName>
    <definedName name="\e">#REF!</definedName>
    <definedName name="\m">#N/A</definedName>
    <definedName name="A" localSheetId="7" hidden="1">#REF!</definedName>
    <definedName name="A" localSheetId="4" hidden="1">#REF!</definedName>
    <definedName name="A" localSheetId="20" hidden="1">#REF!</definedName>
    <definedName name="A" localSheetId="9" hidden="1">#REF!</definedName>
    <definedName name="A" localSheetId="0" hidden="1">#REF!</definedName>
    <definedName name="A" localSheetId="11" hidden="1">#REF!</definedName>
    <definedName name="A" localSheetId="2" hidden="1">#REF!</definedName>
    <definedName name="A" localSheetId="10" hidden="1">#REF!</definedName>
    <definedName name="A" hidden="1">#REF!</definedName>
    <definedName name="AA">#REF!</definedName>
    <definedName name="AccessDatabase" hidden="1">"E:\WORK\VISUAL\MIRAE\LOADSYS\LoadDB.mdb"</definedName>
    <definedName name="aer">#REF!,#REF!</definedName>
    <definedName name="AFC설비">#REF!</definedName>
    <definedName name="b">#REF!</definedName>
    <definedName name="bb" localSheetId="7" hidden="1">#REF!</definedName>
    <definedName name="bb" localSheetId="4" hidden="1">#REF!</definedName>
    <definedName name="bb" localSheetId="9" hidden="1">#REF!</definedName>
    <definedName name="bb" localSheetId="0" hidden="1">#REF!</definedName>
    <definedName name="bb" localSheetId="11" hidden="1">#REF!</definedName>
    <definedName name="bb" localSheetId="2" hidden="1">#REF!</definedName>
    <definedName name="bb" localSheetId="10" hidden="1">#REF!</definedName>
    <definedName name="bb" hidden="1">#REF!</definedName>
    <definedName name="cable">#REF!</definedName>
    <definedName name="CCTV설비">#REF!</definedName>
    <definedName name="CODE">#REF!</definedName>
    <definedName name="CON_1">#REF!</definedName>
    <definedName name="CON_3">#REF!</definedName>
    <definedName name="COND_1">#REF!</definedName>
    <definedName name="COND_3">#REF!</definedName>
    <definedName name="CURRENT_1">#REF!</definedName>
    <definedName name="CURRENT_2">#REF!</definedName>
    <definedName name="CURRENT_3">#REF!</definedName>
    <definedName name="CV">[2]DATA!$F$4:$J$14</definedName>
    <definedName name="CV14_2C">[3]단가!#REF!</definedName>
    <definedName name="CV14_4C">[3]단가!#REF!</definedName>
    <definedName name="CV5.5_2">[3]단가!#REF!</definedName>
    <definedName name="CV5.5_4C">[3]단가!#REF!</definedName>
    <definedName name="CV8_2C">[3]단가!#REF!</definedName>
    <definedName name="CV8_4C">[3]단가!#REF!</definedName>
    <definedName name="D" hidden="1">#REF!</definedName>
    <definedName name="DANGA">#REF!,#REF!</definedName>
    <definedName name="_xlnm.Database">#REF!</definedName>
    <definedName name="ddddd" localSheetId="7" hidden="1">#REF!</definedName>
    <definedName name="ddddd" localSheetId="4" hidden="1">#REF!</definedName>
    <definedName name="ddddd" localSheetId="9" hidden="1">#REF!</definedName>
    <definedName name="ddddd" localSheetId="0" hidden="1">#REF!</definedName>
    <definedName name="ddddd" localSheetId="11" hidden="1">#REF!</definedName>
    <definedName name="ddddd" localSheetId="2" hidden="1">#REF!</definedName>
    <definedName name="ddddd" localSheetId="10" hidden="1">#REF!</definedName>
    <definedName name="ddddd" hidden="1">#REF!</definedName>
    <definedName name="DISTANCE">#REF!</definedName>
    <definedName name="E_IV">#REF!</definedName>
    <definedName name="E25M">[4]전기일위대가!#REF!</definedName>
    <definedName name="E25P">[4]전기일위대가!#REF!</definedName>
    <definedName name="E31E">[4]전기일위대가!#REF!</definedName>
    <definedName name="E31M">[4]전기일위대가!#REF!</definedName>
    <definedName name="E31P">[4]전기일위대가!#REF!</definedName>
    <definedName name="E32E">[4]전기일위대가!#REF!</definedName>
    <definedName name="E32M">[4]전기일위대가!#REF!</definedName>
    <definedName name="E32P">[4]전기일위대가!#REF!</definedName>
    <definedName name="E33E">[4]전기일위대가!#REF!</definedName>
    <definedName name="E33M">[4]전기일위대가!#REF!</definedName>
    <definedName name="E33P">[4]전기일위대가!#REF!</definedName>
    <definedName name="E34E">[4]전기일위대가!#REF!</definedName>
    <definedName name="E34M">[4]전기일위대가!#REF!</definedName>
    <definedName name="E34P">[4]전기일위대가!#REF!</definedName>
    <definedName name="E36M">[4]전기일위대가!#REF!</definedName>
    <definedName name="E36P">[4]전기일위대가!#REF!</definedName>
    <definedName name="E37M">[4]전기일위대가!#REF!</definedName>
    <definedName name="E37P">[4]전기일위대가!#REF!</definedName>
    <definedName name="E38M">[4]전기일위대가!#REF!</definedName>
    <definedName name="E38P">[4]전기일위대가!#REF!</definedName>
    <definedName name="E39M">[4]전기일위대가!#REF!</definedName>
    <definedName name="E39P">[4]전기일위대가!#REF!</definedName>
    <definedName name="E40M">[4]전기일위대가!#REF!</definedName>
    <definedName name="E40P">[4]전기일위대가!#REF!</definedName>
    <definedName name="E41M">[4]전기일위대가!#REF!</definedName>
    <definedName name="E41P">[4]전기일위대가!#REF!</definedName>
    <definedName name="E42M">[4]전기일위대가!#REF!</definedName>
    <definedName name="E42P">[4]전기일위대가!#REF!</definedName>
    <definedName name="E48M">[4]전기일위대가!#REF!</definedName>
    <definedName name="E48P">[4]전기일위대가!#REF!</definedName>
    <definedName name="E52M">[4]전기일위대가!#REF!</definedName>
    <definedName name="E52P">[4]전기일위대가!#REF!</definedName>
    <definedName name="E53M">[4]전기일위대가!#REF!</definedName>
    <definedName name="E53P">[4]전기일위대가!#REF!</definedName>
    <definedName name="E54M">[4]전기일위대가!#REF!</definedName>
    <definedName name="E54P">[4]전기일위대가!#REF!</definedName>
    <definedName name="E55M">[4]전기일위대가!#REF!</definedName>
    <definedName name="E55P">[4]전기일위대가!#REF!</definedName>
    <definedName name="E56M">[4]전기일위대가!#REF!</definedName>
    <definedName name="E56P">[4]전기일위대가!#REF!</definedName>
    <definedName name="E57M">[4]전기일위대가!#REF!</definedName>
    <definedName name="E57P">[4]전기일위대가!#REF!</definedName>
    <definedName name="E58M">[4]전기일위대가!#REF!</definedName>
    <definedName name="E58P">[4]전기일위대가!#REF!</definedName>
    <definedName name="E59M">[4]전기일위대가!#REF!</definedName>
    <definedName name="E59P">[4]전기일위대가!#REF!</definedName>
    <definedName name="E60M">[4]전기일위대가!#REF!</definedName>
    <definedName name="E60P">[4]전기일위대가!#REF!</definedName>
    <definedName name="E61M">[4]전기일위대가!#REF!</definedName>
    <definedName name="E61P">[4]전기일위대가!#REF!</definedName>
    <definedName name="E62M">[4]전기일위대가!#REF!</definedName>
    <definedName name="E62P">[4]전기일위대가!#REF!</definedName>
    <definedName name="E63M">[4]전기일위대가!#REF!</definedName>
    <definedName name="E63P">[4]전기일위대가!#REF!</definedName>
    <definedName name="E64M">[4]전기일위대가!#REF!</definedName>
    <definedName name="E64P">[4]전기일위대가!#REF!</definedName>
    <definedName name="E65M">[4]전기일위대가!#REF!</definedName>
    <definedName name="E65P">[4]전기일위대가!#REF!</definedName>
    <definedName name="E66M">[4]전기일위대가!#REF!</definedName>
    <definedName name="E66P">[4]전기일위대가!#REF!</definedName>
    <definedName name="E67M">[4]전기일위대가!#REF!</definedName>
    <definedName name="E67P">[4]전기일위대가!#REF!</definedName>
    <definedName name="E68M">[4]전기일위대가!#REF!</definedName>
    <definedName name="ee" localSheetId="0" hidden="1">{#N/A,#N/A,FALSE,"단가표지"}</definedName>
    <definedName name="ee" localSheetId="2" hidden="1">{#N/A,#N/A,FALSE,"단가표지"}</definedName>
    <definedName name="ee" hidden="1">{#N/A,#N/A,FALSE,"단가표지"}</definedName>
    <definedName name="ELP">#REF!</definedName>
    <definedName name="F_DES">#REF!</definedName>
    <definedName name="F_EQ">#N/A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act">#REF!</definedName>
    <definedName name="ff" localSheetId="0" hidden="1">{#N/A,#N/A,FALSE,"운반시간"}</definedName>
    <definedName name="ff" localSheetId="2" hidden="1">{#N/A,#N/A,FALSE,"운반시간"}</definedName>
    <definedName name="ff" hidden="1">{#N/A,#N/A,FALSE,"운반시간"}</definedName>
    <definedName name="FFVV" localSheetId="0" hidden="1">{#N/A,#N/A,FALSE,"전력간선"}</definedName>
    <definedName name="FFVV" localSheetId="2" hidden="1">{#N/A,#N/A,FALSE,"전력간선"}</definedName>
    <definedName name="FFVV" hidden="1">{#N/A,#N/A,FALSE,"전력간선"}</definedName>
    <definedName name="FHFH" localSheetId="0" hidden="1">#REF!</definedName>
    <definedName name="FHFH" localSheetId="2" hidden="1">#REF!</definedName>
    <definedName name="FHFH" hidden="1">#REF!</definedName>
    <definedName name="FHFK" localSheetId="7" hidden="1">#REF!</definedName>
    <definedName name="FHFK" localSheetId="4" hidden="1">#REF!</definedName>
    <definedName name="FHFK" localSheetId="9" hidden="1">#REF!</definedName>
    <definedName name="FHFK" localSheetId="0" hidden="1">#REF!</definedName>
    <definedName name="FHFK" localSheetId="11" hidden="1">#REF!</definedName>
    <definedName name="FHFK" localSheetId="2" hidden="1">#REF!</definedName>
    <definedName name="FHFK" localSheetId="10" hidden="1">#REF!</definedName>
    <definedName name="FHFK" hidden="1">#REF!</definedName>
    <definedName name="FIXT">[5]데이타!$U$23:$V$50</definedName>
    <definedName name="fv" localSheetId="0" hidden="1">{#N/A,#N/A,FALSE,"전력간선"}</definedName>
    <definedName name="fv" localSheetId="2" hidden="1">{#N/A,#N/A,FALSE,"전력간선"}</definedName>
    <definedName name="fv" hidden="1">{#N/A,#N/A,FALSE,"전력간선"}</definedName>
    <definedName name="gg" localSheetId="0" hidden="1">{#N/A,#N/A,FALSE,"운반시간"}</definedName>
    <definedName name="gg" localSheetId="2" hidden="1">{#N/A,#N/A,FALSE,"운반시간"}</definedName>
    <definedName name="gg" hidden="1">{#N/A,#N/A,FALSE,"운반시간"}</definedName>
    <definedName name="GROUND">#REF!</definedName>
    <definedName name="gu">#REF!,#REF!</definedName>
    <definedName name="H100x100x6x8t_단중">#REF!</definedName>
    <definedName name="H125x125x6.5x9t_단중">#REF!</definedName>
    <definedName name="H150x100x6x9t_단중">#REF!</definedName>
    <definedName name="HHHH" localSheetId="7" hidden="1">#REF!</definedName>
    <definedName name="HHHH" localSheetId="4" hidden="1">#REF!</definedName>
    <definedName name="HHHH" localSheetId="9" hidden="1">#REF!</definedName>
    <definedName name="HHHH" localSheetId="0" hidden="1">#REF!</definedName>
    <definedName name="HHHH" localSheetId="11" hidden="1">#REF!</definedName>
    <definedName name="HHHH" localSheetId="2" hidden="1">#REF!</definedName>
    <definedName name="HHHH" localSheetId="10" hidden="1">#REF!</definedName>
    <definedName name="HHHH" hidden="1">#REF!</definedName>
    <definedName name="HTML_CodePage" hidden="1">949</definedName>
    <definedName name="HTML_Control" localSheetId="0" hidden="1">{"'단계별시설공사비'!$A$3:$K$51"}</definedName>
    <definedName name="HTML_Control" localSheetId="2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hidden="1">"C:\My Documents\6.htm"</definedName>
    <definedName name="HTML_Title" hidden="1">"비용산출"</definedName>
    <definedName name="ID">#REF!,#REF!</definedName>
    <definedName name="INPUT">[6]WORK!$A$22:$BE$381</definedName>
    <definedName name="ITEM">[7]ITEM!#REF!</definedName>
    <definedName name="ITEM_">[8]WORK!$22:$401</definedName>
    <definedName name="KA">[9]MOTOR!$B$61:$E$68</definedName>
    <definedName name="Key" localSheetId="7" hidden="1">#REF!</definedName>
    <definedName name="Key" localSheetId="4" hidden="1">#REF!</definedName>
    <definedName name="Key" localSheetId="9" hidden="1">#REF!</definedName>
    <definedName name="Key" localSheetId="0" hidden="1">#REF!</definedName>
    <definedName name="Key" localSheetId="11" hidden="1">#REF!</definedName>
    <definedName name="Key" localSheetId="2" hidden="1">#REF!</definedName>
    <definedName name="Key" localSheetId="10" hidden="1">#REF!</definedName>
    <definedName name="Key" hidden="1">#REF!</definedName>
    <definedName name="KK">[2]DATA!$F$17:$G$26</definedName>
    <definedName name="LP___4">#REF!</definedName>
    <definedName name="Macro1">[10]!Macro1</definedName>
    <definedName name="Macro10">[11]!Macro10</definedName>
    <definedName name="Macro11">[10]!Macro11</definedName>
    <definedName name="Macro12">[11]!Macro12</definedName>
    <definedName name="Macro13">[11]!Macro13</definedName>
    <definedName name="Macro14">[11]!Macro14</definedName>
    <definedName name="Macro2">[11]!Macro2</definedName>
    <definedName name="Macro3">[10]!Macro3</definedName>
    <definedName name="Macro4">'[10]ⴭⴭⴭⴭⴭ'!Macro4</definedName>
    <definedName name="Macro5">[11]!Macro5</definedName>
    <definedName name="Macro6">[11]!Macro6</definedName>
    <definedName name="Macro7">[11]!Macro7</definedName>
    <definedName name="Macro8">[11]!Macro8</definedName>
    <definedName name="Macro9">[11]!Macro9</definedName>
    <definedName name="MCCB_AF1">'[12]Macro(차단기)'!$A$1</definedName>
    <definedName name="MCCB_AF2">#REF!</definedName>
    <definedName name="MNHL">[10]Sheet1!$A$4:$H$5</definedName>
    <definedName name="MONEY">#REF!,#REF!</definedName>
    <definedName name="MOTER_1">#REF!</definedName>
    <definedName name="MOTER_3">#REF!</definedName>
    <definedName name="NEWNAME" localSheetId="0" hidden="1">{#N/A,#N/A,FALSE,"CCTV"}</definedName>
    <definedName name="NEWNAME" localSheetId="2" hidden="1">{#N/A,#N/A,FALSE,"CCTV"}</definedName>
    <definedName name="NEWNAME" hidden="1">{#N/A,#N/A,FALSE,"CCTV"}</definedName>
    <definedName name="NHL">[13]터널조도!$AR$19:$AT$25</definedName>
    <definedName name="NOMUBY">#REF!</definedName>
    <definedName name="PASS">#REF!</definedName>
    <definedName name="PE">#REF!</definedName>
    <definedName name="PE100C">[3]단가!#REF!</definedName>
    <definedName name="PE16C">[3]단가!#REF!</definedName>
    <definedName name="PE22C">[3]단가!#REF!</definedName>
    <definedName name="PE28C">[3]단가!#REF!</definedName>
    <definedName name="PE36C">[3]단가!#REF!</definedName>
    <definedName name="PE42C">[3]단가!#REF!</definedName>
    <definedName name="PE54C">[3]단가!#REF!</definedName>
    <definedName name="PEE">[2]DATA!$N$4:$P$12</definedName>
    <definedName name="PH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OI" localSheetId="7" hidden="1">#REF!</definedName>
    <definedName name="POI" localSheetId="4" hidden="1">#REF!</definedName>
    <definedName name="POI" localSheetId="9" hidden="1">#REF!</definedName>
    <definedName name="POI" localSheetId="0" hidden="1">#REF!</definedName>
    <definedName name="POI" localSheetId="11" hidden="1">#REF!</definedName>
    <definedName name="POI" localSheetId="2" hidden="1">#REF!</definedName>
    <definedName name="POI" localSheetId="10" hidden="1">#REF!</definedName>
    <definedName name="POI" hidden="1">#REF!</definedName>
    <definedName name="pp">#REF!,#REF!</definedName>
    <definedName name="ppp">[14]!Macro9</definedName>
    <definedName name="_xlnm.Print_Area" localSheetId="3">'1. 도급공사 내역서'!$A$1:$M$164</definedName>
    <definedName name="_xlnm.Print_Area" localSheetId="5">'2. 관급자재 내역서'!$A$1:$M$116</definedName>
    <definedName name="_xlnm.Print_Area" localSheetId="7">'3.내역서-고재처리비'!$B$1:$N$26</definedName>
    <definedName name="_xlnm.Print_Area" localSheetId="4">'4.내역서-폐기물 운반,처리비'!$B$1:$N$48</definedName>
    <definedName name="_xlnm.Print_Area" localSheetId="26">가로등건주!$A$1:$AO$152</definedName>
    <definedName name="_xlnm.Print_Area" localSheetId="15">각종기초산출!$B$1:$T$191</definedName>
    <definedName name="_xlnm.Print_Area" localSheetId="17">견적서!$A$1:$O$16</definedName>
    <definedName name="_xlnm.Print_Area" localSheetId="29">계산서!$A$1:$O$16</definedName>
    <definedName name="_xlnm.Print_Area" localSheetId="18">기계경비!$B$1:$AD$29</definedName>
    <definedName name="_xlnm.Print_Area" localSheetId="19">'기계경비(OLD)'!$A$28:$CP$87</definedName>
    <definedName name="_xlnm.Print_Area" localSheetId="14">기초산출서!$A$1:$O$16</definedName>
    <definedName name="_xlnm.Print_Area" localSheetId="1">내역서표지!$A$1:$O$16</definedName>
    <definedName name="_xlnm.Print_Area" localSheetId="12">단가비교표표지!$A$1:$O$16</definedName>
    <definedName name="_xlnm.Print_Area" localSheetId="24">단가산출!$B$2:$DA$276</definedName>
    <definedName name="_xlnm.Print_Area" localSheetId="25">'단가산출(관로터파기)'!$A$31:$CE$89</definedName>
    <definedName name="_xlnm.Print_Area" localSheetId="20">'단가산출(아스팔트)'!$A$1:$BT$430</definedName>
    <definedName name="_xlnm.Print_Area" localSheetId="21">'단가산출(터파기및되메우기)'!$B$1:$BY$48</definedName>
    <definedName name="_xlnm.Print_Area" localSheetId="23">단가산출총괄표!$B$1:$J$21</definedName>
    <definedName name="_xlnm.Print_Area" localSheetId="13">부록단가비교표!$B$1:$R$25</definedName>
    <definedName name="_xlnm.Print_Area" localSheetId="9">'산출집계(고재처리비)'!$B$1:$N$31</definedName>
    <definedName name="_xlnm.Print_Area" localSheetId="0">설계서!$A$1:$AN$24</definedName>
    <definedName name="_xlnm.Print_Area" localSheetId="11">'수량산출서(고재처리비)'!$B$1:$G$37</definedName>
    <definedName name="_xlnm.Print_Area" localSheetId="8">수량산출표지!$A$1:$O$16</definedName>
    <definedName name="_xlnm.Print_Area" localSheetId="2">'원가 계산서_변경전후'!$B$1:$I$31</definedName>
    <definedName name="_xlnm.Print_Area" localSheetId="28">인건비!$A$1:$C$56</definedName>
    <definedName name="_xlnm.Print_Area" localSheetId="6">일위대가표지!$A$1:$O$16</definedName>
    <definedName name="_xlnm.Print_Area" localSheetId="10">총괄산출집계!$B$1:$M$80</definedName>
    <definedName name="_xlnm.Print_Area">#REF!</definedName>
    <definedName name="Print_Area_MI">#REF!</definedName>
    <definedName name="PRINT_TILTES">#REF!</definedName>
    <definedName name="_xlnm.Print_Titles" localSheetId="3">'1. 도급공사 내역서'!$1:$4</definedName>
    <definedName name="_xlnm.Print_Titles" localSheetId="5">'2. 관급자재 내역서'!$1:$4</definedName>
    <definedName name="_xlnm.Print_Titles" localSheetId="7">'3.내역서-고재처리비'!$1:$4</definedName>
    <definedName name="_xlnm.Print_Titles" localSheetId="4">'4.내역서-폐기물 운반,처리비'!$1:$4</definedName>
    <definedName name="_xlnm.Print_Titles" localSheetId="18">기계경비!$1:$3</definedName>
    <definedName name="_xlnm.Print_Titles" localSheetId="24">단가산출!$1:$3</definedName>
    <definedName name="_xlnm.Print_Titles" localSheetId="23">단가산출총괄표!$1:$3</definedName>
    <definedName name="_xlnm.Print_Titles" localSheetId="9">'산출집계(고재처리비)'!$1:$5</definedName>
    <definedName name="_xlnm.Print_Titles" localSheetId="11">'수량산출서(고재처리비)'!$1:$3</definedName>
    <definedName name="_xlnm.Print_Titles" localSheetId="28">인건비!$1:$2</definedName>
    <definedName name="_xlnm.Print_Titles" localSheetId="10">총괄산출집계!$1:$4</definedName>
    <definedName name="_xlnm.Print_Titles">#REF!</definedName>
    <definedName name="Q">[15]!Macro13</definedName>
    <definedName name="QKF">'[16]Macro(차단기)'!$B$1</definedName>
    <definedName name="qq" localSheetId="0" hidden="1">{#N/A,#N/A,FALSE,"단가표지"}</definedName>
    <definedName name="qq" localSheetId="2" hidden="1">{#N/A,#N/A,FALSE,"단가표지"}</definedName>
    <definedName name="qq" hidden="1">{#N/A,#N/A,FALSE,"단가표지"}</definedName>
    <definedName name="qw" localSheetId="0" hidden="1">{#N/A,#N/A,FALSE,"단가표지"}</definedName>
    <definedName name="qw" localSheetId="2" hidden="1">{#N/A,#N/A,FALSE,"단가표지"}</definedName>
    <definedName name="qw" hidden="1">{#N/A,#N/A,FALSE,"단가표지"}</definedName>
    <definedName name="_xlnm.Recorder">#REF!</definedName>
    <definedName name="RK" localSheetId="7" hidden="1">#REF!</definedName>
    <definedName name="RK" localSheetId="4" hidden="1">#REF!</definedName>
    <definedName name="RK" localSheetId="9" hidden="1">#REF!</definedName>
    <definedName name="RK" localSheetId="0" hidden="1">#REF!</definedName>
    <definedName name="RK" localSheetId="11" hidden="1">#REF!</definedName>
    <definedName name="RK" localSheetId="2" hidden="1">#REF!</definedName>
    <definedName name="RK" localSheetId="10" hidden="1">#REF!</definedName>
    <definedName name="RK" hidden="1">#REF!</definedName>
    <definedName name="RT">#REF!,#REF!,#REF!</definedName>
    <definedName name="rty">#REF!,#REF!</definedName>
    <definedName name="SHEET56">#REF!</definedName>
    <definedName name="SIL">[5]데이타!$R$23:$S$32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">#REF!,#REF!</definedName>
    <definedName name="ss" localSheetId="0" hidden="1">{#N/A,#N/A,FALSE,"운반시간"}</definedName>
    <definedName name="ss" localSheetId="2" hidden="1">{#N/A,#N/A,FALSE,"운반시간"}</definedName>
    <definedName name="ss" hidden="1">{#N/A,#N/A,FALSE,"운반시간"}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mif">'[17]bm(CIcable)'!#REF!</definedName>
    <definedName name="sunif">'[17]bm(CIcable)'!#REF!</definedName>
    <definedName name="tt" localSheetId="0" hidden="1">{#N/A,#N/A,FALSE,"단가표지"}</definedName>
    <definedName name="tt" localSheetId="2" hidden="1">{#N/A,#N/A,FALSE,"단가표지"}</definedName>
    <definedName name="tt" hidden="1">{#N/A,#N/A,FALSE,"단가표지"}</definedName>
    <definedName name="TTTT" localSheetId="7" hidden="1">#REF!</definedName>
    <definedName name="TTTT" localSheetId="4" hidden="1">#REF!</definedName>
    <definedName name="TTTT" localSheetId="9" hidden="1">#REF!</definedName>
    <definedName name="TTTT" localSheetId="0" hidden="1">#REF!</definedName>
    <definedName name="TTTT" localSheetId="11" hidden="1">#REF!</definedName>
    <definedName name="TTTT" localSheetId="2" hidden="1">#REF!</definedName>
    <definedName name="TTTT" localSheetId="10" hidden="1">#REF!</definedName>
    <definedName name="TTTT" hidden="1">#REF!</definedName>
    <definedName name="UNIT_1">#REF!</definedName>
    <definedName name="UNIT_3">#REF!</definedName>
    <definedName name="uu">[18]DATA!$B$4:$F$495</definedName>
    <definedName name="VIP">[15]!Macro9</definedName>
    <definedName name="VIR">[15]!Macro7</definedName>
    <definedName name="VIS">[15]!Macro9</definedName>
    <definedName name="VYWL" localSheetId="0" hidden="1">{#N/A,#N/A,FALSE,"전력간선"}</definedName>
    <definedName name="VYWL" localSheetId="2" hidden="1">{#N/A,#N/A,FALSE,"전력간선"}</definedName>
    <definedName name="VYWL" hidden="1">{#N/A,#N/A,FALSE,"전력간선"}</definedName>
    <definedName name="WIRE_1">#REF!</definedName>
    <definedName name="WIRE_3">#REF!</definedName>
    <definedName name="wm.조골재1" localSheetId="0" hidden="1">{#N/A,#N/A,FALSE,"조골재"}</definedName>
    <definedName name="wm.조골재1" localSheetId="2" hidden="1">{#N/A,#N/A,FALSE,"조골재"}</definedName>
    <definedName name="wm.조골재1" hidden="1">{#N/A,#N/A,FALSE,"조골재"}</definedName>
    <definedName name="WRITE" localSheetId="0" hidden="1">{#N/A,#N/A,FALSE,"CCTV"}</definedName>
    <definedName name="WRITE" localSheetId="2" hidden="1">{#N/A,#N/A,FALSE,"CCTV"}</definedName>
    <definedName name="WRITE" hidden="1">{#N/A,#N/A,FALSE,"CCTV"}</definedName>
    <definedName name="wrn.2번." localSheetId="0" hidden="1">{#N/A,#N/A,FALSE,"2~8번"}</definedName>
    <definedName name="wrn.2번." localSheetId="2" hidden="1">{#N/A,#N/A,FALSE,"2~8번"}</definedName>
    <definedName name="wrn.2번." hidden="1">{#N/A,#N/A,FALSE,"2~8번"}</definedName>
    <definedName name="wrn.BM." localSheetId="0" hidden="1">{#N/A,#N/A,FALSE,"CCTV"}</definedName>
    <definedName name="wrn.BM." localSheetId="2" hidden="1">{#N/A,#N/A,FALSE,"CCTV"}</definedName>
    <definedName name="wrn.BM." hidden="1">{#N/A,#N/A,FALSE,"CCTV"}</definedName>
    <definedName name="wrn.test1." localSheetId="0" hidden="1">{#N/A,#N/A,FALSE,"명세표"}</definedName>
    <definedName name="wrn.test1." localSheetId="2" hidden="1">{#N/A,#N/A,FALSE,"명세표"}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localSheetId="2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localSheetId="2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localSheetId="2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localSheetId="2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localSheetId="2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localSheetId="2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localSheetId="2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localSheetId="2" hidden="1">{#N/A,#N/A,FALSE,"속도"}</definedName>
    <definedName name="wrn.속도." hidden="1">{#N/A,#N/A,FALSE,"속도"}</definedName>
    <definedName name="wrn.신용찬." localSheetId="0" hidden="1">{#N/A,#N/A,TRUE,"토적및재료집계";#N/A,#N/A,TRUE,"토적및재료집계";#N/A,#N/A,TRUE,"단위량"}</definedName>
    <definedName name="wrn.신용찬." localSheetId="2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운반시간." localSheetId="0" hidden="1">{#N/A,#N/A,FALSE,"운반시간"}</definedName>
    <definedName name="wrn.운반시간." localSheetId="2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localSheetId="2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localSheetId="2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localSheetId="2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localSheetId="2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localSheetId="2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localSheetId="2" hidden="1">{#N/A,#N/A,FALSE,"포장2"}</definedName>
    <definedName name="wrn.포장2." hidden="1">{#N/A,#N/A,FALSE,"포장2"}</definedName>
    <definedName name="wrn.표지목차." localSheetId="0" hidden="1">{#N/A,#N/A,FALSE,"표지목차"}</definedName>
    <definedName name="wrn.표지목차." localSheetId="2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localSheetId="2" hidden="1">{#N/A,#N/A,FALSE,"혼합골재"}</definedName>
    <definedName name="wrn.혼합골재." hidden="1">{#N/A,#N/A,FALSE,"혼합골재"}</definedName>
    <definedName name="ww" localSheetId="0" hidden="1">{#N/A,#N/A,FALSE,"골재소요량";#N/A,#N/A,FALSE,"골재소요량"}</definedName>
    <definedName name="ww" localSheetId="2" hidden="1">{#N/A,#N/A,FALSE,"골재소요량";#N/A,#N/A,FALSE,"골재소요량"}</definedName>
    <definedName name="ww" hidden="1">{#N/A,#N/A,FALSE,"골재소요량";#N/A,#N/A,FALSE,"골재소요량"}</definedName>
    <definedName name="X9701D_일위대가_List">#REF!</definedName>
    <definedName name="yyy" localSheetId="0" hidden="1">#REF!</definedName>
    <definedName name="yyy" localSheetId="2" hidden="1">#REF!</definedName>
    <definedName name="yyy" hidden="1">#REF!</definedName>
    <definedName name="Z_0B5F3193_83F5_47E3_9579_D798162D2DE4_.wvu.Cols" localSheetId="0" hidden="1">설계서!$Q:$T</definedName>
    <definedName name="ZP">#REF!</definedName>
    <definedName name="ㄱ">#REF!</definedName>
    <definedName name="가">[0]!가</definedName>
    <definedName name="가1">[0]!가1</definedName>
    <definedName name="가로" localSheetId="0" hidden="1">{#N/A,#N/A,FALSE,"전력간선"}</definedName>
    <definedName name="가로" localSheetId="2" hidden="1">{#N/A,#N/A,FALSE,"전력간선"}</definedName>
    <definedName name="가로" hidden="1">{#N/A,#N/A,FALSE,"전력간선"}</definedName>
    <definedName name="가로1">[0]!가로1</definedName>
    <definedName name="가로등">[0]!가로등</definedName>
    <definedName name="가로등부표1">[19]!Macro13</definedName>
    <definedName name="가로등부표2">#REF!,#REF!</definedName>
    <definedName name="가로등입력">[0]!가로등입력</definedName>
    <definedName name="가로등주">#REF!</definedName>
    <definedName name="가설공사비">#REF!</definedName>
    <definedName name="가아" localSheetId="7" hidden="1">#REF!</definedName>
    <definedName name="가아" localSheetId="4" hidden="1">#REF!</definedName>
    <definedName name="가아" localSheetId="9" hidden="1">#REF!</definedName>
    <definedName name="가아" localSheetId="0" hidden="1">#REF!</definedName>
    <definedName name="가아" localSheetId="11" hidden="1">#REF!</definedName>
    <definedName name="가아" localSheetId="2" hidden="1">#REF!</definedName>
    <definedName name="가아" localSheetId="10" hidden="1">#REF!</definedName>
    <definedName name="가아" hidden="1">#REF!</definedName>
    <definedName name="간접노무비">#REF!</definedName>
    <definedName name="간접재료비">#REF!</definedName>
    <definedName name="강아지" localSheetId="7" hidden="1">#REF!</definedName>
    <definedName name="강아지" localSheetId="4" hidden="1">#REF!</definedName>
    <definedName name="강아지" localSheetId="9" hidden="1">#REF!</definedName>
    <definedName name="강아지" localSheetId="0" hidden="1">#REF!</definedName>
    <definedName name="강아지" localSheetId="11" hidden="1">#REF!</definedName>
    <definedName name="강아지" localSheetId="2" hidden="1">#REF!</definedName>
    <definedName name="강아지" localSheetId="10" hidden="1">#REF!</definedName>
    <definedName name="강아지" hidden="1">#REF!</definedName>
    <definedName name="거ㅏ" localSheetId="0" hidden="1">#REF!</definedName>
    <definedName name="거ㅏ" localSheetId="2" hidden="1">#REF!</definedName>
    <definedName name="거ㅏ" hidden="1">#REF!</definedName>
    <definedName name="건축" localSheetId="0" hidden="1">{#N/A,#N/A,TRUE,"토적및재료집계";#N/A,#N/A,TRUE,"토적및재료집계";#N/A,#N/A,TRUE,"단위량"}</definedName>
    <definedName name="건축" localSheetId="2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원가" localSheetId="20" hidden="1">#REF!</definedName>
    <definedName name="건축원가" localSheetId="0" hidden="1">#REF!</definedName>
    <definedName name="건축원가" localSheetId="2" hidden="1">#REF!</definedName>
    <definedName name="건축원가" hidden="1">#REF!</definedName>
    <definedName name="견적조건" localSheetId="0" hidden="1">{#N/A,#N/A,FALSE,"CCTV"}</definedName>
    <definedName name="견적조건" localSheetId="2" hidden="1">{#N/A,#N/A,FALSE,"CCTV"}</definedName>
    <definedName name="견적조건" hidden="1">{#N/A,#N/A,FALSE,"CCTV"}</definedName>
    <definedName name="견적조건8" localSheetId="0" hidden="1">{#N/A,#N/A,FALSE,"CCTV"}</definedName>
    <definedName name="견적조건8" localSheetId="2" hidden="1">{#N/A,#N/A,FALSE,"CCTV"}</definedName>
    <definedName name="견적조건8" hidden="1">{#N/A,#N/A,FALSE,"CCTV"}</definedName>
    <definedName name="경기노임">#REF!</definedName>
    <definedName name="경비">[20]설계산출기초!$G$6</definedName>
    <definedName name="계산조건">#REF!,#REF!</definedName>
    <definedName name="계산조건1">[19]!Macro6</definedName>
    <definedName name="고재">#REF!</definedName>
    <definedName name="고케">#REF!</definedName>
    <definedName name="공">[0]!공</definedName>
    <definedName name="공구">[0]!공구</definedName>
    <definedName name="공구손료">#REF!</definedName>
    <definedName name="공명">[20]도급예산내역서봉투!$C$5</definedName>
    <definedName name="공비">#REF!</definedName>
    <definedName name="공사감독자">#REF!</definedName>
    <definedName name="공사명">#REF!</definedName>
    <definedName name="공사원가계산서" localSheetId="0" hidden="1">{#N/A,#N/A,TRUE,"토적및재료집계";#N/A,#N/A,TRUE,"토적및재료집계";#N/A,#N/A,TRUE,"단위량"}</definedName>
    <definedName name="공사원가계산서" localSheetId="2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사원가계산서경비소계">[20]공사원가계산서!$C$22</definedName>
    <definedName name="공사원가계산서노무비">[20]공사원가계산서!$C$9</definedName>
    <definedName name="공사원가계산서재료비">[20]공사원가계산서!$C$6</definedName>
    <definedName name="공압축3.5간재">'[21]기계경비(시간당)'!$H$248</definedName>
    <definedName name="공압축3.5노무">'[21]기계경비(시간당)'!$H$244</definedName>
    <definedName name="공압축3.5노무야간">'[21]기계경비(시간당)'!$H$245</definedName>
    <definedName name="공압축3.5손료">'[21]기계경비(시간당)'!$H$243</definedName>
    <definedName name="공압축7.1간재">'[21]기계경비(시간당)'!$H$256</definedName>
    <definedName name="공압축7.1노무">'[21]기계경비(시간당)'!$H$252</definedName>
    <definedName name="공압축7.1노무야간">'[21]기계경비(시간당)'!$H$253</definedName>
    <definedName name="공압축7.1손료">'[21]기계경비(시간당)'!$H$251</definedName>
    <definedName name="공원등기초" localSheetId="0" hidden="1">{#N/A,#N/A,FALSE,"골재소요량";#N/A,#N/A,FALSE,"골재소요량"}</definedName>
    <definedName name="공원등기초" localSheetId="2" hidden="1">{#N/A,#N/A,FALSE,"골재소요량";#N/A,#N/A,FALSE,"골재소요량"}</definedName>
    <definedName name="공원등기초" hidden="1">{#N/A,#N/A,FALSE,"골재소요량";#N/A,#N/A,FALSE,"골재소요량"}</definedName>
    <definedName name="공정">[0]!공정</definedName>
    <definedName name="공종">'[22]효성CB 1P기초'!#REF!</definedName>
    <definedName name="관급">#REF!,#REF!,#REF!</definedName>
    <definedName name="관급자재">#REF!,#REF!,#REF!</definedName>
    <definedName name="관급자재비">#REF!</definedName>
    <definedName name="관로터파기">[23]!돌아가기</definedName>
    <definedName name="구산갑지" localSheetId="7" hidden="1">#REF!</definedName>
    <definedName name="구산갑지" localSheetId="4" hidden="1">#REF!</definedName>
    <definedName name="구산갑지" localSheetId="9" hidden="1">#REF!</definedName>
    <definedName name="구산갑지" localSheetId="0" hidden="1">#REF!</definedName>
    <definedName name="구산갑지" localSheetId="11" hidden="1">#REF!</definedName>
    <definedName name="구산갑지" localSheetId="2" hidden="1">#REF!</definedName>
    <definedName name="구산갑지" localSheetId="10" hidden="1">#REF!</definedName>
    <definedName name="구산갑지" hidden="1">#REF!</definedName>
    <definedName name="굵기">[23]!굵기</definedName>
    <definedName name="기">[0]!기</definedName>
    <definedName name="기기신설">#REF!</definedName>
    <definedName name="기기철거">#REF!</definedName>
    <definedName name="기성3" localSheetId="0" hidden="1">{#N/A,#N/A,FALSE,"CCTV"}</definedName>
    <definedName name="기성3" localSheetId="2" hidden="1">{#N/A,#N/A,FALSE,"CCTV"}</definedName>
    <definedName name="기성3" hidden="1">{#N/A,#N/A,FALSE,"CCTV"}</definedName>
    <definedName name="기타1">[0]!기타1</definedName>
    <definedName name="기타경비">[20]설계산출기초!$G$15</definedName>
    <definedName name="기타자재">[0]!기타자재</definedName>
    <definedName name="기호">#REF!</definedName>
    <definedName name="김" localSheetId="0" hidden="1">{#N/A,#N/A,FALSE,"명세표"}</definedName>
    <definedName name="김" localSheetId="2" hidden="1">{#N/A,#N/A,FALSE,"명세표"}</definedName>
    <definedName name="김" hidden="1">{#N/A,#N/A,FALSE,"명세표"}</definedName>
    <definedName name="ㄴㄴㄴ" localSheetId="7" hidden="1">#REF!</definedName>
    <definedName name="ㄴㄴㄴ" localSheetId="4" hidden="1">#REF!</definedName>
    <definedName name="ㄴㄴㄴ" localSheetId="9" hidden="1">#REF!</definedName>
    <definedName name="ㄴㄴㄴ" localSheetId="0" hidden="1">#REF!</definedName>
    <definedName name="ㄴㄴㄴ" localSheetId="11" hidden="1">#REF!</definedName>
    <definedName name="ㄴㄴㄴ" localSheetId="2" hidden="1">#REF!</definedName>
    <definedName name="ㄴㄴㄴ" localSheetId="10" hidden="1">#REF!</definedName>
    <definedName name="ㄴㄴㄴ" hidden="1">#REF!</definedName>
    <definedName name="ㄴㄴㄴㄴ" localSheetId="7" hidden="1">#REF!</definedName>
    <definedName name="ㄴㄴㄴㄴ" localSheetId="4" hidden="1">#REF!</definedName>
    <definedName name="ㄴㄴㄴㄴ" localSheetId="9" hidden="1">#REF!</definedName>
    <definedName name="ㄴㄴㄴㄴ" localSheetId="0" hidden="1">#REF!</definedName>
    <definedName name="ㄴㄴㄴㄴ" localSheetId="11" hidden="1">#REF!</definedName>
    <definedName name="ㄴㄴㄴㄴ" localSheetId="2" hidden="1">#REF!</definedName>
    <definedName name="ㄴㄴㄴㄴ" localSheetId="10" hidden="1">#REF!</definedName>
    <definedName name="ㄴㄴㄴㄴ" hidden="1">#REF!</definedName>
    <definedName name="ㄴㄴㄴㄴㄴ" localSheetId="7" hidden="1">#REF!</definedName>
    <definedName name="ㄴㄴㄴㄴㄴ" localSheetId="4" hidden="1">#REF!</definedName>
    <definedName name="ㄴㄴㄴㄴㄴ" localSheetId="9" hidden="1">#REF!</definedName>
    <definedName name="ㄴㄴㄴㄴㄴ" localSheetId="0" hidden="1">#REF!</definedName>
    <definedName name="ㄴㄴㄴㄴㄴ" localSheetId="11" hidden="1">#REF!</definedName>
    <definedName name="ㄴㄴㄴㄴㄴ" localSheetId="2" hidden="1">#REF!</definedName>
    <definedName name="ㄴㄴㄴㄴㄴ" localSheetId="10" hidden="1">#REF!</definedName>
    <definedName name="ㄴㄴㄴㄴㄴ" hidden="1">#REF!</definedName>
    <definedName name="ㄴㅁ" localSheetId="0" hidden="1">{#N/A,#N/A,TRUE,"토적및재료집계";#N/A,#N/A,TRUE,"토적및재료집계";#N/A,#N/A,TRUE,"단위량"}</definedName>
    <definedName name="ㄴㅁ" localSheetId="2" hidden="1">{#N/A,#N/A,TRUE,"토적및재료집계";#N/A,#N/A,TRUE,"토적및재료집계";#N/A,#N/A,TRUE,"단위량"}</definedName>
    <definedName name="ㄴㅁ" hidden="1">{#N/A,#N/A,TRUE,"토적및재료집계";#N/A,#N/A,TRUE,"토적및재료집계";#N/A,#N/A,TRUE,"단위량"}</definedName>
    <definedName name="ㄴㅇㅁㄴㅇ" localSheetId="0" hidden="1">{#N/A,#N/A,TRUE,"토적및재료집계";#N/A,#N/A,TRUE,"토적및재료집계";#N/A,#N/A,TRUE,"단위량"}</definedName>
    <definedName name="ㄴㅇㅁㄴㅇ" localSheetId="2" hidden="1">{#N/A,#N/A,TRUE,"토적및재료집계";#N/A,#N/A,TRUE,"토적및재료집계";#N/A,#N/A,TRUE,"단위량"}</definedName>
    <definedName name="ㄴㅇㅁㄴㅇ" hidden="1">{#N/A,#N/A,TRUE,"토적및재료집계";#N/A,#N/A,TRUE,"토적및재료집계";#N/A,#N/A,TRUE,"단위량"}</definedName>
    <definedName name="날짜">[20]설계산출표지!$B$8</definedName>
    <definedName name="내역서">#REF!</definedName>
    <definedName name="내역서1">'1. 도급공사 내역서'!$A$5:$M$116</definedName>
    <definedName name="내역서2">'2. 관급자재 내역서'!$A$5:$M$32</definedName>
    <definedName name="내역서3">'3.내역서-고재처리비'!$A$2:$N$26</definedName>
    <definedName name="내전">#REF!</definedName>
    <definedName name="노무비단가산출서" localSheetId="7" hidden="1">#REF!</definedName>
    <definedName name="노무비단가산출서" localSheetId="4" hidden="1">#REF!</definedName>
    <definedName name="노무비단가산출서" localSheetId="9" hidden="1">#REF!</definedName>
    <definedName name="노무비단가산출서" localSheetId="0" hidden="1">#REF!</definedName>
    <definedName name="노무비단가산출서" localSheetId="11" hidden="1">#REF!</definedName>
    <definedName name="노무비단가산출서" localSheetId="2" hidden="1">#REF!</definedName>
    <definedName name="노무비단가산출서" localSheetId="10" hidden="1">#REF!</definedName>
    <definedName name="노무비단가산출서" hidden="1">#REF!</definedName>
    <definedName name="노임">[24]노임!$B:$C</definedName>
    <definedName name="노임단가">#REF!</definedName>
    <definedName name="노출형">[5]DATA!$E$50:$F$59</definedName>
    <definedName name="니여">#REF!,#REF!</definedName>
    <definedName name="ㄷ" localSheetId="0" hidden="1">{#N/A,#N/A,TRUE,"토적및재료집계";#N/A,#N/A,TRUE,"토적및재료집계";#N/A,#N/A,TRUE,"단위량"}</definedName>
    <definedName name="ㄷ" localSheetId="2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ㄷ" localSheetId="7" hidden="1">#REF!</definedName>
    <definedName name="ㄷㄷ" localSheetId="4" hidden="1">#REF!</definedName>
    <definedName name="ㄷㄷ" localSheetId="9" hidden="1">#REF!</definedName>
    <definedName name="ㄷㄷ" localSheetId="0" hidden="1">#REF!</definedName>
    <definedName name="ㄷㄷ" localSheetId="11" hidden="1">#REF!</definedName>
    <definedName name="ㄷㄷ" localSheetId="2" hidden="1">#REF!</definedName>
    <definedName name="ㄷㄷ" localSheetId="10" hidden="1">#REF!</definedName>
    <definedName name="ㄷㄷ" hidden="1">#REF!</definedName>
    <definedName name="다">#REF!</definedName>
    <definedName name="단가">[24]감시단가!$Q:$R</definedName>
    <definedName name="단가_1">#REF!</definedName>
    <definedName name="단가비교표">#REF!,#REF!</definedName>
    <definedName name="단가산출">[25]물가대비표!$A$4:$N$72</definedName>
    <definedName name="단가테이블">'[21]기계경비(시간당)'!$C$1:$F$58</definedName>
    <definedName name="도급공사비">#REF!</definedName>
    <definedName name="도급예산내역서총괄표공구손료">[20]도급예산내역서총괄표!$G$21</definedName>
    <definedName name="도급예산내역서총괄표공비">[20]도급예산내역서총괄표!$H$21</definedName>
    <definedName name="도급예산내역서총괄표재료비">[20]도급예산내역서총괄표!$F$21</definedName>
    <definedName name="돌아가_교통">[23]!돌아가_교통</definedName>
    <definedName name="돌아가기">[23]!돌아가기</definedName>
    <definedName name="동1">[0]!동1</definedName>
    <definedName name="동력산출">[0]!동력산출</definedName>
    <definedName name="동원">#REF!</definedName>
    <definedName name="동원1">#REF!</definedName>
    <definedName name="등가거리">[26]!Macro12</definedName>
    <definedName name="등가도움">[23]!등가도움</definedName>
    <definedName name="ㄹ" localSheetId="0" hidden="1">{#N/A,#N/A,TRUE,"토적및재료집계";#N/A,#N/A,TRUE,"토적및재료집계";#N/A,#N/A,TRUE,"단위량"}</definedName>
    <definedName name="ㄹ" localSheetId="2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ㄹ" localSheetId="7" hidden="1">#REF!</definedName>
    <definedName name="ㄹㄹ" localSheetId="4" hidden="1">#REF!</definedName>
    <definedName name="ㄹㄹ" localSheetId="9" hidden="1">#REF!</definedName>
    <definedName name="ㄹㄹ" localSheetId="0" hidden="1">#REF!</definedName>
    <definedName name="ㄹㄹ" localSheetId="11" hidden="1">#REF!</definedName>
    <definedName name="ㄹㄹ" localSheetId="2" hidden="1">#REF!</definedName>
    <definedName name="ㄹㄹ" localSheetId="10" hidden="1">#REF!</definedName>
    <definedName name="ㄹㄹ" hidden="1">#REF!</definedName>
    <definedName name="ㄹㄹㄹ" localSheetId="0" hidden="1">{#N/A,#N/A,FALSE,"명세표"}</definedName>
    <definedName name="ㄹㄹㄹ" localSheetId="2" hidden="1">{#N/A,#N/A,FALSE,"명세표"}</definedName>
    <definedName name="ㄹㄹㄹ" hidden="1">{#N/A,#N/A,FALSE,"명세표"}</definedName>
    <definedName name="ㄹㅇㄹㅇ" localSheetId="7" hidden="1">#REF!</definedName>
    <definedName name="ㄹㅇㄹㅇ" localSheetId="4" hidden="1">#REF!</definedName>
    <definedName name="ㄹㅇㄹㅇ" localSheetId="9" hidden="1">#REF!</definedName>
    <definedName name="ㄹㅇㄹㅇ" localSheetId="0" hidden="1">#REF!</definedName>
    <definedName name="ㄹㅇㄹㅇ" localSheetId="11" hidden="1">#REF!</definedName>
    <definedName name="ㄹㅇㄹㅇ" localSheetId="2" hidden="1">#REF!</definedName>
    <definedName name="ㄹㅇㄹㅇ" localSheetId="10" hidden="1">#REF!</definedName>
    <definedName name="ㄹㅇㄹㅇ" hidden="1">#REF!</definedName>
    <definedName name="램머Q간재">[21]램머!$D$20</definedName>
    <definedName name="램머Q간재10">[21]램머!$F$20</definedName>
    <definedName name="램머Q간재야간">[21]램머!$J$20</definedName>
    <definedName name="램머Q노무">[21]램머!$D$21</definedName>
    <definedName name="램머Q노무10">[21]램머!$F$21</definedName>
    <definedName name="램머Q노무야간">[21]램머!$J$21</definedName>
    <definedName name="램머Q손료">[21]램머!$D$22</definedName>
    <definedName name="램머Q손료10">[21]램머!$F$22</definedName>
    <definedName name="램머Q손료야간">[21]램머!$J$22</definedName>
    <definedName name="램머간재">'[21]기계경비(시간당)'!$H$170</definedName>
    <definedName name="램머노무">'[21]기계경비(시간당)'!$H$166</definedName>
    <definedName name="램머노무야간">'[21]기계경비(시간당)'!$H$167</definedName>
    <definedName name="램머손료">'[21]기계경비(시간당)'!$H$165</definedName>
    <definedName name="램프">[27]단가조사!#REF!</definedName>
    <definedName name="ㅀ" localSheetId="0" hidden="1">{#N/A,#N/A,TRUE,"토적및재료집계";#N/A,#N/A,TRUE,"토적및재료집계";#N/A,#N/A,TRUE,"단위량"}</definedName>
    <definedName name="ㅀ" localSheetId="2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허" localSheetId="0" hidden="1">{#N/A,#N/A,FALSE,"CCTV"}</definedName>
    <definedName name="ㅀ허" localSheetId="2" hidden="1">{#N/A,#N/A,FALSE,"CCTV"}</definedName>
    <definedName name="ㅀ허" hidden="1">{#N/A,#N/A,FALSE,"CCTV"}</definedName>
    <definedName name="ㅁ" localSheetId="0" hidden="1">{#N/A,#N/A,FALSE,"명세표"}</definedName>
    <definedName name="ㅁ" localSheetId="2" hidden="1">{#N/A,#N/A,FALSE,"명세표"}</definedName>
    <definedName name="ㅁ" hidden="1">{#N/A,#N/A,FALSE,"명세표"}</definedName>
    <definedName name="ㅁ1">#REF!</definedName>
    <definedName name="ㅁ500">[28]Baby일위대가!#REF!</definedName>
    <definedName name="ㅁ545">#REF!</definedName>
    <definedName name="ㅁ636">#REF!</definedName>
    <definedName name="ㅁㄴㅇㄴ" localSheetId="0" hidden="1">{#N/A,#N/A,TRUE,"토적및재료집계";#N/A,#N/A,TRUE,"토적및재료집계";#N/A,#N/A,TRUE,"단위량"}</definedName>
    <definedName name="ㅁㄴㅇㄴ" localSheetId="2" hidden="1">{#N/A,#N/A,TRUE,"토적및재료집계";#N/A,#N/A,TRUE,"토적및재료집계";#N/A,#N/A,TRUE,"단위량"}</definedName>
    <definedName name="ㅁㄴㅇㄴ" hidden="1">{#N/A,#N/A,TRUE,"토적및재료집계";#N/A,#N/A,TRUE,"토적및재료집계";#N/A,#N/A,TRUE,"단위량"}</definedName>
    <definedName name="ㅁㄴㅇㄻㄴㅇㄻㄴㄹ" localSheetId="0" hidden="1">{#N/A,#N/A,FALSE,"명세표"}</definedName>
    <definedName name="ㅁㄴㅇㄻㄴㅇㄻㄴㄹ" localSheetId="2" hidden="1">{#N/A,#N/A,FALSE,"명세표"}</definedName>
    <definedName name="ㅁㄴㅇㄻㄴㅇㄻㄴㄹ" hidden="1">{#N/A,#N/A,FALSE,"명세표"}</definedName>
    <definedName name="마">[15]!Macro13</definedName>
    <definedName name="매입개방">[5]DATA!$E$6:$F$15</definedName>
    <definedName name="머" localSheetId="0" hidden="1">{#N/A,#N/A,FALSE,"명세표"}</definedName>
    <definedName name="머" localSheetId="2" hidden="1">{#N/A,#N/A,FALSE,"명세표"}</definedName>
    <definedName name="머" hidden="1">{#N/A,#N/A,FALSE,"명세표"}</definedName>
    <definedName name="목차">[24]목차!$G:$R</definedName>
    <definedName name="몰라" localSheetId="0" hidden="1">{#N/A,#N/A,FALSE,"명세표"}</definedName>
    <definedName name="몰라" localSheetId="2" hidden="1">{#N/A,#N/A,FALSE,"명세표"}</definedName>
    <definedName name="몰라" hidden="1">{#N/A,#N/A,FALSE,"명세표"}</definedName>
    <definedName name="미장공">[29]노임!$B$6</definedName>
    <definedName name="ㅂ" localSheetId="0" hidden="1">{#N/A,#N/A,TRUE,"토적및재료집계";#N/A,#N/A,TRUE,"토적및재료집계";#N/A,#N/A,TRUE,"단위량"}</definedName>
    <definedName name="ㅂ" localSheetId="2" hidden="1">{#N/A,#N/A,TRUE,"토적및재료집계";#N/A,#N/A,TRUE,"토적및재료집계";#N/A,#N/A,TRUE,"단위량"}</definedName>
    <definedName name="ㅂ" hidden="1">{#N/A,#N/A,TRUE,"토적및재료집계";#N/A,#N/A,TRUE,"토적및재료집계";#N/A,#N/A,TRUE,"단위량"}</definedName>
    <definedName name="ㅂㅂㅂㅂ" localSheetId="0" hidden="1">{#N/A,#N/A,FALSE,"명세표"}</definedName>
    <definedName name="ㅂㅂㅂㅂ" localSheetId="2" hidden="1">{#N/A,#N/A,FALSE,"명세표"}</definedName>
    <definedName name="ㅂㅂㅂㅂ" hidden="1">{#N/A,#N/A,FALSE,"명세표"}</definedName>
    <definedName name="ㅂㅂㅂㅂㅂㅂㅂ" localSheetId="0" hidden="1">{#N/A,#N/A,FALSE,"명세표"}</definedName>
    <definedName name="ㅂㅂㅂㅂㅂㅂㅂ" localSheetId="2" hidden="1">{#N/A,#N/A,FALSE,"명세표"}</definedName>
    <definedName name="ㅂㅂㅂㅂㅂㅂㅂ" hidden="1">{#N/A,#N/A,FALSE,"명세표"}</definedName>
    <definedName name="방송설비">#REF!</definedName>
    <definedName name="방수공">[29]노임!$B$7</definedName>
    <definedName name="배전">#REF!</definedName>
    <definedName name="배전반자재단가영">#REF!</definedName>
    <definedName name="백02간재">'[21]기계경비(시간당)'!$H$161</definedName>
    <definedName name="백02간재티스제외">'[21]기계경비(시간당)'!$H$162</definedName>
    <definedName name="백02노무">'[21]기계경비(시간당)'!$H$153</definedName>
    <definedName name="백02노무야간">'[21]기계경비(시간당)'!$H$157</definedName>
    <definedName name="백02손료">'[21]기계경비(시간당)'!$H$149</definedName>
    <definedName name="백04간재">'[21]기계경비(시간당)'!$H$145</definedName>
    <definedName name="백04간재티스제외">'[21]기계경비(시간당)'!$H$146</definedName>
    <definedName name="백04노무">'[21]기계경비(시간당)'!$H$137</definedName>
    <definedName name="백04노무야간">'[21]기계경비(시간당)'!$H$141</definedName>
    <definedName name="백04손료">'[21]기계경비(시간당)'!$H$133</definedName>
    <definedName name="백07간재">'[21]기계경비(시간당)'!$H$129</definedName>
    <definedName name="백07노무">'[21]기계경비(시간당)'!$H$121</definedName>
    <definedName name="백07손료">'[21]기계경비(시간당)'!$H$117</definedName>
    <definedName name="보인">#REF!</definedName>
    <definedName name="보통인부">'[21]기계경비(시간당)'!$D$2</definedName>
    <definedName name="부가가치세">#REF!</definedName>
    <definedName name="부하_부하명">#REF!</definedName>
    <definedName name="분전함신설합계">[30]분전함신설!$S$29</definedName>
    <definedName name="브02간재구조물">'[21]기계경비(시간당)'!$H$112</definedName>
    <definedName name="브02노무">'[21]기계경비(시간당)'!$H$110</definedName>
    <definedName name="브02노무야간">'[21]기계경비(시간당)'!$H$111</definedName>
    <definedName name="브02손료">'[21]기계경비(시간당)'!$H$109</definedName>
    <definedName name="브04간재구조물">'[21]기계경비(시간당)'!$H$105</definedName>
    <definedName name="브04노무">'[21]기계경비(시간당)'!$H$103</definedName>
    <definedName name="브04노무야간">'[21]기계경비(시간당)'!$H$104</definedName>
    <definedName name="브04손료">'[21]기계경비(시간당)'!$H$102</definedName>
    <definedName name="브레이드">'[21]기계경비(시간당)'!$D$28</definedName>
    <definedName name="비계">#REF!</definedName>
    <definedName name="ㅅ" localSheetId="0" hidden="1">{#N/A,#N/A,TRUE,"토적및재료집계";#N/A,#N/A,TRUE,"토적및재료집계";#N/A,#N/A,TRUE,"단위량"}</definedName>
    <definedName name="ㅅ" localSheetId="2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ㅅ" localSheetId="7" hidden="1">#REF!</definedName>
    <definedName name="ㅅㅅ" localSheetId="4" hidden="1">#REF!</definedName>
    <definedName name="ㅅㅅ" localSheetId="9" hidden="1">#REF!</definedName>
    <definedName name="ㅅㅅ" localSheetId="0" hidden="1">#REF!</definedName>
    <definedName name="ㅅㅅ" localSheetId="11" hidden="1">#REF!</definedName>
    <definedName name="ㅅㅅ" localSheetId="2" hidden="1">#REF!</definedName>
    <definedName name="ㅅㅅ" localSheetId="10" hidden="1">#REF!</definedName>
    <definedName name="ㅅㅅ" hidden="1">#REF!</definedName>
    <definedName name="산1">#REF!</definedName>
    <definedName name="산2">#REF!</definedName>
    <definedName name="산3">#REF!</definedName>
    <definedName name="산4">#REF!</definedName>
    <definedName name="산5">#REF!</definedName>
    <definedName name="산6">#REF!</definedName>
    <definedName name="산7">#REF!</definedName>
    <definedName name="산근">#REF!</definedName>
    <definedName name="산재보험료">[20]설계산출기초!$G$13</definedName>
    <definedName name="산출" localSheetId="0" hidden="1">{"'단계별시설공사비'!$A$3:$K$51"}</definedName>
    <definedName name="산출" localSheetId="2" hidden="1">{"'단계별시설공사비'!$A$3:$K$51"}</definedName>
    <definedName name="산출" hidden="1">{"'단계별시설공사비'!$A$3:$K$51"}</definedName>
    <definedName name="산출내역" localSheetId="0" hidden="1">{"'단계별시설공사비'!$A$3:$K$51"}</definedName>
    <definedName name="산출내역" localSheetId="2" hidden="1">{"'단계별시설공사비'!$A$3:$K$51"}</definedName>
    <definedName name="산출내역" hidden="1">{"'단계별시설공사비'!$A$3:$K$51"}</definedName>
    <definedName name="산출집계1">#REF!</definedName>
    <definedName name="삼각지_동력부하_List">#REF!</definedName>
    <definedName name="석항" localSheetId="0" hidden="1">{#N/A,#N/A,FALSE,"명세표"}</definedName>
    <definedName name="석항" localSheetId="2" hidden="1">{#N/A,#N/A,FALSE,"명세표"}</definedName>
    <definedName name="석항" hidden="1">{#N/A,#N/A,FALSE,"명세표"}</definedName>
    <definedName name="선로신설">#REF!</definedName>
    <definedName name="선로철거">#REF!</definedName>
    <definedName name="설계내역">#REF!</definedName>
    <definedName name="설비" localSheetId="7" hidden="1">#REF!</definedName>
    <definedName name="설비" localSheetId="4" hidden="1">#REF!</definedName>
    <definedName name="설비" localSheetId="9" hidden="1">#REF!</definedName>
    <definedName name="설비" localSheetId="0" hidden="1">#REF!</definedName>
    <definedName name="설비" localSheetId="11" hidden="1">#REF!</definedName>
    <definedName name="설비" localSheetId="2" hidden="1">#REF!</definedName>
    <definedName name="설비" localSheetId="10" hidden="1">#REF!</definedName>
    <definedName name="설비" hidden="1">#REF!</definedName>
    <definedName name="세로" localSheetId="0" hidden="1">{#N/A,#N/A,FALSE,"전력간선"}</definedName>
    <definedName name="세로" localSheetId="2" hidden="1">{#N/A,#N/A,FALSE,"전력간선"}</definedName>
    <definedName name="세로" hidden="1">{#N/A,#N/A,FALSE,"전력간선"}</definedName>
    <definedName name="소형B손료">'[21]기계경비(시간당)'!$H$240</definedName>
    <definedName name="수급인상호">#REF!</definedName>
    <definedName name="수급인성명">#REF!</definedName>
    <definedName name="수급인주소">#REF!</definedName>
    <definedName name="수량계산">#REF!</definedName>
    <definedName name="수량산출">#REF!</definedName>
    <definedName name="수량산출서">[31]단가산출!#REF!</definedName>
    <definedName name="시중단가" localSheetId="0" hidden="1">{"'단계별시설공사비'!$A$3:$K$51"}</definedName>
    <definedName name="시중단가" localSheetId="2" hidden="1">{"'단계별시설공사비'!$A$3:$K$51"}</definedName>
    <definedName name="시중단가" hidden="1">{"'단계별시설공사비'!$A$3:$K$51"}</definedName>
    <definedName name="시행청">[20]설계산출표지!$B$21</definedName>
    <definedName name="신">[0]!신</definedName>
    <definedName name="신축공사" localSheetId="0" hidden="1">{"'단계별시설공사비'!$A$3:$K$51"}</definedName>
    <definedName name="신축공사" localSheetId="2" hidden="1">{"'단계별시설공사비'!$A$3:$K$51"}</definedName>
    <definedName name="신축공사" hidden="1">{"'단계별시설공사비'!$A$3:$K$51"}</definedName>
    <definedName name="신호기">[0]!신호기</definedName>
    <definedName name="신호기용공배관">[23]!돌아가기</definedName>
    <definedName name="실지수_기호">#REF!</definedName>
    <definedName name="ㅇ">#REF!</definedName>
    <definedName name="ㅇㄹㄹ" localSheetId="7" hidden="1">#REF!</definedName>
    <definedName name="ㅇㄹㄹ" localSheetId="4" hidden="1">#REF!</definedName>
    <definedName name="ㅇㄹㄹ" localSheetId="9" hidden="1">#REF!</definedName>
    <definedName name="ㅇㄹㄹ" localSheetId="0" hidden="1">#REF!</definedName>
    <definedName name="ㅇㄹㄹ" localSheetId="11" hidden="1">#REF!</definedName>
    <definedName name="ㅇㄹㄹ" localSheetId="2" hidden="1">#REF!</definedName>
    <definedName name="ㅇㄹㄹ" localSheetId="10" hidden="1">#REF!</definedName>
    <definedName name="ㅇㄹㄹ" hidden="1">#REF!</definedName>
    <definedName name="ㅇㄹㅇㄹ" localSheetId="7" hidden="1">#REF!</definedName>
    <definedName name="ㅇㄹㅇㄹ" localSheetId="4" hidden="1">#REF!</definedName>
    <definedName name="ㅇㄹㅇㄹ" localSheetId="9" hidden="1">#REF!</definedName>
    <definedName name="ㅇㄹㅇㄹ" localSheetId="0" hidden="1">#REF!</definedName>
    <definedName name="ㅇㄹㅇㄹ" localSheetId="11" hidden="1">#REF!</definedName>
    <definedName name="ㅇㄹㅇㄹ" localSheetId="2" hidden="1">#REF!</definedName>
    <definedName name="ㅇㄹㅇㄹ" localSheetId="10" hidden="1">#REF!</definedName>
    <definedName name="ㅇㄹㅇㄹ" hidden="1">#REF!</definedName>
    <definedName name="ㅇㅇㄹ" localSheetId="7" hidden="1">#REF!</definedName>
    <definedName name="ㅇㅇㄹ" localSheetId="4" hidden="1">#REF!</definedName>
    <definedName name="ㅇㅇㄹ" localSheetId="9" hidden="1">#REF!</definedName>
    <definedName name="ㅇㅇㄹ" localSheetId="0" hidden="1">#REF!</definedName>
    <definedName name="ㅇㅇㄹ" localSheetId="11" hidden="1">#REF!</definedName>
    <definedName name="ㅇㅇㄹ" localSheetId="2" hidden="1">#REF!</definedName>
    <definedName name="ㅇㅇㄹ" localSheetId="10" hidden="1">#REF!</definedName>
    <definedName name="ㅇㅇㄹ" hidden="1">#REF!</definedName>
    <definedName name="ㅇㅇㅇㅇ" localSheetId="7" hidden="1">#REF!</definedName>
    <definedName name="ㅇㅇㅇㅇ" localSheetId="4" hidden="1">#REF!</definedName>
    <definedName name="ㅇㅇㅇㅇ" localSheetId="9" hidden="1">#REF!</definedName>
    <definedName name="ㅇㅇㅇㅇ" localSheetId="0" hidden="1">#REF!</definedName>
    <definedName name="ㅇㅇㅇㅇ" localSheetId="11" hidden="1">#REF!</definedName>
    <definedName name="ㅇㅇㅇㅇ" localSheetId="2" hidden="1">#REF!</definedName>
    <definedName name="ㅇㅇㅇㅇ" localSheetId="10" hidden="1">#REF!</definedName>
    <definedName name="ㅇㅇㅇㅇ" hidden="1">#REF!</definedName>
    <definedName name="안전관리비">[20]설계산출기초!$G$11</definedName>
    <definedName name="업체단가">[32]자재단가!$A$6:$M$156</definedName>
    <definedName name="연">[0]!연</definedName>
    <definedName name="연1">[0]!연1</definedName>
    <definedName name="연습9">#REF!</definedName>
    <definedName name="연습99">#REF!</definedName>
    <definedName name="연접도움말">[23]!연접도움말</definedName>
    <definedName name="연접물량">[0]!연접물량</definedName>
    <definedName name="예">[33]!Macro10</definedName>
    <definedName name="옥외등철거공구손료">#REF!</definedName>
    <definedName name="옥외등철거공비">#REF!</definedName>
    <definedName name="완공3" localSheetId="7" hidden="1">#REF!</definedName>
    <definedName name="완공3" localSheetId="4" hidden="1">#REF!</definedName>
    <definedName name="완공3" localSheetId="9" hidden="1">#REF!</definedName>
    <definedName name="완공3" localSheetId="0" hidden="1">#REF!</definedName>
    <definedName name="완공3" localSheetId="11" hidden="1">#REF!</definedName>
    <definedName name="완공3" localSheetId="2" hidden="1">#REF!</definedName>
    <definedName name="완공3" localSheetId="10" hidden="1">#REF!</definedName>
    <definedName name="완공3" hidden="1">#REF!</definedName>
    <definedName name="용접">#REF!</definedName>
    <definedName name="용접공">'[21]기계경비(시간당)'!$D$13</definedName>
    <definedName name="운반구간">[20]을부담운반비!$D$5</definedName>
    <definedName name="운반비">[20]설계산출기초!$G$7</definedName>
    <definedName name="운전">#REF!</definedName>
    <definedName name="운전사">#REF!</definedName>
    <definedName name="운전사_운반">'[21]기계경비(시간당)'!$D$7</definedName>
    <definedName name="운전조">#REF!</definedName>
    <definedName name="원가계산1">[34]자재단가!$A$6:$M$156</definedName>
    <definedName name="원가계산서">[35]자재단가!$A$6:$M$156</definedName>
    <definedName name="을부담품목별중량계">[20]운반비산출!$E$25</definedName>
    <definedName name="이" localSheetId="0" hidden="1">{#N/A,#N/A,FALSE,"명세표"}</definedName>
    <definedName name="이" localSheetId="2" hidden="1">{#N/A,#N/A,FALSE,"명세표"}</definedName>
    <definedName name="이" hidden="1">{#N/A,#N/A,FALSE,"명세표"}</definedName>
    <definedName name="이름표" localSheetId="0" hidden="1">{#N/A,#N/A,FALSE,"단가표지"}</definedName>
    <definedName name="이름표" localSheetId="2" hidden="1">{#N/A,#N/A,FALSE,"단가표지"}</definedName>
    <definedName name="이름표" hidden="1">{#N/A,#N/A,FALSE,"단가표지"}</definedName>
    <definedName name="이릉" localSheetId="7" hidden="1">#REF!</definedName>
    <definedName name="이릉" localSheetId="4" hidden="1">#REF!</definedName>
    <definedName name="이릉" localSheetId="20" hidden="1">#REF!</definedName>
    <definedName name="이릉" localSheetId="9" hidden="1">#REF!</definedName>
    <definedName name="이릉" localSheetId="0" hidden="1">#REF!</definedName>
    <definedName name="이릉" localSheetId="11" hidden="1">#REF!</definedName>
    <definedName name="이릉" localSheetId="2" hidden="1">#REF!</definedName>
    <definedName name="이릉" localSheetId="10" hidden="1">#REF!</definedName>
    <definedName name="이릉" hidden="1">#REF!</definedName>
    <definedName name="이윤">#REF!</definedName>
    <definedName name="이종훈" localSheetId="20" hidden="1">#REF!</definedName>
    <definedName name="이종훈" localSheetId="0" hidden="1">#REF!</definedName>
    <definedName name="이종훈" localSheetId="2" hidden="1">#REF!</definedName>
    <definedName name="이종훈" hidden="1">#REF!</definedName>
    <definedName name="인가번호">#REF!</definedName>
    <definedName name="인건비">'[36]노무비 근거'!$B$3:$F$25</definedName>
    <definedName name="인입">#REF!</definedName>
    <definedName name="일" localSheetId="7" hidden="1">#REF!</definedName>
    <definedName name="일" localSheetId="4" hidden="1">#REF!</definedName>
    <definedName name="일" localSheetId="9" hidden="1">#REF!</definedName>
    <definedName name="일" localSheetId="0" hidden="1">#REF!</definedName>
    <definedName name="일" localSheetId="11" hidden="1">#REF!</definedName>
    <definedName name="일" localSheetId="2" hidden="1">#REF!</definedName>
    <definedName name="일" localSheetId="10" hidden="1">#REF!</definedName>
    <definedName name="일" hidden="1">#REF!</definedName>
    <definedName name="일대">#REF!</definedName>
    <definedName name="일반관리비">#REF!</definedName>
    <definedName name="일반통신설비">#REF!</definedName>
    <definedName name="일위">#REF!,#REF!</definedName>
    <definedName name="일위11">#REF!</definedName>
    <definedName name="일위대가1">#REF!</definedName>
    <definedName name="일위대가2">#REF!</definedName>
    <definedName name="일위목록">#REF!</definedName>
    <definedName name="일위산출">#REF!</definedName>
    <definedName name="일위산출1">#REF!</definedName>
    <definedName name="임시1" localSheetId="0" hidden="1">{#N/A,#N/A,FALSE,"전력간선"}</definedName>
    <definedName name="임시1" localSheetId="2" hidden="1">{#N/A,#N/A,FALSE,"전력간선"}</definedName>
    <definedName name="임시1" hidden="1">{#N/A,#N/A,FALSE,"전력간선"}</definedName>
    <definedName name="임시2" localSheetId="0" hidden="1">{#N/A,#N/A,FALSE,"전력간선"}</definedName>
    <definedName name="임시2" localSheetId="2" hidden="1">{#N/A,#N/A,FALSE,"전력간선"}</definedName>
    <definedName name="임시2" hidden="1">{#N/A,#N/A,FALSE,"전력간선"}</definedName>
    <definedName name="임직" localSheetId="7" hidden="1">#REF!</definedName>
    <definedName name="임직" localSheetId="4" hidden="1">#REF!</definedName>
    <definedName name="임직" localSheetId="9" hidden="1">#REF!</definedName>
    <definedName name="임직" localSheetId="0" hidden="1">#REF!</definedName>
    <definedName name="임직" localSheetId="11" hidden="1">#REF!</definedName>
    <definedName name="임직" localSheetId="2" hidden="1">#REF!</definedName>
    <definedName name="임직" localSheetId="10" hidden="1">#REF!</definedName>
    <definedName name="임직" hidden="1">#REF!</definedName>
    <definedName name="ㅈㅈㅈㅈ" localSheetId="0" hidden="1">{#N/A,#N/A,FALSE,"명세표"}</definedName>
    <definedName name="ㅈㅈㅈㅈ" localSheetId="2" hidden="1">{#N/A,#N/A,FALSE,"명세표"}</definedName>
    <definedName name="ㅈㅈㅈㅈ" hidden="1">{#N/A,#N/A,FALSE,"명세표"}</definedName>
    <definedName name="자동화재탐지설비">#REF!</definedName>
    <definedName name="자미" localSheetId="0" hidden="1">{#N/A,#N/A,FALSE,"명세표"}</definedName>
    <definedName name="자미" localSheetId="2" hidden="1">{#N/A,#N/A,FALSE,"명세표"}</definedName>
    <definedName name="자미" hidden="1">{#N/A,#N/A,FALSE,"명세표"}</definedName>
    <definedName name="자재단가">#REF!</definedName>
    <definedName name="자재단가표">#REF!</definedName>
    <definedName name="작업">#REF!</definedName>
    <definedName name="장성">#REF!,#REF!</definedName>
    <definedName name="재료비">#REF!</definedName>
    <definedName name="재료집계3">#REF!</definedName>
    <definedName name="저케">#REF!</definedName>
    <definedName name="적용거리">[20]을부담운반비!$D$2</definedName>
    <definedName name="적용속도">[20]을부담운반비!$D$3</definedName>
    <definedName name="적용톤수">[20]을부담운반비!$D$1</definedName>
    <definedName name="전1">#REF!</definedName>
    <definedName name="전기1" localSheetId="7" hidden="1">#REF!</definedName>
    <definedName name="전기1" localSheetId="4" hidden="1">#REF!</definedName>
    <definedName name="전기1" localSheetId="9" hidden="1">#REF!</definedName>
    <definedName name="전기1" localSheetId="0" hidden="1">#REF!</definedName>
    <definedName name="전기1" localSheetId="11" hidden="1">#REF!</definedName>
    <definedName name="전기1" localSheetId="2" hidden="1">#REF!</definedName>
    <definedName name="전기1" localSheetId="10" hidden="1">#REF!</definedName>
    <definedName name="전기1" hidden="1">#REF!</definedName>
    <definedName name="전기내역" localSheetId="0" hidden="1">{#N/A,#N/A,FALSE,"CCTV"}</definedName>
    <definedName name="전기내역" localSheetId="2" hidden="1">{#N/A,#N/A,FALSE,"CCTV"}</definedName>
    <definedName name="전기내역" hidden="1">{#N/A,#N/A,FALSE,"CCTV"}</definedName>
    <definedName name="전기마감" localSheetId="7" hidden="1">#REF!</definedName>
    <definedName name="전기마감" localSheetId="4" hidden="1">#REF!</definedName>
    <definedName name="전기마감" localSheetId="9" hidden="1">#REF!</definedName>
    <definedName name="전기마감" localSheetId="0" hidden="1">#REF!</definedName>
    <definedName name="전기마감" localSheetId="11" hidden="1">#REF!</definedName>
    <definedName name="전기마감" localSheetId="2" hidden="1">#REF!</definedName>
    <definedName name="전기마감" localSheetId="10" hidden="1">#REF!</definedName>
    <definedName name="전기마감" hidden="1">#REF!</definedName>
    <definedName name="전등신설">#REF!</definedName>
    <definedName name="전선_관">[23]!전선_관</definedName>
    <definedName name="전선관부속품비">[25]요율!$B$2</definedName>
    <definedName name="전압강하가기">[23]!전압강하가기</definedName>
    <definedName name="점">[0]!점</definedName>
    <definedName name="점멸기">#REF!</definedName>
    <definedName name="점멸기입력">[0]!점멸기입력</definedName>
    <definedName name="접지1종합계">[30]접지1종!$S$20</definedName>
    <definedName name="조명율표">[37]조명율표!$B$4:$F$495</definedName>
    <definedName name="조장">#REF!</definedName>
    <definedName name="조차장" localSheetId="0" hidden="1">{#N/A,#N/A,FALSE,"명세표"}</definedName>
    <definedName name="조차장" localSheetId="2" hidden="1">{#N/A,#N/A,FALSE,"명세표"}</definedName>
    <definedName name="조차장" hidden="1">{#N/A,#N/A,FALSE,"명세표"}</definedName>
    <definedName name="주">'[38]가로등 수량집계'!#REF!</definedName>
    <definedName name="준공년월일">#REF!</definedName>
    <definedName name="중기운전기사">'[21]기계경비(시간당)'!$D$4</definedName>
    <definedName name="지">#REF!</definedName>
    <definedName name="직매54P" localSheetId="0" hidden="1">{#N/A,#N/A,TRUE,"토적및재료집계";#N/A,#N/A,TRUE,"토적및재료집계";#N/A,#N/A,TRUE,"단위량"}</definedName>
    <definedName name="직매54P" localSheetId="2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접노무비">#REF!</definedName>
    <definedName name="직접재료비">#REF!</definedName>
    <definedName name="집계" localSheetId="0" hidden="1">{#N/A,#N/A,FALSE,"명세표"}</definedName>
    <definedName name="집계" localSheetId="2" hidden="1">{#N/A,#N/A,FALSE,"명세표"}</definedName>
    <definedName name="집계" hidden="1">{#N/A,#N/A,FALSE,"명세표"}</definedName>
    <definedName name="집계표" localSheetId="0" hidden="1">{#N/A,#N/A,FALSE,"전력간선"}</definedName>
    <definedName name="집계표" localSheetId="2" hidden="1">{#N/A,#N/A,FALSE,"전력간선"}</definedName>
    <definedName name="집계표" hidden="1">{#N/A,#N/A,FALSE,"전력간선"}</definedName>
    <definedName name="짜장">#REF!</definedName>
    <definedName name="ㅊ1555">#REF!</definedName>
    <definedName name="차량가격">[20]을부담운반비!$D$4</definedName>
    <definedName name="착공기한">#REF!</definedName>
    <definedName name="착공년월일">#REF!</definedName>
    <definedName name="착공일">#REF!</definedName>
    <definedName name="착암공">'[21]기계경비(시간당)'!$D$12</definedName>
    <definedName name="철거자재">#REF!</definedName>
    <definedName name="철공">#REF!</definedName>
    <definedName name="철주신설공구손료">#REF!</definedName>
    <definedName name="철주신설공비">#REF!</definedName>
    <definedName name="철주신설재료비">#REF!</definedName>
    <definedName name="청">[15]!Macro14</definedName>
    <definedName name="총괄" localSheetId="7" hidden="1">#REF!</definedName>
    <definedName name="총괄" localSheetId="4" hidden="1">#REF!</definedName>
    <definedName name="총괄" localSheetId="9" hidden="1">#REF!</definedName>
    <definedName name="총괄" localSheetId="0" hidden="1">#REF!</definedName>
    <definedName name="총괄" localSheetId="11" hidden="1">#REF!</definedName>
    <definedName name="총괄" localSheetId="2" hidden="1">#REF!</definedName>
    <definedName name="총괄" localSheetId="10" hidden="1">#REF!</definedName>
    <definedName name="총괄" hidden="1">#REF!</definedName>
    <definedName name="총괄표">#REF!</definedName>
    <definedName name="총원가">#REF!</definedName>
    <definedName name="총원가2">#REF!</definedName>
    <definedName name="ㅋㅁ" localSheetId="0" hidden="1">{#N/A,#N/A,FALSE,"명세표"}</definedName>
    <definedName name="ㅋㅁ" localSheetId="2" hidden="1">{#N/A,#N/A,FALSE,"명세표"}</definedName>
    <definedName name="ㅋㅁ" hidden="1">{#N/A,#N/A,FALSE,"명세표"}</definedName>
    <definedName name="ㅋㅋ" localSheetId="0" hidden="1">{#N/A,#N/A,FALSE,"명세표"}</definedName>
    <definedName name="ㅋㅋ" localSheetId="2" hidden="1">{#N/A,#N/A,FALSE,"명세표"}</definedName>
    <definedName name="ㅋㅋ" hidden="1">{#N/A,#N/A,FALSE,"명세표"}</definedName>
    <definedName name="ㅋㅋㅋ" localSheetId="0" hidden="1">{#N/A,#N/A,FALSE,"단가표지"}</definedName>
    <definedName name="ㅋㅋㅋ" localSheetId="2" hidden="1">{#N/A,#N/A,FALSE,"단가표지"}</definedName>
    <definedName name="ㅋㅋㅋ" hidden="1">{#N/A,#N/A,FALSE,"단가표지"}</definedName>
    <definedName name="캇타간재">'[21]기계경비(시간당)'!$H$92</definedName>
    <definedName name="캇타노무">'[21]기계경비(시간당)'!$H$88</definedName>
    <definedName name="캇타손료">'[21]기계경비(시간당)'!$H$87</definedName>
    <definedName name="케이블_1">[3]단가!#REF!</definedName>
    <definedName name="케이블간지" localSheetId="0" hidden="1">{#N/A,#N/A,TRUE,"토적및재료집계";#N/A,#N/A,TRUE,"토적및재료집계";#N/A,#N/A,TRUE,"단위량"}</definedName>
    <definedName name="케이블간지" localSheetId="2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공">[29]노임!$B$8</definedName>
    <definedName name="터파기계산">[23]!터파기계산</definedName>
    <definedName name="토목설계" localSheetId="0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hidden="1">{#N/A,#N/A,FALSE,"골재소요량";#N/A,#N/A,FALSE,"골재소요량"}</definedName>
    <definedName name="통">[0]!통</definedName>
    <definedName name="통1">[0]!통1</definedName>
    <definedName name="통합">[0]!통합</definedName>
    <definedName name="특고">#REF!</definedName>
    <definedName name="특별">#REF!</definedName>
    <definedName name="특별인부">'[21]기계경비(시간당)'!$D$9</definedName>
    <definedName name="ㅍㅍ" localSheetId="0" hidden="1">{#N/A,#N/A,TRUE,"토적및재료집계";#N/A,#N/A,TRUE,"토적및재료집계";#N/A,#N/A,TRUE,"단위량"}</definedName>
    <definedName name="ㅍㅍ" localSheetId="2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파이프펜던트">[5]DATA!$E$17:$F$26</definedName>
    <definedName name="판넬" localSheetId="0" hidden="1">{"'단계별시설공사비'!$A$3:$K$51"}</definedName>
    <definedName name="판넬" localSheetId="2" hidden="1">{"'단계별시설공사비'!$A$3:$K$51"}</definedName>
    <definedName name="판넬" hidden="1">{"'단계별시설공사비'!$A$3:$K$51"}</definedName>
    <definedName name="표지">#REF!</definedName>
    <definedName name="품명">OFFSET([24]목차!$G$4,0,0,COUNTA([24]목차!$G:$G)-1,1)</definedName>
    <definedName name="품신">[20]설계산출표지!$B$1</definedName>
    <definedName name="ㅎㅎㅎㅎ" localSheetId="0" hidden="1">{#N/A,#N/A,TRUE,"토적및재료집계";#N/A,#N/A,TRUE,"토적및재료집계";#N/A,#N/A,TRUE,"단위량"}</definedName>
    <definedName name="ㅎㅎㅎㅎ" localSheetId="2" hidden="1">{#N/A,#N/A,TRUE,"토적및재료집계";#N/A,#N/A,TRUE,"토적및재료집계";#N/A,#N/A,TRUE,"단위량"}</definedName>
    <definedName name="ㅎㅎㅎㅎ" hidden="1">{#N/A,#N/A,TRUE,"토적및재료집계";#N/A,#N/A,TRUE,"토적및재료집계";#N/A,#N/A,TRUE,"단위량"}</definedName>
    <definedName name="하늘1" localSheetId="0" hidden="1">{#N/A,#N/A,FALSE,"전력간선"}</definedName>
    <definedName name="하늘1" localSheetId="2" hidden="1">{#N/A,#N/A,FALSE,"전력간선"}</definedName>
    <definedName name="하늘1" hidden="1">{#N/A,#N/A,FALSE,"전력간선"}</definedName>
    <definedName name="하하하" localSheetId="0" hidden="1">{#N/A,#N/A,FALSE,"단가표지"}</definedName>
    <definedName name="하하하" localSheetId="2" hidden="1">{#N/A,#N/A,FALSE,"단가표지"}</definedName>
    <definedName name="하하하" hidden="1">{#N/A,#N/A,FALSE,"단가표지"}</definedName>
    <definedName name="합계">#REF!</definedName>
    <definedName name="행선안내게시기설비">#REF!</definedName>
    <definedName name="현장대리인">#REF!</definedName>
    <definedName name="현조" localSheetId="7" hidden="1">#REF!</definedName>
    <definedName name="현조" localSheetId="4" hidden="1">#REF!</definedName>
    <definedName name="현조" localSheetId="9" hidden="1">#REF!</definedName>
    <definedName name="현조" localSheetId="0" hidden="1">#REF!</definedName>
    <definedName name="현조" localSheetId="11" hidden="1">#REF!</definedName>
    <definedName name="현조" localSheetId="2" hidden="1">#REF!</definedName>
    <definedName name="현조" localSheetId="10" hidden="1">#REF!</definedName>
    <definedName name="현조" hidden="1">#REF!</definedName>
    <definedName name="형틀">#REF!</definedName>
    <definedName name="형틀목공">[29]노임!$B$3</definedName>
    <definedName name="호표">#REF!</definedName>
    <definedName name="환율">'[21]기계경비(시간당)'!$D$21</definedName>
    <definedName name="황">[0]!황</definedName>
    <definedName name="황1">[0]!황1</definedName>
    <definedName name="황2">[0]!황2</definedName>
    <definedName name="ㅏㅏㅏ" localSheetId="0" hidden="1">{#N/A,#N/A,FALSE,"명세표"}</definedName>
    <definedName name="ㅏㅏㅏ" localSheetId="2" hidden="1">{#N/A,#N/A,FALSE,"명세표"}</definedName>
    <definedName name="ㅏㅏㅏ" hidden="1">{#N/A,#N/A,FALSE,"명세표"}</definedName>
    <definedName name="ㅔㅔ" localSheetId="0" hidden="1">{#N/A,#N/A,FALSE,"명세표"}</definedName>
    <definedName name="ㅔㅔ" localSheetId="2" hidden="1">{#N/A,#N/A,FALSE,"명세표"}</definedName>
    <definedName name="ㅔㅔ" hidden="1">{#N/A,#N/A,FALSE,"명세표"}</definedName>
    <definedName name="ㅗ" localSheetId="0" hidden="1">{#N/A,#N/A,TRUE,"토적및재료집계";#N/A,#N/A,TRUE,"토적및재료집계";#N/A,#N/A,TRUE,"단위량"}</definedName>
    <definedName name="ㅗ" localSheetId="2" hidden="1">{#N/A,#N/A,TRUE,"토적및재료집계";#N/A,#N/A,TRUE,"토적및재료집계";#N/A,#N/A,TRUE,"단위량"}</definedName>
    <definedName name="ㅗ" hidden="1">{#N/A,#N/A,TRUE,"토적및재료집계";#N/A,#N/A,TRUE,"토적및재료집계";#N/A,#N/A,TRUE,"단위량"}</definedName>
    <definedName name="ㅗ1019">#REF!</definedName>
    <definedName name="ㅗㅅㄱ" localSheetId="0" hidden="1">{#N/A,#N/A,TRUE,"토적및재료집계";#N/A,#N/A,TRUE,"토적및재료집계";#N/A,#N/A,TRUE,"단위량"}</definedName>
    <definedName name="ㅗㅅㄱ" localSheetId="2" hidden="1">{#N/A,#N/A,TRUE,"토적및재료집계";#N/A,#N/A,TRUE,"토적및재료집계";#N/A,#N/A,TRUE,"단위량"}</definedName>
    <definedName name="ㅗㅅㄱ" hidden="1">{#N/A,#N/A,TRUE,"토적및재료집계";#N/A,#N/A,TRUE,"토적및재료집계";#N/A,#N/A,TRUE,"단위량"}</definedName>
    <definedName name="ㅗㅗ" localSheetId="0" hidden="1">{#N/A,#N/A,FALSE,"명세표"}</definedName>
    <definedName name="ㅗㅗ" localSheetId="2" hidden="1">{#N/A,#N/A,FALSE,"명세표"}</definedName>
    <definedName name="ㅗㅗ" hidden="1">{#N/A,#N/A,FALSE,"명세표"}</definedName>
    <definedName name="ㅗㅗㅗ" localSheetId="0" hidden="1">{#N/A,#N/A,TRUE,"토적및재료집계";#N/A,#N/A,TRUE,"토적및재료집계";#N/A,#N/A,TRUE,"단위량"}</definedName>
    <definedName name="ㅗㅗㅗ" localSheetId="2" hidden="1">{#N/A,#N/A,TRUE,"토적및재료집계";#N/A,#N/A,TRUE,"토적및재료집계";#N/A,#N/A,TRUE,"단위량"}</definedName>
    <definedName name="ㅗㅗㅗ" hidden="1">{#N/A,#N/A,TRUE,"토적및재료집계";#N/A,#N/A,TRUE,"토적및재료집계";#N/A,#N/A,TRUE,"단위량"}</definedName>
    <definedName name="ㅛ" localSheetId="0" hidden="1">{#N/A,#N/A,TRUE,"토적및재료집계";#N/A,#N/A,TRUE,"토적및재료집계";#N/A,#N/A,TRUE,"단위량"}</definedName>
    <definedName name="ㅛ" localSheetId="2" hidden="1">{#N/A,#N/A,TRUE,"토적및재료집계";#N/A,#N/A,TRUE,"토적및재료집계";#N/A,#N/A,TRUE,"단위량"}</definedName>
    <definedName name="ㅛ" hidden="1">{#N/A,#N/A,TRUE,"토적및재료집계";#N/A,#N/A,TRUE,"토적및재료집계";#N/A,#N/A,TRUE,"단위량"}</definedName>
    <definedName name="ㅛㅛㅛㅛ" localSheetId="0" hidden="1">#REF!</definedName>
    <definedName name="ㅛㅛㅛㅛ" localSheetId="2" hidden="1">#REF!</definedName>
    <definedName name="ㅛㅛㅛㅛ" hidden="1">#REF!</definedName>
    <definedName name="ㅜ" localSheetId="7" hidden="1">#REF!</definedName>
    <definedName name="ㅜ" localSheetId="4" hidden="1">#REF!</definedName>
    <definedName name="ㅜ" localSheetId="9" hidden="1">#REF!</definedName>
    <definedName name="ㅜ" localSheetId="0" hidden="1">#REF!</definedName>
    <definedName name="ㅜ" localSheetId="11" hidden="1">#REF!</definedName>
    <definedName name="ㅜ" localSheetId="2" hidden="1">#REF!</definedName>
    <definedName name="ㅜ" localSheetId="10" hidden="1">#REF!</definedName>
    <definedName name="ㅜ" hidden="1">#REF!</definedName>
    <definedName name="ㅡㅡ" localSheetId="0" hidden="1">{#N/A,#N/A,FALSE,"명세표"}</definedName>
    <definedName name="ㅡㅡ" localSheetId="2" hidden="1">{#N/A,#N/A,FALSE,"명세표"}</definedName>
    <definedName name="ㅡㅡ" hidden="1">{#N/A,#N/A,FALSE,"명세표"}</definedName>
    <definedName name="ㅣㅑㅑ" localSheetId="0" hidden="1">{#N/A,#N/A,FALSE,"단가표지"}</definedName>
    <definedName name="ㅣㅑㅑ" localSheetId="2" hidden="1">{#N/A,#N/A,FALSE,"단가표지"}</definedName>
    <definedName name="ㅣㅑㅑ" hidden="1">{#N/A,#N/A,FALSE,"단가표지"}</definedName>
    <definedName name="ㅣㅣ">[15]!Macro10</definedName>
  </definedNames>
  <calcPr calcId="191029" iterateDelta="1E-4"/>
</workbook>
</file>

<file path=xl/calcChain.xml><?xml version="1.0" encoding="utf-8"?>
<calcChain xmlns="http://schemas.openxmlformats.org/spreadsheetml/2006/main">
  <c r="J119" i="373" l="1"/>
  <c r="H119" i="373"/>
  <c r="E31" i="394" l="1"/>
  <c r="H27" i="394"/>
  <c r="H25" i="394"/>
  <c r="H24" i="394"/>
  <c r="H19" i="394"/>
  <c r="L16" i="394"/>
  <c r="H16" i="394"/>
  <c r="H15" i="394"/>
  <c r="H14" i="394"/>
  <c r="H13" i="394"/>
  <c r="H12" i="394"/>
  <c r="H11" i="394"/>
  <c r="H8" i="394"/>
  <c r="B2" i="394"/>
  <c r="AK203" i="392" l="1"/>
  <c r="P196" i="392"/>
  <c r="I8" i="391"/>
  <c r="P210" i="392"/>
  <c r="P152" i="392"/>
  <c r="T142" i="392"/>
  <c r="T140" i="392"/>
  <c r="P203" i="392"/>
  <c r="I26" i="390"/>
  <c r="AA26" i="390" s="1"/>
  <c r="I20" i="390"/>
  <c r="AA20" i="390" s="1"/>
  <c r="AC23" i="390"/>
  <c r="AC22" i="390" s="1"/>
  <c r="AC17" i="390"/>
  <c r="Z17" i="390" s="1"/>
  <c r="AC16" i="390"/>
  <c r="I14" i="390"/>
  <c r="AA14" i="390" s="1"/>
  <c r="AC11" i="390"/>
  <c r="Z11" i="390" s="1"/>
  <c r="T183" i="392"/>
  <c r="T181" i="392"/>
  <c r="AT181" i="392" s="1"/>
  <c r="T179" i="392"/>
  <c r="AT179" i="392" s="1"/>
  <c r="T188" i="392"/>
  <c r="AG183" i="392"/>
  <c r="BE183" i="392" s="1"/>
  <c r="AG181" i="392"/>
  <c r="BE181" i="392" s="1"/>
  <c r="AG179" i="392"/>
  <c r="BE175" i="392"/>
  <c r="AV175" i="392"/>
  <c r="AH169" i="392"/>
  <c r="AU169" i="392" s="1"/>
  <c r="AA168" i="392"/>
  <c r="AG142" i="392"/>
  <c r="BE142" i="392" s="1"/>
  <c r="AG140" i="392"/>
  <c r="BE140" i="392" s="1"/>
  <c r="AH136" i="392"/>
  <c r="AU136" i="392" s="1"/>
  <c r="Z134" i="392"/>
  <c r="BJ142" i="392" s="1"/>
  <c r="Z20" i="390" l="1"/>
  <c r="AA16" i="390"/>
  <c r="P194" i="392" s="1"/>
  <c r="Z26" i="390"/>
  <c r="AA22" i="390"/>
  <c r="P201" i="392" s="1"/>
  <c r="Z23" i="390"/>
  <c r="Z14" i="390"/>
  <c r="AA10" i="390"/>
  <c r="AC10" i="390"/>
  <c r="AZ169" i="392"/>
  <c r="AB196" i="392" s="1"/>
  <c r="BQ183" i="392"/>
  <c r="BQ142" i="392"/>
  <c r="BJ179" i="392"/>
  <c r="BQ179" i="392"/>
  <c r="BQ140" i="392"/>
  <c r="BJ181" i="392"/>
  <c r="AT183" i="392"/>
  <c r="AZ136" i="392"/>
  <c r="BQ181" i="392"/>
  <c r="BJ140" i="392"/>
  <c r="BJ183" i="392"/>
  <c r="AN136" i="392"/>
  <c r="AT142" i="392"/>
  <c r="AN169" i="392"/>
  <c r="BE179" i="392"/>
  <c r="AT140" i="392"/>
  <c r="P150" i="392" l="1"/>
  <c r="P208" i="392"/>
  <c r="AK210" i="392"/>
  <c r="DA211" i="392" s="1"/>
  <c r="AD217" i="392" s="1"/>
  <c r="AK208" i="392"/>
  <c r="AK194" i="392"/>
  <c r="CY197" i="392" s="1"/>
  <c r="DA204" i="392"/>
  <c r="Y217" i="392" s="1"/>
  <c r="AK201" i="392"/>
  <c r="AJ152" i="392"/>
  <c r="R185" i="392"/>
  <c r="Y188" i="392" s="1"/>
  <c r="CZ188" i="392" s="1"/>
  <c r="AK196" i="392"/>
  <c r="DA197" i="392" s="1"/>
  <c r="AB201" i="392"/>
  <c r="AB203" i="392"/>
  <c r="AB208" i="392"/>
  <c r="AB209" i="392"/>
  <c r="AB194" i="392"/>
  <c r="AB210" i="392"/>
  <c r="AB195" i="392"/>
  <c r="AB202" i="392"/>
  <c r="R144" i="392"/>
  <c r="CY144" i="392" s="1"/>
  <c r="Q157" i="392" s="1"/>
  <c r="AB152" i="392"/>
  <c r="AB150" i="392"/>
  <c r="AB151" i="392"/>
  <c r="DA153" i="392"/>
  <c r="Q159" i="392" s="1"/>
  <c r="DA160" i="392" s="1"/>
  <c r="DA130" i="392" s="1"/>
  <c r="CY211" i="392"/>
  <c r="CY204" i="392"/>
  <c r="AJ150" i="392"/>
  <c r="T55" i="392"/>
  <c r="E25" i="393"/>
  <c r="E24" i="393"/>
  <c r="E23" i="393"/>
  <c r="E22" i="393"/>
  <c r="E21" i="393"/>
  <c r="T114" i="392"/>
  <c r="T116" i="392"/>
  <c r="T68" i="392"/>
  <c r="T25" i="392"/>
  <c r="I87" i="60"/>
  <c r="U121" i="392"/>
  <c r="AM116" i="392"/>
  <c r="AG116" i="392"/>
  <c r="AM114" i="392"/>
  <c r="AG114" i="392"/>
  <c r="U110" i="392"/>
  <c r="BN105" i="392"/>
  <c r="BC105" i="392"/>
  <c r="BO103" i="392"/>
  <c r="BE103" i="392"/>
  <c r="DA95" i="392"/>
  <c r="I7" i="391" s="1"/>
  <c r="AL82" i="392"/>
  <c r="AL81" i="392"/>
  <c r="AL80" i="392"/>
  <c r="L76" i="392"/>
  <c r="AI76" i="392" s="1"/>
  <c r="AP74" i="392"/>
  <c r="AU78" i="392" s="1"/>
  <c r="W74" i="392"/>
  <c r="Q74" i="392"/>
  <c r="L74" i="392"/>
  <c r="AZ72" i="392"/>
  <c r="AU76" i="392" s="1"/>
  <c r="AD72" i="392"/>
  <c r="Z72" i="392"/>
  <c r="K72" i="392"/>
  <c r="AO68" i="392"/>
  <c r="AG68" i="392"/>
  <c r="AP55" i="392"/>
  <c r="AG55" i="392"/>
  <c r="AL50" i="392"/>
  <c r="AL49" i="392"/>
  <c r="AL48" i="392"/>
  <c r="L44" i="392"/>
  <c r="AI44" i="392" s="1"/>
  <c r="AP42" i="392"/>
  <c r="AU46" i="392" s="1"/>
  <c r="W42" i="392"/>
  <c r="Q42" i="392"/>
  <c r="L42" i="392"/>
  <c r="BC40" i="392"/>
  <c r="AG40" i="392"/>
  <c r="Z40" i="392"/>
  <c r="K40" i="392"/>
  <c r="AP44" i="392" s="1"/>
  <c r="BH25" i="392"/>
  <c r="BB25" i="392"/>
  <c r="AW25" i="392"/>
  <c r="AS25" i="392"/>
  <c r="AO25" i="392"/>
  <c r="AG25" i="392"/>
  <c r="AK20" i="392"/>
  <c r="AK19" i="392"/>
  <c r="AK18" i="392"/>
  <c r="L14" i="392"/>
  <c r="AI14" i="392" s="1"/>
  <c r="AS12" i="392"/>
  <c r="AU16" i="392" s="1"/>
  <c r="W12" i="392"/>
  <c r="U12" i="392"/>
  <c r="P12" i="392"/>
  <c r="L12" i="392"/>
  <c r="AZ10" i="392"/>
  <c r="AU14" i="392" s="1"/>
  <c r="AD10" i="392"/>
  <c r="Z10" i="392"/>
  <c r="K10" i="392"/>
  <c r="AP14" i="392" s="1"/>
  <c r="AP105" i="392"/>
  <c r="AT103" i="392"/>
  <c r="I8" i="390"/>
  <c r="AC5" i="390"/>
  <c r="Z5" i="390" s="1"/>
  <c r="AM217" i="392" l="1"/>
  <c r="DA218" i="392" s="1"/>
  <c r="Q224" i="392" s="1"/>
  <c r="DA225" i="392" s="1"/>
  <c r="DA162" i="392" s="1"/>
  <c r="I9" i="391" s="1"/>
  <c r="Q217" i="392"/>
  <c r="CY185" i="392"/>
  <c r="G188" i="392"/>
  <c r="Q215" i="392"/>
  <c r="AT215" i="392"/>
  <c r="CY153" i="392"/>
  <c r="Y215" i="392"/>
  <c r="AI215" i="392"/>
  <c r="Q222" i="392"/>
  <c r="W223" i="392"/>
  <c r="CX188" i="392"/>
  <c r="AA8" i="390"/>
  <c r="AA4" i="390" s="1"/>
  <c r="AT114" i="392"/>
  <c r="AA42" i="392"/>
  <c r="BF44" i="392" s="1"/>
  <c r="AD12" i="392"/>
  <c r="BF14" i="392" s="1"/>
  <c r="AK72" i="392"/>
  <c r="AZ76" i="392" s="1"/>
  <c r="AN40" i="392"/>
  <c r="AZ44" i="392" s="1"/>
  <c r="BV105" i="392"/>
  <c r="BW103" i="392"/>
  <c r="AK10" i="392"/>
  <c r="AZ14" i="392" s="1"/>
  <c r="AV55" i="392"/>
  <c r="CY55" i="392" s="1"/>
  <c r="CX55" i="392" s="1"/>
  <c r="BN25" i="392"/>
  <c r="CY25" i="392" s="1"/>
  <c r="CX25" i="392" s="1"/>
  <c r="AU68" i="392"/>
  <c r="CY68" i="392" s="1"/>
  <c r="CX68" i="392" s="1"/>
  <c r="AT116" i="392"/>
  <c r="S118" i="392" s="1"/>
  <c r="Z121" i="392" s="1"/>
  <c r="CZ121" i="392" s="1"/>
  <c r="AA74" i="392"/>
  <c r="BF76" i="392" s="1"/>
  <c r="AP76" i="392"/>
  <c r="AU44" i="392"/>
  <c r="AC4" i="390"/>
  <c r="Z8" i="390" l="1"/>
  <c r="BL45" i="392"/>
  <c r="AA59" i="392"/>
  <c r="T107" i="392"/>
  <c r="G110" i="392" s="1"/>
  <c r="AA157" i="392"/>
  <c r="AL157" i="392"/>
  <c r="CY218" i="392"/>
  <c r="P82" i="392"/>
  <c r="P50" i="392"/>
  <c r="P20" i="392"/>
  <c r="BL15" i="392"/>
  <c r="AQ20" i="392" s="1"/>
  <c r="DA21" i="392" s="1"/>
  <c r="Q31" i="392" s="1"/>
  <c r="DA32" i="392" s="1"/>
  <c r="DA4" i="392" s="1"/>
  <c r="I4" i="391" s="1"/>
  <c r="Q87" i="392"/>
  <c r="BL77" i="392"/>
  <c r="AR82" i="392" s="1"/>
  <c r="DA83" i="392" s="1"/>
  <c r="Q89" i="392" s="1"/>
  <c r="DA90" i="392" s="1"/>
  <c r="DA64" i="392" s="1"/>
  <c r="I6" i="391" s="1"/>
  <c r="AA29" i="392"/>
  <c r="P48" i="392"/>
  <c r="AR48" i="392" s="1"/>
  <c r="P18" i="392"/>
  <c r="P80" i="392"/>
  <c r="G121" i="392"/>
  <c r="CY118" i="392"/>
  <c r="Q125" i="392" s="1"/>
  <c r="CY128" i="392" s="1"/>
  <c r="AB48" i="392"/>
  <c r="AB49" i="392"/>
  <c r="AB50" i="392"/>
  <c r="AL126" i="392"/>
  <c r="CX121" i="392"/>
  <c r="CZ107" i="392" l="1"/>
  <c r="Q126" i="392" s="1"/>
  <c r="AA110" i="392"/>
  <c r="CZ110" i="392" s="1"/>
  <c r="CX110" i="392" s="1"/>
  <c r="AR50" i="392"/>
  <c r="DA51" i="392" s="1"/>
  <c r="Q61" i="392" s="1"/>
  <c r="DA62" i="392" s="1"/>
  <c r="DA34" i="392" s="1"/>
  <c r="I5" i="391" s="1"/>
  <c r="AB82" i="392"/>
  <c r="AB80" i="392"/>
  <c r="CY160" i="392"/>
  <c r="AA222" i="392"/>
  <c r="AL222" i="392"/>
  <c r="AB20" i="392"/>
  <c r="AB19" i="392"/>
  <c r="AR80" i="392"/>
  <c r="CY83" i="392" s="1"/>
  <c r="AB81" i="392"/>
  <c r="AB18" i="392"/>
  <c r="AQ18" i="392"/>
  <c r="CY95" i="392"/>
  <c r="H7" i="391" s="1"/>
  <c r="CY51" i="392"/>
  <c r="AU126" i="392" l="1"/>
  <c r="CZ128" i="392" s="1"/>
  <c r="CZ95" i="392" s="1"/>
  <c r="G7" i="391" s="1"/>
  <c r="AB126" i="392"/>
  <c r="CY130" i="392"/>
  <c r="H8" i="391" s="1"/>
  <c r="CY225" i="392"/>
  <c r="CY21" i="392"/>
  <c r="AL59" i="392"/>
  <c r="Q59" i="392"/>
  <c r="AA87" i="392"/>
  <c r="AL87" i="392"/>
  <c r="F7" i="391" l="1"/>
  <c r="CX128" i="392"/>
  <c r="CX95" i="392" s="1"/>
  <c r="R128" i="392"/>
  <c r="CY162" i="392"/>
  <c r="H9" i="391" s="1"/>
  <c r="AL29" i="392"/>
  <c r="Q29" i="392"/>
  <c r="CY90" i="392"/>
  <c r="CY62" i="392"/>
  <c r="CY32" i="392" l="1"/>
  <c r="CY34" i="392"/>
  <c r="H5" i="391" s="1"/>
  <c r="CY64" i="392"/>
  <c r="H6" i="391" s="1"/>
  <c r="CY4" i="392" l="1"/>
  <c r="H4" i="391" s="1"/>
  <c r="D148" i="276" l="1"/>
  <c r="D116" i="276"/>
  <c r="D84" i="276" l="1"/>
  <c r="D21" i="276"/>
  <c r="AJ175" i="392" l="1"/>
  <c r="BM175" i="392" s="1"/>
  <c r="CZ175" i="392" s="1"/>
  <c r="K7" i="393" l="1"/>
  <c r="J24" i="390"/>
  <c r="AB24" i="390" s="1"/>
  <c r="J18" i="390"/>
  <c r="AB18" i="390" s="1"/>
  <c r="J12" i="390"/>
  <c r="AB12" i="390" s="1"/>
  <c r="J6" i="390"/>
  <c r="AB6" i="390" s="1"/>
  <c r="CX175" i="392"/>
  <c r="Q223" i="392"/>
  <c r="Z12" i="390" l="1"/>
  <c r="J13" i="390"/>
  <c r="AB13" i="390" s="1"/>
  <c r="Z13" i="390" s="1"/>
  <c r="Z6" i="390"/>
  <c r="J7" i="390"/>
  <c r="AB7" i="390" s="1"/>
  <c r="Z7" i="390" s="1"/>
  <c r="J19" i="390"/>
  <c r="AB19" i="390" s="1"/>
  <c r="Z19" i="390" s="1"/>
  <c r="Z18" i="390"/>
  <c r="J25" i="390"/>
  <c r="AB25" i="390" s="1"/>
  <c r="Z25" i="390" s="1"/>
  <c r="Z24" i="390"/>
  <c r="AB10" i="390" l="1"/>
  <c r="Z10" i="390" s="1"/>
  <c r="AB4" i="390"/>
  <c r="AB22" i="390"/>
  <c r="AB16" i="390"/>
  <c r="P209" i="392" l="1"/>
  <c r="AK209" i="392" s="1"/>
  <c r="CZ211" i="392" s="1"/>
  <c r="P151" i="392"/>
  <c r="AJ151" i="392" s="1"/>
  <c r="CZ153" i="392" s="1"/>
  <c r="Z16" i="390"/>
  <c r="P195" i="392"/>
  <c r="AK195" i="392" s="1"/>
  <c r="P202" i="392"/>
  <c r="AK202" i="392" s="1"/>
  <c r="Z22" i="390"/>
  <c r="P49" i="392"/>
  <c r="AR49" i="392" s="1"/>
  <c r="P19" i="392"/>
  <c r="AQ19" i="392" s="1"/>
  <c r="P81" i="392"/>
  <c r="AR81" i="392" s="1"/>
  <c r="Z4" i="390"/>
  <c r="AG211" i="392" l="1"/>
  <c r="AD153" i="392"/>
  <c r="CZ83" i="392"/>
  <c r="AN83" i="392"/>
  <c r="CZ21" i="392"/>
  <c r="AM21" i="392"/>
  <c r="Q158" i="392"/>
  <c r="CX153" i="392"/>
  <c r="CZ51" i="392"/>
  <c r="AN51" i="392"/>
  <c r="AD216" i="392"/>
  <c r="CX211" i="392"/>
  <c r="CZ197" i="392"/>
  <c r="AG197" i="392"/>
  <c r="CZ204" i="392"/>
  <c r="AG204" i="392"/>
  <c r="Y216" i="392" l="1"/>
  <c r="CX204" i="392"/>
  <c r="CX197" i="392"/>
  <c r="Q216" i="392"/>
  <c r="Q60" i="392"/>
  <c r="CX51" i="392"/>
  <c r="Q30" i="392"/>
  <c r="CX21" i="392"/>
  <c r="Q88" i="392"/>
  <c r="CX83" i="392"/>
  <c r="CZ160" i="392"/>
  <c r="R160" i="392"/>
  <c r="AM216" i="392"/>
  <c r="CZ218" i="392" l="1"/>
  <c r="R218" i="392"/>
  <c r="CZ32" i="392"/>
  <c r="R32" i="392"/>
  <c r="CZ90" i="392"/>
  <c r="R90" i="392"/>
  <c r="CZ62" i="392"/>
  <c r="R62" i="392"/>
  <c r="CZ130" i="392"/>
  <c r="G8" i="391" s="1"/>
  <c r="F8" i="391" s="1"/>
  <c r="CX160" i="392"/>
  <c r="CX130" i="392" s="1"/>
  <c r="CZ34" i="392" l="1"/>
  <c r="G5" i="391" s="1"/>
  <c r="CX62" i="392"/>
  <c r="CX34" i="392" s="1"/>
  <c r="CZ4" i="392"/>
  <c r="G4" i="391" s="1"/>
  <c r="CX32" i="392"/>
  <c r="CX4" i="392" s="1"/>
  <c r="CZ64" i="392"/>
  <c r="G6" i="391" s="1"/>
  <c r="F6" i="391" s="1"/>
  <c r="CX90" i="392"/>
  <c r="CX64" i="392" s="1"/>
  <c r="AE223" i="392"/>
  <c r="CX218" i="392"/>
  <c r="AN223" i="392"/>
  <c r="AM6" i="389"/>
  <c r="F4" i="391" l="1"/>
  <c r="CZ225" i="392"/>
  <c r="R225" i="392"/>
  <c r="F5" i="391"/>
  <c r="CX225" i="392" l="1"/>
  <c r="CX162" i="392" s="1"/>
  <c r="CZ162" i="392"/>
  <c r="G9" i="391" s="1"/>
  <c r="F9" i="391" s="1"/>
  <c r="I192" i="276" l="1"/>
  <c r="C192" i="276"/>
  <c r="C219" i="276"/>
  <c r="C197" i="276" s="1"/>
  <c r="K196" i="276" s="1"/>
  <c r="C217" i="276"/>
  <c r="O195" i="276" s="1"/>
  <c r="M209" i="276"/>
  <c r="K209" i="276"/>
  <c r="I206" i="276"/>
  <c r="P209" i="276" s="1"/>
  <c r="R199" i="276"/>
  <c r="O199" i="276"/>
  <c r="K199" i="276"/>
  <c r="R195" i="276"/>
  <c r="I160" i="276"/>
  <c r="C160" i="276"/>
  <c r="C187" i="276"/>
  <c r="C165" i="276" s="1"/>
  <c r="K164" i="276" s="1"/>
  <c r="C185" i="276"/>
  <c r="O163" i="276" s="1"/>
  <c r="M177" i="276"/>
  <c r="K177" i="276"/>
  <c r="I174" i="276"/>
  <c r="P177" i="276" s="1"/>
  <c r="S177" i="276" s="1"/>
  <c r="R167" i="276"/>
  <c r="O167" i="276"/>
  <c r="K167" i="276"/>
  <c r="R163" i="276"/>
  <c r="I128" i="276"/>
  <c r="C128" i="276"/>
  <c r="C155" i="276"/>
  <c r="O132" i="276" s="1"/>
  <c r="C153" i="276"/>
  <c r="C131" i="276" s="1"/>
  <c r="K131" i="276" s="1"/>
  <c r="M145" i="276"/>
  <c r="K145" i="276"/>
  <c r="I142" i="276"/>
  <c r="P145" i="276" s="1"/>
  <c r="R135" i="276"/>
  <c r="O135" i="276"/>
  <c r="K135" i="276"/>
  <c r="R131" i="276"/>
  <c r="S199" i="276" l="1"/>
  <c r="S203" i="276" s="1"/>
  <c r="O131" i="276"/>
  <c r="C163" i="276"/>
  <c r="K163" i="276" s="1"/>
  <c r="S209" i="276"/>
  <c r="S167" i="276"/>
  <c r="S135" i="276"/>
  <c r="S139" i="276" s="1"/>
  <c r="C133" i="276"/>
  <c r="K132" i="276" s="1"/>
  <c r="O196" i="276"/>
  <c r="O207" i="276"/>
  <c r="S207" i="276" s="1"/>
  <c r="C195" i="276"/>
  <c r="K195" i="276" s="1"/>
  <c r="O164" i="276"/>
  <c r="S165" i="276" s="1"/>
  <c r="O175" i="276"/>
  <c r="S175" i="276" s="1"/>
  <c r="S145" i="276"/>
  <c r="S133" i="276"/>
  <c r="I96" i="276"/>
  <c r="C96" i="276"/>
  <c r="C123" i="276"/>
  <c r="O100" i="276" s="1"/>
  <c r="C121" i="276"/>
  <c r="C99" i="276" s="1"/>
  <c r="K99" i="276" s="1"/>
  <c r="M113" i="276"/>
  <c r="K113" i="276"/>
  <c r="I110" i="276"/>
  <c r="P113" i="276" s="1"/>
  <c r="R103" i="276"/>
  <c r="O103" i="276"/>
  <c r="K103" i="276"/>
  <c r="R99" i="276"/>
  <c r="C101" i="276" l="1"/>
  <c r="K100" i="276" s="1"/>
  <c r="S113" i="276"/>
  <c r="O143" i="276"/>
  <c r="S143" i="276" s="1"/>
  <c r="O173" i="276"/>
  <c r="O141" i="276"/>
  <c r="M173" i="276"/>
  <c r="M141" i="276"/>
  <c r="S141" i="276" s="1"/>
  <c r="S197" i="276"/>
  <c r="S173" i="276"/>
  <c r="S171" i="276"/>
  <c r="S103" i="276"/>
  <c r="O111" i="276" s="1"/>
  <c r="S111" i="276" s="1"/>
  <c r="O99" i="276"/>
  <c r="S101" i="276" s="1"/>
  <c r="M109" i="276" l="1"/>
  <c r="O109" i="276"/>
  <c r="M205" i="276"/>
  <c r="O205" i="276"/>
  <c r="S107" i="276"/>
  <c r="S109" i="276" l="1"/>
  <c r="S205" i="276"/>
  <c r="R48" i="276" l="1"/>
  <c r="C1" i="276"/>
  <c r="I1" i="276"/>
  <c r="C28" i="276"/>
  <c r="C6" i="276" s="1"/>
  <c r="K5" i="276" s="1"/>
  <c r="C26" i="276"/>
  <c r="O4" i="276" s="1"/>
  <c r="M18" i="276"/>
  <c r="K18" i="276"/>
  <c r="I15" i="276"/>
  <c r="P18" i="276" s="1"/>
  <c r="R8" i="276"/>
  <c r="O8" i="276"/>
  <c r="K8" i="276"/>
  <c r="R4" i="276"/>
  <c r="O5" i="276" l="1"/>
  <c r="S8" i="276"/>
  <c r="S12" i="276" s="1"/>
  <c r="C4" i="276"/>
  <c r="K4" i="276" s="1"/>
  <c r="S6" i="276" s="1"/>
  <c r="S18" i="276"/>
  <c r="O16" i="276" l="1"/>
  <c r="S16" i="276" s="1"/>
  <c r="M14" i="276"/>
  <c r="D6" i="219"/>
  <c r="O14" i="276" l="1"/>
  <c r="S14" i="276" s="1"/>
  <c r="I64" i="276" l="1"/>
  <c r="C64" i="276"/>
  <c r="B2" i="305" l="1"/>
  <c r="A295" i="384" l="1"/>
  <c r="A294" i="384"/>
  <c r="A293" i="384"/>
  <c r="A292" i="384"/>
  <c r="A291" i="384"/>
  <c r="A290" i="384"/>
  <c r="A289" i="384"/>
  <c r="A288" i="384"/>
  <c r="A287" i="384"/>
  <c r="A286" i="384"/>
  <c r="A285" i="384"/>
  <c r="A284" i="384"/>
  <c r="A283" i="384"/>
  <c r="A257" i="384"/>
  <c r="A256" i="384"/>
  <c r="A253" i="384"/>
  <c r="A252" i="384"/>
  <c r="A244" i="384"/>
  <c r="A243" i="384"/>
  <c r="A242" i="384"/>
  <c r="A236" i="384"/>
  <c r="A235" i="384"/>
  <c r="A227" i="384"/>
  <c r="A214" i="384"/>
  <c r="A213" i="384"/>
  <c r="A175" i="384"/>
  <c r="A174" i="384"/>
  <c r="A161" i="384"/>
  <c r="A144" i="384"/>
  <c r="A143" i="384"/>
  <c r="A142" i="384"/>
  <c r="A141" i="384"/>
  <c r="A132" i="384"/>
  <c r="A131" i="384"/>
  <c r="A115" i="384"/>
  <c r="A114" i="384"/>
  <c r="A112" i="384"/>
  <c r="A109" i="384"/>
  <c r="A107" i="384"/>
  <c r="A106" i="384"/>
  <c r="A105" i="384"/>
  <c r="A104" i="384"/>
  <c r="A103" i="384"/>
  <c r="A102" i="384"/>
  <c r="A101" i="384"/>
  <c r="A100" i="384"/>
  <c r="A99" i="384"/>
  <c r="A98" i="384"/>
  <c r="A97" i="384"/>
  <c r="A96" i="384"/>
  <c r="A95" i="384"/>
  <c r="A94" i="384"/>
  <c r="A93" i="384"/>
  <c r="A92" i="384"/>
  <c r="A91" i="384"/>
  <c r="A90" i="384"/>
  <c r="A89" i="384"/>
  <c r="A55" i="384"/>
  <c r="A54" i="384"/>
  <c r="A25" i="384" l="1"/>
  <c r="A65" i="384"/>
  <c r="A66" i="384"/>
  <c r="A20" i="384"/>
  <c r="A44" i="384" l="1"/>
  <c r="A30" i="384" l="1"/>
  <c r="A37" i="384" l="1"/>
  <c r="A38" i="384"/>
  <c r="A296" i="384" l="1"/>
  <c r="A297" i="384"/>
  <c r="F100" i="384"/>
  <c r="A12" i="384" l="1"/>
  <c r="A57" i="384"/>
  <c r="F101" i="384"/>
  <c r="F54" i="384"/>
  <c r="F94" i="384"/>
  <c r="F103" i="384"/>
  <c r="F102" i="384"/>
  <c r="F89" i="384"/>
  <c r="F105" i="384"/>
  <c r="F98" i="384"/>
  <c r="F252" i="384"/>
  <c r="F93" i="384"/>
  <c r="F253" i="384"/>
  <c r="F90" i="384"/>
  <c r="F95" i="384"/>
  <c r="F96" i="384"/>
  <c r="F91" i="384"/>
  <c r="F97" i="384"/>
  <c r="F92" i="384"/>
  <c r="F99" i="384"/>
  <c r="A53" i="384" l="1"/>
  <c r="F53" i="384" s="1"/>
  <c r="A6" i="305"/>
  <c r="F12" i="384"/>
  <c r="A74" i="384" l="1"/>
  <c r="A80" i="384"/>
  <c r="A76" i="384"/>
  <c r="A13" i="384"/>
  <c r="A77" i="384"/>
  <c r="A14" i="384"/>
  <c r="A82" i="384"/>
  <c r="A27" i="384"/>
  <c r="A79" i="384"/>
  <c r="F13" i="384" l="1"/>
  <c r="F74" i="384"/>
  <c r="F14" i="384"/>
  <c r="F76" i="384"/>
  <c r="F25" i="384"/>
  <c r="F79" i="384"/>
  <c r="F77" i="384"/>
  <c r="A31" i="384" l="1"/>
  <c r="A23" i="384" l="1"/>
  <c r="A29" i="384"/>
  <c r="F29" i="384" s="1"/>
  <c r="A60" i="384"/>
  <c r="A61" i="384"/>
  <c r="A69" i="384"/>
  <c r="A78" i="384"/>
  <c r="A62" i="384"/>
  <c r="A70" i="384"/>
  <c r="A72" i="384"/>
  <c r="A68" i="384"/>
  <c r="A73" i="384"/>
  <c r="F73" i="384" s="1"/>
  <c r="A63" i="384"/>
  <c r="A34" i="384"/>
  <c r="A88" i="384"/>
  <c r="F88" i="384" s="1"/>
  <c r="A33" i="384"/>
  <c r="A64" i="384"/>
  <c r="A86" i="384"/>
  <c r="A35" i="384"/>
  <c r="A71" i="384"/>
  <c r="F71" i="384" s="1"/>
  <c r="A67" i="384"/>
  <c r="A87" i="384"/>
  <c r="F87" i="384" s="1"/>
  <c r="F62" i="384" l="1"/>
  <c r="F61" i="384"/>
  <c r="F27" i="384"/>
  <c r="F60" i="384"/>
  <c r="F67" i="384"/>
  <c r="F65" i="384"/>
  <c r="F66" i="384"/>
  <c r="F69" i="384"/>
  <c r="F70" i="384"/>
  <c r="F64" i="384"/>
  <c r="F68" i="384"/>
  <c r="F86" i="384"/>
  <c r="F63" i="384"/>
  <c r="F31" i="384"/>
  <c r="F30" i="384"/>
  <c r="Q6" i="8"/>
  <c r="P6" i="8"/>
  <c r="O6" i="8"/>
  <c r="A6" i="8"/>
  <c r="H6" i="8"/>
  <c r="H5" i="8"/>
  <c r="A11" i="384" l="1"/>
  <c r="A50" i="384"/>
  <c r="A49" i="384"/>
  <c r="A48" i="384"/>
  <c r="F37" i="384" l="1"/>
  <c r="F11" i="384"/>
  <c r="F49" i="384"/>
  <c r="F48" i="384"/>
  <c r="F35" i="384"/>
  <c r="F38" i="384"/>
  <c r="A28" i="384" l="1"/>
  <c r="A32" i="384"/>
  <c r="F32" i="384" s="1"/>
  <c r="A59" i="384"/>
  <c r="F59" i="384" s="1"/>
  <c r="A9" i="384" l="1"/>
  <c r="A10" i="384"/>
  <c r="F28" i="384"/>
  <c r="F10" i="384" l="1"/>
  <c r="F9" i="384"/>
  <c r="A81" i="384" l="1"/>
  <c r="A7" i="384"/>
  <c r="A19" i="384"/>
  <c r="F7" i="384" l="1"/>
  <c r="F19" i="384"/>
  <c r="F78" i="384"/>
  <c r="M47" i="60"/>
  <c r="P142" i="60" l="1"/>
  <c r="P172" i="60"/>
  <c r="I172" i="60"/>
  <c r="L158" i="60"/>
  <c r="A121" i="384" l="1"/>
  <c r="A122" i="384"/>
  <c r="U172" i="60"/>
  <c r="A118" i="384" l="1"/>
  <c r="F118" i="384" s="1"/>
  <c r="F114" i="384" l="1"/>
  <c r="A16" i="384" l="1"/>
  <c r="A18" i="384" l="1"/>
  <c r="A21" i="384"/>
  <c r="A24" i="384"/>
  <c r="F16" i="384"/>
  <c r="A85" i="384" l="1"/>
  <c r="F85" i="384" s="1"/>
  <c r="A83" i="384"/>
  <c r="F83" i="384" s="1"/>
  <c r="A45" i="384"/>
  <c r="A46" i="384"/>
  <c r="F46" i="384" s="1"/>
  <c r="A43" i="384"/>
  <c r="A47" i="384"/>
  <c r="F47" i="384" s="1"/>
  <c r="F23" i="384"/>
  <c r="F20" i="384"/>
  <c r="F18" i="384"/>
  <c r="F80" i="384" l="1"/>
  <c r="F44" i="384"/>
  <c r="F45" i="384"/>
  <c r="F43" i="384"/>
  <c r="F82" i="384"/>
  <c r="A58" i="384" l="1"/>
  <c r="F58" i="384" s="1"/>
  <c r="A84" i="384"/>
  <c r="F84" i="384" s="1"/>
  <c r="F57" i="384" l="1"/>
  <c r="F81" i="384"/>
  <c r="A170" i="384" l="1"/>
  <c r="F170" i="384" s="1"/>
  <c r="A75" i="384" l="1"/>
  <c r="F75" i="384" s="1"/>
  <c r="F72" i="384" l="1"/>
  <c r="A150" i="384" l="1"/>
  <c r="A151" i="384"/>
  <c r="A8" i="384" l="1"/>
  <c r="F8" i="384" l="1"/>
  <c r="I142" i="60"/>
  <c r="U142" i="60" s="1"/>
  <c r="L128" i="60"/>
  <c r="I224" i="276" l="1"/>
  <c r="A40" i="384" l="1"/>
  <c r="A36" i="384" l="1"/>
  <c r="F36" i="384" s="1"/>
  <c r="F33" i="384" l="1"/>
  <c r="A17" i="384" l="1"/>
  <c r="F17" i="384" l="1"/>
  <c r="A42" i="384" l="1"/>
  <c r="F42" i="384" s="1"/>
  <c r="A6" i="384"/>
  <c r="F6" i="384" l="1"/>
  <c r="A56" i="384" l="1"/>
  <c r="F56" i="384" s="1"/>
  <c r="F55" i="384" l="1"/>
  <c r="D344" i="219"/>
  <c r="M400" i="219"/>
  <c r="I82" i="60" l="1"/>
  <c r="U82" i="60" s="1"/>
  <c r="L68" i="60"/>
  <c r="A41" i="384" l="1"/>
  <c r="F41" i="384" s="1"/>
  <c r="F40" i="384" l="1"/>
  <c r="A39" i="384" l="1"/>
  <c r="F39" i="384" s="1"/>
  <c r="F34" i="384" l="1"/>
  <c r="C91" i="276"/>
  <c r="C69" i="276" s="1"/>
  <c r="K68" i="276" s="1"/>
  <c r="C89" i="276"/>
  <c r="M81" i="276"/>
  <c r="K81" i="276"/>
  <c r="I78" i="276"/>
  <c r="P81" i="276" s="1"/>
  <c r="R71" i="276"/>
  <c r="O71" i="276"/>
  <c r="K71" i="276"/>
  <c r="R67" i="276"/>
  <c r="O68" i="276" l="1"/>
  <c r="S71" i="276"/>
  <c r="S75" i="276" s="1"/>
  <c r="O67" i="276"/>
  <c r="C67" i="276"/>
  <c r="K67" i="276" s="1"/>
  <c r="S81" i="276"/>
  <c r="S69" i="276" l="1"/>
  <c r="O79" i="276"/>
  <c r="S79" i="276" s="1"/>
  <c r="M77" i="276" l="1"/>
  <c r="O77" i="276"/>
  <c r="S77" i="276" l="1"/>
  <c r="A149" i="384" l="1"/>
  <c r="A160" i="384" l="1"/>
  <c r="A130" i="384"/>
  <c r="A159" i="384" l="1"/>
  <c r="A139" i="384"/>
  <c r="F139" i="384" s="1"/>
  <c r="A158" i="384" l="1"/>
  <c r="A127" i="384"/>
  <c r="F127" i="384" s="1"/>
  <c r="A148" i="384"/>
  <c r="A157" i="384"/>
  <c r="F157" i="384" s="1"/>
  <c r="A156" i="384"/>
  <c r="F156" i="384" s="1"/>
  <c r="A128" i="384"/>
  <c r="F128" i="384" s="1"/>
  <c r="A129" i="384"/>
  <c r="A126" i="384" l="1"/>
  <c r="F126" i="384" s="1"/>
  <c r="F144" i="384"/>
  <c r="A125" i="384" l="1"/>
  <c r="F125" i="384" s="1"/>
  <c r="F122" i="384"/>
  <c r="I240" i="276"/>
  <c r="A108" i="384" l="1"/>
  <c r="F108" i="384" s="1"/>
  <c r="A155" i="384"/>
  <c r="F155" i="384" s="1"/>
  <c r="A124" i="384"/>
  <c r="F124" i="384" s="1"/>
  <c r="F121" i="384"/>
  <c r="S275" i="276"/>
  <c r="M273" i="276"/>
  <c r="K273" i="276"/>
  <c r="R263" i="276"/>
  <c r="O263" i="276"/>
  <c r="K263" i="276"/>
  <c r="R259" i="276"/>
  <c r="C281" i="276"/>
  <c r="O259" i="276" s="1"/>
  <c r="I270" i="276"/>
  <c r="P273" i="276" s="1"/>
  <c r="A119" i="384" l="1"/>
  <c r="A120" i="384"/>
  <c r="F120" i="384" s="1"/>
  <c r="A123" i="384"/>
  <c r="F123" i="384" s="1"/>
  <c r="F151" i="384"/>
  <c r="F104" i="384"/>
  <c r="S263" i="276"/>
  <c r="O271" i="276" s="1"/>
  <c r="S271" i="276" s="1"/>
  <c r="S273" i="276"/>
  <c r="F119" i="384" l="1"/>
  <c r="F115" i="384"/>
  <c r="S267" i="276"/>
  <c r="O269" i="276"/>
  <c r="N214" i="49" l="1"/>
  <c r="N216" i="49" s="1"/>
  <c r="F212" i="49"/>
  <c r="S212" i="49" s="1"/>
  <c r="F206" i="49"/>
  <c r="F204" i="49"/>
  <c r="F202" i="49"/>
  <c r="R200" i="49"/>
  <c r="AE200" i="49" s="1"/>
  <c r="L204" i="49" s="1"/>
  <c r="J199" i="49"/>
  <c r="F218" i="49" s="1"/>
  <c r="Z204" i="49" l="1"/>
  <c r="L206" i="49"/>
  <c r="AE206" i="49" s="1"/>
  <c r="F208" i="49"/>
  <c r="AI208" i="49" s="1"/>
  <c r="F210" i="49"/>
  <c r="AI210" i="49" s="1"/>
  <c r="L218" i="49"/>
  <c r="T218" i="49" s="1"/>
  <c r="L202" i="49"/>
  <c r="Z202" i="49" s="1"/>
  <c r="F214" i="49"/>
  <c r="H220" i="49" l="1"/>
  <c r="F216" i="49"/>
  <c r="AB216" i="49" s="1"/>
  <c r="U214" i="49"/>
  <c r="A113" i="384" l="1"/>
  <c r="A207" i="384"/>
  <c r="A154" i="384"/>
  <c r="F154" i="384" s="1"/>
  <c r="F30" i="394" l="1"/>
  <c r="G30" i="394" s="1"/>
  <c r="A26" i="384"/>
  <c r="F26" i="384" s="1"/>
  <c r="A5" i="384"/>
  <c r="F109" i="384"/>
  <c r="F150" i="384"/>
  <c r="K12" i="384"/>
  <c r="C12" i="384"/>
  <c r="B12" i="384"/>
  <c r="C13" i="384"/>
  <c r="B13" i="384"/>
  <c r="K14" i="384"/>
  <c r="C14" i="384"/>
  <c r="B14" i="384"/>
  <c r="K13" i="384"/>
  <c r="C11" i="384"/>
  <c r="K11" i="384"/>
  <c r="B11" i="384"/>
  <c r="C9" i="384"/>
  <c r="C10" i="384"/>
  <c r="B9" i="384"/>
  <c r="K9" i="384"/>
  <c r="K10" i="384"/>
  <c r="B10" i="384"/>
  <c r="B7" i="384"/>
  <c r="C7" i="384"/>
  <c r="K7" i="384"/>
  <c r="B8" i="384"/>
  <c r="C8" i="384"/>
  <c r="K8" i="384"/>
  <c r="C6" i="384"/>
  <c r="K6" i="384"/>
  <c r="B6" i="384"/>
  <c r="Z23" i="389" l="1"/>
  <c r="I23" i="389" s="1"/>
  <c r="F24" i="384"/>
  <c r="F5" i="384"/>
  <c r="C5" i="384"/>
  <c r="K5" i="384"/>
  <c r="B5" i="384"/>
  <c r="C438" i="276" l="1"/>
  <c r="C416" i="276" s="1"/>
  <c r="K415" i="276" s="1"/>
  <c r="C436" i="276"/>
  <c r="O414" i="276" s="1"/>
  <c r="S419" i="276"/>
  <c r="R418" i="276"/>
  <c r="O418" i="276"/>
  <c r="K418" i="276"/>
  <c r="R414" i="276"/>
  <c r="S418" i="276" l="1"/>
  <c r="S422" i="276" s="1"/>
  <c r="O424" i="276" s="1"/>
  <c r="C414" i="276"/>
  <c r="K414" i="276" s="1"/>
  <c r="O415" i="276"/>
  <c r="S416" i="276" l="1"/>
  <c r="M424" i="276" s="1"/>
  <c r="S424" i="276" s="1"/>
  <c r="P163" i="49" l="1"/>
  <c r="P67" i="49"/>
  <c r="AM182" i="49"/>
  <c r="AF182" i="49"/>
  <c r="X182" i="49"/>
  <c r="R182" i="49"/>
  <c r="Z179" i="49"/>
  <c r="R179" i="49"/>
  <c r="L179" i="49"/>
  <c r="L173" i="49"/>
  <c r="W173" i="49" s="1"/>
  <c r="W176" i="49" s="1"/>
  <c r="A205" i="384" l="1"/>
  <c r="AT182" i="49"/>
  <c r="AH185" i="49" s="1"/>
  <c r="AV185" i="49" s="1"/>
  <c r="AG179" i="49"/>
  <c r="A140" i="384" l="1"/>
  <c r="F140" i="384" s="1"/>
  <c r="A212" i="384"/>
  <c r="C407" i="276"/>
  <c r="C385" i="276" s="1"/>
  <c r="K384" i="276" s="1"/>
  <c r="C405" i="276"/>
  <c r="C383" i="276" s="1"/>
  <c r="K383" i="276" s="1"/>
  <c r="S388" i="276"/>
  <c r="R387" i="276"/>
  <c r="O387" i="276"/>
  <c r="K387" i="276"/>
  <c r="R383" i="276"/>
  <c r="C376" i="276"/>
  <c r="C354" i="276" s="1"/>
  <c r="K353" i="276" s="1"/>
  <c r="C374" i="276"/>
  <c r="O352" i="276" s="1"/>
  <c r="S357" i="276"/>
  <c r="R356" i="276"/>
  <c r="O356" i="276"/>
  <c r="K356" i="276"/>
  <c r="R352" i="276"/>
  <c r="C345" i="276"/>
  <c r="C323" i="276" s="1"/>
  <c r="K322" i="276" s="1"/>
  <c r="C343" i="276"/>
  <c r="O321" i="276" s="1"/>
  <c r="S326" i="276"/>
  <c r="R325" i="276"/>
  <c r="O325" i="276"/>
  <c r="K325" i="276"/>
  <c r="R321" i="276"/>
  <c r="C283" i="276"/>
  <c r="O260" i="276" s="1"/>
  <c r="R290" i="276"/>
  <c r="C60" i="276"/>
  <c r="O37" i="276" s="1"/>
  <c r="C58" i="276"/>
  <c r="I47" i="276"/>
  <c r="S41" i="276"/>
  <c r="R40" i="276"/>
  <c r="O40" i="276"/>
  <c r="K40" i="276"/>
  <c r="R36" i="276"/>
  <c r="M48" i="276" l="1"/>
  <c r="O48" i="276"/>
  <c r="A152" i="384"/>
  <c r="F152" i="384" s="1"/>
  <c r="A153" i="384"/>
  <c r="F153" i="384" s="1"/>
  <c r="S387" i="276"/>
  <c r="S391" i="276" s="1"/>
  <c r="O393" i="276" s="1"/>
  <c r="O383" i="276"/>
  <c r="S40" i="276"/>
  <c r="S44" i="276" s="1"/>
  <c r="O46" i="276" s="1"/>
  <c r="O384" i="276"/>
  <c r="S356" i="276"/>
  <c r="S360" i="276" s="1"/>
  <c r="O362" i="276" s="1"/>
  <c r="C352" i="276"/>
  <c r="K352" i="276" s="1"/>
  <c r="O353" i="276"/>
  <c r="S325" i="276"/>
  <c r="S329" i="276" s="1"/>
  <c r="O331" i="276" s="1"/>
  <c r="C321" i="276"/>
  <c r="K321" i="276" s="1"/>
  <c r="O322" i="276"/>
  <c r="C38" i="276"/>
  <c r="K37" i="276" s="1"/>
  <c r="C259" i="276"/>
  <c r="K259" i="276" s="1"/>
  <c r="C261" i="276"/>
  <c r="K260" i="276" s="1"/>
  <c r="O36" i="276"/>
  <c r="C36" i="276"/>
  <c r="K36" i="276" s="1"/>
  <c r="S48" i="276" l="1"/>
  <c r="F149" i="384"/>
  <c r="F148" i="384"/>
  <c r="S261" i="276"/>
  <c r="S385" i="276"/>
  <c r="M393" i="276" s="1"/>
  <c r="S393" i="276" s="1"/>
  <c r="S323" i="276"/>
  <c r="S354" i="276"/>
  <c r="S38" i="276"/>
  <c r="M46" i="276" l="1"/>
  <c r="S46" i="276" s="1"/>
  <c r="M269" i="276"/>
  <c r="S269" i="276" s="1"/>
  <c r="M331" i="276"/>
  <c r="S331" i="276" s="1"/>
  <c r="M362" i="276"/>
  <c r="S362" i="276" s="1"/>
  <c r="A176" i="384" l="1"/>
  <c r="A221" i="384" l="1"/>
  <c r="A110" i="384" l="1"/>
  <c r="F110" i="384" s="1"/>
  <c r="A111" i="384"/>
  <c r="F111" i="384" s="1"/>
  <c r="E4" i="336"/>
  <c r="J28" i="309"/>
  <c r="A28" i="309"/>
  <c r="A217" i="384" l="1"/>
  <c r="F217" i="384" s="1"/>
  <c r="F106" i="384"/>
  <c r="F107" i="384"/>
  <c r="A8" i="336"/>
  <c r="A7" i="336"/>
  <c r="F8" i="304"/>
  <c r="F7" i="304"/>
  <c r="F10" i="304"/>
  <c r="F6" i="304"/>
  <c r="F213" i="384" l="1"/>
  <c r="A218" i="384" l="1"/>
  <c r="A219" i="384"/>
  <c r="AX399" i="30"/>
  <c r="BN399" i="30" s="1"/>
  <c r="BN400" i="30" s="1"/>
  <c r="N232" i="219" s="1"/>
  <c r="AD232" i="219" s="1"/>
  <c r="BT232" i="219" s="1"/>
  <c r="CR393" i="30"/>
  <c r="CR392" i="30"/>
  <c r="CR391" i="30"/>
  <c r="CR389" i="30"/>
  <c r="AE389" i="30" s="1"/>
  <c r="F214" i="384" l="1"/>
  <c r="BU389" i="30"/>
  <c r="BU390" i="30" s="1"/>
  <c r="N133" i="219"/>
  <c r="AD133" i="219" s="1"/>
  <c r="BT133" i="219" s="1"/>
  <c r="BT134" i="219" s="1"/>
  <c r="BT233" i="219"/>
  <c r="BQ232" i="219"/>
  <c r="BQ133" i="219" l="1"/>
  <c r="N132" i="219"/>
  <c r="AD132" i="219" s="1"/>
  <c r="BR132" i="219" s="1"/>
  <c r="N231" i="219"/>
  <c r="AD231" i="219" s="1"/>
  <c r="BR231" i="219" s="1"/>
  <c r="BR233" i="219" l="1"/>
  <c r="BQ231" i="219"/>
  <c r="BR134" i="219"/>
  <c r="BQ132" i="219"/>
  <c r="C533" i="276" l="1"/>
  <c r="C511" i="276" s="1"/>
  <c r="K510" i="276" s="1"/>
  <c r="S531" i="276"/>
  <c r="C531" i="276"/>
  <c r="O509" i="276" s="1"/>
  <c r="M523" i="276"/>
  <c r="K523" i="276"/>
  <c r="I520" i="276"/>
  <c r="P523" i="276" s="1"/>
  <c r="R513" i="276"/>
  <c r="O513" i="276"/>
  <c r="K513" i="276"/>
  <c r="R509" i="276"/>
  <c r="C501" i="276"/>
  <c r="C479" i="276" s="1"/>
  <c r="K478" i="276" s="1"/>
  <c r="S499" i="276"/>
  <c r="C499" i="276"/>
  <c r="O477" i="276" s="1"/>
  <c r="M491" i="276"/>
  <c r="K491" i="276"/>
  <c r="I488" i="276"/>
  <c r="P491" i="276" s="1"/>
  <c r="R481" i="276"/>
  <c r="O481" i="276"/>
  <c r="K481" i="276"/>
  <c r="R477" i="276"/>
  <c r="C565" i="276"/>
  <c r="O542" i="276" s="1"/>
  <c r="S563" i="276"/>
  <c r="C563" i="276"/>
  <c r="O541" i="276" s="1"/>
  <c r="M555" i="276"/>
  <c r="K555" i="276"/>
  <c r="I552" i="276"/>
  <c r="P555" i="276" s="1"/>
  <c r="R545" i="276"/>
  <c r="O545" i="276"/>
  <c r="K545" i="276"/>
  <c r="R541" i="276"/>
  <c r="A166" i="384" l="1"/>
  <c r="F166" i="384" s="1"/>
  <c r="A167" i="384"/>
  <c r="S523" i="276"/>
  <c r="C509" i="276"/>
  <c r="K509" i="276" s="1"/>
  <c r="C543" i="276"/>
  <c r="K542" i="276" s="1"/>
  <c r="S513" i="276"/>
  <c r="O521" i="276" s="1"/>
  <c r="S521" i="276" s="1"/>
  <c r="O519" i="276" s="1"/>
  <c r="S491" i="276"/>
  <c r="O478" i="276"/>
  <c r="O510" i="276"/>
  <c r="S481" i="276"/>
  <c r="O489" i="276" s="1"/>
  <c r="S489" i="276" s="1"/>
  <c r="O487" i="276" s="1"/>
  <c r="C477" i="276"/>
  <c r="K477" i="276" s="1"/>
  <c r="S545" i="276"/>
  <c r="O553" i="276" s="1"/>
  <c r="S553" i="276" s="1"/>
  <c r="S555" i="276"/>
  <c r="C541" i="276"/>
  <c r="K541" i="276" s="1"/>
  <c r="S511" i="276" l="1"/>
  <c r="M519" i="276" s="1"/>
  <c r="S519" i="276" s="1"/>
  <c r="S543" i="276"/>
  <c r="M551" i="276" s="1"/>
  <c r="O551" i="276"/>
  <c r="S485" i="276"/>
  <c r="S517" i="276"/>
  <c r="S479" i="276"/>
  <c r="M487" i="276" s="1"/>
  <c r="S487" i="276" s="1"/>
  <c r="S549" i="276"/>
  <c r="S551" i="276" l="1"/>
  <c r="S469" i="276" l="1"/>
  <c r="C469" i="276"/>
  <c r="S467" i="276"/>
  <c r="C467" i="276"/>
  <c r="M459" i="276"/>
  <c r="K459" i="276"/>
  <c r="P459" i="276"/>
  <c r="R449" i="276"/>
  <c r="O449" i="276"/>
  <c r="K449" i="276"/>
  <c r="R445" i="276"/>
  <c r="S473" i="276"/>
  <c r="A116" i="384" l="1"/>
  <c r="F116" i="384" s="1"/>
  <c r="A117" i="384"/>
  <c r="F117" i="384" s="1"/>
  <c r="O445" i="276"/>
  <c r="C445" i="276"/>
  <c r="K445" i="276" s="1"/>
  <c r="O446" i="276"/>
  <c r="C447" i="276"/>
  <c r="K446" i="276" s="1"/>
  <c r="S449" i="276"/>
  <c r="S453" i="276" s="1"/>
  <c r="S459" i="276"/>
  <c r="A216" i="384" l="1"/>
  <c r="F113" i="384"/>
  <c r="F112" i="384"/>
  <c r="S447" i="276"/>
  <c r="O457" i="276"/>
  <c r="S457" i="276" s="1"/>
  <c r="F212" i="384" l="1"/>
  <c r="M455" i="276"/>
  <c r="O455" i="276"/>
  <c r="S455" i="276" l="1"/>
  <c r="A22" i="384" l="1"/>
  <c r="F22" i="384" s="1"/>
  <c r="AS40" i="31"/>
  <c r="AF40" i="31"/>
  <c r="Z40" i="31"/>
  <c r="T40" i="31"/>
  <c r="N40" i="31"/>
  <c r="F21" i="384" l="1"/>
  <c r="AY40" i="31"/>
  <c r="X41" i="31" s="1"/>
  <c r="X42" i="31" s="1"/>
  <c r="X43" i="31" s="1"/>
  <c r="A147" i="384" l="1"/>
  <c r="F147" i="384" s="1"/>
  <c r="A15" i="384" l="1"/>
  <c r="K36" i="384"/>
  <c r="C49" i="384"/>
  <c r="C19" i="384"/>
  <c r="B17" i="384"/>
  <c r="K34" i="384"/>
  <c r="C22" i="384"/>
  <c r="K16" i="384"/>
  <c r="B23" i="384"/>
  <c r="C34" i="384"/>
  <c r="B30" i="384"/>
  <c r="C32" i="384"/>
  <c r="B35" i="384"/>
  <c r="C28" i="384"/>
  <c r="B19" i="384"/>
  <c r="C16" i="384"/>
  <c r="B41" i="384"/>
  <c r="C25" i="384"/>
  <c r="B29" i="384"/>
  <c r="K31" i="384"/>
  <c r="B16" i="384"/>
  <c r="B43" i="384"/>
  <c r="B36" i="384"/>
  <c r="B49" i="384"/>
  <c r="K18" i="384"/>
  <c r="K41" i="384"/>
  <c r="K32" i="384"/>
  <c r="K22" i="384"/>
  <c r="K46" i="384"/>
  <c r="C35" i="384"/>
  <c r="B18" i="384"/>
  <c r="C42" i="384"/>
  <c r="C39" i="384"/>
  <c r="K27" i="384"/>
  <c r="B27" i="384"/>
  <c r="C36" i="384"/>
  <c r="B28" i="384"/>
  <c r="C41" i="384"/>
  <c r="B31" i="384"/>
  <c r="C18" i="384"/>
  <c r="K42" i="384"/>
  <c r="B39" i="384"/>
  <c r="C33" i="384"/>
  <c r="K38" i="384"/>
  <c r="K37" i="384"/>
  <c r="K25" i="384"/>
  <c r="B25" i="384"/>
  <c r="C27" i="384"/>
  <c r="B38" i="384"/>
  <c r="B37" i="384"/>
  <c r="K23" i="384"/>
  <c r="K45" i="384"/>
  <c r="K39" i="384"/>
  <c r="C40" i="384"/>
  <c r="B32" i="384"/>
  <c r="B22" i="384"/>
  <c r="C47" i="384"/>
  <c r="C46" i="384"/>
  <c r="B47" i="384"/>
  <c r="B45" i="384"/>
  <c r="C17" i="384"/>
  <c r="C29" i="384"/>
  <c r="B48" i="384"/>
  <c r="C37" i="384"/>
  <c r="K20" i="384"/>
  <c r="K43" i="384"/>
  <c r="K29" i="384"/>
  <c r="K48" i="384"/>
  <c r="K47" i="384"/>
  <c r="K19" i="384"/>
  <c r="C20" i="384"/>
  <c r="C43" i="384"/>
  <c r="C44" i="384"/>
  <c r="K33" i="384"/>
  <c r="B40" i="384"/>
  <c r="B20" i="384"/>
  <c r="C45" i="384"/>
  <c r="B44" i="384"/>
  <c r="K40" i="384"/>
  <c r="C31" i="384"/>
  <c r="K30" i="384"/>
  <c r="C38" i="384"/>
  <c r="B46" i="384"/>
  <c r="K49" i="384"/>
  <c r="C48" i="384"/>
  <c r="C23" i="384"/>
  <c r="B42" i="384"/>
  <c r="K17" i="384"/>
  <c r="C30" i="384"/>
  <c r="K35" i="384"/>
  <c r="K28" i="384"/>
  <c r="K44" i="384"/>
  <c r="B33" i="384"/>
  <c r="B34" i="384"/>
  <c r="K24" i="384"/>
  <c r="C24" i="384"/>
  <c r="B24" i="384"/>
  <c r="K21" i="384"/>
  <c r="C21" i="384"/>
  <c r="B21" i="384"/>
  <c r="F143" i="384"/>
  <c r="K15" i="384" l="1"/>
  <c r="F15" i="384"/>
  <c r="C15" i="384"/>
  <c r="B15" i="384"/>
  <c r="A173" i="384" l="1"/>
  <c r="K227" i="276"/>
  <c r="O227" i="276"/>
  <c r="K235" i="276"/>
  <c r="O235" i="276"/>
  <c r="K237" i="276"/>
  <c r="O237" i="276"/>
  <c r="R235" i="276"/>
  <c r="S235" i="276" l="1"/>
  <c r="R227" i="276"/>
  <c r="S229" i="276" s="1"/>
  <c r="R237" i="276"/>
  <c r="S237" i="276" s="1"/>
  <c r="A164" i="384" l="1"/>
  <c r="A234" i="384"/>
  <c r="A230" i="384"/>
  <c r="A162" i="384"/>
  <c r="F162" i="384" s="1"/>
  <c r="A163" i="384"/>
  <c r="F163" i="384" s="1"/>
  <c r="A220" i="384" l="1"/>
  <c r="F230" i="384"/>
  <c r="F159" i="384"/>
  <c r="F158" i="384"/>
  <c r="F160" i="384"/>
  <c r="K294" i="276"/>
  <c r="O294" i="276"/>
  <c r="R294" i="276"/>
  <c r="S295" i="276"/>
  <c r="C312" i="276"/>
  <c r="C314" i="276"/>
  <c r="F216" i="384" l="1"/>
  <c r="O291" i="276"/>
  <c r="C292" i="276"/>
  <c r="K291" i="276" s="1"/>
  <c r="C290" i="276"/>
  <c r="K290" i="276" s="1"/>
  <c r="S294" i="276"/>
  <c r="S298" i="276" s="1"/>
  <c r="O300" i="276" s="1"/>
  <c r="O290" i="276"/>
  <c r="S292" i="276" l="1"/>
  <c r="M300" i="276" s="1"/>
  <c r="S300" i="276" s="1"/>
  <c r="D4" i="336" l="1"/>
  <c r="AF153" i="49" l="1"/>
  <c r="AF150" i="49"/>
  <c r="C629" i="276" l="1"/>
  <c r="O606" i="276" s="1"/>
  <c r="S627" i="276"/>
  <c r="C627" i="276"/>
  <c r="O605" i="276" s="1"/>
  <c r="M619" i="276"/>
  <c r="K619" i="276"/>
  <c r="I616" i="276"/>
  <c r="P619" i="276" s="1"/>
  <c r="R609" i="276"/>
  <c r="O609" i="276"/>
  <c r="K609" i="276"/>
  <c r="R605" i="276"/>
  <c r="A172" i="384" l="1"/>
  <c r="F172" i="384" s="1"/>
  <c r="C607" i="276"/>
  <c r="K606" i="276" s="1"/>
  <c r="C605" i="276"/>
  <c r="K605" i="276" s="1"/>
  <c r="S609" i="276"/>
  <c r="O617" i="276" s="1"/>
  <c r="S617" i="276" s="1"/>
  <c r="S619" i="276"/>
  <c r="S791" i="276"/>
  <c r="A171" i="384" l="1"/>
  <c r="F171" i="384" s="1"/>
  <c r="S607" i="276"/>
  <c r="S613" i="276"/>
  <c r="O615" i="276"/>
  <c r="S789" i="276"/>
  <c r="C789" i="276"/>
  <c r="C767" i="276" s="1"/>
  <c r="K766" i="276" s="1"/>
  <c r="S787" i="276"/>
  <c r="C787" i="276"/>
  <c r="O765" i="276" s="1"/>
  <c r="M779" i="276"/>
  <c r="K779" i="276"/>
  <c r="I776" i="276"/>
  <c r="P779" i="276" s="1"/>
  <c r="R769" i="276"/>
  <c r="O769" i="276"/>
  <c r="K769" i="276"/>
  <c r="R765" i="276"/>
  <c r="K577" i="276"/>
  <c r="S578" i="276"/>
  <c r="I584" i="276"/>
  <c r="C595" i="276"/>
  <c r="O577" i="276"/>
  <c r="F167" i="384" l="1"/>
  <c r="C765" i="276"/>
  <c r="K765" i="276" s="1"/>
  <c r="M615" i="276"/>
  <c r="S615" i="276" s="1"/>
  <c r="R577" i="276"/>
  <c r="R573" i="276"/>
  <c r="C573" i="276"/>
  <c r="K573" i="276" s="1"/>
  <c r="O766" i="276"/>
  <c r="C597" i="276"/>
  <c r="O574" i="276" s="1"/>
  <c r="S769" i="276"/>
  <c r="O777" i="276" s="1"/>
  <c r="S777" i="276" s="1"/>
  <c r="S779" i="276"/>
  <c r="S577" i="276"/>
  <c r="O573" i="276"/>
  <c r="S767" i="276" l="1"/>
  <c r="M775" i="276" s="1"/>
  <c r="S773" i="276"/>
  <c r="O775" i="276"/>
  <c r="C575" i="276"/>
  <c r="K574" i="276" s="1"/>
  <c r="S575" i="276" s="1"/>
  <c r="S581" i="276"/>
  <c r="O583" i="276" s="1"/>
  <c r="O585" i="276"/>
  <c r="S585" i="276" s="1"/>
  <c r="M583" i="276" l="1"/>
  <c r="S583" i="276" s="1"/>
  <c r="S775" i="276"/>
  <c r="A224" i="384" l="1"/>
  <c r="A223" i="384" l="1"/>
  <c r="F223" i="384" s="1"/>
  <c r="F220" i="384"/>
  <c r="S755" i="276"/>
  <c r="M747" i="276"/>
  <c r="K747" i="276"/>
  <c r="R737" i="276"/>
  <c r="O737" i="276"/>
  <c r="K737" i="276"/>
  <c r="R733" i="276"/>
  <c r="S723" i="276"/>
  <c r="M715" i="276"/>
  <c r="K715" i="276"/>
  <c r="R705" i="276"/>
  <c r="O705" i="276"/>
  <c r="K705" i="276"/>
  <c r="R701" i="276"/>
  <c r="S691" i="276"/>
  <c r="M683" i="276"/>
  <c r="K683" i="276"/>
  <c r="R673" i="276"/>
  <c r="O673" i="276"/>
  <c r="K673" i="276"/>
  <c r="R669" i="276"/>
  <c r="S659" i="276"/>
  <c r="M651" i="276"/>
  <c r="K651" i="276"/>
  <c r="R641" i="276"/>
  <c r="O641" i="276"/>
  <c r="K641" i="276"/>
  <c r="R637" i="276"/>
  <c r="F219" i="384" l="1"/>
  <c r="S673" i="276"/>
  <c r="O681" i="276" s="1"/>
  <c r="S681" i="276" s="1"/>
  <c r="S641" i="276"/>
  <c r="S645" i="276" s="1"/>
  <c r="S737" i="276"/>
  <c r="S741" i="276" s="1"/>
  <c r="S705" i="276"/>
  <c r="O713" i="276" s="1"/>
  <c r="S713" i="276" s="1"/>
  <c r="O745" i="276" l="1"/>
  <c r="S745" i="276" s="1"/>
  <c r="O743" i="276" s="1"/>
  <c r="S677" i="276"/>
  <c r="O649" i="276"/>
  <c r="S649" i="276" s="1"/>
  <c r="O679" i="276"/>
  <c r="O711" i="276"/>
  <c r="S709" i="276"/>
  <c r="O647" i="276" l="1"/>
  <c r="C757" i="276" l="1"/>
  <c r="O734" i="276" s="1"/>
  <c r="C755" i="276"/>
  <c r="O733" i="276" s="1"/>
  <c r="I744" i="276"/>
  <c r="P747" i="276" s="1"/>
  <c r="S747" i="276" s="1"/>
  <c r="C725" i="276"/>
  <c r="O702" i="276" s="1"/>
  <c r="C723" i="276"/>
  <c r="O701" i="276" s="1"/>
  <c r="I712" i="276"/>
  <c r="P715" i="276" s="1"/>
  <c r="S715" i="276" s="1"/>
  <c r="C693" i="276"/>
  <c r="O670" i="276" s="1"/>
  <c r="C691" i="276"/>
  <c r="O669" i="276" s="1"/>
  <c r="I680" i="276"/>
  <c r="P683" i="276" s="1"/>
  <c r="S683" i="276" s="1"/>
  <c r="S823" i="276"/>
  <c r="C671" i="276" l="1"/>
  <c r="K670" i="276" s="1"/>
  <c r="C735" i="276"/>
  <c r="K734" i="276" s="1"/>
  <c r="C669" i="276"/>
  <c r="K669" i="276" s="1"/>
  <c r="C733" i="276"/>
  <c r="K733" i="276" s="1"/>
  <c r="C703" i="276"/>
  <c r="K702" i="276" s="1"/>
  <c r="C701" i="276"/>
  <c r="K701" i="276" s="1"/>
  <c r="S821" i="276"/>
  <c r="C821" i="276"/>
  <c r="C799" i="276" s="1"/>
  <c r="K798" i="276" s="1"/>
  <c r="S819" i="276"/>
  <c r="C819" i="276"/>
  <c r="O797" i="276" s="1"/>
  <c r="M811" i="276"/>
  <c r="K811" i="276"/>
  <c r="I808" i="276"/>
  <c r="P811" i="276" s="1"/>
  <c r="R801" i="276"/>
  <c r="O801" i="276"/>
  <c r="K801" i="276"/>
  <c r="R797" i="276"/>
  <c r="AO51" i="49"/>
  <c r="AM48" i="49"/>
  <c r="Z48" i="49"/>
  <c r="R48" i="49"/>
  <c r="S671" i="276" l="1"/>
  <c r="M679" i="276" s="1"/>
  <c r="S679" i="276" s="1"/>
  <c r="O798" i="276"/>
  <c r="S811" i="276"/>
  <c r="S703" i="276"/>
  <c r="M711" i="276" s="1"/>
  <c r="S711" i="276" s="1"/>
  <c r="S735" i="276"/>
  <c r="S801" i="276"/>
  <c r="S805" i="276" s="1"/>
  <c r="C797" i="276"/>
  <c r="K797" i="276" s="1"/>
  <c r="AT48" i="49"/>
  <c r="S799" i="276" l="1"/>
  <c r="M807" i="276" s="1"/>
  <c r="M743" i="276"/>
  <c r="S743" i="276" s="1"/>
  <c r="O809" i="276"/>
  <c r="S809" i="276" s="1"/>
  <c r="O807" i="276" s="1"/>
  <c r="AH51" i="49"/>
  <c r="AV51" i="49" s="1"/>
  <c r="S807" i="276" l="1"/>
  <c r="A169" i="384" l="1"/>
  <c r="F169" i="384" s="1"/>
  <c r="F5" i="304"/>
  <c r="D8" i="336" l="1"/>
  <c r="H13" i="304"/>
  <c r="A204" i="384" l="1"/>
  <c r="A277" i="384" l="1"/>
  <c r="A276" i="384"/>
  <c r="A239" i="384" l="1"/>
  <c r="F239" i="384" s="1"/>
  <c r="Q5" i="8"/>
  <c r="P5" i="8"/>
  <c r="O5" i="8"/>
  <c r="A5" i="8"/>
  <c r="F235" i="384" l="1"/>
  <c r="H28" i="31"/>
  <c r="H5" i="31"/>
  <c r="A241" i="384" l="1"/>
  <c r="A240" i="384" l="1"/>
  <c r="F240" i="384" s="1"/>
  <c r="A165" i="384" l="1"/>
  <c r="F165" i="384" s="1"/>
  <c r="F236" i="384"/>
  <c r="A186" i="384" l="1"/>
  <c r="A183" i="384"/>
  <c r="A180" i="384"/>
  <c r="A177" i="384"/>
  <c r="A184" i="384"/>
  <c r="A179" i="384"/>
  <c r="A232" i="384"/>
  <c r="F232" i="384" s="1"/>
  <c r="A182" i="384"/>
  <c r="A233" i="384"/>
  <c r="A145" i="384"/>
  <c r="F145" i="384" s="1"/>
  <c r="A185" i="384"/>
  <c r="A181" i="384"/>
  <c r="A178" i="384"/>
  <c r="A231" i="384"/>
  <c r="F231" i="384" s="1"/>
  <c r="A196" i="384"/>
  <c r="A187" i="384"/>
  <c r="F161" i="384"/>
  <c r="AQ38" i="60"/>
  <c r="AQ7" i="60"/>
  <c r="AX345" i="30"/>
  <c r="AX318" i="30"/>
  <c r="AX291" i="30"/>
  <c r="AX264" i="30"/>
  <c r="AX69" i="30"/>
  <c r="BN69" i="30" s="1"/>
  <c r="F183" i="384" l="1"/>
  <c r="F173" i="384"/>
  <c r="F141" i="384"/>
  <c r="F227" i="384"/>
  <c r="F174" i="384"/>
  <c r="F177" i="384"/>
  <c r="F178" i="384"/>
  <c r="F181" i="384"/>
  <c r="F182" i="384"/>
  <c r="F179" i="384"/>
  <c r="F176" i="384"/>
  <c r="F180" i="384"/>
  <c r="F175" i="384"/>
  <c r="K38" i="60"/>
  <c r="K7" i="60"/>
  <c r="B2" i="384" l="1"/>
  <c r="B2" i="336"/>
  <c r="A208" i="384" l="1"/>
  <c r="F208" i="384" s="1"/>
  <c r="A250" i="384" l="1"/>
  <c r="A249" i="384"/>
  <c r="F249" i="384" s="1"/>
  <c r="F204" i="384"/>
  <c r="M875" i="276"/>
  <c r="K875" i="276"/>
  <c r="R865" i="276"/>
  <c r="O865" i="276"/>
  <c r="K865" i="276"/>
  <c r="K833" i="276"/>
  <c r="O833" i="276"/>
  <c r="R833" i="276"/>
  <c r="K843" i="276"/>
  <c r="M843" i="276"/>
  <c r="S865" i="276" l="1"/>
  <c r="O873" i="276" s="1"/>
  <c r="S873" i="276" s="1"/>
  <c r="O871" i="276" s="1"/>
  <c r="S833" i="276"/>
  <c r="O841" i="276" s="1"/>
  <c r="S841" i="276" s="1"/>
  <c r="O839" i="276" s="1"/>
  <c r="S869" i="276" l="1"/>
  <c r="S837" i="276"/>
  <c r="S887" i="276"/>
  <c r="S885" i="276" l="1"/>
  <c r="S883" i="276"/>
  <c r="S855" i="276"/>
  <c r="S853" i="276" l="1"/>
  <c r="S851" i="276"/>
  <c r="I262" i="60" l="1"/>
  <c r="U262" i="60" s="1"/>
  <c r="L248" i="60"/>
  <c r="C885" i="276" l="1"/>
  <c r="C863" i="276" s="1"/>
  <c r="K862" i="276" s="1"/>
  <c r="C883" i="276"/>
  <c r="C861" i="276" s="1"/>
  <c r="K861" i="276" s="1"/>
  <c r="I872" i="276"/>
  <c r="P875" i="276" s="1"/>
  <c r="S875" i="276" s="1"/>
  <c r="R861" i="276"/>
  <c r="O862" i="276" l="1"/>
  <c r="O861" i="276"/>
  <c r="C853" i="276"/>
  <c r="O830" i="276" s="1"/>
  <c r="C851" i="276"/>
  <c r="C829" i="276" s="1"/>
  <c r="K829" i="276" s="1"/>
  <c r="I840" i="276"/>
  <c r="R829" i="276"/>
  <c r="S863" i="276" l="1"/>
  <c r="M871" i="276" s="1"/>
  <c r="S871" i="276" s="1"/>
  <c r="P843" i="276"/>
  <c r="S843" i="276" s="1"/>
  <c r="C831" i="276"/>
  <c r="K830" i="276" s="1"/>
  <c r="O829" i="276"/>
  <c r="S831" i="276" l="1"/>
  <c r="M839" i="276" s="1"/>
  <c r="S839" i="276" s="1"/>
  <c r="A278" i="384" l="1"/>
  <c r="A168" i="384" l="1"/>
  <c r="F168" i="384" s="1"/>
  <c r="I48" i="309"/>
  <c r="G48" i="309"/>
  <c r="I26" i="309"/>
  <c r="G26" i="309"/>
  <c r="B2" i="309"/>
  <c r="F164" i="384" l="1"/>
  <c r="A215" i="384" l="1"/>
  <c r="F215" i="384" s="1"/>
  <c r="A194" i="384" l="1"/>
  <c r="A193" i="384"/>
  <c r="L28" i="309"/>
  <c r="A211" i="384" l="1"/>
  <c r="F211" i="384" s="1"/>
  <c r="N117" i="49"/>
  <c r="N119" i="49" s="1"/>
  <c r="F115" i="49"/>
  <c r="S115" i="49" s="1"/>
  <c r="F109" i="49"/>
  <c r="F107" i="49"/>
  <c r="F105" i="49"/>
  <c r="F207" i="384" l="1"/>
  <c r="D7" i="336" l="1"/>
  <c r="H12" i="304"/>
  <c r="B2" i="304" l="1"/>
  <c r="A226" i="384" l="1"/>
  <c r="F226" i="384" s="1"/>
  <c r="A228" i="384"/>
  <c r="F228" i="384" s="1"/>
  <c r="A138" i="384" l="1"/>
  <c r="F138" i="384" s="1"/>
  <c r="F224" i="384"/>
  <c r="A209" i="384" l="1"/>
  <c r="F209" i="384" s="1"/>
  <c r="A225" i="384" l="1"/>
  <c r="F205" i="384"/>
  <c r="Y53" i="219"/>
  <c r="F221" i="384" l="1"/>
  <c r="C661" i="276"/>
  <c r="C659" i="276"/>
  <c r="O637" i="276" s="1"/>
  <c r="I648" i="276"/>
  <c r="P651" i="276" s="1"/>
  <c r="S651" i="276" s="1"/>
  <c r="C637" i="276" l="1"/>
  <c r="K637" i="276" s="1"/>
  <c r="C639" i="276"/>
  <c r="K638" i="276" s="1"/>
  <c r="O638" i="276"/>
  <c r="S639" i="276" l="1"/>
  <c r="I292" i="60"/>
  <c r="U292" i="60" s="1"/>
  <c r="L278" i="60"/>
  <c r="A251" i="384" l="1"/>
  <c r="M647" i="276"/>
  <c r="S647" i="276" s="1"/>
  <c r="A202" i="384" l="1"/>
  <c r="A7" i="309"/>
  <c r="E8" i="336" l="1"/>
  <c r="M8" i="336" s="1"/>
  <c r="E7" i="336"/>
  <c r="M7" i="336" s="1"/>
  <c r="O6" i="336" l="1"/>
  <c r="B2" i="8" l="1"/>
  <c r="A137" i="384" l="1"/>
  <c r="F137" i="384" s="1"/>
  <c r="A134" i="384" l="1"/>
  <c r="F134" i="384" s="1"/>
  <c r="A238" i="384" l="1"/>
  <c r="F238" i="384" s="1"/>
  <c r="F130" i="384"/>
  <c r="A135" i="384" l="1"/>
  <c r="F135" i="384" s="1"/>
  <c r="A136" i="384"/>
  <c r="F136" i="384" s="1"/>
  <c r="F234" i="384"/>
  <c r="A133" i="384" l="1"/>
  <c r="F133" i="384" s="1"/>
  <c r="F131" i="384"/>
  <c r="F132" i="384"/>
  <c r="CR395" i="30"/>
  <c r="AE394" i="30" s="1"/>
  <c r="AT394" i="30" s="1"/>
  <c r="AT395" i="30" s="1"/>
  <c r="AT396" i="30" s="1"/>
  <c r="A52" i="384" l="1"/>
  <c r="F52" i="384" s="1"/>
  <c r="A237" i="384"/>
  <c r="F237" i="384" s="1"/>
  <c r="F129" i="384"/>
  <c r="N230" i="219"/>
  <c r="AD230" i="219" s="1"/>
  <c r="BS230" i="219" s="1"/>
  <c r="N131" i="219"/>
  <c r="AD131" i="219" s="1"/>
  <c r="BS131" i="219" s="1"/>
  <c r="CR368" i="30"/>
  <c r="CR314" i="30"/>
  <c r="CR260" i="30"/>
  <c r="CR206" i="30"/>
  <c r="CR152" i="30"/>
  <c r="CR98" i="30"/>
  <c r="CR65" i="30"/>
  <c r="CR341" i="30"/>
  <c r="CR287" i="30"/>
  <c r="CR233" i="30"/>
  <c r="CR179" i="30"/>
  <c r="CR125" i="30"/>
  <c r="CR38" i="30"/>
  <c r="CR11" i="30"/>
  <c r="F233" i="384" l="1"/>
  <c r="BQ131" i="219"/>
  <c r="BS134" i="219"/>
  <c r="BQ134" i="219" s="1"/>
  <c r="BS233" i="219"/>
  <c r="BQ233" i="219" s="1"/>
  <c r="BQ230" i="219"/>
  <c r="A279" i="384" l="1"/>
  <c r="A248" i="384" l="1"/>
  <c r="F248" i="384" s="1"/>
  <c r="F279" i="384"/>
  <c r="C981" i="276"/>
  <c r="C959" i="276" s="1"/>
  <c r="K958" i="276" s="1"/>
  <c r="S979" i="276"/>
  <c r="C979" i="276"/>
  <c r="O957" i="276" s="1"/>
  <c r="M971" i="276"/>
  <c r="K971" i="276"/>
  <c r="I968" i="276"/>
  <c r="P971" i="276" s="1"/>
  <c r="S962" i="276"/>
  <c r="R961" i="276"/>
  <c r="O961" i="276"/>
  <c r="K961" i="276"/>
  <c r="R957" i="276"/>
  <c r="F244" i="384" l="1"/>
  <c r="O958" i="276"/>
  <c r="S961" i="276"/>
  <c r="O969" i="276" s="1"/>
  <c r="S969" i="276" s="1"/>
  <c r="C957" i="276"/>
  <c r="K957" i="276" s="1"/>
  <c r="S971" i="276"/>
  <c r="S959" i="276" l="1"/>
  <c r="M967" i="276" s="1"/>
  <c r="S965" i="276"/>
  <c r="O967" i="276"/>
  <c r="S967" i="276" l="1"/>
  <c r="AX577" i="49" l="1"/>
  <c r="AX567" i="49"/>
  <c r="AB567" i="49"/>
  <c r="V567" i="49"/>
  <c r="N544" i="49"/>
  <c r="F536" i="49"/>
  <c r="F534" i="49"/>
  <c r="F532" i="49"/>
  <c r="X530" i="49"/>
  <c r="R530" i="49"/>
  <c r="J526" i="49"/>
  <c r="AK508" i="49"/>
  <c r="AK506" i="49"/>
  <c r="AO502" i="49"/>
  <c r="AM499" i="49"/>
  <c r="AF499" i="49"/>
  <c r="X499" i="49"/>
  <c r="R499" i="49"/>
  <c r="O489" i="49"/>
  <c r="AF448" i="49"/>
  <c r="AF449" i="49" s="1"/>
  <c r="AF442" i="49"/>
  <c r="AF441" i="49"/>
  <c r="AG437" i="49"/>
  <c r="U437" i="49"/>
  <c r="N437" i="49"/>
  <c r="R435" i="49"/>
  <c r="AI433" i="49"/>
  <c r="U431" i="49"/>
  <c r="BF430" i="49"/>
  <c r="AZ430" i="49"/>
  <c r="AH430" i="49"/>
  <c r="AB430" i="49"/>
  <c r="N430" i="49"/>
  <c r="U428" i="49"/>
  <c r="N427" i="49"/>
  <c r="P424" i="49"/>
  <c r="AH427" i="49" s="1"/>
  <c r="AG423" i="49"/>
  <c r="BB437" i="49" s="1"/>
  <c r="AG421" i="49"/>
  <c r="AU437" i="49" s="1"/>
  <c r="AF406" i="49"/>
  <c r="AF405" i="49"/>
  <c r="AG401" i="49"/>
  <c r="U401" i="49"/>
  <c r="N401" i="49"/>
  <c r="R399" i="49"/>
  <c r="AI397" i="49"/>
  <c r="U395" i="49"/>
  <c r="BF394" i="49"/>
  <c r="AZ394" i="49"/>
  <c r="AH394" i="49"/>
  <c r="AB394" i="49"/>
  <c r="N394" i="49"/>
  <c r="U392" i="49"/>
  <c r="N391" i="49"/>
  <c r="P388" i="49"/>
  <c r="AH391" i="49" s="1"/>
  <c r="AG387" i="49"/>
  <c r="BB401" i="49" s="1"/>
  <c r="AG385" i="49"/>
  <c r="AU401" i="49" s="1"/>
  <c r="AK366" i="49"/>
  <c r="AK365" i="49"/>
  <c r="AM363" i="49"/>
  <c r="AF363" i="49"/>
  <c r="X363" i="49"/>
  <c r="AM358" i="49"/>
  <c r="AF358" i="49"/>
  <c r="X358" i="49"/>
  <c r="AM356" i="49"/>
  <c r="X356" i="49"/>
  <c r="O350" i="49"/>
  <c r="O342" i="49" s="1"/>
  <c r="O346" i="49"/>
  <c r="R358" i="49" s="1"/>
  <c r="AM86" i="49"/>
  <c r="AF86" i="49"/>
  <c r="X86" i="49"/>
  <c r="R86" i="49"/>
  <c r="Z83" i="49"/>
  <c r="R83" i="49"/>
  <c r="L83" i="49"/>
  <c r="L77" i="49"/>
  <c r="R103" i="49"/>
  <c r="V156" i="49"/>
  <c r="Q156" i="49"/>
  <c r="L156" i="49"/>
  <c r="AM153" i="49"/>
  <c r="X153" i="49"/>
  <c r="R153" i="49"/>
  <c r="AM150" i="49"/>
  <c r="X150" i="49"/>
  <c r="R150" i="49"/>
  <c r="V147" i="49"/>
  <c r="Q147" i="49"/>
  <c r="L147" i="49"/>
  <c r="V144" i="49"/>
  <c r="L144" i="49"/>
  <c r="AO21" i="49"/>
  <c r="AM18" i="49"/>
  <c r="Z18" i="49"/>
  <c r="R18" i="49"/>
  <c r="AT86" i="49" l="1"/>
  <c r="BC577" i="49"/>
  <c r="Z156" i="49"/>
  <c r="P386" i="49"/>
  <c r="AT499" i="49"/>
  <c r="AH502" i="49" s="1"/>
  <c r="AV502" i="49" s="1"/>
  <c r="BN437" i="49"/>
  <c r="AT18" i="49"/>
  <c r="AF356" i="49"/>
  <c r="AP365" i="49"/>
  <c r="AO394" i="49"/>
  <c r="AP508" i="49"/>
  <c r="AZ427" i="49"/>
  <c r="AG83" i="49"/>
  <c r="BM430" i="49"/>
  <c r="Z144" i="49"/>
  <c r="Z147" i="49"/>
  <c r="AT150" i="49"/>
  <c r="AT153" i="49"/>
  <c r="R356" i="49"/>
  <c r="R363" i="49"/>
  <c r="AT363" i="49" s="1"/>
  <c r="AG388" i="49"/>
  <c r="AZ391" i="49"/>
  <c r="BN401" i="49"/>
  <c r="AE103" i="49"/>
  <c r="AP366" i="49"/>
  <c r="BM394" i="49"/>
  <c r="AG424" i="49"/>
  <c r="AO430" i="49"/>
  <c r="AP506" i="49"/>
  <c r="BC567" i="49"/>
  <c r="BT306" i="219"/>
  <c r="BS306" i="219"/>
  <c r="BW294" i="219"/>
  <c r="W304" i="219" s="1"/>
  <c r="BW293" i="219"/>
  <c r="X293" i="219"/>
  <c r="BW292" i="219"/>
  <c r="BT260" i="219"/>
  <c r="BS260" i="219"/>
  <c r="BR259" i="219"/>
  <c r="BQ259" i="219" s="1"/>
  <c r="BW248" i="219"/>
  <c r="BW247" i="219"/>
  <c r="BW246" i="219"/>
  <c r="N431" i="49" l="1"/>
  <c r="U433" i="49" s="1"/>
  <c r="AT356" i="49"/>
  <c r="F111" i="49"/>
  <c r="AI111" i="49" s="1"/>
  <c r="L107" i="49"/>
  <c r="Z107" i="49" s="1"/>
  <c r="L121" i="49"/>
  <c r="F117" i="49"/>
  <c r="L105" i="49"/>
  <c r="Z105" i="49" s="1"/>
  <c r="F113" i="49"/>
  <c r="AI113" i="49" s="1"/>
  <c r="L109" i="49"/>
  <c r="AE109" i="49" s="1"/>
  <c r="AH21" i="49"/>
  <c r="AV21" i="49" s="1"/>
  <c r="N395" i="49"/>
  <c r="K399" i="49" s="1"/>
  <c r="AB391" i="49"/>
  <c r="BF391" i="49"/>
  <c r="BM427" i="49"/>
  <c r="AG422" i="49"/>
  <c r="P422" i="49" s="1"/>
  <c r="AG386" i="49"/>
  <c r="AO391" i="49" s="1"/>
  <c r="BM391" i="49"/>
  <c r="BT211" i="219"/>
  <c r="BS211" i="219"/>
  <c r="BW195" i="219"/>
  <c r="BW194" i="219"/>
  <c r="X194" i="219"/>
  <c r="BW193" i="219"/>
  <c r="BT161" i="219"/>
  <c r="BS161" i="219"/>
  <c r="BR160" i="219"/>
  <c r="BQ160" i="219" s="1"/>
  <c r="BW149" i="219"/>
  <c r="BW148" i="219"/>
  <c r="V159" i="219" s="1"/>
  <c r="BW147" i="219"/>
  <c r="AA431" i="49" l="1"/>
  <c r="K435" i="49"/>
  <c r="X435" i="49" s="1"/>
  <c r="AA395" i="49"/>
  <c r="F119" i="49"/>
  <c r="AB119" i="49" s="1"/>
  <c r="U117" i="49"/>
  <c r="U397" i="49"/>
  <c r="N392" i="49"/>
  <c r="AA392" i="49" s="1"/>
  <c r="AO427" i="49"/>
  <c r="BF427" i="49"/>
  <c r="AB427" i="49"/>
  <c r="X399" i="49"/>
  <c r="BT112" i="219"/>
  <c r="BS112" i="219"/>
  <c r="BW96" i="219"/>
  <c r="W209" i="219" s="1"/>
  <c r="BW95" i="219"/>
  <c r="W210" i="219" s="1"/>
  <c r="X95" i="219"/>
  <c r="BW94" i="219"/>
  <c r="AM67" i="219"/>
  <c r="AF67" i="219"/>
  <c r="T67" i="219"/>
  <c r="N67" i="219"/>
  <c r="AO65" i="219"/>
  <c r="AB62" i="219"/>
  <c r="AI55" i="219"/>
  <c r="Y54" i="219"/>
  <c r="BW50" i="219"/>
  <c r="BW49" i="219"/>
  <c r="BW48" i="219"/>
  <c r="AF41" i="219"/>
  <c r="X43" i="219" s="1"/>
  <c r="P31" i="219"/>
  <c r="P30" i="219"/>
  <c r="P29" i="219"/>
  <c r="O24" i="219"/>
  <c r="N22" i="219"/>
  <c r="H22" i="219"/>
  <c r="Q21" i="219"/>
  <c r="BT12" i="219"/>
  <c r="AF8" i="219"/>
  <c r="N397" i="49" l="1"/>
  <c r="AB397" i="49" s="1"/>
  <c r="AO397" i="49" s="1"/>
  <c r="AF22" i="219"/>
  <c r="X42" i="219"/>
  <c r="Z67" i="219"/>
  <c r="AS67" i="219" s="1"/>
  <c r="X68" i="219" s="1"/>
  <c r="X69" i="219" s="1"/>
  <c r="X70" i="219" s="1"/>
  <c r="N59" i="219"/>
  <c r="N428" i="49"/>
  <c r="W111" i="219"/>
  <c r="W110" i="219"/>
  <c r="BT62" i="219"/>
  <c r="BW4" i="219"/>
  <c r="BW3" i="219"/>
  <c r="BW2" i="219"/>
  <c r="AA428" i="49" l="1"/>
  <c r="N433" i="49"/>
  <c r="AB433" i="49" s="1"/>
  <c r="AO433" i="49" s="1"/>
  <c r="BQ62" i="219"/>
  <c r="AM405" i="219"/>
  <c r="AF405" i="219"/>
  <c r="T405" i="219"/>
  <c r="N405" i="219"/>
  <c r="AO403" i="219"/>
  <c r="AI393" i="219"/>
  <c r="Y392" i="219"/>
  <c r="Y391" i="219"/>
  <c r="BW388" i="219"/>
  <c r="BW387" i="219"/>
  <c r="BW386" i="219"/>
  <c r="Z405" i="219" l="1"/>
  <c r="AS405" i="219" s="1"/>
  <c r="AF379" i="219"/>
  <c r="X381" i="219" s="1"/>
  <c r="P369" i="219"/>
  <c r="P368" i="219"/>
  <c r="P367" i="219"/>
  <c r="O362" i="219"/>
  <c r="N360" i="219"/>
  <c r="H360" i="219"/>
  <c r="Q359" i="219"/>
  <c r="BT350" i="219"/>
  <c r="AF346" i="219"/>
  <c r="BS346" i="219" s="1"/>
  <c r="BQ346" i="219" s="1"/>
  <c r="BW342" i="219"/>
  <c r="BW341" i="219"/>
  <c r="O11" i="219" s="1"/>
  <c r="BW340" i="219"/>
  <c r="AG100" i="31"/>
  <c r="AO99" i="31"/>
  <c r="AH99" i="31"/>
  <c r="U99" i="31"/>
  <c r="O99" i="31"/>
  <c r="AP97" i="31"/>
  <c r="AI86" i="31"/>
  <c r="AI75" i="31"/>
  <c r="CB52" i="31"/>
  <c r="AI52" i="31"/>
  <c r="CB51" i="31"/>
  <c r="Y86" i="31" s="1"/>
  <c r="CB50" i="31"/>
  <c r="AI36" i="31"/>
  <c r="AG31" i="31"/>
  <c r="AO30" i="31"/>
  <c r="AH30" i="31"/>
  <c r="U30" i="31"/>
  <c r="O30" i="31"/>
  <c r="AP28" i="31"/>
  <c r="AI14" i="31"/>
  <c r="AG8" i="31"/>
  <c r="AN7" i="31"/>
  <c r="U7" i="31"/>
  <c r="O7" i="31"/>
  <c r="U6" i="31"/>
  <c r="AG7" i="31" s="1"/>
  <c r="AP5" i="31"/>
  <c r="AA7" i="31" s="1"/>
  <c r="CB4" i="31"/>
  <c r="CB3" i="31"/>
  <c r="Y14" i="31" s="1"/>
  <c r="CB2" i="31"/>
  <c r="AX372" i="30"/>
  <c r="CR366" i="30"/>
  <c r="CR365" i="30"/>
  <c r="CR364" i="30"/>
  <c r="CR362" i="30"/>
  <c r="CR339" i="30"/>
  <c r="CR338" i="30"/>
  <c r="CR337" i="30"/>
  <c r="CR335" i="30"/>
  <c r="AF360" i="219" l="1"/>
  <c r="AU7" i="31"/>
  <c r="Y8" i="31" s="1"/>
  <c r="AA30" i="31"/>
  <c r="AV30" i="31" s="1"/>
  <c r="Y31" i="31" s="1"/>
  <c r="AA99" i="31"/>
  <c r="AV99" i="31" s="1"/>
  <c r="Y100" i="31" s="1"/>
  <c r="X380" i="219"/>
  <c r="Y36" i="31"/>
  <c r="AO36" i="31" s="1"/>
  <c r="BV36" i="31" s="1"/>
  <c r="O10" i="219"/>
  <c r="BS8" i="219" s="1"/>
  <c r="BQ8" i="219" s="1"/>
  <c r="O348" i="219"/>
  <c r="Y52" i="31"/>
  <c r="AO52" i="31" s="1"/>
  <c r="BV52" i="31" s="1"/>
  <c r="Y75" i="31"/>
  <c r="CR312" i="30"/>
  <c r="CR311" i="30"/>
  <c r="CR310" i="30"/>
  <c r="CR308" i="30"/>
  <c r="CR285" i="30"/>
  <c r="CR284" i="30"/>
  <c r="CR283" i="30"/>
  <c r="CR281" i="30"/>
  <c r="CR258" i="30"/>
  <c r="CR257" i="30"/>
  <c r="CR256" i="30"/>
  <c r="CR254" i="30"/>
  <c r="AE253" i="30" s="1"/>
  <c r="AX237" i="30"/>
  <c r="CR231" i="30"/>
  <c r="CR230" i="30"/>
  <c r="CR229" i="30"/>
  <c r="CR227" i="30"/>
  <c r="AX207" i="30"/>
  <c r="CR204" i="30"/>
  <c r="CR203" i="30"/>
  <c r="CR202" i="30"/>
  <c r="CR200" i="30"/>
  <c r="O186" i="30"/>
  <c r="AX183" i="30"/>
  <c r="CR177" i="30"/>
  <c r="CR176" i="30"/>
  <c r="CR175" i="30"/>
  <c r="CR173" i="30"/>
  <c r="AX154" i="30"/>
  <c r="CR150" i="30"/>
  <c r="CR149" i="30"/>
  <c r="CR148" i="30"/>
  <c r="CR146" i="30"/>
  <c r="AX127" i="30"/>
  <c r="CR123" i="30"/>
  <c r="CR122" i="30"/>
  <c r="CR121" i="30"/>
  <c r="CR119" i="30"/>
  <c r="AX100" i="30"/>
  <c r="CR96" i="30"/>
  <c r="CR95" i="30"/>
  <c r="CR94" i="30"/>
  <c r="CR92" i="30"/>
  <c r="BU253" i="30" l="1"/>
  <c r="BU254" i="30" s="1"/>
  <c r="BV54" i="31"/>
  <c r="BU52" i="31"/>
  <c r="BU36" i="31"/>
  <c r="CR63" i="30"/>
  <c r="CR62" i="30"/>
  <c r="CR61" i="30"/>
  <c r="CR59" i="30"/>
  <c r="AX44" i="30"/>
  <c r="CR36" i="30"/>
  <c r="CR35" i="30"/>
  <c r="CR34" i="30"/>
  <c r="CR32" i="30"/>
  <c r="AX17" i="30"/>
  <c r="CR9" i="30"/>
  <c r="CR8" i="30"/>
  <c r="CR7" i="30"/>
  <c r="CR5" i="30"/>
  <c r="I232" i="60"/>
  <c r="L218" i="60"/>
  <c r="I202" i="60"/>
  <c r="L188" i="60"/>
  <c r="I112" i="60"/>
  <c r="L98" i="60"/>
  <c r="L56" i="60"/>
  <c r="L25" i="60"/>
  <c r="Q25" i="60" s="1"/>
  <c r="AK7" i="60"/>
  <c r="C1013" i="276"/>
  <c r="O990" i="276" s="1"/>
  <c r="C1011" i="276"/>
  <c r="O989" i="276" s="1"/>
  <c r="M1003" i="276"/>
  <c r="K1003" i="276"/>
  <c r="I1000" i="276"/>
  <c r="S994" i="276"/>
  <c r="R993" i="276"/>
  <c r="O993" i="276"/>
  <c r="K993" i="276"/>
  <c r="R989" i="276"/>
  <c r="S917" i="276"/>
  <c r="C917" i="276"/>
  <c r="O894" i="276" s="1"/>
  <c r="S915" i="276"/>
  <c r="C915" i="276"/>
  <c r="O893" i="276" s="1"/>
  <c r="M907" i="276"/>
  <c r="K907" i="276"/>
  <c r="I904" i="276"/>
  <c r="S898" i="276"/>
  <c r="R897" i="276"/>
  <c r="O897" i="276"/>
  <c r="K897" i="276"/>
  <c r="R893" i="276"/>
  <c r="C949" i="276"/>
  <c r="C927" i="276" s="1"/>
  <c r="O926" i="276" s="1"/>
  <c r="K926" i="276" s="1"/>
  <c r="C947" i="276"/>
  <c r="O925" i="276" s="1"/>
  <c r="M939" i="276"/>
  <c r="K939" i="276"/>
  <c r="I936" i="276"/>
  <c r="S930" i="276"/>
  <c r="R929" i="276"/>
  <c r="O929" i="276"/>
  <c r="K929" i="276"/>
  <c r="R925" i="276"/>
  <c r="C1045" i="276"/>
  <c r="C1023" i="276" s="1"/>
  <c r="O1022" i="276" s="1"/>
  <c r="K1022" i="276" s="1"/>
  <c r="C1043" i="276"/>
  <c r="O1021" i="276" s="1"/>
  <c r="I1032" i="276"/>
  <c r="S1026" i="276"/>
  <c r="R1025" i="276"/>
  <c r="O1025" i="276"/>
  <c r="K1025" i="276"/>
  <c r="R1021" i="276"/>
  <c r="S919" i="276"/>
  <c r="B28" i="309" l="1"/>
  <c r="D28" i="309"/>
  <c r="C28" i="309"/>
  <c r="L30" i="60"/>
  <c r="S1025" i="276"/>
  <c r="O1033" i="276" s="1"/>
  <c r="S1033" i="276" s="1"/>
  <c r="C893" i="276"/>
  <c r="K893" i="276" s="1"/>
  <c r="C991" i="276"/>
  <c r="K990" i="276" s="1"/>
  <c r="S897" i="276"/>
  <c r="O905" i="276" s="1"/>
  <c r="S905" i="276" s="1"/>
  <c r="C895" i="276"/>
  <c r="K894" i="276" s="1"/>
  <c r="S993" i="276"/>
  <c r="S997" i="276" s="1"/>
  <c r="S929" i="276"/>
  <c r="O937" i="276" s="1"/>
  <c r="S937" i="276" s="1"/>
  <c r="N125" i="219"/>
  <c r="O267" i="30"/>
  <c r="BU54" i="31"/>
  <c r="BV65" i="31"/>
  <c r="AK12" i="60"/>
  <c r="I80" i="60" s="1"/>
  <c r="AK38" i="60"/>
  <c r="AK43" i="60" s="1"/>
  <c r="I170" i="60" l="1"/>
  <c r="U170" i="60" s="1"/>
  <c r="U173" i="60" s="1"/>
  <c r="U80" i="60"/>
  <c r="U83" i="60" s="1"/>
  <c r="I140" i="60"/>
  <c r="U140" i="60" s="1"/>
  <c r="U143" i="60" s="1"/>
  <c r="I260" i="60"/>
  <c r="U260" i="60" s="1"/>
  <c r="U263" i="60" s="1"/>
  <c r="I290" i="60"/>
  <c r="U290" i="60" s="1"/>
  <c r="U293" i="60" s="1"/>
  <c r="D30" i="60"/>
  <c r="O1031" i="276"/>
  <c r="S1029" i="276"/>
  <c r="O935" i="276"/>
  <c r="S895" i="276"/>
  <c r="S933" i="276"/>
  <c r="I230" i="60"/>
  <c r="U230" i="60" s="1"/>
  <c r="D61" i="60"/>
  <c r="I110" i="60"/>
  <c r="U110" i="60" s="1"/>
  <c r="AD125" i="219"/>
  <c r="BR125" i="219" s="1"/>
  <c r="BU65" i="31"/>
  <c r="BR127" i="219" l="1"/>
  <c r="BQ125" i="219"/>
  <c r="Q56" i="60"/>
  <c r="I177" i="60" l="1"/>
  <c r="U177" i="60" s="1"/>
  <c r="U87" i="60"/>
  <c r="I147" i="60"/>
  <c r="U147" i="60" s="1"/>
  <c r="I267" i="60"/>
  <c r="U267" i="60" s="1"/>
  <c r="I297" i="60"/>
  <c r="U297" i="60" s="1"/>
  <c r="I207" i="60"/>
  <c r="I117" i="60"/>
  <c r="U117" i="60" s="1"/>
  <c r="L61" i="60"/>
  <c r="I237" i="60"/>
  <c r="U237" i="60" s="1"/>
  <c r="A188" i="384" l="1"/>
  <c r="A271" i="384"/>
  <c r="A267" i="384"/>
  <c r="A275" i="384"/>
  <c r="F275" i="384" s="1"/>
  <c r="A280" i="384"/>
  <c r="A270" i="384"/>
  <c r="A190" i="384"/>
  <c r="F190" i="384" s="1"/>
  <c r="A281" i="384"/>
  <c r="A191" i="384"/>
  <c r="A274" i="384"/>
  <c r="F274" i="384" s="1"/>
  <c r="A282" i="384"/>
  <c r="A199" i="384"/>
  <c r="A272" i="384"/>
  <c r="F272" i="384" s="1"/>
  <c r="A260" i="384"/>
  <c r="A201" i="384"/>
  <c r="F201" i="384" s="1"/>
  <c r="A269" i="384"/>
  <c r="A273" i="384"/>
  <c r="F273" i="384" s="1"/>
  <c r="A261" i="384"/>
  <c r="A195" i="384"/>
  <c r="A264" i="384"/>
  <c r="A203" i="384"/>
  <c r="F203" i="384" s="1"/>
  <c r="A268" i="384"/>
  <c r="A192" i="384"/>
  <c r="F192" i="384" s="1"/>
  <c r="A258" i="384"/>
  <c r="A262" i="384"/>
  <c r="A265" i="384"/>
  <c r="A210" i="384"/>
  <c r="F210" i="384" s="1"/>
  <c r="A200" i="384"/>
  <c r="F200" i="384" s="1"/>
  <c r="A189" i="384"/>
  <c r="F189" i="384" s="1"/>
  <c r="A259" i="384"/>
  <c r="A263" i="384"/>
  <c r="A197" i="384"/>
  <c r="A198" i="384"/>
  <c r="F198" i="384" s="1"/>
  <c r="A266" i="384"/>
  <c r="A206" i="384"/>
  <c r="F281" i="384" l="1"/>
  <c r="F280" i="384"/>
  <c r="A146" i="384"/>
  <c r="F146" i="384" s="1"/>
  <c r="A246" i="384"/>
  <c r="F246" i="384" s="1"/>
  <c r="A247" i="384"/>
  <c r="F247" i="384" s="1"/>
  <c r="F282" i="384"/>
  <c r="A245" i="384"/>
  <c r="F245" i="384" s="1"/>
  <c r="A229" i="384"/>
  <c r="F229" i="384" s="1"/>
  <c r="A255" i="384"/>
  <c r="F255" i="384" s="1"/>
  <c r="A254" i="384"/>
  <c r="F254" i="384" s="1"/>
  <c r="A222" i="384"/>
  <c r="F222" i="384" s="1"/>
  <c r="F269" i="384"/>
  <c r="F268" i="384"/>
  <c r="F188" i="384"/>
  <c r="F264" i="384"/>
  <c r="F202" i="384"/>
  <c r="F276" i="384"/>
  <c r="F256" i="384"/>
  <c r="F263" i="384"/>
  <c r="F267" i="384"/>
  <c r="F266" i="384"/>
  <c r="F278" i="384"/>
  <c r="F197" i="384"/>
  <c r="F262" i="384"/>
  <c r="F186" i="384"/>
  <c r="F271" i="384"/>
  <c r="F191" i="384"/>
  <c r="F270" i="384"/>
  <c r="F184" i="384"/>
  <c r="F258" i="384"/>
  <c r="F187" i="384"/>
  <c r="F265" i="384"/>
  <c r="F206" i="384"/>
  <c r="F193" i="384"/>
  <c r="F199" i="384"/>
  <c r="F277" i="384"/>
  <c r="F185" i="384"/>
  <c r="F260" i="384"/>
  <c r="F261" i="384"/>
  <c r="F195" i="384"/>
  <c r="F259" i="384"/>
  <c r="F196" i="384"/>
  <c r="F194" i="384"/>
  <c r="F257" i="384"/>
  <c r="D7" i="384"/>
  <c r="AF6" i="219"/>
  <c r="BS6" i="219" s="1"/>
  <c r="N8" i="373" l="1"/>
  <c r="K26" i="384"/>
  <c r="B26" i="384"/>
  <c r="C26" i="384"/>
  <c r="D150" i="384"/>
  <c r="D257" i="384"/>
  <c r="D147" i="384"/>
  <c r="D151" i="384"/>
  <c r="E6" i="305"/>
  <c r="D260" i="384"/>
  <c r="D259" i="384"/>
  <c r="D258" i="384"/>
  <c r="D20" i="384"/>
  <c r="D36" i="384"/>
  <c r="E41" i="384"/>
  <c r="D279" i="384"/>
  <c r="E19" i="384"/>
  <c r="B280" i="384"/>
  <c r="C280" i="384"/>
  <c r="D280" i="384"/>
  <c r="K280" i="384"/>
  <c r="E7" i="384"/>
  <c r="L7" i="384" s="1"/>
  <c r="K282" i="384"/>
  <c r="B282" i="384"/>
  <c r="B281" i="384"/>
  <c r="C282" i="384"/>
  <c r="C281" i="384"/>
  <c r="D282" i="384"/>
  <c r="D281" i="384"/>
  <c r="A51" i="384"/>
  <c r="F51" i="384" s="1"/>
  <c r="C279" i="384"/>
  <c r="K279" i="384"/>
  <c r="B279" i="384"/>
  <c r="K281" i="384"/>
  <c r="D42" i="384"/>
  <c r="D136" i="384"/>
  <c r="D277" i="384"/>
  <c r="D63" i="384"/>
  <c r="D195" i="384"/>
  <c r="K199" i="384"/>
  <c r="D261" i="384"/>
  <c r="D184" i="384"/>
  <c r="D196" i="384"/>
  <c r="D185" i="384"/>
  <c r="C206" i="384"/>
  <c r="C195" i="384"/>
  <c r="C185" i="384"/>
  <c r="C199" i="384"/>
  <c r="D206" i="384"/>
  <c r="C258" i="384"/>
  <c r="B184" i="384"/>
  <c r="C255" i="384"/>
  <c r="K270" i="384"/>
  <c r="B271" i="384"/>
  <c r="B186" i="384"/>
  <c r="D183" i="384"/>
  <c r="D226" i="384"/>
  <c r="D99" i="384"/>
  <c r="D49" i="384"/>
  <c r="D154" i="384"/>
  <c r="D40" i="384"/>
  <c r="B267" i="384"/>
  <c r="B263" i="384"/>
  <c r="K242" i="384"/>
  <c r="F242" i="384"/>
  <c r="C242" i="384"/>
  <c r="B242" i="384"/>
  <c r="C202" i="384"/>
  <c r="B206" i="384"/>
  <c r="C184" i="384"/>
  <c r="C271" i="384"/>
  <c r="C186" i="384"/>
  <c r="D133" i="384"/>
  <c r="D204" i="384"/>
  <c r="D181" i="384"/>
  <c r="D160" i="384"/>
  <c r="D11" i="384"/>
  <c r="D137" i="384"/>
  <c r="D98" i="384"/>
  <c r="D48" i="384"/>
  <c r="C267" i="384"/>
  <c r="C263" i="384"/>
  <c r="D202" i="384"/>
  <c r="D271" i="384"/>
  <c r="D186" i="384"/>
  <c r="D198" i="384"/>
  <c r="D159" i="384"/>
  <c r="D45" i="384"/>
  <c r="D123" i="384"/>
  <c r="D208" i="384"/>
  <c r="D111" i="384"/>
  <c r="D127" i="384"/>
  <c r="D263" i="384"/>
  <c r="B276" i="384"/>
  <c r="K195" i="384"/>
  <c r="K185" i="384"/>
  <c r="K258" i="384"/>
  <c r="K255" i="384"/>
  <c r="E44" i="384"/>
  <c r="D247" i="384"/>
  <c r="D230" i="384"/>
  <c r="D170" i="384"/>
  <c r="D171" i="384"/>
  <c r="K267" i="384"/>
  <c r="C276" i="384"/>
  <c r="K202" i="384"/>
  <c r="B185" i="384"/>
  <c r="K206" i="384"/>
  <c r="K184" i="384"/>
  <c r="K271" i="384"/>
  <c r="D221" i="384"/>
  <c r="D237" i="384"/>
  <c r="D169" i="384"/>
  <c r="D155" i="384"/>
  <c r="D153" i="384"/>
  <c r="D149" i="384"/>
  <c r="D240" i="384"/>
  <c r="D166" i="384"/>
  <c r="B266" i="384"/>
  <c r="K263" i="384"/>
  <c r="D276" i="384"/>
  <c r="C264" i="384"/>
  <c r="B268" i="384"/>
  <c r="K218" i="384"/>
  <c r="F218" i="384"/>
  <c r="D218" i="384"/>
  <c r="C218" i="384"/>
  <c r="B218" i="384"/>
  <c r="B277" i="384"/>
  <c r="K265" i="384"/>
  <c r="K262" i="384"/>
  <c r="K278" i="384"/>
  <c r="D205" i="384"/>
  <c r="D192" i="384"/>
  <c r="D162" i="384"/>
  <c r="D156" i="384"/>
  <c r="D217" i="384"/>
  <c r="D97" i="384"/>
  <c r="C266" i="384"/>
  <c r="C256" i="384"/>
  <c r="B264" i="384"/>
  <c r="C268" i="384"/>
  <c r="K259" i="384"/>
  <c r="B261" i="384"/>
  <c r="C277" i="384"/>
  <c r="B265" i="384"/>
  <c r="B254" i="384"/>
  <c r="E43" i="384"/>
  <c r="E13" i="384"/>
  <c r="B262" i="384"/>
  <c r="B278" i="384"/>
  <c r="K251" i="384"/>
  <c r="F251" i="384"/>
  <c r="B251" i="384"/>
  <c r="C251" i="384"/>
  <c r="D134" i="384"/>
  <c r="D182" i="384"/>
  <c r="D272" i="384"/>
  <c r="D223" i="384"/>
  <c r="D101" i="384"/>
  <c r="D135" i="384"/>
  <c r="D145" i="384"/>
  <c r="D110" i="384"/>
  <c r="D113" i="384"/>
  <c r="D266" i="384"/>
  <c r="K276" i="384"/>
  <c r="D264" i="384"/>
  <c r="D268" i="384"/>
  <c r="K257" i="384"/>
  <c r="B259" i="384"/>
  <c r="C261" i="384"/>
  <c r="C265" i="384"/>
  <c r="C254" i="384"/>
  <c r="E15" i="384"/>
  <c r="E42" i="384"/>
  <c r="E12" i="384"/>
  <c r="E14" i="384"/>
  <c r="C262" i="384"/>
  <c r="B197" i="384"/>
  <c r="C278" i="384"/>
  <c r="D224" i="384"/>
  <c r="D273" i="384"/>
  <c r="D102" i="384"/>
  <c r="D249" i="384"/>
  <c r="D43" i="384"/>
  <c r="B194" i="384"/>
  <c r="C259" i="384"/>
  <c r="D265" i="384"/>
  <c r="D254" i="384"/>
  <c r="D262" i="384"/>
  <c r="C197" i="384"/>
  <c r="D278" i="384"/>
  <c r="D222" i="384"/>
  <c r="D173" i="384"/>
  <c r="D200" i="384"/>
  <c r="D128" i="384"/>
  <c r="D210" i="384"/>
  <c r="D12" i="384"/>
  <c r="K266" i="384"/>
  <c r="K256" i="384"/>
  <c r="K264" i="384"/>
  <c r="K268" i="384"/>
  <c r="C257" i="384"/>
  <c r="C194" i="384"/>
  <c r="K277" i="384"/>
  <c r="K254" i="384"/>
  <c r="E21" i="384"/>
  <c r="E10" i="384"/>
  <c r="D197" i="384"/>
  <c r="D275" i="384"/>
  <c r="D228" i="384"/>
  <c r="D165" i="384"/>
  <c r="D122" i="384"/>
  <c r="D100" i="384"/>
  <c r="D104" i="384"/>
  <c r="B256" i="384"/>
  <c r="D188" i="384"/>
  <c r="B269" i="384"/>
  <c r="C89" i="384"/>
  <c r="K64" i="384"/>
  <c r="B82" i="384"/>
  <c r="C240" i="384"/>
  <c r="C95" i="384"/>
  <c r="C86" i="384"/>
  <c r="K137" i="384"/>
  <c r="K55" i="384"/>
  <c r="B118" i="384"/>
  <c r="C171" i="384"/>
  <c r="K74" i="384"/>
  <c r="K138" i="384"/>
  <c r="B81" i="384"/>
  <c r="B110" i="384"/>
  <c r="B79" i="384"/>
  <c r="C155" i="384"/>
  <c r="B91" i="384"/>
  <c r="K65" i="384"/>
  <c r="C248" i="384"/>
  <c r="K135" i="384"/>
  <c r="C252" i="384"/>
  <c r="B109" i="384"/>
  <c r="K99" i="384"/>
  <c r="K149" i="384"/>
  <c r="K217" i="384"/>
  <c r="K215" i="384"/>
  <c r="B89" i="384"/>
  <c r="B151" i="384"/>
  <c r="K239" i="384"/>
  <c r="B64" i="384"/>
  <c r="K203" i="384"/>
  <c r="B61" i="384"/>
  <c r="B140" i="384"/>
  <c r="K100" i="384"/>
  <c r="K238" i="384"/>
  <c r="C94" i="384"/>
  <c r="K170" i="384"/>
  <c r="K93" i="384"/>
  <c r="C74" i="384"/>
  <c r="C232" i="384"/>
  <c r="K136" i="384"/>
  <c r="C149" i="384"/>
  <c r="K113" i="384"/>
  <c r="C143" i="384"/>
  <c r="K171" i="384"/>
  <c r="B77" i="384"/>
  <c r="C118" i="384"/>
  <c r="C115" i="384"/>
  <c r="C100" i="384"/>
  <c r="B156" i="384"/>
  <c r="C83" i="384"/>
  <c r="C68" i="384"/>
  <c r="B111" i="384"/>
  <c r="C62" i="384"/>
  <c r="C78" i="384"/>
  <c r="K154" i="384"/>
  <c r="B78" i="384"/>
  <c r="K157" i="384"/>
  <c r="K56" i="384"/>
  <c r="C65" i="384"/>
  <c r="K210" i="384"/>
  <c r="B139" i="384"/>
  <c r="B101" i="384"/>
  <c r="K118" i="384"/>
  <c r="K122" i="384"/>
  <c r="C91" i="384"/>
  <c r="B208" i="384"/>
  <c r="C213" i="384"/>
  <c r="K143" i="384"/>
  <c r="K146" i="384"/>
  <c r="C140" i="384"/>
  <c r="K108" i="384"/>
  <c r="B166" i="384"/>
  <c r="K153" i="384"/>
  <c r="C209" i="384"/>
  <c r="C138" i="384"/>
  <c r="C55" i="384"/>
  <c r="K253" i="384"/>
  <c r="K125" i="384"/>
  <c r="C128" i="384"/>
  <c r="C60" i="384"/>
  <c r="C127" i="384"/>
  <c r="B84" i="384"/>
  <c r="B69" i="384"/>
  <c r="K145" i="384"/>
  <c r="K127" i="384"/>
  <c r="C52" i="384"/>
  <c r="B114" i="384"/>
  <c r="C151" i="384"/>
  <c r="B136" i="384"/>
  <c r="K148" i="384"/>
  <c r="B213" i="384"/>
  <c r="C162" i="384"/>
  <c r="K112" i="384"/>
  <c r="B102" i="384"/>
  <c r="B150" i="384"/>
  <c r="C146" i="384"/>
  <c r="B103" i="384"/>
  <c r="C73" i="384"/>
  <c r="B153" i="384"/>
  <c r="B90" i="384"/>
  <c r="K80" i="384"/>
  <c r="K88" i="384"/>
  <c r="B121" i="384"/>
  <c r="C54" i="384"/>
  <c r="C57" i="384"/>
  <c r="C88" i="384"/>
  <c r="B135" i="384"/>
  <c r="C97" i="384"/>
  <c r="C120" i="384"/>
  <c r="B137" i="384"/>
  <c r="K110" i="384"/>
  <c r="K126" i="384"/>
  <c r="C119" i="384"/>
  <c r="C210" i="384"/>
  <c r="K72" i="384"/>
  <c r="C208" i="384"/>
  <c r="B148" i="384"/>
  <c r="C106" i="384"/>
  <c r="B113" i="384"/>
  <c r="B93" i="384"/>
  <c r="C249" i="384"/>
  <c r="B74" i="384"/>
  <c r="K60" i="384"/>
  <c r="K102" i="384"/>
  <c r="C156" i="384"/>
  <c r="B231" i="384"/>
  <c r="B104" i="384"/>
  <c r="C87" i="384"/>
  <c r="B55" i="384"/>
  <c r="C98" i="384"/>
  <c r="B70" i="384"/>
  <c r="B72" i="384"/>
  <c r="K77" i="384"/>
  <c r="B58" i="384"/>
  <c r="K119" i="384"/>
  <c r="K68" i="384"/>
  <c r="K79" i="384"/>
  <c r="C135" i="384"/>
  <c r="K208" i="384"/>
  <c r="B149" i="384"/>
  <c r="C214" i="384"/>
  <c r="C112" i="384"/>
  <c r="B143" i="384"/>
  <c r="B97" i="384"/>
  <c r="B87" i="384"/>
  <c r="B67" i="384"/>
  <c r="K98" i="384"/>
  <c r="C58" i="384"/>
  <c r="K121" i="384"/>
  <c r="C170" i="384"/>
  <c r="C166" i="384"/>
  <c r="B171" i="384"/>
  <c r="C79" i="384"/>
  <c r="K115" i="384"/>
  <c r="K84" i="384"/>
  <c r="B145" i="384"/>
  <c r="B115" i="384"/>
  <c r="C147" i="384"/>
  <c r="C152" i="384"/>
  <c r="C64" i="384"/>
  <c r="C116" i="384"/>
  <c r="C153" i="384"/>
  <c r="K111" i="384"/>
  <c r="C148" i="384"/>
  <c r="B239" i="384"/>
  <c r="C82" i="384"/>
  <c r="K54" i="384"/>
  <c r="B68" i="384"/>
  <c r="B157" i="384"/>
  <c r="K152" i="384"/>
  <c r="K139" i="384"/>
  <c r="C75" i="384"/>
  <c r="C80" i="384"/>
  <c r="C203" i="384"/>
  <c r="C101" i="384"/>
  <c r="K82" i="384"/>
  <c r="B123" i="384"/>
  <c r="B100" i="384"/>
  <c r="B85" i="384"/>
  <c r="C109" i="384"/>
  <c r="B152" i="384"/>
  <c r="B240" i="384"/>
  <c r="B83" i="384"/>
  <c r="B95" i="384"/>
  <c r="C136" i="384"/>
  <c r="B107" i="384"/>
  <c r="B214" i="384"/>
  <c r="B162" i="384"/>
  <c r="K155" i="384"/>
  <c r="B96" i="384"/>
  <c r="K166" i="384"/>
  <c r="C110" i="384"/>
  <c r="B73" i="384"/>
  <c r="K94" i="384"/>
  <c r="B62" i="384"/>
  <c r="B119" i="384"/>
  <c r="K66" i="384"/>
  <c r="B170" i="384"/>
  <c r="K124" i="384"/>
  <c r="C85" i="384"/>
  <c r="C137" i="384"/>
  <c r="K57" i="384"/>
  <c r="B248" i="384"/>
  <c r="B238" i="384"/>
  <c r="B66" i="384"/>
  <c r="K114" i="384"/>
  <c r="K53" i="384"/>
  <c r="B56" i="384"/>
  <c r="B122" i="384"/>
  <c r="C70" i="384"/>
  <c r="B52" i="384"/>
  <c r="B172" i="384"/>
  <c r="B106" i="384"/>
  <c r="K162" i="384"/>
  <c r="K231" i="384"/>
  <c r="K58" i="384"/>
  <c r="B154" i="384"/>
  <c r="B146" i="384"/>
  <c r="B249" i="384"/>
  <c r="K95" i="384"/>
  <c r="C69" i="384"/>
  <c r="B253" i="384"/>
  <c r="C231" i="384"/>
  <c r="C121" i="384"/>
  <c r="B223" i="384"/>
  <c r="K70" i="384"/>
  <c r="B54" i="384"/>
  <c r="C154" i="384"/>
  <c r="B209" i="384"/>
  <c r="K223" i="384"/>
  <c r="C92" i="384"/>
  <c r="C63" i="384"/>
  <c r="C108" i="384"/>
  <c r="C114" i="384"/>
  <c r="C53" i="384"/>
  <c r="C107" i="384"/>
  <c r="K214" i="384"/>
  <c r="B53" i="384"/>
  <c r="C125" i="384"/>
  <c r="B88" i="384"/>
  <c r="C124" i="384"/>
  <c r="C102" i="384"/>
  <c r="B86" i="384"/>
  <c r="B108" i="384"/>
  <c r="B76" i="384"/>
  <c r="B144" i="384"/>
  <c r="C105" i="384"/>
  <c r="K232" i="384"/>
  <c r="K75" i="384"/>
  <c r="B147" i="384"/>
  <c r="C76" i="384"/>
  <c r="C144" i="384"/>
  <c r="K103" i="384"/>
  <c r="C99" i="384"/>
  <c r="K71" i="384"/>
  <c r="B155" i="384"/>
  <c r="C201" i="384"/>
  <c r="K172" i="384"/>
  <c r="B215" i="384"/>
  <c r="B163" i="384"/>
  <c r="B212" i="384"/>
  <c r="K101" i="384"/>
  <c r="C71" i="384"/>
  <c r="C122" i="384"/>
  <c r="C223" i="384"/>
  <c r="B75" i="384"/>
  <c r="K62" i="384"/>
  <c r="C157" i="384"/>
  <c r="B117" i="384"/>
  <c r="B105" i="384"/>
  <c r="K63" i="384"/>
  <c r="B99" i="384"/>
  <c r="K87" i="384"/>
  <c r="K109" i="384"/>
  <c r="K128" i="384"/>
  <c r="K69" i="384"/>
  <c r="C67" i="384"/>
  <c r="K76" i="384"/>
  <c r="B201" i="384"/>
  <c r="K107" i="384"/>
  <c r="K163" i="384"/>
  <c r="K117" i="384"/>
  <c r="K120" i="384"/>
  <c r="C126" i="384"/>
  <c r="K92" i="384"/>
  <c r="K81" i="384"/>
  <c r="B138" i="384"/>
  <c r="C77" i="384"/>
  <c r="K156" i="384"/>
  <c r="C61" i="384"/>
  <c r="C239" i="384"/>
  <c r="C111" i="384"/>
  <c r="B71" i="384"/>
  <c r="B80" i="384"/>
  <c r="K105" i="384"/>
  <c r="C66" i="384"/>
  <c r="K123" i="384"/>
  <c r="K85" i="384"/>
  <c r="K150" i="384"/>
  <c r="B63" i="384"/>
  <c r="C172" i="384"/>
  <c r="K106" i="384"/>
  <c r="C215" i="384"/>
  <c r="C163" i="384"/>
  <c r="K116" i="384"/>
  <c r="C84" i="384"/>
  <c r="B120" i="384"/>
  <c r="B128" i="384"/>
  <c r="K140" i="384"/>
  <c r="B203" i="384"/>
  <c r="C238" i="384"/>
  <c r="B59" i="384"/>
  <c r="K97" i="384"/>
  <c r="B210" i="384"/>
  <c r="C104" i="384"/>
  <c r="K248" i="384"/>
  <c r="B127" i="384"/>
  <c r="C139" i="384"/>
  <c r="K67" i="384"/>
  <c r="K201" i="384"/>
  <c r="C217" i="384"/>
  <c r="B112" i="384"/>
  <c r="K212" i="384"/>
  <c r="C59" i="384"/>
  <c r="C150" i="384"/>
  <c r="K144" i="384"/>
  <c r="K209" i="384"/>
  <c r="B116" i="384"/>
  <c r="K147" i="384"/>
  <c r="K249" i="384"/>
  <c r="B57" i="384"/>
  <c r="C93" i="384"/>
  <c r="B232" i="384"/>
  <c r="C123" i="384"/>
  <c r="K91" i="384"/>
  <c r="C72" i="384"/>
  <c r="C90" i="384"/>
  <c r="C56" i="384"/>
  <c r="K96" i="384"/>
  <c r="B65" i="384"/>
  <c r="K240" i="384"/>
  <c r="C81" i="384"/>
  <c r="B94" i="384"/>
  <c r="K52" i="384"/>
  <c r="B126" i="384"/>
  <c r="K104" i="384"/>
  <c r="B217" i="384"/>
  <c r="C212" i="384"/>
  <c r="B98" i="384"/>
  <c r="K86" i="384"/>
  <c r="K89" i="384"/>
  <c r="K90" i="384"/>
  <c r="B124" i="384"/>
  <c r="B252" i="384"/>
  <c r="K83" i="384"/>
  <c r="B60" i="384"/>
  <c r="K59" i="384"/>
  <c r="K78" i="384"/>
  <c r="B125" i="384"/>
  <c r="C103" i="384"/>
  <c r="K73" i="384"/>
  <c r="C145" i="384"/>
  <c r="K252" i="384"/>
  <c r="C117" i="384"/>
  <c r="K151" i="384"/>
  <c r="B92" i="384"/>
  <c r="C96" i="384"/>
  <c r="K61" i="384"/>
  <c r="C253" i="384"/>
  <c r="K213" i="384"/>
  <c r="C113" i="384"/>
  <c r="C169" i="384"/>
  <c r="B169" i="384"/>
  <c r="K169" i="384"/>
  <c r="C159" i="384"/>
  <c r="K159" i="384"/>
  <c r="C160" i="384"/>
  <c r="B159" i="384"/>
  <c r="K226" i="384"/>
  <c r="K160" i="384"/>
  <c r="C226" i="384"/>
  <c r="B160" i="384"/>
  <c r="B226" i="384"/>
  <c r="K158" i="384"/>
  <c r="C158" i="384"/>
  <c r="C230" i="384"/>
  <c r="B158" i="384"/>
  <c r="B230" i="384"/>
  <c r="K230" i="384"/>
  <c r="K216" i="384"/>
  <c r="C216" i="384"/>
  <c r="B216" i="384"/>
  <c r="B168" i="384"/>
  <c r="K168" i="384"/>
  <c r="C168" i="384"/>
  <c r="B167" i="384"/>
  <c r="C167" i="384"/>
  <c r="K167" i="384"/>
  <c r="K220" i="384"/>
  <c r="B220" i="384"/>
  <c r="C220" i="384"/>
  <c r="C219" i="384"/>
  <c r="K219" i="384"/>
  <c r="B219" i="384"/>
  <c r="B165" i="384"/>
  <c r="C165" i="384"/>
  <c r="K165" i="384"/>
  <c r="C200" i="384"/>
  <c r="K200" i="384"/>
  <c r="B200" i="384"/>
  <c r="B273" i="384"/>
  <c r="C273" i="384"/>
  <c r="C272" i="384"/>
  <c r="K273" i="384"/>
  <c r="B272" i="384"/>
  <c r="K272" i="384"/>
  <c r="K235" i="384"/>
  <c r="C235" i="384"/>
  <c r="B235" i="384"/>
  <c r="B237" i="384"/>
  <c r="K237" i="384"/>
  <c r="C237" i="384"/>
  <c r="K236" i="384"/>
  <c r="C236" i="384"/>
  <c r="B236" i="384"/>
  <c r="C161" i="384"/>
  <c r="K161" i="384"/>
  <c r="B161" i="384"/>
  <c r="B178" i="384"/>
  <c r="K179" i="384"/>
  <c r="K178" i="384"/>
  <c r="C181" i="384"/>
  <c r="C180" i="384"/>
  <c r="C183" i="384"/>
  <c r="B181" i="384"/>
  <c r="B180" i="384"/>
  <c r="B183" i="384"/>
  <c r="C179" i="384"/>
  <c r="K177" i="384"/>
  <c r="B179" i="384"/>
  <c r="K182" i="384"/>
  <c r="C175" i="384"/>
  <c r="K183" i="384"/>
  <c r="B174" i="384"/>
  <c r="K175" i="384"/>
  <c r="K173" i="384"/>
  <c r="B227" i="384"/>
  <c r="C174" i="384"/>
  <c r="B177" i="384"/>
  <c r="B176" i="384"/>
  <c r="K227" i="384"/>
  <c r="K174" i="384"/>
  <c r="B175" i="384"/>
  <c r="C228" i="384"/>
  <c r="C173" i="384"/>
  <c r="C177" i="384"/>
  <c r="K176" i="384"/>
  <c r="B228" i="384"/>
  <c r="B173" i="384"/>
  <c r="K192" i="384"/>
  <c r="K229" i="384"/>
  <c r="K228" i="384"/>
  <c r="C227" i="384"/>
  <c r="K180" i="384"/>
  <c r="C141" i="384"/>
  <c r="C192" i="384"/>
  <c r="C229" i="384"/>
  <c r="C182" i="384"/>
  <c r="B141" i="384"/>
  <c r="B192" i="384"/>
  <c r="B229" i="384"/>
  <c r="B182" i="384"/>
  <c r="C176" i="384"/>
  <c r="K141" i="384"/>
  <c r="K181" i="384"/>
  <c r="C178" i="384"/>
  <c r="C204" i="384"/>
  <c r="B204" i="384"/>
  <c r="K204" i="384"/>
  <c r="K245" i="384"/>
  <c r="C246" i="384"/>
  <c r="B246" i="384"/>
  <c r="C245" i="384"/>
  <c r="K246" i="384"/>
  <c r="B245" i="384"/>
  <c r="C274" i="384"/>
  <c r="K274" i="384"/>
  <c r="B274" i="384"/>
  <c r="K164" i="384"/>
  <c r="C164" i="384"/>
  <c r="B164" i="384"/>
  <c r="B211" i="384"/>
  <c r="K211" i="384"/>
  <c r="C211" i="384"/>
  <c r="B190" i="384"/>
  <c r="K189" i="384"/>
  <c r="K190" i="384"/>
  <c r="C189" i="384"/>
  <c r="B189" i="384"/>
  <c r="C190" i="384"/>
  <c r="B207" i="384"/>
  <c r="K207" i="384"/>
  <c r="C207" i="384"/>
  <c r="K224" i="384"/>
  <c r="C224" i="384"/>
  <c r="K222" i="384"/>
  <c r="B224" i="384"/>
  <c r="C222" i="384"/>
  <c r="B222" i="384"/>
  <c r="K134" i="384"/>
  <c r="B134" i="384"/>
  <c r="C134" i="384"/>
  <c r="C205" i="384"/>
  <c r="K205" i="384"/>
  <c r="B205" i="384"/>
  <c r="C221" i="384"/>
  <c r="K221" i="384"/>
  <c r="B221" i="384"/>
  <c r="K247" i="384"/>
  <c r="B247" i="384"/>
  <c r="C247" i="384"/>
  <c r="B198" i="384"/>
  <c r="K198" i="384"/>
  <c r="C198" i="384"/>
  <c r="C133" i="384"/>
  <c r="K133" i="384"/>
  <c r="B133" i="384"/>
  <c r="K130" i="384"/>
  <c r="B130" i="384"/>
  <c r="C130" i="384"/>
  <c r="K234" i="384"/>
  <c r="C234" i="384"/>
  <c r="B234" i="384"/>
  <c r="C131" i="384"/>
  <c r="B131" i="384"/>
  <c r="K131" i="384"/>
  <c r="K132" i="384"/>
  <c r="C132" i="384"/>
  <c r="B132" i="384"/>
  <c r="K129" i="384"/>
  <c r="B129" i="384"/>
  <c r="C129" i="384"/>
  <c r="C233" i="384"/>
  <c r="B233" i="384"/>
  <c r="K233" i="384"/>
  <c r="K275" i="384"/>
  <c r="C275" i="384"/>
  <c r="B275" i="384"/>
  <c r="B244" i="384"/>
  <c r="C244" i="384"/>
  <c r="K244" i="384"/>
  <c r="B257" i="384"/>
  <c r="D194" i="384"/>
  <c r="B196" i="384"/>
  <c r="K261" i="384"/>
  <c r="K142" i="384"/>
  <c r="C142" i="384"/>
  <c r="F142" i="384"/>
  <c r="B142" i="384"/>
  <c r="B187" i="384"/>
  <c r="E265" i="384"/>
  <c r="K250" i="384"/>
  <c r="F250" i="384"/>
  <c r="D250" i="384"/>
  <c r="C250" i="384"/>
  <c r="B250" i="384"/>
  <c r="E224" i="384"/>
  <c r="E200" i="384"/>
  <c r="E212" i="384"/>
  <c r="E201" i="384"/>
  <c r="E153" i="384"/>
  <c r="E18" i="384"/>
  <c r="E58" i="384"/>
  <c r="E60" i="384"/>
  <c r="K241" i="384"/>
  <c r="D241" i="384"/>
  <c r="C241" i="384"/>
  <c r="B241" i="384"/>
  <c r="F241" i="384"/>
  <c r="D189" i="384"/>
  <c r="D177" i="384"/>
  <c r="D219" i="384"/>
  <c r="D215" i="384"/>
  <c r="D41" i="384"/>
  <c r="D89" i="384"/>
  <c r="D157" i="384"/>
  <c r="D126" i="384"/>
  <c r="E262" i="384"/>
  <c r="C269" i="384"/>
  <c r="C196" i="384"/>
  <c r="B260" i="384"/>
  <c r="D193" i="384"/>
  <c r="C187" i="384"/>
  <c r="E270" i="384"/>
  <c r="K225" i="384"/>
  <c r="D225" i="384"/>
  <c r="C225" i="384"/>
  <c r="B225" i="384"/>
  <c r="F225" i="384"/>
  <c r="K191" i="384"/>
  <c r="E275" i="384"/>
  <c r="E207" i="384"/>
  <c r="E176" i="384"/>
  <c r="E165" i="384"/>
  <c r="E24" i="384"/>
  <c r="E152" i="384"/>
  <c r="E39" i="384"/>
  <c r="E20" i="384"/>
  <c r="E49" i="384"/>
  <c r="E63" i="384"/>
  <c r="K197" i="384"/>
  <c r="D233" i="384"/>
  <c r="D190" i="384"/>
  <c r="D220" i="384"/>
  <c r="D152" i="384"/>
  <c r="D10" i="384"/>
  <c r="D44" i="384"/>
  <c r="D209" i="384"/>
  <c r="D46" i="384"/>
  <c r="E188" i="384"/>
  <c r="K188" i="384"/>
  <c r="D269" i="384"/>
  <c r="K194" i="384"/>
  <c r="C260" i="384"/>
  <c r="B193" i="384"/>
  <c r="D187" i="384"/>
  <c r="B191" i="384"/>
  <c r="E233" i="384"/>
  <c r="E190" i="384"/>
  <c r="E178" i="384"/>
  <c r="E219" i="384"/>
  <c r="E5" i="384"/>
  <c r="E124" i="384"/>
  <c r="E8" i="384"/>
  <c r="E16" i="384"/>
  <c r="E69" i="384"/>
  <c r="E67" i="384"/>
  <c r="E36" i="384"/>
  <c r="B243" i="384"/>
  <c r="K243" i="384"/>
  <c r="F243" i="384"/>
  <c r="C243" i="384"/>
  <c r="D129" i="384"/>
  <c r="D211" i="384"/>
  <c r="D180" i="384"/>
  <c r="D167" i="384"/>
  <c r="D163" i="384"/>
  <c r="D47" i="384"/>
  <c r="D148" i="384"/>
  <c r="D38" i="384"/>
  <c r="D88" i="384"/>
  <c r="B188" i="384"/>
  <c r="K196" i="384"/>
  <c r="C193" i="384"/>
  <c r="B270" i="384"/>
  <c r="C191" i="384"/>
  <c r="E163" i="384"/>
  <c r="E146" i="384"/>
  <c r="E29" i="384"/>
  <c r="E9" i="384"/>
  <c r="E74" i="384"/>
  <c r="E35" i="384"/>
  <c r="D164" i="384"/>
  <c r="D168" i="384"/>
  <c r="D54" i="384"/>
  <c r="D138" i="384"/>
  <c r="D108" i="384"/>
  <c r="D37" i="384"/>
  <c r="D124" i="384"/>
  <c r="E278" i="384"/>
  <c r="C188" i="384"/>
  <c r="K269" i="384"/>
  <c r="K187" i="384"/>
  <c r="C270" i="384"/>
  <c r="D191" i="384"/>
  <c r="E129" i="384"/>
  <c r="E211" i="384"/>
  <c r="E173" i="384"/>
  <c r="E167" i="384"/>
  <c r="E162" i="384"/>
  <c r="E125" i="384"/>
  <c r="E147" i="384"/>
  <c r="E118" i="384"/>
  <c r="E47" i="384"/>
  <c r="E85" i="384"/>
  <c r="E56" i="384"/>
  <c r="D274" i="384"/>
  <c r="D179" i="384"/>
  <c r="D216" i="384"/>
  <c r="D248" i="384"/>
  <c r="E276" i="384"/>
  <c r="E206" i="384"/>
  <c r="B195" i="384"/>
  <c r="K260" i="384"/>
  <c r="B199" i="384"/>
  <c r="K193" i="384"/>
  <c r="E277" i="384"/>
  <c r="B258" i="384"/>
  <c r="B255" i="384"/>
  <c r="D270" i="384"/>
  <c r="E229" i="384"/>
  <c r="E168" i="384"/>
  <c r="E150" i="384"/>
  <c r="E135" i="384"/>
  <c r="E72" i="384"/>
  <c r="E117" i="384"/>
  <c r="E86" i="384"/>
  <c r="E76" i="384"/>
  <c r="K186" i="384"/>
  <c r="D234" i="384"/>
  <c r="D246" i="384"/>
  <c r="D178" i="384"/>
  <c r="D158" i="384"/>
  <c r="D239" i="384"/>
  <c r="D125" i="384"/>
  <c r="D231" i="384"/>
  <c r="D103" i="384"/>
  <c r="D139" i="384"/>
  <c r="D212" i="384"/>
  <c r="D232" i="384"/>
  <c r="E193" i="384"/>
  <c r="B202" i="384"/>
  <c r="D130" i="384"/>
  <c r="D116" i="384"/>
  <c r="D117" i="384"/>
  <c r="D52" i="384"/>
  <c r="D17" i="384"/>
  <c r="D13" i="384"/>
  <c r="D9" i="384"/>
  <c r="D80" i="384"/>
  <c r="D15" i="384"/>
  <c r="D16" i="384"/>
  <c r="D19" i="384"/>
  <c r="D199" i="384"/>
  <c r="D25" i="384"/>
  <c r="D84" i="384"/>
  <c r="D14" i="384"/>
  <c r="D18" i="384"/>
  <c r="D35" i="384"/>
  <c r="D172" i="384"/>
  <c r="D26" i="384"/>
  <c r="CR394" i="30"/>
  <c r="M16" i="60"/>
  <c r="CR10" i="30"/>
  <c r="CR340" i="30"/>
  <c r="CR286" i="30"/>
  <c r="CR232" i="30"/>
  <c r="CR178" i="30"/>
  <c r="CR124" i="30"/>
  <c r="CR37" i="30"/>
  <c r="CR367" i="30"/>
  <c r="CR313" i="30"/>
  <c r="CR259" i="30"/>
  <c r="CR205" i="30"/>
  <c r="CR151" i="30"/>
  <c r="CR97" i="30"/>
  <c r="CR64" i="30"/>
  <c r="AE39" i="30"/>
  <c r="BQ6" i="219"/>
  <c r="BS12" i="219"/>
  <c r="D229" i="384" l="1"/>
  <c r="L229" i="384" s="1"/>
  <c r="C51" i="384"/>
  <c r="D6" i="384"/>
  <c r="D8" i="384"/>
  <c r="L8" i="384" s="1"/>
  <c r="D201" i="384"/>
  <c r="L201" i="384" s="1"/>
  <c r="D207" i="384"/>
  <c r="L207" i="384" s="1"/>
  <c r="D245" i="384"/>
  <c r="K51" i="384"/>
  <c r="B51" i="384"/>
  <c r="D146" i="384"/>
  <c r="L146" i="384" s="1"/>
  <c r="D51" i="384"/>
  <c r="D267" i="384"/>
  <c r="D92" i="384"/>
  <c r="D95" i="384"/>
  <c r="D132" i="384"/>
  <c r="D106" i="384"/>
  <c r="D131" i="384"/>
  <c r="D243" i="384"/>
  <c r="D112" i="384"/>
  <c r="D107" i="384"/>
  <c r="D115" i="384"/>
  <c r="D175" i="384"/>
  <c r="D105" i="384"/>
  <c r="D109" i="384"/>
  <c r="D252" i="384"/>
  <c r="D142" i="384"/>
  <c r="D235" i="384"/>
  <c r="D244" i="384"/>
  <c r="D143" i="384"/>
  <c r="D161" i="384"/>
  <c r="D174" i="384"/>
  <c r="D256" i="384"/>
  <c r="D213" i="384"/>
  <c r="D253" i="384"/>
  <c r="D214" i="384"/>
  <c r="D144" i="384"/>
  <c r="D236" i="384"/>
  <c r="D141" i="384"/>
  <c r="D227" i="384"/>
  <c r="D242" i="384"/>
  <c r="D30" i="384"/>
  <c r="D90" i="384"/>
  <c r="D93" i="384"/>
  <c r="D91" i="384"/>
  <c r="L162" i="384"/>
  <c r="L206" i="384"/>
  <c r="D94" i="384"/>
  <c r="D85" i="384"/>
  <c r="L85" i="384" s="1"/>
  <c r="D55" i="384"/>
  <c r="D66" i="384"/>
  <c r="D77" i="384"/>
  <c r="D65" i="384"/>
  <c r="D57" i="384"/>
  <c r="D72" i="384"/>
  <c r="L72" i="384" s="1"/>
  <c r="D64" i="384"/>
  <c r="D62" i="384"/>
  <c r="L49" i="384"/>
  <c r="L278" i="384"/>
  <c r="E17" i="384"/>
  <c r="L17" i="384" s="1"/>
  <c r="L153" i="384"/>
  <c r="L277" i="384"/>
  <c r="L15" i="384"/>
  <c r="L173" i="384"/>
  <c r="E136" i="384"/>
  <c r="L136" i="384" s="1"/>
  <c r="E38" i="384"/>
  <c r="L38" i="384" s="1"/>
  <c r="E6" i="384"/>
  <c r="E157" i="384"/>
  <c r="L157" i="384" s="1"/>
  <c r="E110" i="384"/>
  <c r="L110" i="384" s="1"/>
  <c r="E83" i="384"/>
  <c r="E272" i="384"/>
  <c r="L272" i="384" s="1"/>
  <c r="E166" i="384"/>
  <c r="L166" i="384" s="1"/>
  <c r="E223" i="384"/>
  <c r="L223" i="384" s="1"/>
  <c r="E169" i="384"/>
  <c r="L169" i="384" s="1"/>
  <c r="E70" i="384"/>
  <c r="E187" i="384"/>
  <c r="L187" i="384" s="1"/>
  <c r="E222" i="384"/>
  <c r="L222" i="384" s="1"/>
  <c r="E108" i="384"/>
  <c r="L108" i="384" s="1"/>
  <c r="E81" i="384"/>
  <c r="E37" i="384"/>
  <c r="L37" i="384" s="1"/>
  <c r="E26" i="384"/>
  <c r="L26" i="384" s="1"/>
  <c r="E184" i="384"/>
  <c r="L184" i="384" s="1"/>
  <c r="E198" i="384"/>
  <c r="L198" i="384" s="1"/>
  <c r="E73" i="384"/>
  <c r="E234" i="384"/>
  <c r="L234" i="384" s="1"/>
  <c r="E269" i="384"/>
  <c r="L269" i="384" s="1"/>
  <c r="E79" i="384"/>
  <c r="L13" i="384"/>
  <c r="E112" i="384"/>
  <c r="D21" i="384"/>
  <c r="L21" i="384" s="1"/>
  <c r="L135" i="384"/>
  <c r="E196" i="384"/>
  <c r="L196" i="384" s="1"/>
  <c r="E31" i="384"/>
  <c r="E209" i="384"/>
  <c r="L209" i="384" s="1"/>
  <c r="E177" i="384"/>
  <c r="L177" i="384" s="1"/>
  <c r="E194" i="384"/>
  <c r="L194" i="384" s="1"/>
  <c r="L262" i="384"/>
  <c r="E11" i="384"/>
  <c r="L11" i="384" s="1"/>
  <c r="L276" i="384"/>
  <c r="D83" i="384"/>
  <c r="D23" i="384"/>
  <c r="E158" i="384"/>
  <c r="L158" i="384" s="1"/>
  <c r="D121" i="384"/>
  <c r="L147" i="384"/>
  <c r="E75" i="384"/>
  <c r="D22" i="384"/>
  <c r="D31" i="384"/>
  <c r="D73" i="384"/>
  <c r="D71" i="384"/>
  <c r="D27" i="384"/>
  <c r="D75" i="384"/>
  <c r="D56" i="384"/>
  <c r="L56" i="384" s="1"/>
  <c r="D86" i="384"/>
  <c r="L86" i="384" s="1"/>
  <c r="D78" i="384"/>
  <c r="E130" i="384"/>
  <c r="L130" i="384" s="1"/>
  <c r="D24" i="384"/>
  <c r="L24" i="384" s="1"/>
  <c r="D70" i="384"/>
  <c r="D79" i="384"/>
  <c r="D82" i="384"/>
  <c r="D33" i="384"/>
  <c r="D69" i="384"/>
  <c r="L69" i="384" s="1"/>
  <c r="D53" i="384"/>
  <c r="D120" i="384"/>
  <c r="D76" i="384"/>
  <c r="L76" i="384" s="1"/>
  <c r="D61" i="384"/>
  <c r="E113" i="384"/>
  <c r="L113" i="384" s="1"/>
  <c r="D81" i="384"/>
  <c r="D68" i="384"/>
  <c r="D176" i="384"/>
  <c r="L176" i="384" s="1"/>
  <c r="D32" i="384"/>
  <c r="D119" i="384"/>
  <c r="D67" i="384"/>
  <c r="L67" i="384" s="1"/>
  <c r="D74" i="384"/>
  <c r="L74" i="384" s="1"/>
  <c r="E279" i="384"/>
  <c r="L279" i="384" s="1"/>
  <c r="E281" i="384"/>
  <c r="L281" i="384" s="1"/>
  <c r="E282" i="384"/>
  <c r="L282" i="384" s="1"/>
  <c r="E280" i="384"/>
  <c r="L280" i="384" s="1"/>
  <c r="D60" i="384"/>
  <c r="L60" i="384" s="1"/>
  <c r="L19" i="384"/>
  <c r="D203" i="384"/>
  <c r="E255" i="384"/>
  <c r="D34" i="384"/>
  <c r="D59" i="384"/>
  <c r="L36" i="384"/>
  <c r="D39" i="384"/>
  <c r="L39" i="384" s="1"/>
  <c r="E28" i="384"/>
  <c r="E62" i="384"/>
  <c r="E33" i="384"/>
  <c r="E186" i="384"/>
  <c r="L186" i="384" s="1"/>
  <c r="E27" i="384"/>
  <c r="E22" i="384"/>
  <c r="E164" i="384"/>
  <c r="L164" i="384" s="1"/>
  <c r="E182" i="384"/>
  <c r="L182" i="384" s="1"/>
  <c r="E46" i="384"/>
  <c r="L46" i="384" s="1"/>
  <c r="E25" i="384"/>
  <c r="L25" i="384" s="1"/>
  <c r="E45" i="384"/>
  <c r="L45" i="384" s="1"/>
  <c r="E30" i="384"/>
  <c r="E34" i="384"/>
  <c r="E23" i="384"/>
  <c r="E40" i="384"/>
  <c r="L40" i="384" s="1"/>
  <c r="E203" i="384"/>
  <c r="E32" i="384"/>
  <c r="E220" i="384"/>
  <c r="L220" i="384" s="1"/>
  <c r="E271" i="384"/>
  <c r="L271" i="384" s="1"/>
  <c r="E199" i="384"/>
  <c r="L199" i="384" s="1"/>
  <c r="E189" i="384"/>
  <c r="L189" i="384" s="1"/>
  <c r="L14" i="384"/>
  <c r="E143" i="384"/>
  <c r="L35" i="384"/>
  <c r="L200" i="384"/>
  <c r="L20" i="384"/>
  <c r="E197" i="384"/>
  <c r="L197" i="384" s="1"/>
  <c r="D29" i="384"/>
  <c r="L29" i="384" s="1"/>
  <c r="D28" i="384"/>
  <c r="L165" i="384"/>
  <c r="L224" i="384"/>
  <c r="L265" i="384"/>
  <c r="L275" i="384"/>
  <c r="L188" i="384"/>
  <c r="E259" i="384"/>
  <c r="L259" i="384" s="1"/>
  <c r="L211" i="384"/>
  <c r="L150" i="384"/>
  <c r="L42" i="384"/>
  <c r="E273" i="384"/>
  <c r="L273" i="384" s="1"/>
  <c r="E68" i="384"/>
  <c r="L163" i="384"/>
  <c r="L129" i="384"/>
  <c r="L18" i="384"/>
  <c r="L9" i="384"/>
  <c r="L167" i="384"/>
  <c r="L233" i="384"/>
  <c r="E82" i="384"/>
  <c r="L16" i="384"/>
  <c r="E263" i="384"/>
  <c r="L263" i="384" s="1"/>
  <c r="L152" i="384"/>
  <c r="L63" i="384"/>
  <c r="L168" i="384"/>
  <c r="L212" i="384"/>
  <c r="E179" i="384"/>
  <c r="L179" i="384" s="1"/>
  <c r="E134" i="384"/>
  <c r="L134" i="384" s="1"/>
  <c r="L12" i="384"/>
  <c r="E218" i="384"/>
  <c r="L218" i="384" s="1"/>
  <c r="L190" i="384"/>
  <c r="E208" i="384"/>
  <c r="L208" i="384" s="1"/>
  <c r="E65" i="384"/>
  <c r="E274" i="384"/>
  <c r="L274" i="384" s="1"/>
  <c r="E236" i="384"/>
  <c r="E180" i="384"/>
  <c r="L180" i="384" s="1"/>
  <c r="E181" i="384"/>
  <c r="L181" i="384" s="1"/>
  <c r="E77" i="384"/>
  <c r="E159" i="384"/>
  <c r="L159" i="384" s="1"/>
  <c r="E225" i="384"/>
  <c r="L225" i="384" s="1"/>
  <c r="E205" i="384"/>
  <c r="L205" i="384" s="1"/>
  <c r="E228" i="384"/>
  <c r="L228" i="384" s="1"/>
  <c r="E191" i="384"/>
  <c r="L191" i="384" s="1"/>
  <c r="E195" i="384"/>
  <c r="L195" i="384" s="1"/>
  <c r="E204" i="384"/>
  <c r="L204" i="384" s="1"/>
  <c r="E258" i="384"/>
  <c r="L258" i="384" s="1"/>
  <c r="E183" i="384"/>
  <c r="L183" i="384" s="1"/>
  <c r="E266" i="384"/>
  <c r="L266" i="384" s="1"/>
  <c r="E221" i="384"/>
  <c r="L221" i="384" s="1"/>
  <c r="E133" i="384"/>
  <c r="L133" i="384" s="1"/>
  <c r="L10" i="384"/>
  <c r="E254" i="384"/>
  <c r="L254" i="384" s="1"/>
  <c r="E156" i="384"/>
  <c r="L156" i="384" s="1"/>
  <c r="E264" i="384"/>
  <c r="L264" i="384" s="1"/>
  <c r="E52" i="384"/>
  <c r="L52" i="384" s="1"/>
  <c r="E116" i="384"/>
  <c r="L116" i="384" s="1"/>
  <c r="L47" i="384"/>
  <c r="E250" i="384"/>
  <c r="L250" i="384" s="1"/>
  <c r="E59" i="384"/>
  <c r="E78" i="384"/>
  <c r="L193" i="384"/>
  <c r="E230" i="384"/>
  <c r="L230" i="384" s="1"/>
  <c r="L124" i="384"/>
  <c r="E192" i="384"/>
  <c r="L192" i="384" s="1"/>
  <c r="E245" i="384"/>
  <c r="L125" i="384"/>
  <c r="F50" i="384"/>
  <c r="C50" i="384"/>
  <c r="D50" i="384"/>
  <c r="B50" i="384"/>
  <c r="K50" i="384"/>
  <c r="E84" i="384"/>
  <c r="L84" i="384" s="1"/>
  <c r="L219" i="384"/>
  <c r="E96" i="384"/>
  <c r="E128" i="384"/>
  <c r="L128" i="384" s="1"/>
  <c r="E137" i="384"/>
  <c r="L137" i="384" s="1"/>
  <c r="E103" i="384"/>
  <c r="L103" i="384" s="1"/>
  <c r="E239" i="384"/>
  <c r="L239" i="384" s="1"/>
  <c r="E210" i="384"/>
  <c r="L210" i="384" s="1"/>
  <c r="E238" i="384"/>
  <c r="E91" i="384"/>
  <c r="E140" i="384"/>
  <c r="E171" i="384"/>
  <c r="L171" i="384" s="1"/>
  <c r="E102" i="384"/>
  <c r="L102" i="384" s="1"/>
  <c r="E139" i="384"/>
  <c r="L139" i="384" s="1"/>
  <c r="E101" i="384"/>
  <c r="L101" i="384" s="1"/>
  <c r="E89" i="384"/>
  <c r="L89" i="384" s="1"/>
  <c r="E90" i="384"/>
  <c r="E170" i="384"/>
  <c r="L170" i="384" s="1"/>
  <c r="E240" i="384"/>
  <c r="L240" i="384" s="1"/>
  <c r="E94" i="384"/>
  <c r="E248" i="384"/>
  <c r="L248" i="384" s="1"/>
  <c r="E93" i="384"/>
  <c r="E253" i="384"/>
  <c r="E97" i="384"/>
  <c r="L97" i="384" s="1"/>
  <c r="E95" i="384"/>
  <c r="E127" i="384"/>
  <c r="L127" i="384" s="1"/>
  <c r="E154" i="384"/>
  <c r="L154" i="384" s="1"/>
  <c r="E231" i="384"/>
  <c r="L231" i="384" s="1"/>
  <c r="E252" i="384"/>
  <c r="E98" i="384"/>
  <c r="L98" i="384" s="1"/>
  <c r="E54" i="384"/>
  <c r="L54" i="384" s="1"/>
  <c r="E249" i="384"/>
  <c r="L249" i="384" s="1"/>
  <c r="E138" i="384"/>
  <c r="L138" i="384" s="1"/>
  <c r="E105" i="384"/>
  <c r="E53" i="384"/>
  <c r="E92" i="384"/>
  <c r="E88" i="384"/>
  <c r="L88" i="384" s="1"/>
  <c r="E111" i="384"/>
  <c r="L111" i="384" s="1"/>
  <c r="E87" i="384"/>
  <c r="E151" i="384"/>
  <c r="L151" i="384" s="1"/>
  <c r="E99" i="384"/>
  <c r="L99" i="384" s="1"/>
  <c r="E100" i="384"/>
  <c r="L100" i="384" s="1"/>
  <c r="E232" i="384"/>
  <c r="L232" i="384" s="1"/>
  <c r="E64" i="384"/>
  <c r="E66" i="384"/>
  <c r="E61" i="384"/>
  <c r="L178" i="384"/>
  <c r="E267" i="384"/>
  <c r="E123" i="384"/>
  <c r="L123" i="384" s="1"/>
  <c r="E185" i="384"/>
  <c r="L185" i="384" s="1"/>
  <c r="L41" i="384"/>
  <c r="L43" i="384"/>
  <c r="E80" i="384"/>
  <c r="L80" i="384" s="1"/>
  <c r="L44" i="384"/>
  <c r="E202" i="384"/>
  <c r="L202" i="384" s="1"/>
  <c r="E155" i="384"/>
  <c r="L155" i="384" s="1"/>
  <c r="E122" i="384"/>
  <c r="L122" i="384" s="1"/>
  <c r="E55" i="384"/>
  <c r="E104" i="384"/>
  <c r="L104" i="384" s="1"/>
  <c r="E145" i="384"/>
  <c r="L145" i="384" s="1"/>
  <c r="E57" i="384"/>
  <c r="E261" i="384"/>
  <c r="L261" i="384" s="1"/>
  <c r="E119" i="384"/>
  <c r="E241" i="384"/>
  <c r="L241" i="384" s="1"/>
  <c r="E148" i="384"/>
  <c r="L148" i="384" s="1"/>
  <c r="E121" i="384"/>
  <c r="E251" i="384"/>
  <c r="E120" i="384"/>
  <c r="E217" i="384"/>
  <c r="L217" i="384" s="1"/>
  <c r="E126" i="384"/>
  <c r="L126" i="384" s="1"/>
  <c r="E215" i="384"/>
  <c r="L215" i="384" s="1"/>
  <c r="E257" i="384"/>
  <c r="L257" i="384" s="1"/>
  <c r="E149" i="384"/>
  <c r="L149" i="384" s="1"/>
  <c r="E172" i="384"/>
  <c r="L172" i="384" s="1"/>
  <c r="E260" i="384"/>
  <c r="L260" i="384" s="1"/>
  <c r="E226" i="384"/>
  <c r="L226" i="384" s="1"/>
  <c r="E106" i="384"/>
  <c r="E71" i="384"/>
  <c r="E115" i="384"/>
  <c r="E216" i="384"/>
  <c r="L216" i="384" s="1"/>
  <c r="L117" i="384"/>
  <c r="E243" i="384"/>
  <c r="L270" i="384"/>
  <c r="E175" i="384"/>
  <c r="E235" i="384"/>
  <c r="E160" i="384"/>
  <c r="L160" i="384" s="1"/>
  <c r="E161" i="384"/>
  <c r="E242" i="384"/>
  <c r="E213" i="384"/>
  <c r="E141" i="384"/>
  <c r="E268" i="384"/>
  <c r="L268" i="384" s="1"/>
  <c r="D58" i="384"/>
  <c r="L58" i="384" s="1"/>
  <c r="D255" i="384"/>
  <c r="E7" i="309"/>
  <c r="L7" i="336"/>
  <c r="L8" i="336"/>
  <c r="C8" i="336"/>
  <c r="C7" i="336"/>
  <c r="B8" i="336"/>
  <c r="B7" i="336"/>
  <c r="F6" i="305"/>
  <c r="D6" i="305"/>
  <c r="B6" i="305"/>
  <c r="C6" i="305"/>
  <c r="AO15" i="389" l="1"/>
  <c r="AO12" i="389"/>
  <c r="AO11" i="389"/>
  <c r="AO16" i="389"/>
  <c r="AO13" i="389"/>
  <c r="AO14" i="389"/>
  <c r="AO17" i="389"/>
  <c r="AO18" i="389"/>
  <c r="L6" i="384"/>
  <c r="L245" i="384"/>
  <c r="L267" i="384"/>
  <c r="L92" i="384"/>
  <c r="L115" i="384"/>
  <c r="L106" i="384"/>
  <c r="L65" i="384"/>
  <c r="L252" i="384"/>
  <c r="L175" i="384"/>
  <c r="L95" i="384"/>
  <c r="L141" i="384"/>
  <c r="L243" i="384"/>
  <c r="L105" i="384"/>
  <c r="L236" i="384"/>
  <c r="L253" i="384"/>
  <c r="L112" i="384"/>
  <c r="L30" i="384"/>
  <c r="L143" i="384"/>
  <c r="L235" i="384"/>
  <c r="L161" i="384"/>
  <c r="L213" i="384"/>
  <c r="L242" i="384"/>
  <c r="L90" i="384"/>
  <c r="L66" i="384"/>
  <c r="L93" i="384"/>
  <c r="L91" i="384"/>
  <c r="L55" i="384"/>
  <c r="L94" i="384"/>
  <c r="L77" i="384"/>
  <c r="L57" i="384"/>
  <c r="L64" i="384"/>
  <c r="L62" i="384"/>
  <c r="L71" i="384"/>
  <c r="L82" i="384"/>
  <c r="L120" i="384"/>
  <c r="L78" i="384"/>
  <c r="L119" i="384"/>
  <c r="L68" i="384"/>
  <c r="L79" i="384"/>
  <c r="L83" i="384"/>
  <c r="L73" i="384"/>
  <c r="L81" i="384"/>
  <c r="E174" i="384"/>
  <c r="L174" i="384" s="1"/>
  <c r="E256" i="384"/>
  <c r="L256" i="384" s="1"/>
  <c r="E131" i="384"/>
  <c r="L131" i="384" s="1"/>
  <c r="E114" i="384"/>
  <c r="E107" i="384"/>
  <c r="L107" i="384" s="1"/>
  <c r="E142" i="384"/>
  <c r="L142" i="384" s="1"/>
  <c r="E109" i="384"/>
  <c r="L109" i="384" s="1"/>
  <c r="E144" i="384"/>
  <c r="L144" i="384" s="1"/>
  <c r="E244" i="384"/>
  <c r="L244" i="384" s="1"/>
  <c r="E227" i="384"/>
  <c r="L227" i="384" s="1"/>
  <c r="E132" i="384"/>
  <c r="L132" i="384" s="1"/>
  <c r="L121" i="384"/>
  <c r="L70" i="384"/>
  <c r="L32" i="384"/>
  <c r="L27" i="384"/>
  <c r="L22" i="384"/>
  <c r="L203" i="384"/>
  <c r="L31" i="384"/>
  <c r="L33" i="384"/>
  <c r="L61" i="384"/>
  <c r="L23" i="384"/>
  <c r="L59" i="384"/>
  <c r="L75" i="384"/>
  <c r="L34" i="384"/>
  <c r="E51" i="384"/>
  <c r="L51" i="384" s="1"/>
  <c r="L53" i="384"/>
  <c r="L255" i="384"/>
  <c r="D114" i="384"/>
  <c r="D118" i="384"/>
  <c r="L118" i="384" s="1"/>
  <c r="E48" i="384"/>
  <c r="L48" i="384" s="1"/>
  <c r="L28" i="384"/>
  <c r="E246" i="384"/>
  <c r="L246" i="384" s="1"/>
  <c r="E247" i="384"/>
  <c r="L247" i="384" s="1"/>
  <c r="E214" i="384"/>
  <c r="L214" i="384" s="1"/>
  <c r="E237" i="384"/>
  <c r="L237" i="384" s="1"/>
  <c r="L6" i="305"/>
  <c r="G6" i="305"/>
  <c r="E50" i="384"/>
  <c r="L50" i="384" s="1"/>
  <c r="D251" i="384"/>
  <c r="L251" i="384" s="1"/>
  <c r="D140" i="384"/>
  <c r="L140" i="384" s="1"/>
  <c r="D87" i="384"/>
  <c r="L87" i="384" s="1"/>
  <c r="D96" i="384"/>
  <c r="L96" i="384" s="1"/>
  <c r="D238" i="384"/>
  <c r="L238" i="384" s="1"/>
  <c r="E28" i="309"/>
  <c r="D7" i="309"/>
  <c r="C7" i="309"/>
  <c r="J7" i="309"/>
  <c r="L7" i="309" s="1"/>
  <c r="B7" i="309"/>
  <c r="D5" i="384" l="1"/>
  <c r="L5" i="384" s="1"/>
  <c r="L114" i="384"/>
  <c r="M6" i="305"/>
  <c r="G26" i="305"/>
  <c r="K28" i="309"/>
  <c r="K7" i="309"/>
  <c r="K26" i="309" l="1"/>
  <c r="M7" i="309"/>
  <c r="K48" i="309"/>
  <c r="M28" i="309"/>
  <c r="F119" i="373" l="1"/>
  <c r="L119" i="373" s="1"/>
  <c r="M48" i="309"/>
  <c r="M26" i="309"/>
  <c r="M26" i="305" l="1"/>
  <c r="U112" i="60" l="1"/>
  <c r="U113" i="60" s="1"/>
  <c r="AE33" i="30"/>
  <c r="BU33" i="30" s="1"/>
  <c r="BU34" i="30" s="1"/>
  <c r="O101" i="31" s="1"/>
  <c r="AO14" i="31"/>
  <c r="BV14" i="31" s="1"/>
  <c r="AE59" i="30"/>
  <c r="BU59" i="30" s="1"/>
  <c r="BU60" i="30" s="1"/>
  <c r="AQ348" i="219"/>
  <c r="BR348" i="219" s="1"/>
  <c r="O349" i="219"/>
  <c r="AQ349" i="219" s="1"/>
  <c r="BR349" i="219" s="1"/>
  <c r="BQ349" i="219" s="1"/>
  <c r="AE118" i="30"/>
  <c r="BU118" i="30" s="1"/>
  <c r="BU119" i="30" s="1"/>
  <c r="AE91" i="30"/>
  <c r="BU91" i="30" s="1"/>
  <c r="BU92" i="30" s="1"/>
  <c r="AQ10" i="219"/>
  <c r="BR10" i="219" s="1"/>
  <c r="AQ11" i="219"/>
  <c r="BR11" i="219" s="1"/>
  <c r="BQ11" i="219" s="1"/>
  <c r="AL59" i="219"/>
  <c r="BR59" i="219" s="1"/>
  <c r="BQ59" i="219" s="1"/>
  <c r="AE226" i="30"/>
  <c r="BU226" i="30" s="1"/>
  <c r="BU227" i="30" s="1"/>
  <c r="AE6" i="30"/>
  <c r="BU6" i="30" s="1"/>
  <c r="BU7" i="30" s="1"/>
  <c r="AJ110" i="219"/>
  <c r="BR110" i="219" s="1"/>
  <c r="AJ111" i="219"/>
  <c r="BR111" i="219" s="1"/>
  <c r="BQ111" i="219" s="1"/>
  <c r="AE280" i="30"/>
  <c r="BU280" i="30" s="1"/>
  <c r="BU282" i="30" s="1"/>
  <c r="AE334" i="30"/>
  <c r="BU334" i="30" s="1"/>
  <c r="BU336" i="30" s="1"/>
  <c r="AK159" i="219"/>
  <c r="BR159" i="219" s="1"/>
  <c r="AJ209" i="219"/>
  <c r="BR209" i="219" s="1"/>
  <c r="AJ210" i="219"/>
  <c r="BR210" i="219" s="1"/>
  <c r="BQ210" i="219" s="1"/>
  <c r="N224" i="219"/>
  <c r="AD224" i="219" s="1"/>
  <c r="BR224" i="219" s="1"/>
  <c r="V258" i="219"/>
  <c r="AE361" i="30"/>
  <c r="BU361" i="30" s="1"/>
  <c r="BU362" i="30" s="1"/>
  <c r="N312" i="219" s="1"/>
  <c r="AD312" i="219" s="1"/>
  <c r="BR312" i="219" s="1"/>
  <c r="AJ304" i="219"/>
  <c r="BR304" i="219" s="1"/>
  <c r="BR305" i="219"/>
  <c r="BQ305" i="219" s="1"/>
  <c r="AE307" i="30"/>
  <c r="BU307" i="30" s="1"/>
  <c r="BU309" i="30" s="1"/>
  <c r="AE145" i="30"/>
  <c r="BU145" i="30" s="1"/>
  <c r="BU146" i="30" s="1"/>
  <c r="AT39" i="30"/>
  <c r="AE64" i="30"/>
  <c r="AT64" i="30" s="1"/>
  <c r="AF344" i="219"/>
  <c r="BS344" i="219" s="1"/>
  <c r="AE122" i="30"/>
  <c r="AT122" i="30" s="1"/>
  <c r="AE95" i="30"/>
  <c r="AT95" i="30" s="1"/>
  <c r="AT96" i="30" s="1"/>
  <c r="AE178" i="30"/>
  <c r="AT178" i="30" s="1"/>
  <c r="AT179" i="30" s="1"/>
  <c r="AE232" i="30"/>
  <c r="AT232" i="30" s="1"/>
  <c r="AE12" i="30"/>
  <c r="AT12" i="30" s="1"/>
  <c r="AE286" i="30"/>
  <c r="AT286" i="30" s="1"/>
  <c r="AE259" i="30"/>
  <c r="AT259" i="30" s="1"/>
  <c r="AT260" i="30" s="1"/>
  <c r="AE340" i="30"/>
  <c r="AT340" i="30" s="1"/>
  <c r="AE367" i="30"/>
  <c r="AT367" i="30" s="1"/>
  <c r="AE313" i="30"/>
  <c r="AT313" i="30" s="1"/>
  <c r="AE149" i="30"/>
  <c r="AT149" i="30" s="1"/>
  <c r="Q47" i="60"/>
  <c r="Q16" i="60"/>
  <c r="Q18" i="60" s="1"/>
  <c r="Q21" i="60" s="1"/>
  <c r="I84" i="60" s="1"/>
  <c r="U232" i="60"/>
  <c r="U233" i="60" s="1"/>
  <c r="BN70" i="30"/>
  <c r="I200" i="60"/>
  <c r="U200" i="60" s="1"/>
  <c r="U202" i="60"/>
  <c r="U207" i="60"/>
  <c r="BN44" i="30"/>
  <c r="BN45" i="30" s="1"/>
  <c r="BN17" i="30"/>
  <c r="BN18" i="30" s="1"/>
  <c r="BN154" i="30"/>
  <c r="BN155" i="30" s="1"/>
  <c r="BN237" i="30"/>
  <c r="BN238" i="30" s="1"/>
  <c r="AG32" i="31"/>
  <c r="Y32" i="31"/>
  <c r="AG9" i="31"/>
  <c r="Y9" i="31"/>
  <c r="AO86" i="31"/>
  <c r="BV86" i="31" s="1"/>
  <c r="AB400" i="219"/>
  <c r="BT400" i="219" s="1"/>
  <c r="N397" i="219"/>
  <c r="AL397" i="219" s="1"/>
  <c r="BR397" i="219" s="1"/>
  <c r="BN372" i="30"/>
  <c r="BN373" i="30" s="1"/>
  <c r="N313" i="219" s="1"/>
  <c r="AD313" i="219" s="1"/>
  <c r="BT313" i="219" s="1"/>
  <c r="AO75" i="31"/>
  <c r="BV75" i="31" s="1"/>
  <c r="X406" i="219"/>
  <c r="X407" i="219" s="1"/>
  <c r="X44" i="219"/>
  <c r="BN291" i="30"/>
  <c r="BN292" i="30" s="1"/>
  <c r="BN100" i="30"/>
  <c r="BN101" i="30" s="1"/>
  <c r="BN318" i="30"/>
  <c r="BN319" i="30" s="1"/>
  <c r="BN127" i="30"/>
  <c r="BN128" i="30" s="1"/>
  <c r="BN345" i="30"/>
  <c r="BN346" i="30" s="1"/>
  <c r="BQ312" i="219" l="1"/>
  <c r="BR314" i="219"/>
  <c r="BQ313" i="219"/>
  <c r="BT314" i="219"/>
  <c r="N42" i="31"/>
  <c r="AF42" i="31" s="1"/>
  <c r="BV42" i="31" s="1"/>
  <c r="BV44" i="31" s="1"/>
  <c r="O402" i="30"/>
  <c r="N43" i="31"/>
  <c r="AF43" i="31" s="1"/>
  <c r="BX43" i="31" s="1"/>
  <c r="BX44" i="31" s="1"/>
  <c r="AM402" i="30"/>
  <c r="AK258" i="219"/>
  <c r="BR258" i="219" s="1"/>
  <c r="P392" i="219"/>
  <c r="AF392" i="219" s="1"/>
  <c r="BR392" i="219" s="1"/>
  <c r="R393" i="219"/>
  <c r="AM72" i="30"/>
  <c r="R55" i="219"/>
  <c r="N70" i="219"/>
  <c r="AF70" i="219" s="1"/>
  <c r="BT70" i="219" s="1"/>
  <c r="BT71" i="219" s="1"/>
  <c r="N408" i="219"/>
  <c r="O33" i="31"/>
  <c r="O10" i="31"/>
  <c r="AM47" i="30"/>
  <c r="P206" i="219"/>
  <c r="AI206" i="219" s="1"/>
  <c r="BT206" i="219" s="1"/>
  <c r="BQ206" i="219" s="1"/>
  <c r="P107" i="219"/>
  <c r="AI107" i="219" s="1"/>
  <c r="BT107" i="219" s="1"/>
  <c r="BQ107" i="219" s="1"/>
  <c r="AM20" i="30"/>
  <c r="N254" i="219"/>
  <c r="AG254" i="219" s="1"/>
  <c r="BT254" i="219" s="1"/>
  <c r="BQ254" i="219" s="1"/>
  <c r="N155" i="219"/>
  <c r="AG155" i="219" s="1"/>
  <c r="BT155" i="219" s="1"/>
  <c r="AM348" i="30"/>
  <c r="N320" i="219"/>
  <c r="AD320" i="219" s="1"/>
  <c r="BT320" i="219" s="1"/>
  <c r="AM321" i="30"/>
  <c r="N119" i="219"/>
  <c r="AD119" i="219" s="1"/>
  <c r="BT119" i="219" s="1"/>
  <c r="AM294" i="30"/>
  <c r="N218" i="219"/>
  <c r="AD218" i="219" s="1"/>
  <c r="BT218" i="219" s="1"/>
  <c r="BQ218" i="219" s="1"/>
  <c r="P240" i="219"/>
  <c r="AD240" i="219" s="1"/>
  <c r="BT240" i="219" s="1"/>
  <c r="BQ240" i="219" s="1"/>
  <c r="Q27" i="219"/>
  <c r="P141" i="219"/>
  <c r="AD141" i="219" s="1"/>
  <c r="BT141" i="219" s="1"/>
  <c r="BQ141" i="219" s="1"/>
  <c r="Q365" i="219"/>
  <c r="AM130" i="30"/>
  <c r="P301" i="219"/>
  <c r="AI301" i="219" s="1"/>
  <c r="BT301" i="219" s="1"/>
  <c r="BT302" i="219" s="1"/>
  <c r="AM375" i="30"/>
  <c r="P202" i="219"/>
  <c r="AI202" i="219" s="1"/>
  <c r="BT202" i="219" s="1"/>
  <c r="BQ202" i="219" s="1"/>
  <c r="P103" i="219"/>
  <c r="AI103" i="219" s="1"/>
  <c r="BT103" i="219" s="1"/>
  <c r="BQ103" i="219" s="1"/>
  <c r="AM240" i="30"/>
  <c r="P38" i="219"/>
  <c r="AJ38" i="219" s="1"/>
  <c r="BT38" i="219" s="1"/>
  <c r="BQ38" i="219" s="1"/>
  <c r="P376" i="219"/>
  <c r="AJ376" i="219" s="1"/>
  <c r="BT376" i="219" s="1"/>
  <c r="BQ376" i="219" s="1"/>
  <c r="AM103" i="30"/>
  <c r="P328" i="219"/>
  <c r="AD328" i="219" s="1"/>
  <c r="BT328" i="219" s="1"/>
  <c r="BQ328" i="219" s="1"/>
  <c r="AM157" i="30"/>
  <c r="BR161" i="219"/>
  <c r="BQ161" i="219" s="1"/>
  <c r="BQ159" i="219"/>
  <c r="U203" i="60"/>
  <c r="BU75" i="31"/>
  <c r="BV77" i="31"/>
  <c r="BQ397" i="219"/>
  <c r="BU86" i="31"/>
  <c r="BV88" i="31"/>
  <c r="BU88" i="31" s="1"/>
  <c r="O157" i="30"/>
  <c r="P327" i="219"/>
  <c r="AD327" i="219" s="1"/>
  <c r="BR327" i="219" s="1"/>
  <c r="P300" i="219"/>
  <c r="AI300" i="219" s="1"/>
  <c r="BR300" i="219" s="1"/>
  <c r="O375" i="30"/>
  <c r="O348" i="30"/>
  <c r="N253" i="219"/>
  <c r="AG253" i="219" s="1"/>
  <c r="BR253" i="219" s="1"/>
  <c r="N154" i="219"/>
  <c r="AG154" i="219" s="1"/>
  <c r="BR154" i="219" s="1"/>
  <c r="BR112" i="219"/>
  <c r="BQ112" i="219" s="1"/>
  <c r="BQ110" i="219"/>
  <c r="BR350" i="219"/>
  <c r="BQ348" i="219"/>
  <c r="O9" i="31"/>
  <c r="AN9" i="31" s="1"/>
  <c r="BV9" i="31" s="1"/>
  <c r="N69" i="219"/>
  <c r="AF69" i="219" s="1"/>
  <c r="BR69" i="219" s="1"/>
  <c r="O32" i="31"/>
  <c r="AN32" i="31" s="1"/>
  <c r="BV32" i="31" s="1"/>
  <c r="P54" i="219"/>
  <c r="AF54" i="219" s="1"/>
  <c r="BR54" i="219" s="1"/>
  <c r="O47" i="30"/>
  <c r="N407" i="219"/>
  <c r="AF407" i="219" s="1"/>
  <c r="BR407" i="219" s="1"/>
  <c r="BQ407" i="219" s="1"/>
  <c r="BQ304" i="219"/>
  <c r="BR306" i="219"/>
  <c r="BQ306" i="219" s="1"/>
  <c r="P201" i="219"/>
  <c r="AI201" i="219" s="1"/>
  <c r="BR201" i="219" s="1"/>
  <c r="P102" i="219"/>
  <c r="AI102" i="219" s="1"/>
  <c r="BR102" i="219" s="1"/>
  <c r="O240" i="30"/>
  <c r="BR12" i="219"/>
  <c r="BQ10" i="219"/>
  <c r="Q364" i="219"/>
  <c r="P140" i="219"/>
  <c r="AD140" i="219" s="1"/>
  <c r="BR140" i="219" s="1"/>
  <c r="P239" i="219"/>
  <c r="AD239" i="219" s="1"/>
  <c r="BR239" i="219" s="1"/>
  <c r="Q26" i="219"/>
  <c r="O130" i="30"/>
  <c r="BR226" i="219"/>
  <c r="BQ224" i="219"/>
  <c r="BV15" i="31"/>
  <c r="BU15" i="31" s="1"/>
  <c r="BU14" i="31"/>
  <c r="N319" i="219"/>
  <c r="AD319" i="219" s="1"/>
  <c r="BR319" i="219" s="1"/>
  <c r="O321" i="30"/>
  <c r="BQ209" i="219"/>
  <c r="BR211" i="219"/>
  <c r="BQ211" i="219" s="1"/>
  <c r="O294" i="30"/>
  <c r="N118" i="219"/>
  <c r="AD118" i="219" s="1"/>
  <c r="BR118" i="219" s="1"/>
  <c r="N217" i="219"/>
  <c r="AD217" i="219" s="1"/>
  <c r="BR217" i="219" s="1"/>
  <c r="O20" i="30"/>
  <c r="P106" i="219"/>
  <c r="AI106" i="219" s="1"/>
  <c r="BR106" i="219" s="1"/>
  <c r="BQ106" i="219" s="1"/>
  <c r="P205" i="219"/>
  <c r="AI205" i="219" s="1"/>
  <c r="BR205" i="219" s="1"/>
  <c r="BQ205" i="219" s="1"/>
  <c r="O103" i="30"/>
  <c r="P375" i="219"/>
  <c r="AJ375" i="219" s="1"/>
  <c r="BR375" i="219" s="1"/>
  <c r="P37" i="219"/>
  <c r="AJ37" i="219" s="1"/>
  <c r="BR37" i="219" s="1"/>
  <c r="O72" i="30"/>
  <c r="AT368" i="30"/>
  <c r="AT369" i="30" s="1"/>
  <c r="AT314" i="30"/>
  <c r="AT315" i="30" s="1"/>
  <c r="AA321" i="30" s="1"/>
  <c r="AT150" i="30"/>
  <c r="AT151" i="30" s="1"/>
  <c r="P326" i="219" s="1"/>
  <c r="AD326" i="219" s="1"/>
  <c r="BS326" i="219" s="1"/>
  <c r="BQ326" i="219" s="1"/>
  <c r="AT341" i="30"/>
  <c r="AT342" i="30" s="1"/>
  <c r="N252" i="219" s="1"/>
  <c r="AG252" i="219" s="1"/>
  <c r="BS252" i="219" s="1"/>
  <c r="BQ252" i="219" s="1"/>
  <c r="AT180" i="30"/>
  <c r="P380" i="219" s="1"/>
  <c r="AJ380" i="219" s="1"/>
  <c r="BS380" i="219" s="1"/>
  <c r="BS383" i="219" s="1"/>
  <c r="AT97" i="30"/>
  <c r="AA103" i="30" s="1"/>
  <c r="AT13" i="30"/>
  <c r="AT14" i="30" s="1"/>
  <c r="AT287" i="30"/>
  <c r="AT288" i="30" s="1"/>
  <c r="AT261" i="30"/>
  <c r="AA267" i="30" s="1"/>
  <c r="BQ400" i="219"/>
  <c r="BS350" i="219"/>
  <c r="BQ344" i="219"/>
  <c r="AT123" i="30"/>
  <c r="AT124" i="30" s="1"/>
  <c r="AT40" i="30"/>
  <c r="AT41" i="30" s="1"/>
  <c r="H30" i="60"/>
  <c r="Q30" i="60" s="1"/>
  <c r="Q49" i="60"/>
  <c r="Q52" i="60" s="1"/>
  <c r="AT233" i="30"/>
  <c r="AT234" i="30" s="1"/>
  <c r="AT65" i="30"/>
  <c r="AT66" i="30" s="1"/>
  <c r="I174" i="60" l="1"/>
  <c r="U174" i="60" s="1"/>
  <c r="U181" i="60" s="1"/>
  <c r="I144" i="60"/>
  <c r="U144" i="60" s="1"/>
  <c r="O100" i="31"/>
  <c r="AN100" i="31" s="1"/>
  <c r="BW100" i="31" s="1"/>
  <c r="BU42" i="31"/>
  <c r="U84" i="60"/>
  <c r="BU43" i="31"/>
  <c r="AA375" i="30"/>
  <c r="AY375" i="30" s="1"/>
  <c r="N311" i="219"/>
  <c r="AD311" i="219" s="1"/>
  <c r="BS311" i="219" s="1"/>
  <c r="N41" i="31"/>
  <c r="AF41" i="31" s="1"/>
  <c r="BW41" i="31" s="1"/>
  <c r="BW44" i="31" s="1"/>
  <c r="AA402" i="30"/>
  <c r="AY402" i="30" s="1"/>
  <c r="I264" i="60"/>
  <c r="U264" i="60" s="1"/>
  <c r="U271" i="60" s="1"/>
  <c r="BT219" i="219"/>
  <c r="BR260" i="219"/>
  <c r="BQ260" i="219" s="1"/>
  <c r="BQ258" i="219"/>
  <c r="BT241" i="219"/>
  <c r="BT142" i="219"/>
  <c r="BQ70" i="219"/>
  <c r="BT39" i="219"/>
  <c r="BT255" i="219"/>
  <c r="BT261" i="219" s="1"/>
  <c r="BT246" i="219" s="1"/>
  <c r="I294" i="60"/>
  <c r="U294" i="60" s="1"/>
  <c r="U301" i="60" s="1"/>
  <c r="BT377" i="219"/>
  <c r="P391" i="219"/>
  <c r="AF391" i="219" s="1"/>
  <c r="BS391" i="219" s="1"/>
  <c r="BT108" i="219"/>
  <c r="BT329" i="219"/>
  <c r="BQ301" i="219"/>
  <c r="BT207" i="219"/>
  <c r="BT120" i="219"/>
  <c r="BQ119" i="219"/>
  <c r="BT321" i="219"/>
  <c r="BQ320" i="219"/>
  <c r="BT156" i="219"/>
  <c r="BT162" i="219" s="1"/>
  <c r="BT147" i="219" s="1"/>
  <c r="BQ155" i="219"/>
  <c r="AY321" i="30"/>
  <c r="AY103" i="30"/>
  <c r="N223" i="219"/>
  <c r="AD223" i="219" s="1"/>
  <c r="BS223" i="219" s="1"/>
  <c r="BQ223" i="219" s="1"/>
  <c r="BR377" i="219"/>
  <c r="BQ375" i="219"/>
  <c r="BQ102" i="219"/>
  <c r="BR108" i="219"/>
  <c r="BR56" i="219"/>
  <c r="BQ54" i="219"/>
  <c r="BR156" i="219"/>
  <c r="BR162" i="219" s="1"/>
  <c r="BR147" i="219" s="1"/>
  <c r="BQ154" i="219"/>
  <c r="BR302" i="219"/>
  <c r="BQ300" i="219"/>
  <c r="BQ37" i="219"/>
  <c r="BR39" i="219"/>
  <c r="BR321" i="219"/>
  <c r="BQ319" i="219"/>
  <c r="BR142" i="219"/>
  <c r="BQ140" i="219"/>
  <c r="BV11" i="31"/>
  <c r="BV17" i="31" s="1"/>
  <c r="BU9" i="31"/>
  <c r="BU77" i="31"/>
  <c r="BU91" i="31" s="1"/>
  <c r="BV91" i="31"/>
  <c r="BQ118" i="219"/>
  <c r="BR120" i="219"/>
  <c r="BQ239" i="219"/>
  <c r="BR241" i="219"/>
  <c r="BQ12" i="219"/>
  <c r="BQ69" i="219"/>
  <c r="BR71" i="219"/>
  <c r="BR409" i="219"/>
  <c r="BQ217" i="219"/>
  <c r="BR219" i="219"/>
  <c r="BQ201" i="219"/>
  <c r="BR207" i="219"/>
  <c r="BR394" i="219"/>
  <c r="BQ392" i="219"/>
  <c r="BV34" i="31"/>
  <c r="BV48" i="31" s="1"/>
  <c r="BU32" i="31"/>
  <c r="BQ253" i="219"/>
  <c r="BR255" i="219"/>
  <c r="BR329" i="219"/>
  <c r="BQ327" i="219"/>
  <c r="N153" i="219"/>
  <c r="AG153" i="219" s="1"/>
  <c r="BS153" i="219" s="1"/>
  <c r="BS156" i="219" s="1"/>
  <c r="N124" i="219"/>
  <c r="AD124" i="219" s="1"/>
  <c r="BS124" i="219" s="1"/>
  <c r="BQ124" i="219" s="1"/>
  <c r="AA348" i="30"/>
  <c r="AY348" i="30" s="1"/>
  <c r="AA186" i="30"/>
  <c r="BS255" i="219"/>
  <c r="P42" i="219"/>
  <c r="AJ42" i="219" s="1"/>
  <c r="BS42" i="219" s="1"/>
  <c r="BQ42" i="219" s="1"/>
  <c r="N318" i="219"/>
  <c r="AD318" i="219" s="1"/>
  <c r="BS318" i="219" s="1"/>
  <c r="BQ318" i="219" s="1"/>
  <c r="AA294" i="30"/>
  <c r="AY294" i="30" s="1"/>
  <c r="N216" i="219"/>
  <c r="AD216" i="219" s="1"/>
  <c r="BS216" i="219" s="1"/>
  <c r="BS219" i="219" s="1"/>
  <c r="P105" i="219"/>
  <c r="AI105" i="219" s="1"/>
  <c r="BS105" i="219" s="1"/>
  <c r="BQ105" i="219" s="1"/>
  <c r="AA20" i="30"/>
  <c r="AY20" i="30" s="1"/>
  <c r="P204" i="219"/>
  <c r="AI204" i="219" s="1"/>
  <c r="BS204" i="219" s="1"/>
  <c r="BQ204" i="219" s="1"/>
  <c r="P36" i="219"/>
  <c r="AJ36" i="219" s="1"/>
  <c r="BS36" i="219" s="1"/>
  <c r="BQ36" i="219" s="1"/>
  <c r="P299" i="219"/>
  <c r="AI299" i="219" s="1"/>
  <c r="BS299" i="219" s="1"/>
  <c r="BS302" i="219" s="1"/>
  <c r="BS329" i="219"/>
  <c r="P374" i="219"/>
  <c r="AJ374" i="219" s="1"/>
  <c r="BS374" i="219" s="1"/>
  <c r="BQ374" i="219" s="1"/>
  <c r="AA157" i="30"/>
  <c r="AY157" i="30" s="1"/>
  <c r="BQ380" i="219"/>
  <c r="N117" i="219"/>
  <c r="AD117" i="219" s="1"/>
  <c r="BS117" i="219" s="1"/>
  <c r="BQ117" i="219" s="1"/>
  <c r="P238" i="219"/>
  <c r="AD238" i="219" s="1"/>
  <c r="BS238" i="219" s="1"/>
  <c r="P139" i="219"/>
  <c r="AD139" i="219" s="1"/>
  <c r="BS139" i="219" s="1"/>
  <c r="Q363" i="219"/>
  <c r="Q25" i="219"/>
  <c r="AA130" i="30"/>
  <c r="AY130" i="30" s="1"/>
  <c r="AA72" i="30"/>
  <c r="AY72" i="30" s="1"/>
  <c r="P101" i="219"/>
  <c r="AI101" i="219" s="1"/>
  <c r="BS101" i="219" s="1"/>
  <c r="AA240" i="30"/>
  <c r="AY240" i="30" s="1"/>
  <c r="P200" i="219"/>
  <c r="AI200" i="219" s="1"/>
  <c r="BS200" i="219" s="1"/>
  <c r="I114" i="60"/>
  <c r="U114" i="60" s="1"/>
  <c r="H61" i="60"/>
  <c r="Q61" i="60" s="1"/>
  <c r="I234" i="60"/>
  <c r="U234" i="60" s="1"/>
  <c r="I204" i="60"/>
  <c r="U204" i="60" s="1"/>
  <c r="O31" i="31"/>
  <c r="AN31" i="31" s="1"/>
  <c r="BW31" i="31" s="1"/>
  <c r="P53" i="219"/>
  <c r="AF53" i="219" s="1"/>
  <c r="BS53" i="219" s="1"/>
  <c r="AA47" i="30"/>
  <c r="AY47" i="30" s="1"/>
  <c r="O102" i="31" s="1"/>
  <c r="N406" i="219"/>
  <c r="AF406" i="219" s="1"/>
  <c r="BS406" i="219" s="1"/>
  <c r="O8" i="31"/>
  <c r="AN8" i="31" s="1"/>
  <c r="BW8" i="31" s="1"/>
  <c r="N68" i="219"/>
  <c r="AF68" i="219" s="1"/>
  <c r="BS68" i="219" s="1"/>
  <c r="BQ350" i="219"/>
  <c r="U151" i="60" l="1"/>
  <c r="BU100" i="31"/>
  <c r="BW103" i="31"/>
  <c r="BW109" i="31" s="1"/>
  <c r="BW94" i="31" s="1"/>
  <c r="U91" i="60"/>
  <c r="BT338" i="219"/>
  <c r="BT292" i="219" s="1"/>
  <c r="BR338" i="219"/>
  <c r="BR292" i="219" s="1"/>
  <c r="BU41" i="31"/>
  <c r="BU44" i="31" s="1"/>
  <c r="BS314" i="219"/>
  <c r="BQ314" i="219" s="1"/>
  <c r="BQ311" i="219"/>
  <c r="BR145" i="219"/>
  <c r="BR94" i="219" s="1"/>
  <c r="BR244" i="219"/>
  <c r="BR193" i="219" s="1"/>
  <c r="BR261" i="219"/>
  <c r="BR246" i="219" s="1"/>
  <c r="BQ329" i="219"/>
  <c r="BQ219" i="219"/>
  <c r="U211" i="60"/>
  <c r="BV26" i="31"/>
  <c r="U241" i="60"/>
  <c r="BS226" i="219"/>
  <c r="BR411" i="219"/>
  <c r="BR386" i="219" s="1"/>
  <c r="BR73" i="219"/>
  <c r="BR48" i="219" s="1"/>
  <c r="BV2" i="31"/>
  <c r="BQ255" i="219"/>
  <c r="BQ261" i="219" s="1"/>
  <c r="BQ246" i="219" s="1"/>
  <c r="BS45" i="219"/>
  <c r="BS127" i="219"/>
  <c r="BQ299" i="219"/>
  <c r="BS321" i="219"/>
  <c r="BQ321" i="219" s="1"/>
  <c r="BQ153" i="219"/>
  <c r="BQ216" i="219"/>
  <c r="BS261" i="219"/>
  <c r="BS246" i="219" s="1"/>
  <c r="BS120" i="219"/>
  <c r="BQ120" i="219" s="1"/>
  <c r="BS39" i="219"/>
  <c r="BQ39" i="219" s="1"/>
  <c r="BS377" i="219"/>
  <c r="BQ377" i="219" s="1"/>
  <c r="BQ156" i="219"/>
  <c r="BQ162" i="219" s="1"/>
  <c r="BQ147" i="219" s="1"/>
  <c r="BS162" i="219"/>
  <c r="BS147" i="219" s="1"/>
  <c r="BQ406" i="219"/>
  <c r="BS409" i="219"/>
  <c r="BW34" i="31"/>
  <c r="BW48" i="31" s="1"/>
  <c r="BU31" i="31"/>
  <c r="BS108" i="219"/>
  <c r="BQ101" i="219"/>
  <c r="BS241" i="219"/>
  <c r="BQ241" i="219" s="1"/>
  <c r="BQ238" i="219"/>
  <c r="BW11" i="31"/>
  <c r="BU8" i="31"/>
  <c r="BS56" i="219"/>
  <c r="BQ53" i="219"/>
  <c r="BS142" i="219"/>
  <c r="BQ142" i="219" s="1"/>
  <c r="BQ139" i="219"/>
  <c r="BS71" i="219"/>
  <c r="BQ68" i="219"/>
  <c r="BQ71" i="219" s="1"/>
  <c r="BS207" i="219"/>
  <c r="BQ200" i="219"/>
  <c r="BQ391" i="219"/>
  <c r="BS394" i="219"/>
  <c r="U121" i="60"/>
  <c r="BQ302" i="219"/>
  <c r="BS244" i="219" l="1"/>
  <c r="BS338" i="219"/>
  <c r="BS292" i="219" s="1"/>
  <c r="BS145" i="219"/>
  <c r="BQ207" i="219"/>
  <c r="BS73" i="219"/>
  <c r="BS48" i="219" s="1"/>
  <c r="BW17" i="31"/>
  <c r="BQ108" i="219"/>
  <c r="BS411" i="219"/>
  <c r="BS386" i="219" s="1"/>
  <c r="BQ338" i="219" l="1"/>
  <c r="BQ292" i="219" s="1"/>
  <c r="BS193" i="219"/>
  <c r="BW26" i="31"/>
  <c r="BW2" i="31"/>
  <c r="BS94" i="219"/>
  <c r="C1021" i="276" l="1"/>
  <c r="K1021" i="276" s="1"/>
  <c r="S1023" i="276" s="1"/>
  <c r="M1031" i="276" l="1"/>
  <c r="S1031" i="276" s="1"/>
  <c r="C925" i="276"/>
  <c r="K925" i="276" s="1"/>
  <c r="S927" i="276" s="1"/>
  <c r="M935" i="276" l="1"/>
  <c r="S935" i="276" s="1"/>
  <c r="W77" i="49" l="1"/>
  <c r="AH89" i="49"/>
  <c r="AV89" i="49" s="1"/>
  <c r="AE530" i="49"/>
  <c r="L534" i="49" s="1"/>
  <c r="Z534" i="49" s="1"/>
  <c r="M438" i="49"/>
  <c r="U438" i="49"/>
  <c r="M402" i="49"/>
  <c r="U402" i="49"/>
  <c r="F548" i="49"/>
  <c r="F542" i="49"/>
  <c r="S542" i="49" s="1"/>
  <c r="AH361" i="49"/>
  <c r="AO361" i="49"/>
  <c r="AT358" i="49"/>
  <c r="L359" i="49" s="1"/>
  <c r="AD359" i="49" s="1"/>
  <c r="N546" i="49"/>
  <c r="AP530" i="49" l="1"/>
  <c r="F544" i="49"/>
  <c r="U544" i="49" s="1"/>
  <c r="L536" i="49"/>
  <c r="AE536" i="49" s="1"/>
  <c r="AA438" i="49"/>
  <c r="W80" i="49"/>
  <c r="F538" i="49"/>
  <c r="AI538" i="49" s="1"/>
  <c r="L532" i="49"/>
  <c r="Z532" i="49" s="1"/>
  <c r="L548" i="49"/>
  <c r="T548" i="49" s="1"/>
  <c r="H550" i="49" s="1"/>
  <c r="F540" i="49"/>
  <c r="AI540" i="49" s="1"/>
  <c r="AV361" i="49"/>
  <c r="AA402" i="49"/>
  <c r="F546" i="49" l="1"/>
  <c r="AB546" i="49" s="1"/>
  <c r="X408" i="219"/>
  <c r="AF408" i="219" s="1"/>
  <c r="BT408" i="219" s="1"/>
  <c r="BT409" i="219" l="1"/>
  <c r="BQ408" i="219"/>
  <c r="BQ409" i="219" s="1"/>
  <c r="C989" i="276" l="1"/>
  <c r="K989" i="276" s="1"/>
  <c r="S991" i="276" s="1"/>
  <c r="O1001" i="276"/>
  <c r="S1001" i="276" s="1"/>
  <c r="P1003" i="276"/>
  <c r="S1003" i="276" s="1"/>
  <c r="S901" i="276"/>
  <c r="M903" i="276"/>
  <c r="O903" i="276"/>
  <c r="P907" i="276"/>
  <c r="S907" i="276" s="1"/>
  <c r="P939" i="276"/>
  <c r="S939" i="276" s="1"/>
  <c r="O999" i="276" l="1"/>
  <c r="S903" i="276"/>
  <c r="M999" i="276"/>
  <c r="S999" i="276" l="1"/>
  <c r="BN207" i="30" l="1"/>
  <c r="BN208" i="30" s="1"/>
  <c r="BN183" i="30"/>
  <c r="BN184" i="30" s="1"/>
  <c r="P44" i="219" s="1"/>
  <c r="AJ44" i="219" s="1"/>
  <c r="BT44" i="219" s="1"/>
  <c r="BN264" i="30"/>
  <c r="BN265" i="30" s="1"/>
  <c r="X382" i="219"/>
  <c r="BT45" i="219" l="1"/>
  <c r="BQ44" i="219"/>
  <c r="Z55" i="219"/>
  <c r="AP55" i="219" s="1"/>
  <c r="BT55" i="219" s="1"/>
  <c r="Z393" i="219"/>
  <c r="AP393" i="219" s="1"/>
  <c r="BT393" i="219" s="1"/>
  <c r="O210" i="30"/>
  <c r="N126" i="219"/>
  <c r="AD126" i="219" s="1"/>
  <c r="BT126" i="219" s="1"/>
  <c r="N225" i="219"/>
  <c r="AD225" i="219" s="1"/>
  <c r="BT225" i="219" s="1"/>
  <c r="AM267" i="30"/>
  <c r="AY267" i="30" s="1"/>
  <c r="AM186" i="30"/>
  <c r="AY186" i="30" s="1"/>
  <c r="P382" i="219"/>
  <c r="AJ382" i="219" s="1"/>
  <c r="BT382" i="219" s="1"/>
  <c r="BT127" i="219" l="1"/>
  <c r="BT145" i="219" s="1"/>
  <c r="BQ126" i="219"/>
  <c r="BQ55" i="219"/>
  <c r="BT56" i="219"/>
  <c r="BQ382" i="219"/>
  <c r="BT383" i="219"/>
  <c r="BQ225" i="219"/>
  <c r="BT226" i="219"/>
  <c r="BT244" i="219" s="1"/>
  <c r="BT394" i="219"/>
  <c r="BQ393" i="219"/>
  <c r="BQ226" i="219" l="1"/>
  <c r="BQ394" i="219"/>
  <c r="BQ411" i="219" s="1"/>
  <c r="BQ386" i="219" s="1"/>
  <c r="BT411" i="219"/>
  <c r="BT386" i="219" s="1"/>
  <c r="BQ127" i="219"/>
  <c r="BT73" i="219"/>
  <c r="BT48" i="219" s="1"/>
  <c r="BQ56" i="219"/>
  <c r="BQ73" i="219" s="1"/>
  <c r="BQ48" i="219" s="1"/>
  <c r="BQ145" i="219" l="1"/>
  <c r="BQ94" i="219" s="1"/>
  <c r="BT94" i="219"/>
  <c r="BT193" i="219"/>
  <c r="BQ244" i="219"/>
  <c r="BQ193" i="219" s="1"/>
  <c r="H361" i="219" l="1"/>
  <c r="N361" i="219"/>
  <c r="AJ381" i="219"/>
  <c r="BR381" i="219" s="1"/>
  <c r="BR383" i="219" s="1"/>
  <c r="BQ383" i="219" s="1"/>
  <c r="T361" i="219" l="1"/>
  <c r="AD362" i="219" s="1"/>
  <c r="AJ362" i="219" s="1"/>
  <c r="BQ381" i="219"/>
  <c r="AQ363" i="219" l="1"/>
  <c r="Z364" i="219"/>
  <c r="AI364" i="219" s="1"/>
  <c r="AE368" i="219" s="1"/>
  <c r="BR368" i="219" s="1"/>
  <c r="Z365" i="219"/>
  <c r="AI365" i="219" s="1"/>
  <c r="AE369" i="219" s="1"/>
  <c r="BT369" i="219" s="1"/>
  <c r="Z363" i="219"/>
  <c r="AY363" i="219" l="1"/>
  <c r="AE367" i="219" s="1"/>
  <c r="BS367" i="219" s="1"/>
  <c r="BQ367" i="219" s="1"/>
  <c r="BQ369" i="219"/>
  <c r="BT370" i="219"/>
  <c r="BT384" i="219" s="1"/>
  <c r="BT340" i="219" s="1"/>
  <c r="BQ368" i="219"/>
  <c r="BR370" i="219"/>
  <c r="BS370" i="219" l="1"/>
  <c r="BS384" i="219" s="1"/>
  <c r="BS340" i="219" s="1"/>
  <c r="BR384" i="219"/>
  <c r="BR340" i="219" s="1"/>
  <c r="H23" i="219"/>
  <c r="N23" i="219"/>
  <c r="AJ43" i="219"/>
  <c r="BR43" i="219" s="1"/>
  <c r="BR45" i="219" s="1"/>
  <c r="BQ45" i="219" s="1"/>
  <c r="Y10" i="31"/>
  <c r="AG10" i="31"/>
  <c r="Y33" i="31"/>
  <c r="AG33" i="31"/>
  <c r="Y101" i="31"/>
  <c r="Y102" i="31" s="1"/>
  <c r="AG101" i="31"/>
  <c r="AG102" i="31" s="1"/>
  <c r="AN33" i="31" l="1"/>
  <c r="BX33" i="31" s="1"/>
  <c r="BX34" i="31" s="1"/>
  <c r="BX48" i="31" s="1"/>
  <c r="T23" i="219"/>
  <c r="AQ25" i="219" s="1"/>
  <c r="AN102" i="31"/>
  <c r="BX102" i="31" s="1"/>
  <c r="BU102" i="31" s="1"/>
  <c r="AN10" i="31"/>
  <c r="BX10" i="31" s="1"/>
  <c r="BU10" i="31" s="1"/>
  <c r="AN101" i="31"/>
  <c r="BV101" i="31" s="1"/>
  <c r="BV103" i="31" s="1"/>
  <c r="BQ370" i="219"/>
  <c r="BQ384" i="219" s="1"/>
  <c r="BQ340" i="219" s="1"/>
  <c r="BQ43" i="219"/>
  <c r="BV109" i="31" l="1"/>
  <c r="BV94" i="31" s="1"/>
  <c r="BX103" i="31"/>
  <c r="BX109" i="31" s="1"/>
  <c r="BX94" i="31" s="1"/>
  <c r="BX11" i="31"/>
  <c r="BX17" i="31" s="1"/>
  <c r="BX2" i="31" s="1"/>
  <c r="BU33" i="31"/>
  <c r="AD24" i="219"/>
  <c r="AJ24" i="219" s="1"/>
  <c r="Z25" i="219" s="1"/>
  <c r="AY25" i="219" s="1"/>
  <c r="AE29" i="219" s="1"/>
  <c r="BS29" i="219" s="1"/>
  <c r="BU101" i="31"/>
  <c r="BU34" i="31"/>
  <c r="BU103" i="31" l="1"/>
  <c r="BU109" i="31" s="1"/>
  <c r="BU94" i="31" s="1"/>
  <c r="BU48" i="31"/>
  <c r="BU26" i="31" s="1"/>
  <c r="Z26" i="219"/>
  <c r="AI26" i="219" s="1"/>
  <c r="AE30" i="219" s="1"/>
  <c r="BR30" i="219" s="1"/>
  <c r="BR32" i="219" s="1"/>
  <c r="BU11" i="31"/>
  <c r="BU17" i="31" s="1"/>
  <c r="BU2" i="31" s="1"/>
  <c r="Z27" i="219"/>
  <c r="AI27" i="219" s="1"/>
  <c r="AE31" i="219" s="1"/>
  <c r="BT31" i="219" s="1"/>
  <c r="BT32" i="219" s="1"/>
  <c r="BT46" i="219" s="1"/>
  <c r="BT2" i="219" s="1"/>
  <c r="BX26" i="31"/>
  <c r="BQ29" i="219"/>
  <c r="BS32" i="219"/>
  <c r="BS46" i="219" s="1"/>
  <c r="BS2" i="219" s="1"/>
  <c r="BQ30" i="219" l="1"/>
  <c r="BQ31" i="219"/>
  <c r="BR46" i="219"/>
  <c r="BR2" i="219" s="1"/>
  <c r="BQ32" i="219"/>
  <c r="BQ46" i="219" s="1"/>
  <c r="BQ2" i="219" s="1"/>
  <c r="J102" i="49" l="1"/>
  <c r="F121" i="49" s="1"/>
  <c r="T121" i="49" s="1"/>
  <c r="H123" i="49" l="1"/>
  <c r="N7" i="309" l="1"/>
  <c r="L18" i="394" l="1"/>
  <c r="F29" i="394" s="1"/>
  <c r="G29" i="394" s="1"/>
  <c r="Z22" i="389" l="1"/>
  <c r="I22" i="389" s="1"/>
  <c r="N28" i="309" l="1"/>
  <c r="F7" i="394" l="1"/>
  <c r="F13" i="394" l="1"/>
  <c r="F8" i="394"/>
  <c r="G8" i="394" s="1"/>
  <c r="F16" i="394"/>
  <c r="G16" i="394" s="1"/>
  <c r="G7" i="394"/>
  <c r="F14" i="394"/>
  <c r="G14" i="394" s="1"/>
  <c r="F9" i="394" l="1"/>
  <c r="F20" i="394" s="1"/>
  <c r="G20" i="394" s="1"/>
  <c r="G13" i="394"/>
  <c r="F15" i="394"/>
  <c r="G15" i="394" s="1"/>
  <c r="F11" i="394" l="1"/>
  <c r="G11" i="394" s="1"/>
  <c r="G9" i="394"/>
  <c r="F12" i="394"/>
  <c r="G12" i="394" s="1"/>
  <c r="F21" i="394"/>
  <c r="G21" i="394" s="1"/>
  <c r="F10" i="394" l="1"/>
  <c r="F4" i="394" l="1"/>
  <c r="F6" i="394" s="1"/>
  <c r="G10" i="394"/>
  <c r="G4" i="394" l="1"/>
  <c r="G6" i="394"/>
  <c r="F19" i="394"/>
  <c r="G19" i="394" s="1"/>
  <c r="L23" i="394"/>
  <c r="L22" i="394"/>
  <c r="H17" i="394" l="1"/>
  <c r="M22" i="394"/>
  <c r="H18" i="394"/>
  <c r="M23" i="394"/>
  <c r="F17" i="394"/>
  <c r="F22" i="394" s="1"/>
  <c r="G22" i="394" l="1"/>
  <c r="F23" i="394"/>
  <c r="G23" i="394" l="1"/>
  <c r="F24" i="394"/>
  <c r="G24" i="394" l="1"/>
  <c r="F25" i="394"/>
  <c r="G25" i="394" s="1"/>
  <c r="Z21" i="389" l="1"/>
  <c r="Z20" i="389" s="1"/>
  <c r="I20" i="389" s="1"/>
  <c r="V96" i="276"/>
  <c r="N2" i="373"/>
  <c r="N2" i="260"/>
  <c r="I21" i="389"/>
  <c r="F26" i="394"/>
  <c r="F27" i="394" l="1"/>
  <c r="G27" i="394" s="1"/>
  <c r="G26" i="394"/>
  <c r="F28" i="394" l="1"/>
  <c r="G28" i="394" s="1"/>
  <c r="F31" i="394" l="1"/>
  <c r="G31" i="394" s="1"/>
</calcChain>
</file>

<file path=xl/sharedStrings.xml><?xml version="1.0" encoding="utf-8"?>
<sst xmlns="http://schemas.openxmlformats.org/spreadsheetml/2006/main" count="6288" uniqueCount="1274">
  <si>
    <t>L</t>
    <phoneticPr fontId="51" type="noConversion"/>
  </si>
  <si>
    <t>잡    유</t>
    <phoneticPr fontId="51" type="noConversion"/>
  </si>
  <si>
    <t>경유(주연료)</t>
    <phoneticPr fontId="51" type="noConversion"/>
  </si>
  <si>
    <t>라.</t>
    <phoneticPr fontId="51" type="noConversion"/>
  </si>
  <si>
    <t>합    계</t>
    <phoneticPr fontId="51" type="noConversion"/>
  </si>
  <si>
    <t>1.</t>
    <phoneticPr fontId="51" type="noConversion"/>
  </si>
  <si>
    <t>T</t>
    <phoneticPr fontId="51" type="noConversion"/>
  </si>
  <si>
    <t>Tc</t>
    <phoneticPr fontId="51" type="noConversion"/>
  </si>
  <si>
    <t>(분)</t>
    <phoneticPr fontId="51" type="noConversion"/>
  </si>
  <si>
    <t>F</t>
    <phoneticPr fontId="51" type="noConversion"/>
  </si>
  <si>
    <t>단,</t>
    <phoneticPr fontId="51" type="noConversion"/>
  </si>
  <si>
    <t>작업계수 적용 산정후 1본당 작업소요 시간 (분)</t>
    <phoneticPr fontId="51" type="noConversion"/>
  </si>
  <si>
    <t>1 본당 F = 1 에서의 작업소요 시간 (분)</t>
    <phoneticPr fontId="51" type="noConversion"/>
  </si>
  <si>
    <t>1. 인력</t>
    <phoneticPr fontId="4" type="noConversion"/>
  </si>
  <si>
    <t>*되메우기</t>
    <phoneticPr fontId="4" type="noConversion"/>
  </si>
  <si>
    <t>( 인력 되메우기는 인력터파기에 있어서 0.1인 별도 가산)</t>
    <phoneticPr fontId="4" type="noConversion"/>
  </si>
  <si>
    <t>*다지기</t>
    <phoneticPr fontId="4" type="noConversion"/>
  </si>
  <si>
    <t>(토3-2)</t>
    <phoneticPr fontId="4" type="noConversion"/>
  </si>
  <si>
    <t>작업계수 (0.9)</t>
    <phoneticPr fontId="51" type="noConversion"/>
  </si>
  <si>
    <t>2.</t>
    <phoneticPr fontId="51" type="noConversion"/>
  </si>
  <si>
    <t>본당 설치비 산정</t>
    <phoneticPr fontId="51" type="noConversion"/>
  </si>
  <si>
    <t>가. 노 무 비 :</t>
    <phoneticPr fontId="51" type="noConversion"/>
  </si>
  <si>
    <t>[원/hr]</t>
    <phoneticPr fontId="51" type="noConversion"/>
  </si>
  <si>
    <t>[원/본]</t>
    <phoneticPr fontId="51" type="noConversion"/>
  </si>
  <si>
    <t>나. 재 료 비 :</t>
    <phoneticPr fontId="51" type="noConversion"/>
  </si>
  <si>
    <t>다. 경    비 :</t>
    <phoneticPr fontId="51" type="noConversion"/>
  </si>
  <si>
    <t>개소</t>
    <phoneticPr fontId="4" type="noConversion"/>
  </si>
  <si>
    <t>합   계</t>
    <phoneticPr fontId="4" type="noConversion"/>
  </si>
  <si>
    <t>재 료 비</t>
    <phoneticPr fontId="4" type="noConversion"/>
  </si>
  <si>
    <t>노 무 비</t>
    <phoneticPr fontId="4" type="noConversion"/>
  </si>
  <si>
    <t>단위</t>
    <phoneticPr fontId="4" type="noConversion"/>
  </si>
  <si>
    <t>금  액</t>
    <phoneticPr fontId="4" type="noConversion"/>
  </si>
  <si>
    <t>품    명</t>
    <phoneticPr fontId="4" type="noConversion"/>
  </si>
  <si>
    <t>규    격</t>
    <phoneticPr fontId="4" type="noConversion"/>
  </si>
  <si>
    <t>수량</t>
    <phoneticPr fontId="4" type="noConversion"/>
  </si>
  <si>
    <t>비고</t>
    <phoneticPr fontId="4" type="noConversion"/>
  </si>
  <si>
    <t>m</t>
    <phoneticPr fontId="4" type="noConversion"/>
  </si>
  <si>
    <t>EA</t>
    <phoneticPr fontId="4" type="noConversion"/>
  </si>
  <si>
    <t>기초산출#1</t>
    <phoneticPr fontId="51" type="noConversion"/>
  </si>
  <si>
    <t>수</t>
    <phoneticPr fontId="4" type="noConversion"/>
  </si>
  <si>
    <t xml:space="preserve">량  </t>
    <phoneticPr fontId="4" type="noConversion"/>
  </si>
  <si>
    <t>산</t>
    <phoneticPr fontId="4" type="noConversion"/>
  </si>
  <si>
    <t>출</t>
    <phoneticPr fontId="4" type="noConversion"/>
  </si>
  <si>
    <t>서</t>
    <phoneticPr fontId="4" type="noConversion"/>
  </si>
  <si>
    <t>계</t>
    <phoneticPr fontId="4" type="noConversion"/>
  </si>
  <si>
    <t>1. 터파기</t>
    <phoneticPr fontId="69" type="noConversion"/>
  </si>
  <si>
    <t>V1 = h/6 { (2a+a')b + (2a'+a)b' }</t>
    <phoneticPr fontId="69" type="noConversion"/>
  </si>
  <si>
    <t>a =</t>
    <phoneticPr fontId="4" type="noConversion"/>
  </si>
  <si>
    <t>a' =</t>
    <phoneticPr fontId="4" type="noConversion"/>
  </si>
  <si>
    <t>h =</t>
    <phoneticPr fontId="4" type="noConversion"/>
  </si>
  <si>
    <t>b =</t>
    <phoneticPr fontId="4" type="noConversion"/>
  </si>
  <si>
    <t>b' =</t>
    <phoneticPr fontId="4" type="noConversion"/>
  </si>
  <si>
    <t>V1=</t>
    <phoneticPr fontId="51" type="noConversion"/>
  </si>
  <si>
    <t>2. 레미콘</t>
    <phoneticPr fontId="69" type="noConversion"/>
  </si>
  <si>
    <t>V2 = a*b*h</t>
    <phoneticPr fontId="51" type="noConversion"/>
  </si>
  <si>
    <t>A</t>
    <phoneticPr fontId="6" type="noConversion"/>
  </si>
  <si>
    <t>B</t>
    <phoneticPr fontId="6" type="noConversion"/>
  </si>
  <si>
    <t>V2 =</t>
    <phoneticPr fontId="69" type="noConversion"/>
  </si>
  <si>
    <t>3. 되메우기.다짐</t>
    <phoneticPr fontId="51" type="noConversion"/>
  </si>
  <si>
    <t>+</t>
    <phoneticPr fontId="4" type="noConversion"/>
  </si>
  <si>
    <t>건설기계 운전사  :</t>
    <phoneticPr fontId="4" type="noConversion"/>
  </si>
  <si>
    <t>경비</t>
    <phoneticPr fontId="4" type="noConversion"/>
  </si>
  <si>
    <t>보통인부 :</t>
    <phoneticPr fontId="4" type="noConversion"/>
  </si>
  <si>
    <t>소 계</t>
    <phoneticPr fontId="4" type="noConversion"/>
  </si>
  <si>
    <t>(</t>
    <phoneticPr fontId="4" type="noConversion"/>
  </si>
  <si>
    <t>V =</t>
    <phoneticPr fontId="4" type="noConversion"/>
  </si>
  <si>
    <t>재 료 비 :</t>
    <phoneticPr fontId="4" type="noConversion"/>
  </si>
  <si>
    <t>노 무 비 :</t>
    <phoneticPr fontId="4" type="noConversion"/>
  </si>
  <si>
    <t>경    비 :</t>
    <phoneticPr fontId="4" type="noConversion"/>
  </si>
  <si>
    <t>합 계</t>
    <phoneticPr fontId="4" type="noConversion"/>
  </si>
  <si>
    <t>㎥/hr</t>
    <phoneticPr fontId="4" type="noConversion"/>
  </si>
  <si>
    <t>q =</t>
    <phoneticPr fontId="4" type="noConversion"/>
  </si>
  <si>
    <t>,</t>
    <phoneticPr fontId="4" type="noConversion"/>
  </si>
  <si>
    <t>K =</t>
    <phoneticPr fontId="4" type="noConversion"/>
  </si>
  <si>
    <t>E =</t>
    <phoneticPr fontId="4" type="noConversion"/>
  </si>
  <si>
    <t>Cm =</t>
    <phoneticPr fontId="4" type="noConversion"/>
  </si>
  <si>
    <t>SEC (90도)</t>
    <phoneticPr fontId="4" type="noConversion"/>
  </si>
  <si>
    <t>-</t>
    <phoneticPr fontId="4" type="noConversion"/>
  </si>
  <si>
    <t>포장공</t>
    <phoneticPr fontId="4" type="noConversion"/>
  </si>
  <si>
    <t>+</t>
    <phoneticPr fontId="51" type="noConversion"/>
  </si>
  <si>
    <t>경고용테이프</t>
    <phoneticPr fontId="51" type="noConversion"/>
  </si>
  <si>
    <t>W</t>
    <phoneticPr fontId="51" type="noConversion"/>
  </si>
  <si>
    <t>:</t>
    <phoneticPr fontId="51" type="noConversion"/>
  </si>
  <si>
    <t>(200x250)</t>
    <phoneticPr fontId="51" type="noConversion"/>
  </si>
  <si>
    <t>W1</t>
    <phoneticPr fontId="51" type="noConversion"/>
  </si>
  <si>
    <t>W2</t>
    <phoneticPr fontId="51" type="noConversion"/>
  </si>
  <si>
    <t>D1</t>
    <phoneticPr fontId="51" type="noConversion"/>
  </si>
  <si>
    <t>D2</t>
    <phoneticPr fontId="51" type="noConversion"/>
  </si>
  <si>
    <t>D3</t>
    <phoneticPr fontId="51" type="noConversion"/>
  </si>
  <si>
    <t>1)</t>
    <phoneticPr fontId="51" type="noConversion"/>
  </si>
  <si>
    <t>터파기</t>
    <phoneticPr fontId="51" type="noConversion"/>
  </si>
  <si>
    <t>=</t>
    <phoneticPr fontId="51" type="noConversion"/>
  </si>
  <si>
    <t>x</t>
    <phoneticPr fontId="51" type="noConversion"/>
  </si>
  <si>
    <t>(토3-1-3)</t>
    <phoneticPr fontId="4" type="noConversion"/>
  </si>
  <si>
    <t>(건품:토11-3)</t>
    <phoneticPr fontId="4" type="noConversion"/>
  </si>
  <si>
    <t>화물차운전사</t>
    <phoneticPr fontId="4" type="noConversion"/>
  </si>
  <si>
    <t>일반기계운전사</t>
    <phoneticPr fontId="4" type="noConversion"/>
  </si>
  <si>
    <t>건설기계 운전사</t>
    <phoneticPr fontId="4" type="noConversion"/>
  </si>
  <si>
    <t>[원/hr]</t>
    <phoneticPr fontId="4" type="noConversion"/>
  </si>
  <si>
    <t>/</t>
    <phoneticPr fontId="4" type="noConversion"/>
  </si>
  <si>
    <t>x</t>
    <phoneticPr fontId="4" type="noConversion"/>
  </si>
  <si>
    <t>천원 =</t>
    <phoneticPr fontId="4" type="noConversion"/>
  </si>
  <si>
    <t>합  계  :</t>
    <phoneticPr fontId="4" type="noConversion"/>
  </si>
  <si>
    <t>=</t>
    <phoneticPr fontId="4" type="noConversion"/>
  </si>
  <si>
    <t>( 중기가격 :</t>
    <phoneticPr fontId="4" type="noConversion"/>
  </si>
  <si>
    <t>인 x</t>
    <phoneticPr fontId="4" type="noConversion"/>
  </si>
  <si>
    <t>원 x 1 /</t>
    <phoneticPr fontId="4" type="noConversion"/>
  </si>
  <si>
    <t>천원 )</t>
    <phoneticPr fontId="4" type="noConversion"/>
  </si>
  <si>
    <t>주 연료(경유)    :</t>
    <phoneticPr fontId="4" type="noConversion"/>
  </si>
  <si>
    <t>합계</t>
    <phoneticPr fontId="4" type="noConversion"/>
  </si>
  <si>
    <t>노무비</t>
    <phoneticPr fontId="4" type="noConversion"/>
  </si>
  <si>
    <t>재료비</t>
    <phoneticPr fontId="4" type="noConversion"/>
  </si>
  <si>
    <t>콘크리트 포장절단 (m당)</t>
    <phoneticPr fontId="4" type="noConversion"/>
  </si>
  <si>
    <t>특별인부</t>
    <phoneticPr fontId="4" type="noConversion"/>
  </si>
  <si>
    <t>보통인부</t>
    <phoneticPr fontId="4" type="noConversion"/>
  </si>
  <si>
    <t>1) 블레이드 (D=320-400mm T=3.2mm)</t>
    <phoneticPr fontId="4" type="noConversion"/>
  </si>
  <si>
    <t>EA /</t>
    <phoneticPr fontId="4" type="noConversion"/>
  </si>
  <si>
    <t>M =</t>
    <phoneticPr fontId="4" type="noConversion"/>
  </si>
  <si>
    <t>특별인부 :</t>
    <phoneticPr fontId="4" type="noConversion"/>
  </si>
  <si>
    <t>인 /</t>
    <phoneticPr fontId="4" type="noConversion"/>
  </si>
  <si>
    <t>식</t>
    <phoneticPr fontId="4" type="noConversion"/>
  </si>
  <si>
    <t>2. 물운반비</t>
    <phoneticPr fontId="4" type="noConversion"/>
  </si>
  <si>
    <t>L) :</t>
    <phoneticPr fontId="4" type="noConversion"/>
  </si>
  <si>
    <t>L 소요</t>
    <phoneticPr fontId="4" type="noConversion"/>
  </si>
  <si>
    <t>CW =</t>
    <phoneticPr fontId="4" type="noConversion"/>
  </si>
  <si>
    <t>L =</t>
    <phoneticPr fontId="4" type="noConversion"/>
  </si>
  <si>
    <t>KM,</t>
    <phoneticPr fontId="4" type="noConversion"/>
  </si>
  <si>
    <t>KM/HR</t>
    <phoneticPr fontId="4" type="noConversion"/>
  </si>
  <si>
    <t>흡입준비 :</t>
    <phoneticPr fontId="4" type="noConversion"/>
  </si>
  <si>
    <t>분</t>
    <phoneticPr fontId="4" type="noConversion"/>
  </si>
  <si>
    <t>흡   입  :</t>
    <phoneticPr fontId="4" type="noConversion"/>
  </si>
  <si>
    <t>대   기  :</t>
    <phoneticPr fontId="4" type="noConversion"/>
  </si>
  <si>
    <t>살   수  :</t>
    <phoneticPr fontId="4" type="noConversion"/>
  </si>
  <si>
    <t>:</t>
    <phoneticPr fontId="4" type="noConversion"/>
  </si>
  <si>
    <t>T2 =</t>
    <phoneticPr fontId="4" type="noConversion"/>
  </si>
  <si>
    <t>CM =</t>
    <phoneticPr fontId="4" type="noConversion"/>
  </si>
  <si>
    <t>Q = (</t>
    <phoneticPr fontId="4" type="noConversion"/>
  </si>
  <si>
    <t>) /</t>
    <phoneticPr fontId="4" type="noConversion"/>
  </si>
  <si>
    <t>재료비(TJ) =</t>
    <phoneticPr fontId="4" type="noConversion"/>
  </si>
  <si>
    <t>) =</t>
    <phoneticPr fontId="4" type="noConversion"/>
  </si>
  <si>
    <t>노무비(TL) =</t>
    <phoneticPr fontId="4" type="noConversion"/>
  </si>
  <si>
    <t>경  비(TK) =</t>
    <phoneticPr fontId="4" type="noConversion"/>
  </si>
  <si>
    <t>그러므로</t>
    <phoneticPr fontId="4" type="noConversion"/>
  </si>
  <si>
    <t>Q =</t>
    <phoneticPr fontId="4" type="noConversion"/>
  </si>
  <si>
    <t>M/hr =</t>
    <phoneticPr fontId="4" type="noConversion"/>
  </si>
  <si>
    <t>아스팔트 포장절단 (m당)</t>
    <phoneticPr fontId="4" type="noConversion"/>
  </si>
  <si>
    <t>1) 기계사용료(대형브레이카 + 백호우 0.2㎥)</t>
    <phoneticPr fontId="4" type="noConversion"/>
  </si>
  <si>
    <t>2) 보통인부</t>
    <phoneticPr fontId="4" type="noConversion"/>
  </si>
  <si>
    <t>) / (Q x</t>
    <phoneticPr fontId="4" type="noConversion"/>
  </si>
  <si>
    <t>hr ) =</t>
    <phoneticPr fontId="4" type="noConversion"/>
  </si>
  <si>
    <t>) / Q =</t>
    <phoneticPr fontId="4" type="noConversion"/>
  </si>
  <si>
    <t>2. 집토 및 상차(백호우 0.2㎥)</t>
    <phoneticPr fontId="4" type="noConversion"/>
  </si>
  <si>
    <t>소규모ASP포장깨기 B.H 0.2㎥ (㎥당)</t>
    <phoneticPr fontId="4" type="noConversion"/>
  </si>
  <si>
    <t>▷</t>
    <phoneticPr fontId="4" type="noConversion"/>
  </si>
  <si>
    <t>포장두께 :</t>
    <phoneticPr fontId="4" type="noConversion"/>
  </si>
  <si>
    <t>cm</t>
    <phoneticPr fontId="4" type="noConversion"/>
  </si>
  <si>
    <t>cm x 1회 포설</t>
    <phoneticPr fontId="4" type="noConversion"/>
  </si>
  <si>
    <t>a당 소요중량</t>
    <phoneticPr fontId="4" type="noConversion"/>
  </si>
  <si>
    <t>2. 인원구성</t>
    <phoneticPr fontId="4" type="noConversion"/>
  </si>
  <si>
    <t>- 포 장 공 :</t>
    <phoneticPr fontId="4" type="noConversion"/>
  </si>
  <si>
    <t>- 보통인부 :</t>
    <phoneticPr fontId="4" type="noConversion"/>
  </si>
  <si>
    <t>1) 머카담로라(8-10TON)</t>
    <phoneticPr fontId="4" type="noConversion"/>
  </si>
  <si>
    <t>인</t>
    <phoneticPr fontId="4" type="noConversion"/>
  </si>
  <si>
    <t>1. ASPHALT 살포비(DISTRIBUTOR 3800L)</t>
    <phoneticPr fontId="4" type="noConversion"/>
  </si>
  <si>
    <t>2. 인건비</t>
    <phoneticPr fontId="4" type="noConversion"/>
  </si>
  <si>
    <t>%</t>
    <phoneticPr fontId="4" type="noConversion"/>
  </si>
  <si>
    <t xml:space="preserve">( 중기가격 : </t>
    <phoneticPr fontId="51" type="noConversion"/>
  </si>
  <si>
    <t>내선전공</t>
    <phoneticPr fontId="51" type="noConversion"/>
  </si>
  <si>
    <t>(전품5-27)</t>
    <phoneticPr fontId="51" type="noConversion"/>
  </si>
  <si>
    <t xml:space="preserve">◎ 단가산출 #16 : 터파기 (인력: 100%) (㎥당)  </t>
    <phoneticPr fontId="4" type="noConversion"/>
  </si>
  <si>
    <t>◎ 단가산출 #17 : 되메우기 및 다짐</t>
    <phoneticPr fontId="4" type="noConversion"/>
  </si>
  <si>
    <t>◎ 단가산출 #18 : 모래 부설 (기계:100%)        ㎥당</t>
    <phoneticPr fontId="4" type="noConversion"/>
  </si>
  <si>
    <t>1. 기계 : 백호우(0.2㎥) :</t>
    <phoneticPr fontId="4" type="noConversion"/>
  </si>
  <si>
    <t>f =</t>
    <phoneticPr fontId="4" type="noConversion"/>
  </si>
  <si>
    <t>원/㎥</t>
    <phoneticPr fontId="4" type="noConversion"/>
  </si>
  <si>
    <t>2. 인력</t>
    <phoneticPr fontId="4" type="noConversion"/>
  </si>
  <si>
    <t>건설기계 조장</t>
    <phoneticPr fontId="4" type="noConversion"/>
  </si>
  <si>
    <t>EA</t>
  </si>
  <si>
    <t>㎥</t>
  </si>
  <si>
    <t>계</t>
  </si>
  <si>
    <t>내선전공</t>
  </si>
  <si>
    <t>인</t>
  </si>
  <si>
    <t>보통인부</t>
  </si>
  <si>
    <t>형틀목공</t>
  </si>
  <si>
    <t>철공</t>
  </si>
  <si>
    <t>철근공</t>
  </si>
  <si>
    <t>철판공</t>
  </si>
  <si>
    <t>미장공</t>
  </si>
  <si>
    <t>방수공</t>
  </si>
  <si>
    <t>콘크리트공</t>
  </si>
  <si>
    <t>배관공</t>
  </si>
  <si>
    <t>배전전공</t>
  </si>
  <si>
    <t>특별고압케이블전공</t>
  </si>
  <si>
    <t>저압케이블전공</t>
  </si>
  <si>
    <t>통신외선공</t>
  </si>
  <si>
    <t>통신설비공</t>
  </si>
  <si>
    <t>통신내선공</t>
  </si>
  <si>
    <t>통신케이블공</t>
  </si>
  <si>
    <t>무선안테나공</t>
  </si>
  <si>
    <t>특별인부</t>
  </si>
  <si>
    <t>건설기계 조장</t>
  </si>
  <si>
    <t>광케이블 설치사</t>
  </si>
  <si>
    <t>전기공사기사</t>
  </si>
  <si>
    <t>전기공사 산업기사</t>
  </si>
  <si>
    <t>변전 전공</t>
  </si>
  <si>
    <t>개소</t>
  </si>
  <si>
    <t>(M)당</t>
  </si>
  <si>
    <t>V =</t>
  </si>
  <si>
    <t>1/2</t>
  </si>
  <si>
    <t>+</t>
  </si>
  <si>
    <t>) x</t>
  </si>
  <si>
    <t>x</t>
  </si>
  <si>
    <t>[㎥]</t>
  </si>
  <si>
    <t>터파기량</t>
  </si>
  <si>
    <t>-</t>
  </si>
  <si>
    <t>노무비 (저압 케이블공)</t>
  </si>
  <si>
    <t>노무비 (보통인부)</t>
  </si>
  <si>
    <t>:</t>
  </si>
  <si>
    <t>W1</t>
  </si>
  <si>
    <t>Y1</t>
  </si>
  <si>
    <t>W2</t>
  </si>
  <si>
    <t>Y2</t>
  </si>
  <si>
    <t>W3</t>
  </si>
  <si>
    <t>Y3</t>
  </si>
  <si>
    <t>W4</t>
  </si>
  <si>
    <t>Y4</t>
  </si>
  <si>
    <t>H</t>
  </si>
  <si>
    <t>=</t>
  </si>
  <si>
    <t>되메우기 및 다짐(기계)</t>
  </si>
  <si>
    <t>잔토처리(인력)</t>
  </si>
  <si>
    <t>포장절단</t>
  </si>
  <si>
    <t>1. 이형철근( D 10 )</t>
  </si>
  <si>
    <t>소요 철근량 =</t>
  </si>
  <si>
    <t>[Kg]</t>
  </si>
  <si>
    <t>2. 앙카볼트</t>
  </si>
  <si>
    <t>W</t>
  </si>
  <si>
    <t>D1</t>
  </si>
  <si>
    <t>D2</t>
  </si>
  <si>
    <t>D3</t>
  </si>
  <si>
    <t>D4</t>
  </si>
  <si>
    <t>[㎡]</t>
  </si>
  <si>
    <t>[a]</t>
  </si>
  <si>
    <t>1)</t>
  </si>
  <si>
    <t>표층(T=5cm)</t>
  </si>
  <si>
    <t>[ton]</t>
  </si>
  <si>
    <t>2)</t>
  </si>
  <si>
    <t>기층(T=10cm)</t>
  </si>
  <si>
    <t>3)</t>
  </si>
  <si>
    <t>보조 기층(Φ40mm)</t>
  </si>
  <si>
    <t>/</t>
  </si>
  <si>
    <t>4)</t>
  </si>
  <si>
    <t>택코팅(RSC-4 30ℓ/a)</t>
  </si>
  <si>
    <t>ℓ/a</t>
  </si>
  <si>
    <t>[D/M]</t>
  </si>
  <si>
    <t>5)</t>
  </si>
  <si>
    <t>프라임코팅(MC-1 75ℓ/a)</t>
  </si>
  <si>
    <t>6)</t>
  </si>
  <si>
    <t>[m]</t>
  </si>
  <si>
    <t>7)</t>
  </si>
  <si>
    <t>8)</t>
  </si>
  <si>
    <t>폐기물처리</t>
  </si>
  <si>
    <t>9)</t>
  </si>
  <si>
    <t>10)</t>
  </si>
  <si>
    <t>(</t>
  </si>
  <si>
    <t>)</t>
  </si>
  <si>
    <t>(M)</t>
  </si>
  <si>
    <t>ℓ x</t>
  </si>
  <si>
    <t>휘발유</t>
    <phoneticPr fontId="4" type="noConversion"/>
  </si>
  <si>
    <t>경 유</t>
    <phoneticPr fontId="4" type="noConversion"/>
  </si>
  <si>
    <t>[원/본]</t>
  </si>
  <si>
    <t>가.</t>
    <phoneticPr fontId="51" type="noConversion"/>
  </si>
  <si>
    <t>노 무 비</t>
    <phoneticPr fontId="51" type="noConversion"/>
  </si>
  <si>
    <t>인</t>
    <phoneticPr fontId="51" type="noConversion"/>
  </si>
  <si>
    <t>원</t>
    <phoneticPr fontId="51" type="noConversion"/>
  </si>
  <si>
    <t>/</t>
    <phoneticPr fontId="51" type="noConversion"/>
  </si>
  <si>
    <t>원/hr</t>
    <phoneticPr fontId="51" type="noConversion"/>
  </si>
  <si>
    <t>계</t>
    <phoneticPr fontId="51" type="noConversion"/>
  </si>
  <si>
    <t>주 연 료</t>
    <phoneticPr fontId="51" type="noConversion"/>
  </si>
  <si>
    <t>내  역  서</t>
    <phoneticPr fontId="4" type="noConversion"/>
  </si>
  <si>
    <t>일 위 대 가 표</t>
    <phoneticPr fontId="4" type="noConversion"/>
  </si>
  <si>
    <t>수 량 산 출 서</t>
    <phoneticPr fontId="4" type="noConversion"/>
  </si>
  <si>
    <t>기 초 산 출 서</t>
    <phoneticPr fontId="4" type="noConversion"/>
  </si>
  <si>
    <t>계</t>
    <phoneticPr fontId="4" type="noConversion"/>
  </si>
  <si>
    <t>단 가 비 교 표</t>
    <phoneticPr fontId="4" type="noConversion"/>
  </si>
  <si>
    <t>견  적  서</t>
    <phoneticPr fontId="4" type="noConversion"/>
  </si>
  <si>
    <t>단 가 산 출 서</t>
    <phoneticPr fontId="4" type="noConversion"/>
  </si>
  <si>
    <t>원  =</t>
    <phoneticPr fontId="4" type="noConversion"/>
  </si>
  <si>
    <t>[원/hr]</t>
    <phoneticPr fontId="4" type="noConversion"/>
  </si>
  <si>
    <t>잡 품            :</t>
    <phoneticPr fontId="4" type="noConversion"/>
  </si>
  <si>
    <t>주연료   x</t>
    <phoneticPr fontId="4" type="noConversion"/>
  </si>
  <si>
    <t>%   =</t>
    <phoneticPr fontId="4" type="noConversion"/>
  </si>
  <si>
    <t>계</t>
    <phoneticPr fontId="4" type="noConversion"/>
  </si>
  <si>
    <t>굴삭기(유압식 백호우) :</t>
    <phoneticPr fontId="4" type="noConversion"/>
  </si>
  <si>
    <t>/</t>
    <phoneticPr fontId="4" type="noConversion"/>
  </si>
  <si>
    <t>x</t>
    <phoneticPr fontId="4" type="noConversion"/>
  </si>
  <si>
    <t>천원 =</t>
    <phoneticPr fontId="4" type="noConversion"/>
  </si>
  <si>
    <t>합  계  :</t>
    <phoneticPr fontId="4" type="noConversion"/>
  </si>
  <si>
    <t>+</t>
    <phoneticPr fontId="4" type="noConversion"/>
  </si>
  <si>
    <t>=</t>
    <phoneticPr fontId="4" type="noConversion"/>
  </si>
  <si>
    <t>중기명 :</t>
    <phoneticPr fontId="4" type="noConversion"/>
  </si>
  <si>
    <t>플레이트 콤팩트(1.5TON)</t>
    <phoneticPr fontId="4" type="noConversion"/>
  </si>
  <si>
    <t>( 중기가격 :</t>
    <phoneticPr fontId="4" type="noConversion"/>
  </si>
  <si>
    <t>건설기계 운전사  :</t>
    <phoneticPr fontId="4" type="noConversion"/>
  </si>
  <si>
    <t>인 x</t>
    <phoneticPr fontId="4" type="noConversion"/>
  </si>
  <si>
    <t>원 x 1 /</t>
    <phoneticPr fontId="4" type="noConversion"/>
  </si>
  <si>
    <t>주 연료(휘발유)  :</t>
    <phoneticPr fontId="4" type="noConversion"/>
  </si>
  <si>
    <t>플레이트 콤팩트(1.5ton) :</t>
    <phoneticPr fontId="4" type="noConversion"/>
  </si>
  <si>
    <t>커 터  320-400㎜</t>
    <phoneticPr fontId="4" type="noConversion"/>
  </si>
  <si>
    <t>천원 )</t>
    <phoneticPr fontId="4" type="noConversion"/>
  </si>
  <si>
    <t>컷터  320-400㎜       :</t>
    <phoneticPr fontId="4" type="noConversion"/>
  </si>
  <si>
    <t>물탱크  5500L</t>
    <phoneticPr fontId="4" type="noConversion"/>
  </si>
  <si>
    <t>주 연료(경유)    :</t>
    <phoneticPr fontId="4" type="noConversion"/>
  </si>
  <si>
    <t>물탱크  5500L    :</t>
    <phoneticPr fontId="4" type="noConversion"/>
  </si>
  <si>
    <t>/</t>
    <phoneticPr fontId="4" type="noConversion"/>
  </si>
  <si>
    <t>x</t>
    <phoneticPr fontId="4" type="noConversion"/>
  </si>
  <si>
    <t>천원 =</t>
    <phoneticPr fontId="4" type="noConversion"/>
  </si>
  <si>
    <t>[원/hr]</t>
    <phoneticPr fontId="4" type="noConversion"/>
  </si>
  <si>
    <t>합  계  :</t>
    <phoneticPr fontId="4" type="noConversion"/>
  </si>
  <si>
    <t>중기명 :</t>
    <phoneticPr fontId="4" type="noConversion"/>
  </si>
  <si>
    <t>( 중기가격 :</t>
    <phoneticPr fontId="4" type="noConversion"/>
  </si>
  <si>
    <t>건설기계 운전사  :</t>
    <phoneticPr fontId="4" type="noConversion"/>
  </si>
  <si>
    <t>인 x</t>
    <phoneticPr fontId="4" type="noConversion"/>
  </si>
  <si>
    <t>원 x 1 /</t>
    <phoneticPr fontId="4" type="noConversion"/>
  </si>
  <si>
    <t>=</t>
    <phoneticPr fontId="4" type="noConversion"/>
  </si>
  <si>
    <t>주 연료(경유)    :</t>
    <phoneticPr fontId="4" type="noConversion"/>
  </si>
  <si>
    <t>아스팔트 페어퍼(휘니셔) :</t>
    <phoneticPr fontId="4" type="noConversion"/>
  </si>
  <si>
    <t>타이어롤러(자주식)  :</t>
    <phoneticPr fontId="4" type="noConversion"/>
  </si>
  <si>
    <t>머캐덤 롤러(자주식)  8-10TON</t>
    <phoneticPr fontId="4" type="noConversion"/>
  </si>
  <si>
    <t>머캐덤 롤러(자주식)  :</t>
    <phoneticPr fontId="4" type="noConversion"/>
  </si>
  <si>
    <t>주 연료(휘발류)    :</t>
    <phoneticPr fontId="4" type="noConversion"/>
  </si>
  <si>
    <t>아스팔트 살포기  :</t>
    <phoneticPr fontId="4" type="noConversion"/>
  </si>
  <si>
    <t>모우터그레이더 3.6(일반용)</t>
    <phoneticPr fontId="4" type="noConversion"/>
  </si>
  <si>
    <t>무우터그레이더       :</t>
    <phoneticPr fontId="4" type="noConversion"/>
  </si>
  <si>
    <t>진동 롤러(자주식)  :</t>
    <phoneticPr fontId="4" type="noConversion"/>
  </si>
  <si>
    <t xml:space="preserve">V3 = </t>
    <phoneticPr fontId="69" type="noConversion"/>
  </si>
  <si>
    <t>V1 -</t>
    <phoneticPr fontId="4" type="noConversion"/>
  </si>
  <si>
    <t>V4</t>
    <phoneticPr fontId="4" type="noConversion"/>
  </si>
  <si>
    <t>-</t>
    <phoneticPr fontId="6" type="noConversion"/>
  </si>
  <si>
    <t>4. 잔토처리</t>
    <phoneticPr fontId="51" type="noConversion"/>
  </si>
  <si>
    <t xml:space="preserve">V4   = </t>
    <phoneticPr fontId="69" type="noConversion"/>
  </si>
  <si>
    <t>B</t>
    <phoneticPr fontId="4" type="noConversion"/>
  </si>
  <si>
    <t>{(</t>
    <phoneticPr fontId="4" type="noConversion"/>
  </si>
  <si>
    <t>2  *</t>
    <phoneticPr fontId="4" type="noConversion"/>
  </si>
  <si>
    <t>}  *</t>
    <phoneticPr fontId="4" type="noConversion"/>
  </si>
  <si>
    <t>㎡</t>
    <phoneticPr fontId="51" type="noConversion"/>
  </si>
  <si>
    <t>6. 앵카볼트</t>
    <phoneticPr fontId="51" type="noConversion"/>
  </si>
  <si>
    <t>7. 전선관</t>
    <phoneticPr fontId="4" type="noConversion"/>
  </si>
  <si>
    <t>관로터파기(보도)</t>
    <phoneticPr fontId="51" type="noConversion"/>
  </si>
  <si>
    <t>계  산  서</t>
    <phoneticPr fontId="4" type="noConversion"/>
  </si>
  <si>
    <t>기초산출#2</t>
    <phoneticPr fontId="51" type="noConversion"/>
  </si>
  <si>
    <t xml:space="preserve"> 9. 접지봉 (14Φ*1000*1본)</t>
    <phoneticPr fontId="4" type="noConversion"/>
  </si>
  <si>
    <t>2. 맨홀부피</t>
    <phoneticPr fontId="69" type="noConversion"/>
  </si>
  <si>
    <t>hr</t>
  </si>
  <si>
    <t>작업능력 산정</t>
    <phoneticPr fontId="51" type="noConversion"/>
  </si>
  <si>
    <t>경관조명 제어반 기초</t>
    <phoneticPr fontId="6" type="noConversion"/>
  </si>
  <si>
    <t>3. 커터(커터 320-400)</t>
    <phoneticPr fontId="4" type="noConversion"/>
  </si>
  <si>
    <t>Φ9x70L</t>
    <phoneticPr fontId="4" type="noConversion"/>
  </si>
  <si>
    <t>비   고</t>
    <phoneticPr fontId="4" type="noConversion"/>
  </si>
  <si>
    <t>작업반장</t>
  </si>
  <si>
    <t>용접공</t>
  </si>
  <si>
    <t>할석공</t>
  </si>
  <si>
    <t>포장공</t>
  </si>
  <si>
    <t>조적공</t>
  </si>
  <si>
    <t>도장공</t>
  </si>
  <si>
    <t>석공</t>
  </si>
  <si>
    <t>줄눈공</t>
  </si>
  <si>
    <t>조경공</t>
  </si>
  <si>
    <t>건설기계 운전사</t>
  </si>
  <si>
    <t>화물차운전사</t>
  </si>
  <si>
    <t>일반기계운전사</t>
  </si>
  <si>
    <t>기계설비공</t>
  </si>
  <si>
    <t xml:space="preserve"> </t>
    <phoneticPr fontId="4" type="noConversion"/>
  </si>
  <si>
    <t>덕트공</t>
  </si>
  <si>
    <t>H/W 시험사</t>
  </si>
  <si>
    <t>S/W 시험사</t>
  </si>
  <si>
    <t>통신관련기사</t>
  </si>
  <si>
    <t>통신관련산업기사</t>
  </si>
  <si>
    <t>통신관련기능사</t>
  </si>
  <si>
    <t>노무비</t>
    <phoneticPr fontId="4" type="noConversion"/>
  </si>
  <si>
    <t>재료비</t>
    <phoneticPr fontId="4" type="noConversion"/>
  </si>
  <si>
    <t>=</t>
    <phoneticPr fontId="51" type="noConversion"/>
  </si>
  <si>
    <t>2)</t>
    <phoneticPr fontId="51" type="noConversion"/>
  </si>
  <si>
    <t>되메우기 및 다짐</t>
    <phoneticPr fontId="51" type="noConversion"/>
  </si>
  <si>
    <t>잔토처리</t>
    <phoneticPr fontId="51" type="noConversion"/>
  </si>
  <si>
    <t>=</t>
    <phoneticPr fontId="51" type="noConversion"/>
  </si>
  <si>
    <t>3)</t>
    <phoneticPr fontId="51" type="noConversion"/>
  </si>
  <si>
    <t>경고용 테이프</t>
    <phoneticPr fontId="51" type="noConversion"/>
  </si>
  <si>
    <t>:</t>
    <phoneticPr fontId="51" type="noConversion"/>
  </si>
  <si>
    <t>[m]</t>
    <phoneticPr fontId="51" type="noConversion"/>
  </si>
  <si>
    <t>(저압 케이블공:0.0005인, 보통인부:0.0010인)-전 4-45</t>
    <phoneticPr fontId="51" type="noConversion"/>
  </si>
  <si>
    <t>W1</t>
    <phoneticPr fontId="51" type="noConversion"/>
  </si>
  <si>
    <t>:</t>
    <phoneticPr fontId="51" type="noConversion"/>
  </si>
  <si>
    <t>W2</t>
    <phoneticPr fontId="51" type="noConversion"/>
  </si>
  <si>
    <t>H</t>
    <phoneticPr fontId="51" type="noConversion"/>
  </si>
  <si>
    <t>D1</t>
    <phoneticPr fontId="51" type="noConversion"/>
  </si>
  <si>
    <t>D2</t>
    <phoneticPr fontId="51" type="noConversion"/>
  </si>
  <si>
    <t>D3</t>
    <phoneticPr fontId="51" type="noConversion"/>
  </si>
  <si>
    <t>1)</t>
    <phoneticPr fontId="51" type="noConversion"/>
  </si>
  <si>
    <t>포장절단</t>
    <phoneticPr fontId="51" type="noConversion"/>
  </si>
  <si>
    <t xml:space="preserve">x </t>
    <phoneticPr fontId="51" type="noConversion"/>
  </si>
  <si>
    <t xml:space="preserve">x </t>
    <phoneticPr fontId="51" type="noConversion"/>
  </si>
  <si>
    <t>=</t>
    <phoneticPr fontId="51" type="noConversion"/>
  </si>
  <si>
    <t>터파기</t>
    <phoneticPr fontId="51" type="noConversion"/>
  </si>
  <si>
    <t>x (</t>
    <phoneticPr fontId="51" type="noConversion"/>
  </si>
  <si>
    <t>=</t>
    <phoneticPr fontId="51" type="noConversion"/>
  </si>
  <si>
    <t>4)</t>
    <phoneticPr fontId="51" type="noConversion"/>
  </si>
  <si>
    <t>되메우기 및 다짐</t>
    <phoneticPr fontId="51" type="noConversion"/>
  </si>
  <si>
    <t>5)</t>
    <phoneticPr fontId="51" type="noConversion"/>
  </si>
  <si>
    <t>관로터파기(보도블럭)</t>
    <phoneticPr fontId="51" type="noConversion"/>
  </si>
  <si>
    <t>W1</t>
    <phoneticPr fontId="51" type="noConversion"/>
  </si>
  <si>
    <t>:</t>
    <phoneticPr fontId="51" type="noConversion"/>
  </si>
  <si>
    <t>W2</t>
    <phoneticPr fontId="51" type="noConversion"/>
  </si>
  <si>
    <t>H</t>
    <phoneticPr fontId="51" type="noConversion"/>
  </si>
  <si>
    <t>D1</t>
    <phoneticPr fontId="51" type="noConversion"/>
  </si>
  <si>
    <t>D2</t>
    <phoneticPr fontId="51" type="noConversion"/>
  </si>
  <si>
    <t>D3</t>
    <phoneticPr fontId="51" type="noConversion"/>
  </si>
  <si>
    <t>1)</t>
    <phoneticPr fontId="51" type="noConversion"/>
  </si>
  <si>
    <t>보도블럭 걷기</t>
    <phoneticPr fontId="51" type="noConversion"/>
  </si>
  <si>
    <t xml:space="preserve">x </t>
    <phoneticPr fontId="51" type="noConversion"/>
  </si>
  <si>
    <t>=</t>
    <phoneticPr fontId="51" type="noConversion"/>
  </si>
  <si>
    <t>보도블럭 포장</t>
    <phoneticPr fontId="51" type="noConversion"/>
  </si>
  <si>
    <t>모래</t>
    <phoneticPr fontId="51" type="noConversion"/>
  </si>
  <si>
    <t>되메우기 및 다짐</t>
    <phoneticPr fontId="51" type="noConversion"/>
  </si>
  <si>
    <t>잔토처리</t>
    <phoneticPr fontId="51" type="noConversion"/>
  </si>
  <si>
    <t>관로터파기산출#4</t>
    <phoneticPr fontId="51" type="noConversion"/>
  </si>
  <si>
    <t>1)</t>
    <phoneticPr fontId="51" type="noConversion"/>
  </si>
  <si>
    <t>◈ 아스팔트 복구면적</t>
    <phoneticPr fontId="51" type="noConversion"/>
  </si>
  <si>
    <t>◎ 단가산출 #7 : 관로터파기(차도)</t>
    <phoneticPr fontId="51" type="noConversion"/>
  </si>
  <si>
    <t>W</t>
    <phoneticPr fontId="51" type="noConversion"/>
  </si>
  <si>
    <t>W1</t>
    <phoneticPr fontId="51" type="noConversion"/>
  </si>
  <si>
    <t>터파기</t>
    <phoneticPr fontId="51" type="noConversion"/>
  </si>
  <si>
    <t>모래 부설</t>
    <phoneticPr fontId="51" type="noConversion"/>
  </si>
  <si>
    <t>-</t>
    <phoneticPr fontId="51" type="noConversion"/>
  </si>
  <si>
    <t>전기 위험 테이프</t>
    <phoneticPr fontId="51" type="noConversion"/>
  </si>
  <si>
    <t>(저압 케이블공:0.0005인, 보통인부:0.0012인)-전 5-43-1</t>
    <phoneticPr fontId="51" type="noConversion"/>
  </si>
  <si>
    <t>6)</t>
    <phoneticPr fontId="51" type="noConversion"/>
  </si>
  <si>
    <t>x</t>
    <phoneticPr fontId="51" type="noConversion"/>
  </si>
  <si>
    <t>[인]</t>
    <phoneticPr fontId="51" type="noConversion"/>
  </si>
  <si>
    <t>7)</t>
    <phoneticPr fontId="51" type="noConversion"/>
  </si>
  <si>
    <t>◎ 단가산출 #8 : 토공내 가로등 기초 (7m)</t>
    <phoneticPr fontId="51" type="noConversion"/>
  </si>
  <si>
    <t>터파기(기계)</t>
    <phoneticPr fontId="51" type="noConversion"/>
  </si>
  <si>
    <t>V =</t>
    <phoneticPr fontId="51" type="noConversion"/>
  </si>
  <si>
    <t>/ 6</t>
    <phoneticPr fontId="51" type="noConversion"/>
  </si>
  <si>
    <t>x [ (</t>
    <phoneticPr fontId="51" type="noConversion"/>
  </si>
  <si>
    <t>) x</t>
    <phoneticPr fontId="51" type="noConversion"/>
  </si>
  <si>
    <t>+ (</t>
    <phoneticPr fontId="51" type="noConversion"/>
  </si>
  <si>
    <t>]</t>
    <phoneticPr fontId="51" type="noConversion"/>
  </si>
  <si>
    <t>=</t>
    <phoneticPr fontId="51" type="noConversion"/>
  </si>
  <si>
    <t>콘크리트 타설(무근)</t>
    <phoneticPr fontId="51" type="noConversion"/>
  </si>
  <si>
    <t>/ 6</t>
    <phoneticPr fontId="51" type="noConversion"/>
  </si>
  <si>
    <t>x [ (</t>
    <phoneticPr fontId="51" type="noConversion"/>
  </si>
  <si>
    <t>) x</t>
    <phoneticPr fontId="51" type="noConversion"/>
  </si>
  <si>
    <t>+ (</t>
    <phoneticPr fontId="51" type="noConversion"/>
  </si>
  <si>
    <t>]</t>
    <phoneticPr fontId="51" type="noConversion"/>
  </si>
  <si>
    <t>-</t>
    <phoneticPr fontId="51" type="noConversion"/>
  </si>
  <si>
    <t>합판거푸집(4회)</t>
    <phoneticPr fontId="51" type="noConversion"/>
  </si>
  <si>
    <t>( (</t>
    <phoneticPr fontId="51" type="noConversion"/>
  </si>
  <si>
    <t>+</t>
    <phoneticPr fontId="51" type="noConversion"/>
  </si>
  <si>
    <t>) /</t>
    <phoneticPr fontId="51" type="noConversion"/>
  </si>
  <si>
    <t>+ ( (</t>
    <phoneticPr fontId="51" type="noConversion"/>
  </si>
  <si>
    <t>+</t>
    <phoneticPr fontId="51" type="noConversion"/>
  </si>
  <si>
    <t>) /</t>
    <phoneticPr fontId="51" type="noConversion"/>
  </si>
  <si>
    <t>) x</t>
    <phoneticPr fontId="51" type="noConversion"/>
  </si>
  <si>
    <t>[㎡]</t>
    <phoneticPr fontId="51" type="noConversion"/>
  </si>
  <si>
    <t>6)</t>
    <phoneticPr fontId="51" type="noConversion"/>
  </si>
  <si>
    <t>앵카볼트 ( 25φ x 500 L )</t>
    <phoneticPr fontId="51" type="noConversion"/>
  </si>
  <si>
    <t>[EA]</t>
    <phoneticPr fontId="51" type="noConversion"/>
  </si>
  <si>
    <t>7)</t>
    <phoneticPr fontId="51" type="noConversion"/>
  </si>
  <si>
    <t>너트(STS) ( 25φ )</t>
    <phoneticPr fontId="51" type="noConversion"/>
  </si>
  <si>
    <t>8)</t>
    <phoneticPr fontId="51" type="noConversion"/>
  </si>
  <si>
    <t>이형철근( D 10 )</t>
    <phoneticPr fontId="51" type="noConversion"/>
  </si>
  <si>
    <t>[kg]</t>
    <phoneticPr fontId="51" type="noConversion"/>
  </si>
  <si>
    <t>9)</t>
    <phoneticPr fontId="51" type="noConversion"/>
  </si>
  <si>
    <t>잡철물 제작설치(간단)</t>
    <phoneticPr fontId="51" type="noConversion"/>
  </si>
  <si>
    <t>◎ 단가산출 #9 : 토공내 가로등 기초 (10m)</t>
    <phoneticPr fontId="51" type="noConversion"/>
  </si>
  <si>
    <t>1)</t>
    <phoneticPr fontId="51" type="noConversion"/>
  </si>
  <si>
    <t>터파기(기계)</t>
    <phoneticPr fontId="51" type="noConversion"/>
  </si>
  <si>
    <t>V =</t>
    <phoneticPr fontId="51" type="noConversion"/>
  </si>
  <si>
    <t>/ 6</t>
    <phoneticPr fontId="51" type="noConversion"/>
  </si>
  <si>
    <t>x [ (</t>
    <phoneticPr fontId="51" type="noConversion"/>
  </si>
  <si>
    <t>+ (</t>
    <phoneticPr fontId="51" type="noConversion"/>
  </si>
  <si>
    <t>]</t>
    <phoneticPr fontId="51" type="noConversion"/>
  </si>
  <si>
    <t>=</t>
    <phoneticPr fontId="51" type="noConversion"/>
  </si>
  <si>
    <t>[㎡]</t>
    <phoneticPr fontId="51" type="noConversion"/>
  </si>
  <si>
    <t>앵카볼트 ( 25φ x 500 L )</t>
    <phoneticPr fontId="51" type="noConversion"/>
  </si>
  <si>
    <t>[EA]</t>
    <phoneticPr fontId="51" type="noConversion"/>
  </si>
  <si>
    <t>너트(STS) ( 25φ )</t>
    <phoneticPr fontId="51" type="noConversion"/>
  </si>
  <si>
    <t>8)</t>
    <phoneticPr fontId="51" type="noConversion"/>
  </si>
  <si>
    <t>이형철근( D 10 )</t>
    <phoneticPr fontId="51" type="noConversion"/>
  </si>
  <si>
    <t>[kg]</t>
    <phoneticPr fontId="51" type="noConversion"/>
  </si>
  <si>
    <t>9)</t>
    <phoneticPr fontId="51" type="noConversion"/>
  </si>
  <si>
    <t>잡철물 제작설치(간단)</t>
    <phoneticPr fontId="51" type="noConversion"/>
  </si>
  <si>
    <t>◎ 단가산출 #10 : 구조물내  가로등 기초</t>
    <phoneticPr fontId="51" type="noConversion"/>
  </si>
  <si>
    <t>관로터파기(차도)</t>
    <phoneticPr fontId="51" type="noConversion"/>
  </si>
  <si>
    <t>◈ 투스콘 복구면적</t>
    <phoneticPr fontId="51" type="noConversion"/>
  </si>
  <si>
    <t>투스콘 포장깨기</t>
    <phoneticPr fontId="51" type="noConversion"/>
  </si>
  <si>
    <t>터파기(기계:60%, 인력:40%)</t>
    <phoneticPr fontId="51" type="noConversion"/>
  </si>
  <si>
    <t>되메우기 및 다짐(기계:60%, 인력:40%)</t>
    <phoneticPr fontId="51" type="noConversion"/>
  </si>
  <si>
    <t>● 잡철물 제작 및 설치 (간단)</t>
    <phoneticPr fontId="51" type="noConversion"/>
  </si>
  <si>
    <t>기로등 기초 (9m 1등용)</t>
    <phoneticPr fontId="51" type="noConversion"/>
  </si>
  <si>
    <t>(</t>
    <phoneticPr fontId="51" type="noConversion"/>
  </si>
  <si>
    <t>A =</t>
    <phoneticPr fontId="51" type="noConversion"/>
  </si>
  <si>
    <t>Φ22 x 450L  =</t>
    <phoneticPr fontId="51" type="noConversion"/>
  </si>
  <si>
    <t>B =</t>
    <phoneticPr fontId="51" type="noConversion"/>
  </si>
  <si>
    <t>제어반 기초 (지주식)</t>
    <phoneticPr fontId="51" type="noConversion"/>
  </si>
  <si>
    <t>단위</t>
    <phoneticPr fontId="4" type="noConversion"/>
  </si>
  <si>
    <t>단위</t>
    <phoneticPr fontId="4" type="noConversion"/>
  </si>
  <si>
    <t>재 료 비</t>
    <phoneticPr fontId="4" type="noConversion"/>
  </si>
  <si>
    <t>노 무 비</t>
    <phoneticPr fontId="4" type="noConversion"/>
  </si>
  <si>
    <t>합   계</t>
    <phoneticPr fontId="4" type="noConversion"/>
  </si>
  <si>
    <t>금  액</t>
    <phoneticPr fontId="4" type="noConversion"/>
  </si>
  <si>
    <t>품   명</t>
    <phoneticPr fontId="4" type="noConversion"/>
  </si>
  <si>
    <t>규   격</t>
    <phoneticPr fontId="4" type="noConversion"/>
  </si>
  <si>
    <t>수 량</t>
    <phoneticPr fontId="4" type="noConversion"/>
  </si>
  <si>
    <t>경 비</t>
    <phoneticPr fontId="4" type="noConversion"/>
  </si>
  <si>
    <t>비 고</t>
    <phoneticPr fontId="4" type="noConversion"/>
  </si>
  <si>
    <t>단  가</t>
    <phoneticPr fontId="4" type="noConversion"/>
  </si>
  <si>
    <t>품    명</t>
    <phoneticPr fontId="4" type="noConversion"/>
  </si>
  <si>
    <t>품    명</t>
    <phoneticPr fontId="4" type="noConversion"/>
  </si>
  <si>
    <t>규    격</t>
    <phoneticPr fontId="4" type="noConversion"/>
  </si>
  <si>
    <t>비고</t>
    <phoneticPr fontId="4" type="noConversion"/>
  </si>
  <si>
    <t>산  출  기  초</t>
    <phoneticPr fontId="4" type="noConversion"/>
  </si>
  <si>
    <t>적용단가</t>
    <phoneticPr fontId="4" type="noConversion"/>
  </si>
  <si>
    <t>기계경비</t>
    <phoneticPr fontId="4" type="noConversion"/>
  </si>
  <si>
    <t>합계</t>
    <phoneticPr fontId="4" type="noConversion"/>
  </si>
  <si>
    <t>PAGE</t>
    <phoneticPr fontId="4" type="noConversion"/>
  </si>
  <si>
    <t>(FEP Φ30)</t>
    <phoneticPr fontId="4" type="noConversion"/>
  </si>
  <si>
    <t>동력분무기</t>
    <phoneticPr fontId="4" type="noConversion"/>
  </si>
  <si>
    <t>M/mm x</t>
    <phoneticPr fontId="4" type="noConversion"/>
  </si>
  <si>
    <t>MIN/hr =</t>
    <phoneticPr fontId="4" type="noConversion"/>
  </si>
  <si>
    <t>M/hr</t>
    <phoneticPr fontId="4" type="noConversion"/>
  </si>
  <si>
    <t>일반기계 운전사  :</t>
    <phoneticPr fontId="4" type="noConversion"/>
  </si>
  <si>
    <t>화물차 운전사  :</t>
    <phoneticPr fontId="4" type="noConversion"/>
  </si>
  <si>
    <t>PAGE. 166</t>
    <phoneticPr fontId="51" type="noConversion"/>
  </si>
  <si>
    <t>4. 동력분무기 (4.85kW) - 0.5대</t>
    <phoneticPr fontId="4" type="noConversion"/>
  </si>
  <si>
    <t>비계공</t>
  </si>
  <si>
    <t>철골공</t>
  </si>
  <si>
    <t>건축목공</t>
  </si>
  <si>
    <t>소계</t>
    <phoneticPr fontId="4" type="noConversion"/>
  </si>
  <si>
    <t>화물차 운전사</t>
    <phoneticPr fontId="51" type="noConversion"/>
  </si>
  <si>
    <t>일당 시공량 : Qd = 500m/일</t>
    <phoneticPr fontId="4" type="noConversion"/>
  </si>
  <si>
    <t>시간당 시공량 : Q = Qd / 8hr = 500 / 8 = 62.5m/hr</t>
    <phoneticPr fontId="4" type="noConversion"/>
  </si>
  <si>
    <t>2) 물</t>
    <phoneticPr fontId="4" type="noConversion"/>
  </si>
  <si>
    <t>ℓ /</t>
    <phoneticPr fontId="4" type="noConversion"/>
  </si>
  <si>
    <t>PAGE. 167</t>
    <phoneticPr fontId="51" type="noConversion"/>
  </si>
  <si>
    <t>PAGE. 169</t>
    <phoneticPr fontId="51" type="noConversion"/>
  </si>
  <si>
    <r>
      <t>[</t>
    </r>
    <r>
      <rPr>
        <sz val="10"/>
        <rFont val="맑은 고딕"/>
        <family val="3"/>
        <charset val="129"/>
      </rPr>
      <t>m</t>
    </r>
    <r>
      <rPr>
        <sz val="10"/>
        <rFont val="맑은 고딕"/>
        <family val="3"/>
        <charset val="129"/>
      </rPr>
      <t>]</t>
    </r>
    <phoneticPr fontId="51" type="noConversion"/>
  </si>
  <si>
    <r>
      <t>[</t>
    </r>
    <r>
      <rPr>
        <sz val="10"/>
        <rFont val="맑은 고딕"/>
        <family val="3"/>
        <charset val="129"/>
      </rPr>
      <t>ton</t>
    </r>
    <r>
      <rPr>
        <sz val="10"/>
        <rFont val="맑은 고딕"/>
        <family val="3"/>
        <charset val="129"/>
      </rPr>
      <t>]</t>
    </r>
    <phoneticPr fontId="51" type="noConversion"/>
  </si>
  <si>
    <t>3) 인건비</t>
    <phoneticPr fontId="4" type="noConversion"/>
  </si>
  <si>
    <t>일당 시공량 : Qd = 1600m/일</t>
    <phoneticPr fontId="4" type="noConversion"/>
  </si>
  <si>
    <t>시간당 시공량 : Q = Qd / 8hr = 1600 / 8 = 200m/hr</t>
    <phoneticPr fontId="4" type="noConversion"/>
  </si>
  <si>
    <t>Q</t>
    <phoneticPr fontId="4" type="noConversion"/>
  </si>
  <si>
    <t>3. 다짐</t>
    <phoneticPr fontId="4" type="noConversion"/>
  </si>
  <si>
    <t>4. 살수</t>
    <phoneticPr fontId="4" type="noConversion"/>
  </si>
  <si>
    <t>1) 물탱크  5500L</t>
    <phoneticPr fontId="4" type="noConversion"/>
  </si>
  <si>
    <r>
      <t xml:space="preserve">아스팔트 페어퍼(피니셔)  </t>
    </r>
    <r>
      <rPr>
        <b/>
        <sz val="12"/>
        <rFont val="맑은 고딕"/>
        <family val="3"/>
        <charset val="129"/>
      </rPr>
      <t>1.7</t>
    </r>
    <r>
      <rPr>
        <b/>
        <sz val="12"/>
        <rFont val="맑은 고딕"/>
        <family val="3"/>
        <charset val="129"/>
      </rPr>
      <t>M</t>
    </r>
    <phoneticPr fontId="4" type="noConversion"/>
  </si>
  <si>
    <r>
      <t>중기명 :유압식 백호우 0.</t>
    </r>
    <r>
      <rPr>
        <b/>
        <sz val="12"/>
        <rFont val="맑은 고딕"/>
        <family val="3"/>
        <charset val="129"/>
      </rPr>
      <t>6</t>
    </r>
    <r>
      <rPr>
        <b/>
        <sz val="12"/>
        <rFont val="맑은 고딕"/>
        <family val="3"/>
        <charset val="129"/>
      </rPr>
      <t>㎥</t>
    </r>
    <phoneticPr fontId="4" type="noConversion"/>
  </si>
  <si>
    <t>2) 백호우 0.6㎥</t>
    <phoneticPr fontId="4" type="noConversion"/>
  </si>
  <si>
    <r>
      <t xml:space="preserve">타이어롤러(자주식)  </t>
    </r>
    <r>
      <rPr>
        <b/>
        <sz val="12"/>
        <rFont val="맑은 고딕"/>
        <family val="3"/>
        <charset val="129"/>
      </rPr>
      <t>5</t>
    </r>
    <r>
      <rPr>
        <b/>
        <sz val="12"/>
        <rFont val="맑은 고딕"/>
        <family val="3"/>
        <charset val="129"/>
      </rPr>
      <t>-</t>
    </r>
    <r>
      <rPr>
        <b/>
        <sz val="12"/>
        <rFont val="맑은 고딕"/>
        <family val="3"/>
        <charset val="129"/>
      </rPr>
      <t>8</t>
    </r>
    <r>
      <rPr>
        <b/>
        <sz val="12"/>
        <rFont val="맑은 고딕"/>
        <family val="3"/>
        <charset val="129"/>
      </rPr>
      <t>TON</t>
    </r>
    <phoneticPr fontId="4" type="noConversion"/>
  </si>
  <si>
    <t>0.5대 곱하기</t>
    <phoneticPr fontId="4" type="noConversion"/>
  </si>
  <si>
    <t>일당 시공량 : Qd = 20000m/일</t>
    <phoneticPr fontId="4" type="noConversion"/>
  </si>
  <si>
    <t>시간당 시공량 : Q = Qd / 8hr = 20000 / 8 = 2500m/hr</t>
    <phoneticPr fontId="4" type="noConversion"/>
  </si>
  <si>
    <r>
      <t>아스팔트 살포기 (디스트리뷰티 3</t>
    </r>
    <r>
      <rPr>
        <b/>
        <sz val="12"/>
        <rFont val="맑은 고딕"/>
        <family val="3"/>
        <charset val="129"/>
      </rPr>
      <t>8</t>
    </r>
    <r>
      <rPr>
        <b/>
        <sz val="12"/>
        <rFont val="맑은 고딕"/>
        <family val="3"/>
        <charset val="129"/>
      </rPr>
      <t xml:space="preserve">00ℓ) </t>
    </r>
    <phoneticPr fontId="4" type="noConversion"/>
  </si>
  <si>
    <t>일당 시공량 : Qd = 550m/일</t>
    <phoneticPr fontId="4" type="noConversion"/>
  </si>
  <si>
    <t>시간당 시공량 : Q = Qd / 8hr = 550 / 8 = 68m/hr</t>
    <phoneticPr fontId="4" type="noConversion"/>
  </si>
  <si>
    <t>1) 모터그레이더 (3.6m)</t>
    <phoneticPr fontId="4" type="noConversion"/>
  </si>
  <si>
    <r>
      <t>진동 롤러(자주식)  1</t>
    </r>
    <r>
      <rPr>
        <b/>
        <sz val="12"/>
        <rFont val="맑은 고딕"/>
        <family val="3"/>
        <charset val="129"/>
      </rPr>
      <t>2</t>
    </r>
    <r>
      <rPr>
        <b/>
        <sz val="12"/>
        <rFont val="맑은 고딕"/>
        <family val="3"/>
        <charset val="129"/>
      </rPr>
      <t>TON</t>
    </r>
    <phoneticPr fontId="4" type="noConversion"/>
  </si>
  <si>
    <r>
      <t xml:space="preserve">물탱크  </t>
    </r>
    <r>
      <rPr>
        <b/>
        <sz val="12"/>
        <rFont val="맑은 고딕"/>
        <family val="3"/>
        <charset val="129"/>
      </rPr>
      <t>160</t>
    </r>
    <r>
      <rPr>
        <b/>
        <sz val="12"/>
        <rFont val="맑은 고딕"/>
        <family val="3"/>
        <charset val="129"/>
      </rPr>
      <t>00L</t>
    </r>
    <phoneticPr fontId="4" type="noConversion"/>
  </si>
  <si>
    <t>1) 물탱크  16000L</t>
    <phoneticPr fontId="4" type="noConversion"/>
  </si>
  <si>
    <t>콘크리트포장깨기 B.H 0.2㎥ (㎥당)</t>
    <phoneticPr fontId="4" type="noConversion"/>
  </si>
  <si>
    <t xml:space="preserve">표층아스콘 포설 및 다짐 (기계식소규모) T=5cm (㎡당) </t>
    <phoneticPr fontId="4" type="noConversion"/>
  </si>
  <si>
    <t xml:space="preserve">기층아스콘 포설 및 다짐 (기계식소규모) T=10cm (㎡당) </t>
    <phoneticPr fontId="4" type="noConversion"/>
  </si>
  <si>
    <t>보조기층 포설 및 다짐 (본선포장) T=20cm (㎡당)</t>
    <phoneticPr fontId="4" type="noConversion"/>
  </si>
  <si>
    <t>단가산출</t>
    <phoneticPr fontId="4" type="noConversion"/>
  </si>
  <si>
    <t>단가산출</t>
    <phoneticPr fontId="4" type="noConversion"/>
  </si>
  <si>
    <r>
      <t>◎ 단가산출-1</t>
    </r>
    <r>
      <rPr>
        <b/>
        <sz val="10"/>
        <rFont val="맑은 고딕"/>
        <family val="3"/>
        <charset val="129"/>
      </rPr>
      <t xml:space="preserve"> : 터파기 (기계: 90%, 인력: 10%) (㎥당)        ㎥당</t>
    </r>
    <phoneticPr fontId="4" type="noConversion"/>
  </si>
  <si>
    <r>
      <t>◎ 단가산출</t>
    </r>
    <r>
      <rPr>
        <b/>
        <sz val="10"/>
        <rFont val="맑은 고딕"/>
        <family val="3"/>
        <charset val="129"/>
      </rPr>
      <t>-2</t>
    </r>
    <r>
      <rPr>
        <b/>
        <sz val="10"/>
        <rFont val="맑은 고딕"/>
        <family val="3"/>
        <charset val="129"/>
      </rPr>
      <t xml:space="preserve"> : 되메우기 및 다짐(기계) B.H 0.2㎥ + 콤펙터 (㎥당)</t>
    </r>
    <phoneticPr fontId="4" type="noConversion"/>
  </si>
  <si>
    <r>
      <t>대형 브레이카  0.</t>
    </r>
    <r>
      <rPr>
        <b/>
        <sz val="12"/>
        <rFont val="맑은 고딕"/>
        <family val="3"/>
        <charset val="129"/>
      </rPr>
      <t>2</t>
    </r>
    <r>
      <rPr>
        <b/>
        <sz val="12"/>
        <rFont val="맑은 고딕"/>
        <family val="3"/>
        <charset val="129"/>
      </rPr>
      <t>(㎥)</t>
    </r>
    <phoneticPr fontId="4" type="noConversion"/>
  </si>
  <si>
    <r>
      <t>대형 브레이카 0.</t>
    </r>
    <r>
      <rPr>
        <sz val="10"/>
        <rFont val="맑은 고딕"/>
        <family val="3"/>
        <charset val="129"/>
      </rPr>
      <t>2</t>
    </r>
    <r>
      <rPr>
        <sz val="10"/>
        <rFont val="맑은 고딕"/>
        <family val="3"/>
        <charset val="129"/>
      </rPr>
      <t>(㎥)   :</t>
    </r>
    <phoneticPr fontId="4" type="noConversion"/>
  </si>
  <si>
    <t xml:space="preserve">x </t>
    <phoneticPr fontId="4" type="noConversion"/>
  </si>
  <si>
    <t>(기계경비산출근거#1)</t>
    <phoneticPr fontId="4" type="noConversion"/>
  </si>
  <si>
    <t>주 연료(경유)  :</t>
    <phoneticPr fontId="4" type="noConversion"/>
  </si>
  <si>
    <t>하우징기초</t>
    <phoneticPr fontId="6" type="noConversion"/>
  </si>
  <si>
    <r>
      <t>W</t>
    </r>
    <r>
      <rPr>
        <b/>
        <sz val="10"/>
        <rFont val="맑은 고딕"/>
        <family val="3"/>
        <charset val="129"/>
      </rPr>
      <t>5</t>
    </r>
    <r>
      <rPr>
        <b/>
        <sz val="10"/>
        <rFont val="맑은 고딕"/>
        <family val="3"/>
        <charset val="129"/>
      </rPr>
      <t>00 x D</t>
    </r>
    <r>
      <rPr>
        <b/>
        <sz val="10"/>
        <rFont val="맑은 고딕"/>
        <family val="3"/>
        <charset val="129"/>
      </rPr>
      <t>5</t>
    </r>
    <r>
      <rPr>
        <b/>
        <sz val="10"/>
        <rFont val="맑은 고딕"/>
        <family val="3"/>
        <charset val="129"/>
      </rPr>
      <t>00 x H</t>
    </r>
    <r>
      <rPr>
        <b/>
        <sz val="10"/>
        <rFont val="맑은 고딕"/>
        <family val="3"/>
        <charset val="129"/>
      </rPr>
      <t>3</t>
    </r>
    <r>
      <rPr>
        <b/>
        <sz val="10"/>
        <rFont val="맑은 고딕"/>
        <family val="3"/>
        <charset val="129"/>
      </rPr>
      <t>00</t>
    </r>
    <phoneticPr fontId="4" type="noConversion"/>
  </si>
  <si>
    <t xml:space="preserve"> 5. 합판거푸집</t>
    <phoneticPr fontId="51" type="noConversion"/>
  </si>
  <si>
    <t>6. 셋트앙카</t>
    <phoneticPr fontId="51" type="noConversion"/>
  </si>
  <si>
    <t>6. 앵카볼트</t>
    <phoneticPr fontId="51" type="noConversion"/>
  </si>
  <si>
    <r>
      <t>Φ25x500L</t>
    </r>
    <r>
      <rPr>
        <sz val="10"/>
        <rFont val="맑은 고딕"/>
        <family val="3"/>
        <charset val="129"/>
      </rPr>
      <t>x4본</t>
    </r>
    <phoneticPr fontId="4" type="noConversion"/>
  </si>
  <si>
    <r>
      <t>P</t>
    </r>
    <r>
      <rPr>
        <b/>
        <sz val="10"/>
        <rFont val="맑은 고딕"/>
        <family val="3"/>
        <charset val="129"/>
      </rPr>
      <t>OLE</t>
    </r>
    <r>
      <rPr>
        <b/>
        <sz val="10"/>
        <rFont val="맑은 고딕"/>
        <family val="3"/>
        <charset val="129"/>
      </rPr>
      <t xml:space="preserve"> 기초</t>
    </r>
    <phoneticPr fontId="6" type="noConversion"/>
  </si>
  <si>
    <t>W500 x D800 x H1,000</t>
    <phoneticPr fontId="4" type="noConversion"/>
  </si>
  <si>
    <r>
      <t>기초산출#</t>
    </r>
    <r>
      <rPr>
        <b/>
        <sz val="10"/>
        <rFont val="맑은 고딕"/>
        <family val="3"/>
        <charset val="129"/>
      </rPr>
      <t>3</t>
    </r>
    <phoneticPr fontId="51" type="noConversion"/>
  </si>
  <si>
    <t>기초산출#6</t>
    <phoneticPr fontId="51" type="noConversion"/>
  </si>
  <si>
    <t>맨홀 설치</t>
    <phoneticPr fontId="6" type="noConversion"/>
  </si>
  <si>
    <t>◎ 건주단가산출근거#2: 크레인 트럭 ( 5 TON ) 건주 - 8m ~ 9m  (등주 신설)</t>
    <phoneticPr fontId="51" type="noConversion"/>
  </si>
  <si>
    <t>◎ 건주단가산출근거#1: 트럭탑재형 크레인 ( 5 TON ) 건주 - 5m ~ 7m  (등주 신설)</t>
    <phoneticPr fontId="51" type="noConversion"/>
  </si>
  <si>
    <t>산출근거</t>
    <phoneticPr fontId="4" type="noConversion"/>
  </si>
  <si>
    <t>ℓ</t>
  </si>
  <si>
    <t>W250 x D250 x H300</t>
    <phoneticPr fontId="4" type="noConversion"/>
  </si>
  <si>
    <t>작업능력 산정</t>
    <phoneticPr fontId="51" type="noConversion"/>
  </si>
  <si>
    <t>조명기구 TYPE "LW-01,02"용 기초</t>
    <phoneticPr fontId="6" type="noConversion"/>
  </si>
  <si>
    <t>조명기구 TYPE "LN-01"용 기초</t>
    <phoneticPr fontId="6" type="noConversion"/>
  </si>
  <si>
    <t>Φ9x70L</t>
    <phoneticPr fontId="4" type="noConversion"/>
  </si>
  <si>
    <t>W300 x D300 x H300</t>
    <phoneticPr fontId="4" type="noConversion"/>
  </si>
  <si>
    <t>중공기초 설치</t>
    <phoneticPr fontId="6" type="noConversion"/>
  </si>
  <si>
    <t>2. 중공기초부피</t>
    <phoneticPr fontId="69" type="noConversion"/>
  </si>
  <si>
    <t>단 가 산 출 근 거 #2</t>
    <phoneticPr fontId="4" type="noConversion"/>
  </si>
  <si>
    <t>단 가 산 출 근 거 #1</t>
    <phoneticPr fontId="4" type="noConversion"/>
  </si>
  <si>
    <t>단 가 산 출 근 거 #3</t>
    <phoneticPr fontId="4" type="noConversion"/>
  </si>
  <si>
    <t>단 가 산 출 근 거 #4</t>
    <phoneticPr fontId="4" type="noConversion"/>
  </si>
  <si>
    <t>단 가 산 출 근 거 #5</t>
    <phoneticPr fontId="4" type="noConversion"/>
  </si>
  <si>
    <t>단 가 산 출 근 거 #6</t>
    <phoneticPr fontId="4" type="noConversion"/>
  </si>
  <si>
    <t>단 가 산 출 근 거 #7</t>
    <phoneticPr fontId="4" type="noConversion"/>
  </si>
  <si>
    <t>산출집계</t>
    <phoneticPr fontId="4" type="noConversion"/>
  </si>
  <si>
    <t>W:500xH:700xD:800</t>
    <phoneticPr fontId="4" type="noConversion"/>
  </si>
  <si>
    <t>2. 중공기초</t>
    <phoneticPr fontId="69" type="noConversion"/>
  </si>
  <si>
    <t>콘크리트 폐기물처리</t>
    <phoneticPr fontId="51" type="noConversion"/>
  </si>
  <si>
    <t>콘크리트 포장 / 모래 / 깨기</t>
    <phoneticPr fontId="51" type="noConversion"/>
  </si>
  <si>
    <t>모래</t>
    <phoneticPr fontId="4" type="noConversion"/>
  </si>
  <si>
    <t>기초산출#7</t>
    <phoneticPr fontId="51" type="noConversion"/>
  </si>
  <si>
    <r>
      <t xml:space="preserve">8. 접지선 (GV난연 </t>
    </r>
    <r>
      <rPr>
        <sz val="10"/>
        <rFont val="맑은 고딕"/>
        <family val="3"/>
        <charset val="129"/>
      </rPr>
      <t>4</t>
    </r>
    <r>
      <rPr>
        <sz val="10"/>
        <rFont val="맑은 고딕"/>
        <family val="3"/>
        <charset val="129"/>
      </rPr>
      <t>㎟)</t>
    </r>
    <phoneticPr fontId="4" type="noConversion"/>
  </si>
  <si>
    <r>
      <t>(f값에대한 내용 건품:공통1-</t>
    </r>
    <r>
      <rPr>
        <sz val="10"/>
        <rFont val="맑은 고딕"/>
        <family val="3"/>
        <charset val="129"/>
      </rPr>
      <t>3-7</t>
    </r>
    <r>
      <rPr>
        <sz val="10"/>
        <rFont val="맑은 고딕"/>
        <family val="3"/>
        <charset val="129"/>
      </rPr>
      <t>)</t>
    </r>
    <phoneticPr fontId="4" type="noConversion"/>
  </si>
  <si>
    <r>
      <t>(건품:공통8-2</t>
    </r>
    <r>
      <rPr>
        <sz val="10"/>
        <rFont val="맑은 고딕"/>
        <family val="3"/>
        <charset val="129"/>
      </rPr>
      <t>-3)</t>
    </r>
    <phoneticPr fontId="4" type="noConversion"/>
  </si>
  <si>
    <t>(건품:공통8-2-3)</t>
    <phoneticPr fontId="4" type="noConversion"/>
  </si>
  <si>
    <t>(f값에대한 내용 건품:공통1-3-7)</t>
    <phoneticPr fontId="4" type="noConversion"/>
  </si>
  <si>
    <t>(건품:공통1-3-7)</t>
    <phoneticPr fontId="4" type="noConversion"/>
  </si>
  <si>
    <t>(건품:공통8-2-10)</t>
    <phoneticPr fontId="4" type="noConversion"/>
  </si>
  <si>
    <t>(건품:공통8-2-15)</t>
    <phoneticPr fontId="4" type="noConversion"/>
  </si>
  <si>
    <t>(건품:토목1-5-1)</t>
    <phoneticPr fontId="4" type="noConversion"/>
  </si>
  <si>
    <t>소규모 현장 포시는 1-5-4품을 적용 : 해설란 표현</t>
    <phoneticPr fontId="4" type="noConversion"/>
  </si>
  <si>
    <t>(건품:토목1-3-3)</t>
    <phoneticPr fontId="4" type="noConversion"/>
  </si>
  <si>
    <t>(건품:공통8-3-1)</t>
    <phoneticPr fontId="4" type="noConversion"/>
  </si>
  <si>
    <t>(건품:공통8-4-1)</t>
    <phoneticPr fontId="4" type="noConversion"/>
  </si>
  <si>
    <t>◎ 기 계 경 비 산 출 근 거#0</t>
    <phoneticPr fontId="4" type="noConversion"/>
  </si>
  <si>
    <r>
      <t>2. 재료비</t>
    </r>
    <r>
      <rPr>
        <sz val="10"/>
        <rFont val="맑은 고딕"/>
        <family val="3"/>
        <charset val="129"/>
      </rPr>
      <t xml:space="preserve"> (건품:공통8-4-1)</t>
    </r>
    <phoneticPr fontId="4" type="noConversion"/>
  </si>
  <si>
    <r>
      <t>3. 경비</t>
    </r>
    <r>
      <rPr>
        <sz val="10"/>
        <rFont val="맑은 고딕"/>
        <family val="3"/>
        <charset val="129"/>
      </rPr>
      <t xml:space="preserve"> (건품:공통8-3-1)</t>
    </r>
    <phoneticPr fontId="4" type="noConversion"/>
  </si>
  <si>
    <r>
      <t>1. 노무비</t>
    </r>
    <r>
      <rPr>
        <sz val="10"/>
        <rFont val="맑은 고딕"/>
        <family val="3"/>
        <charset val="129"/>
      </rPr>
      <t xml:space="preserve"> (물가자료부록 건설기계경비)</t>
    </r>
    <phoneticPr fontId="4" type="noConversion"/>
  </si>
  <si>
    <t>◎ 기 계 경 비 산 출 근 거#1</t>
    <phoneticPr fontId="4" type="noConversion"/>
  </si>
  <si>
    <t>3. 경비 (건품:공통8-3-2)</t>
    <phoneticPr fontId="4" type="noConversion"/>
  </si>
  <si>
    <t>(건품:공통8-3-2)</t>
    <phoneticPr fontId="4" type="noConversion"/>
  </si>
  <si>
    <t>(건품:공통8-4-2)</t>
    <phoneticPr fontId="4" type="noConversion"/>
  </si>
  <si>
    <t>2. 재료비 (건품:공통8-4-2)</t>
    <phoneticPr fontId="4" type="noConversion"/>
  </si>
  <si>
    <t>◎ 기 계 경 비 산 출 근 거#2</t>
    <phoneticPr fontId="4" type="noConversion"/>
  </si>
  <si>
    <t>(건품:공통8-3-8)</t>
    <phoneticPr fontId="4" type="noConversion"/>
  </si>
  <si>
    <t>(건품:공통8-3-5)</t>
    <phoneticPr fontId="4" type="noConversion"/>
  </si>
  <si>
    <t>◎ 기 계 경 비 산 출 근 거#6</t>
    <phoneticPr fontId="4" type="noConversion"/>
  </si>
  <si>
    <t>3. 경비 (건품:공통8-3-5)</t>
    <phoneticPr fontId="4" type="noConversion"/>
  </si>
  <si>
    <t>(건품:공통8-4-5)</t>
    <phoneticPr fontId="4" type="noConversion"/>
  </si>
  <si>
    <t>2. 재료비 (건품:공통8-4-5)</t>
    <phoneticPr fontId="4" type="noConversion"/>
  </si>
  <si>
    <t>◎ 기 계 경 비 산 출 근 거#7</t>
    <phoneticPr fontId="4" type="noConversion"/>
  </si>
  <si>
    <t>(건품:공통8-4-8)</t>
    <phoneticPr fontId="4" type="noConversion"/>
  </si>
  <si>
    <t>2. 재료비 (건품:공통8-4-8)</t>
    <phoneticPr fontId="4" type="noConversion"/>
  </si>
  <si>
    <t>3. 경비 (건품:공통8-3-8)</t>
    <phoneticPr fontId="4" type="noConversion"/>
  </si>
  <si>
    <r>
      <t xml:space="preserve">물탱크  </t>
    </r>
    <r>
      <rPr>
        <sz val="10"/>
        <rFont val="맑은 고딕"/>
        <family val="3"/>
        <charset val="129"/>
      </rPr>
      <t>160</t>
    </r>
    <r>
      <rPr>
        <sz val="10"/>
        <rFont val="맑은 고딕"/>
        <family val="3"/>
        <charset val="129"/>
      </rPr>
      <t>00L    :</t>
    </r>
    <phoneticPr fontId="4" type="noConversion"/>
  </si>
  <si>
    <t>◎ 기 계 경 비 산 출 근 거#8</t>
    <phoneticPr fontId="4" type="noConversion"/>
  </si>
  <si>
    <t>◎ 기 계 경 비 산 출 근 거#9</t>
    <phoneticPr fontId="4" type="noConversion"/>
  </si>
  <si>
    <t>◎ 기 계 경 비 산 출 근 거#10</t>
    <phoneticPr fontId="4" type="noConversion"/>
  </si>
  <si>
    <t>2. 재료비</t>
    <phoneticPr fontId="4" type="noConversion"/>
  </si>
  <si>
    <t>(건품:공통8-4-4)</t>
    <phoneticPr fontId="4" type="noConversion"/>
  </si>
  <si>
    <t>2. 재료비 (건품:공통8-4-4)</t>
    <phoneticPr fontId="4" type="noConversion"/>
  </si>
  <si>
    <t>(건품:공통8-3-4)</t>
    <phoneticPr fontId="4" type="noConversion"/>
  </si>
  <si>
    <t>3. 경비 (건품:공통8-3-4)</t>
    <phoneticPr fontId="4" type="noConversion"/>
  </si>
  <si>
    <t>◎ 기 계 경 비 산 출 근 거#11</t>
    <phoneticPr fontId="4" type="noConversion"/>
  </si>
  <si>
    <t>2. 재료비 (건품:공통8-4-2)</t>
    <phoneticPr fontId="4" type="noConversion"/>
  </si>
  <si>
    <t>3. 경비 (건품:공통8-3-2)</t>
    <phoneticPr fontId="4" type="noConversion"/>
  </si>
  <si>
    <t>◎ 기 계 경 비 산 출 근 거#12</t>
    <phoneticPr fontId="4" type="noConversion"/>
  </si>
  <si>
    <t>◎ 기 계 경 비 산 출 근 거#13</t>
    <phoneticPr fontId="4" type="noConversion"/>
  </si>
  <si>
    <t>◎ 기 계 경 비 산 출 근 거#14</t>
    <phoneticPr fontId="4" type="noConversion"/>
  </si>
  <si>
    <t>◎ 기 계 경 비 산 출 근 거#15</t>
    <phoneticPr fontId="4" type="noConversion"/>
  </si>
  <si>
    <t>◎ 기 계 경 비 산 출 근 거#16</t>
    <phoneticPr fontId="4" type="noConversion"/>
  </si>
  <si>
    <t>2. 재료비 (건품:공통8-4-1)</t>
    <phoneticPr fontId="4" type="noConversion"/>
  </si>
  <si>
    <t>3. 경비 (건품:공통8-3-1)</t>
    <phoneticPr fontId="4" type="noConversion"/>
  </si>
  <si>
    <t>(기계경비산출근거#7)</t>
    <phoneticPr fontId="4" type="noConversion"/>
  </si>
  <si>
    <t>(기계경비산출근거#6)</t>
    <phoneticPr fontId="4" type="noConversion"/>
  </si>
  <si>
    <t>(기계경비산출근거#9) 0.5대 곱하기</t>
    <phoneticPr fontId="4" type="noConversion"/>
  </si>
  <si>
    <t>1. 구조물헐기(건품:공통8-2-15)</t>
    <phoneticPr fontId="4" type="noConversion"/>
  </si>
  <si>
    <t>(기계경비산출근거#1+기계경비산출근거#10)</t>
    <phoneticPr fontId="4" type="noConversion"/>
  </si>
  <si>
    <t>3) 치즐 ( 0.2㎥)</t>
    <phoneticPr fontId="4" type="noConversion"/>
  </si>
  <si>
    <t>1) ASPHALT PAVER (1.7m)</t>
    <phoneticPr fontId="4" type="noConversion"/>
  </si>
  <si>
    <t>(기계경비산출근거#11)</t>
    <phoneticPr fontId="4" type="noConversion"/>
  </si>
  <si>
    <t>(기계경비산출근거#0)</t>
    <phoneticPr fontId="4" type="noConversion"/>
  </si>
  <si>
    <t>/ Qd</t>
    <phoneticPr fontId="4" type="noConversion"/>
  </si>
  <si>
    <t>(기계경비산출근거#13)</t>
    <phoneticPr fontId="4" type="noConversion"/>
  </si>
  <si>
    <t>2) 타이어로라(5-8TON)</t>
    <phoneticPr fontId="4" type="noConversion"/>
  </si>
  <si>
    <t>(기계경비산출근거#12)</t>
    <phoneticPr fontId="4" type="noConversion"/>
  </si>
  <si>
    <t>(건품:토목1-5-1)</t>
    <phoneticPr fontId="4" type="noConversion"/>
  </si>
  <si>
    <t>(기계경비산출근거#15)</t>
    <phoneticPr fontId="4" type="noConversion"/>
  </si>
  <si>
    <t>1. 포설 (건품:토목1-3-3)</t>
    <phoneticPr fontId="4" type="noConversion"/>
  </si>
  <si>
    <t>(기계경비산출근거#16)</t>
    <phoneticPr fontId="4" type="noConversion"/>
  </si>
  <si>
    <t>(기계경비산출근거#14)</t>
    <phoneticPr fontId="4" type="noConversion"/>
  </si>
  <si>
    <t>(기계경비산출근거#8)</t>
    <phoneticPr fontId="4" type="noConversion"/>
  </si>
  <si>
    <t xml:space="preserve">   </t>
    <phoneticPr fontId="4" type="noConversion"/>
  </si>
  <si>
    <t>단가산출</t>
    <phoneticPr fontId="4" type="noConversion"/>
  </si>
  <si>
    <t>나.</t>
    <phoneticPr fontId="51" type="noConversion"/>
  </si>
  <si>
    <t>재 료 비 (건품:공통8-4-3)</t>
    <phoneticPr fontId="51" type="noConversion"/>
  </si>
  <si>
    <t>다.</t>
    <phoneticPr fontId="51" type="noConversion"/>
  </si>
  <si>
    <t>경    비 (건품:공통8-3-3)</t>
    <phoneticPr fontId="51" type="noConversion"/>
  </si>
  <si>
    <r>
      <t>재 료 비</t>
    </r>
    <r>
      <rPr>
        <sz val="9"/>
        <rFont val="맑은 고딕"/>
        <family val="3"/>
        <charset val="129"/>
      </rPr>
      <t xml:space="preserve"> (건품:공통8-4-3)</t>
    </r>
    <phoneticPr fontId="51" type="noConversion"/>
  </si>
  <si>
    <r>
      <t>경    비</t>
    </r>
    <r>
      <rPr>
        <sz val="9"/>
        <rFont val="맑은 고딕"/>
        <family val="3"/>
        <charset val="129"/>
      </rPr>
      <t xml:space="preserve"> (건품:공통8-3-3)</t>
    </r>
    <phoneticPr fontId="51" type="noConversion"/>
  </si>
  <si>
    <t>kg</t>
    <phoneticPr fontId="4" type="noConversion"/>
  </si>
  <si>
    <r>
      <t>보조 기층(T-2</t>
    </r>
    <r>
      <rPr>
        <sz val="10"/>
        <rFont val="맑은 고딕"/>
        <family val="3"/>
        <charset val="129"/>
      </rPr>
      <t>0</t>
    </r>
    <r>
      <rPr>
        <sz val="10"/>
        <rFont val="맑은 고딕"/>
        <family val="3"/>
        <charset val="129"/>
      </rPr>
      <t>cm</t>
    </r>
    <r>
      <rPr>
        <sz val="10"/>
        <rFont val="맑은 고딕"/>
        <family val="3"/>
        <charset val="129"/>
      </rPr>
      <t>)</t>
    </r>
    <phoneticPr fontId="51" type="noConversion"/>
  </si>
  <si>
    <t>아스팔트 포장깨기</t>
    <phoneticPr fontId="51" type="noConversion"/>
  </si>
  <si>
    <t>되메우기 및 다짐</t>
    <phoneticPr fontId="51" type="noConversion"/>
  </si>
  <si>
    <t>4.1. 폐기물처리</t>
    <phoneticPr fontId="4" type="noConversion"/>
  </si>
  <si>
    <t>단수 조정</t>
    <phoneticPr fontId="4" type="noConversion"/>
  </si>
  <si>
    <t>소     계</t>
    <phoneticPr fontId="4" type="noConversion"/>
  </si>
  <si>
    <t>4.2. 폐기물운반비</t>
    <phoneticPr fontId="4" type="noConversion"/>
  </si>
  <si>
    <t>기초산출#3</t>
    <phoneticPr fontId="51" type="noConversion"/>
  </si>
  <si>
    <r>
      <rPr>
        <b/>
        <sz val="10"/>
        <rFont val="맑은 고딕"/>
        <family val="3"/>
        <charset val="129"/>
      </rPr>
      <t>P</t>
    </r>
    <r>
      <rPr>
        <b/>
        <sz val="10"/>
        <rFont val="맑은 고딕"/>
        <family val="3"/>
        <charset val="129"/>
      </rPr>
      <t>OLE</t>
    </r>
    <r>
      <rPr>
        <b/>
        <sz val="10"/>
        <rFont val="맑은 고딕"/>
        <family val="3"/>
        <charset val="129"/>
      </rPr>
      <t xml:space="preserve"> 기초</t>
    </r>
    <phoneticPr fontId="6" type="noConversion"/>
  </si>
  <si>
    <r>
      <t xml:space="preserve"> 9. 접지봉 (1</t>
    </r>
    <r>
      <rPr>
        <sz val="10"/>
        <rFont val="맑은 고딕"/>
        <family val="3"/>
        <charset val="129"/>
      </rPr>
      <t>4</t>
    </r>
    <r>
      <rPr>
        <sz val="10"/>
        <rFont val="맑은 고딕"/>
        <family val="3"/>
        <charset val="129"/>
      </rPr>
      <t>Φ*</t>
    </r>
    <r>
      <rPr>
        <sz val="10"/>
        <rFont val="맑은 고딕"/>
        <family val="3"/>
        <charset val="129"/>
      </rPr>
      <t>10</t>
    </r>
    <r>
      <rPr>
        <sz val="10"/>
        <rFont val="맑은 고딕"/>
        <family val="3"/>
        <charset val="129"/>
      </rPr>
      <t>00*</t>
    </r>
    <r>
      <rPr>
        <sz val="10"/>
        <rFont val="맑은 고딕"/>
        <family val="3"/>
        <charset val="129"/>
      </rPr>
      <t>1</t>
    </r>
    <r>
      <rPr>
        <sz val="10"/>
        <rFont val="맑은 고딕"/>
        <family val="3"/>
        <charset val="129"/>
      </rPr>
      <t>본)</t>
    </r>
    <phoneticPr fontId="4" type="noConversion"/>
  </si>
  <si>
    <t>8. 접지선 (GV난연 6㎟)</t>
    <phoneticPr fontId="4" type="noConversion"/>
  </si>
  <si>
    <t>기초산출#4</t>
    <phoneticPr fontId="51" type="noConversion"/>
  </si>
  <si>
    <t>W:500xH:700xD:800</t>
    <phoneticPr fontId="4" type="noConversion"/>
  </si>
  <si>
    <t>W:500xH:1200xD:1,000</t>
    <phoneticPr fontId="4" type="noConversion"/>
  </si>
  <si>
    <r>
      <t>중기명 :굴삭기</t>
    </r>
    <r>
      <rPr>
        <b/>
        <sz val="12"/>
        <rFont val="맑은 고딕"/>
        <family val="3"/>
        <charset val="129"/>
      </rPr>
      <t>(무한궤도)</t>
    </r>
    <r>
      <rPr>
        <b/>
        <sz val="12"/>
        <rFont val="맑은 고딕"/>
        <family val="3"/>
        <charset val="129"/>
      </rPr>
      <t xml:space="preserve"> 0.2㎥</t>
    </r>
    <phoneticPr fontId="4" type="noConversion"/>
  </si>
  <si>
    <t>착암공</t>
  </si>
  <si>
    <t>프라임코팅 MC-1  (㎡당)</t>
    <phoneticPr fontId="4" type="noConversion"/>
  </si>
  <si>
    <t>page 775</t>
    <phoneticPr fontId="4" type="noConversion"/>
  </si>
  <si>
    <t>page 774</t>
    <phoneticPr fontId="4" type="noConversion"/>
  </si>
  <si>
    <t>page 772</t>
    <phoneticPr fontId="4" type="noConversion"/>
  </si>
  <si>
    <t>3. 경비 (건품:공통8-3-4)</t>
    <phoneticPr fontId="4" type="noConversion"/>
  </si>
  <si>
    <t>천원 )</t>
    <phoneticPr fontId="4" type="noConversion"/>
  </si>
  <si>
    <t>규    격</t>
    <phoneticPr fontId="4" type="noConversion"/>
  </si>
  <si>
    <t>산   출   집   계</t>
    <phoneticPr fontId="4" type="noConversion"/>
  </si>
  <si>
    <t>용접기 손료</t>
  </si>
  <si>
    <t>시간</t>
  </si>
  <si>
    <t>8. 접지선 (GV난연 6㎟)</t>
    <phoneticPr fontId="4" type="noConversion"/>
  </si>
  <si>
    <r>
      <t xml:space="preserve"> 9. 접지봉 (1</t>
    </r>
    <r>
      <rPr>
        <sz val="10"/>
        <rFont val="맑은 고딕"/>
        <family val="3"/>
        <charset val="129"/>
      </rPr>
      <t>4</t>
    </r>
    <r>
      <rPr>
        <sz val="10"/>
        <rFont val="맑은 고딕"/>
        <family val="3"/>
        <charset val="129"/>
      </rPr>
      <t>Φ*</t>
    </r>
    <r>
      <rPr>
        <sz val="10"/>
        <rFont val="맑은 고딕"/>
        <family val="3"/>
        <charset val="129"/>
      </rPr>
      <t>10</t>
    </r>
    <r>
      <rPr>
        <sz val="10"/>
        <rFont val="맑은 고딕"/>
        <family val="3"/>
        <charset val="129"/>
      </rPr>
      <t>00*</t>
    </r>
    <r>
      <rPr>
        <sz val="10"/>
        <rFont val="맑은 고딕"/>
        <family val="3"/>
        <charset val="129"/>
      </rPr>
      <t>1</t>
    </r>
    <r>
      <rPr>
        <sz val="10"/>
        <rFont val="맑은 고딕"/>
        <family val="3"/>
        <charset val="129"/>
      </rPr>
      <t>본)</t>
    </r>
    <phoneticPr fontId="4" type="noConversion"/>
  </si>
  <si>
    <t>고재1</t>
    <phoneticPr fontId="4" type="noConversion"/>
  </si>
  <si>
    <t>W:800 x H:500 x D:500</t>
    <phoneticPr fontId="4" type="noConversion"/>
  </si>
  <si>
    <t>기초산출#3</t>
    <phoneticPr fontId="51" type="noConversion"/>
  </si>
  <si>
    <t>PC 외함 기초</t>
    <phoneticPr fontId="6" type="noConversion"/>
  </si>
  <si>
    <t>문라이트 기초</t>
    <phoneticPr fontId="6" type="noConversion"/>
  </si>
  <si>
    <t>지중설치용 LINE LED 기초 (비석)</t>
    <phoneticPr fontId="6" type="noConversion"/>
  </si>
  <si>
    <t>관로터파기산출#2</t>
    <phoneticPr fontId="51" type="noConversion"/>
  </si>
  <si>
    <t>Φ9x70L</t>
    <phoneticPr fontId="4" type="noConversion"/>
  </si>
  <si>
    <t>Φ9x70</t>
    <phoneticPr fontId="4" type="noConversion"/>
  </si>
  <si>
    <t>◎ 건주단가산출근거#3: 크레인 트럭 ( 5 TON ) 건주 - 10m ~ 12m   (등주 신설)</t>
    <phoneticPr fontId="51" type="noConversion"/>
  </si>
  <si>
    <t>◎ 건주단가산출근거#4: 크레인 트럭 ( 5 TON ) 건주 - 14m이하   (등주 신설)</t>
    <phoneticPr fontId="51" type="noConversion"/>
  </si>
  <si>
    <t>볼라드 기초</t>
    <phoneticPr fontId="6" type="noConversion"/>
  </si>
  <si>
    <t>소나무군락 투광등 기초, 투광등용 기초 (비석)</t>
    <phoneticPr fontId="6" type="noConversion"/>
  </si>
  <si>
    <t>W:300 x H:200 x D:300</t>
    <phoneticPr fontId="4" type="noConversion"/>
  </si>
  <si>
    <t>W:400 x H:200 x D:400</t>
    <phoneticPr fontId="4" type="noConversion"/>
  </si>
  <si>
    <t>W:1000 x H:200 x D:100</t>
    <phoneticPr fontId="4" type="noConversion"/>
  </si>
  <si>
    <t>8. 접지선 (GV난연 16㎟)</t>
    <phoneticPr fontId="4" type="noConversion"/>
  </si>
  <si>
    <t>W:200 x H:300 x D:200</t>
    <phoneticPr fontId="4" type="noConversion"/>
  </si>
  <si>
    <t>8M, 10M 폴기초</t>
    <phoneticPr fontId="6" type="noConversion"/>
  </si>
  <si>
    <t>Φ25x1000Lx4본</t>
    <phoneticPr fontId="4" type="noConversion"/>
  </si>
  <si>
    <r>
      <t xml:space="preserve"> 9. 접지봉 (1</t>
    </r>
    <r>
      <rPr>
        <sz val="10"/>
        <rFont val="맑은 고딕"/>
        <family val="3"/>
        <charset val="129"/>
      </rPr>
      <t>4</t>
    </r>
    <r>
      <rPr>
        <sz val="10"/>
        <rFont val="맑은 고딕"/>
        <family val="3"/>
        <charset val="129"/>
      </rPr>
      <t>Φ*</t>
    </r>
    <r>
      <rPr>
        <sz val="10"/>
        <rFont val="맑은 고딕"/>
        <family val="3"/>
        <charset val="129"/>
      </rPr>
      <t>10</t>
    </r>
    <r>
      <rPr>
        <sz val="10"/>
        <rFont val="맑은 고딕"/>
        <family val="3"/>
        <charset val="129"/>
      </rPr>
      <t>00*</t>
    </r>
    <r>
      <rPr>
        <sz val="10"/>
        <rFont val="맑은 고딕"/>
        <family val="3"/>
        <charset val="129"/>
      </rPr>
      <t>1</t>
    </r>
    <r>
      <rPr>
        <sz val="10"/>
        <rFont val="맑은 고딕"/>
        <family val="3"/>
        <charset val="129"/>
      </rPr>
      <t>본)</t>
    </r>
    <phoneticPr fontId="4" type="noConversion"/>
  </si>
  <si>
    <t>W:500 x H:1,200 x D:1,100 (도면 참조)</t>
    <phoneticPr fontId="4" type="noConversion"/>
  </si>
  <si>
    <t>스피커 기초</t>
    <phoneticPr fontId="6" type="noConversion"/>
  </si>
  <si>
    <t>기초산출#3</t>
    <phoneticPr fontId="51" type="noConversion"/>
  </si>
  <si>
    <t>기초산출#4</t>
    <phoneticPr fontId="51" type="noConversion"/>
  </si>
  <si>
    <t>기초산출#5</t>
    <phoneticPr fontId="51" type="noConversion"/>
  </si>
  <si>
    <t>기초산출#6</t>
    <phoneticPr fontId="51" type="noConversion"/>
  </si>
  <si>
    <t>기초산출#8</t>
    <phoneticPr fontId="51" type="noConversion"/>
  </si>
  <si>
    <t>2. 고재처리비</t>
    <phoneticPr fontId="4" type="noConversion"/>
  </si>
  <si>
    <t>Ⅳ. 폐기물 처리</t>
    <phoneticPr fontId="4" type="noConversion"/>
  </si>
  <si>
    <t>W:650 x H:300 x D:350</t>
    <phoneticPr fontId="4" type="noConversion"/>
  </si>
  <si>
    <t>볼라드 중공기초 설치</t>
    <phoneticPr fontId="6" type="noConversion"/>
  </si>
  <si>
    <t>W:300 x H:300 x D:300</t>
    <phoneticPr fontId="4" type="noConversion"/>
  </si>
  <si>
    <t>7. 전선관</t>
    <phoneticPr fontId="4" type="noConversion"/>
  </si>
  <si>
    <t>5. 앵카볼트</t>
    <phoneticPr fontId="51" type="noConversion"/>
  </si>
  <si>
    <t>포설공</t>
    <phoneticPr fontId="4" type="noConversion"/>
  </si>
  <si>
    <t>page 589</t>
    <phoneticPr fontId="4" type="noConversion"/>
  </si>
  <si>
    <t>page 87</t>
    <phoneticPr fontId="4" type="noConversion"/>
  </si>
  <si>
    <t>page 604</t>
    <phoneticPr fontId="4" type="noConversion"/>
  </si>
  <si>
    <t>page 712</t>
    <phoneticPr fontId="4" type="noConversion"/>
  </si>
  <si>
    <t>page 665</t>
    <phoneticPr fontId="4" type="noConversion"/>
  </si>
  <si>
    <t>page 664</t>
    <phoneticPr fontId="4" type="noConversion"/>
  </si>
  <si>
    <t>- 포설공 :</t>
    <phoneticPr fontId="4" type="noConversion"/>
  </si>
  <si>
    <t>1. 운전경비 (건품:토목1-10-1)</t>
    <phoneticPr fontId="4" type="noConversion"/>
  </si>
  <si>
    <t>1. 포설 (건품:토목1-5-3)</t>
    <phoneticPr fontId="4" type="noConversion"/>
  </si>
  <si>
    <t>page 832</t>
    <phoneticPr fontId="4" type="noConversion"/>
  </si>
  <si>
    <t>유지보수로이동됨</t>
    <phoneticPr fontId="4" type="noConversion"/>
  </si>
  <si>
    <t>(건품:토목1-10-1)</t>
    <phoneticPr fontId="4" type="noConversion"/>
  </si>
  <si>
    <t>page 614</t>
    <phoneticPr fontId="4" type="noConversion"/>
  </si>
  <si>
    <t>page 776</t>
    <phoneticPr fontId="4" type="noConversion"/>
  </si>
  <si>
    <t>(건품:토목1-5-6)</t>
    <phoneticPr fontId="4" type="noConversion"/>
  </si>
  <si>
    <t>1. 포설 (건품:토목1-5-6)</t>
    <phoneticPr fontId="4" type="noConversion"/>
  </si>
  <si>
    <t>(건품:토목1-5-3)</t>
    <phoneticPr fontId="4" type="noConversion"/>
  </si>
  <si>
    <t>관로터파기산출#1</t>
    <phoneticPr fontId="51" type="noConversion"/>
  </si>
  <si>
    <t>PAGE. 164</t>
    <phoneticPr fontId="51" type="noConversion"/>
  </si>
  <si>
    <t>PAGE. 165</t>
    <phoneticPr fontId="51" type="noConversion"/>
  </si>
  <si>
    <t>㎡</t>
  </si>
  <si>
    <t>자갈</t>
    <phoneticPr fontId="4" type="noConversion"/>
  </si>
  <si>
    <t>◎ 산출근거1 : 트럭탑재형크레인 ( 2 TON )</t>
    <phoneticPr fontId="51" type="noConversion"/>
  </si>
  <si>
    <t>지중등</t>
    <phoneticPr fontId="4" type="noConversion"/>
  </si>
  <si>
    <t>부피 = ( 가로 x  세로 x 높이 )</t>
    <phoneticPr fontId="69" type="noConversion"/>
  </si>
  <si>
    <t>부피=</t>
    <phoneticPr fontId="69" type="noConversion"/>
  </si>
  <si>
    <t>(가로x세로x높이)</t>
    <phoneticPr fontId="6" type="noConversion"/>
  </si>
  <si>
    <t>가로=</t>
    <phoneticPr fontId="4" type="noConversion"/>
  </si>
  <si>
    <t>세로=</t>
    <phoneticPr fontId="6" type="noConversion"/>
  </si>
  <si>
    <t>높이=</t>
    <phoneticPr fontId="4" type="noConversion"/>
  </si>
  <si>
    <t>2. 모래</t>
    <phoneticPr fontId="51" type="noConversion"/>
  </si>
  <si>
    <t>3. 자갈</t>
    <phoneticPr fontId="51" type="noConversion"/>
  </si>
  <si>
    <t>지중등 기초 (모래,자갈)</t>
    <phoneticPr fontId="6" type="noConversion"/>
  </si>
  <si>
    <t>관로터파기(토공)</t>
    <phoneticPr fontId="51" type="noConversion"/>
  </si>
  <si>
    <t>3. 다짐(플레이트 콤펙터 1.5TON) (건품:공통8-2-10)</t>
    <phoneticPr fontId="4" type="noConversion"/>
  </si>
  <si>
    <t>W =</t>
    <phoneticPr fontId="4" type="noConversion"/>
  </si>
  <si>
    <t>D =</t>
    <phoneticPr fontId="4" type="noConversion"/>
  </si>
  <si>
    <t>N =</t>
    <phoneticPr fontId="4" type="noConversion"/>
  </si>
  <si>
    <t>회</t>
    <phoneticPr fontId="4" type="noConversion"/>
  </si>
  <si>
    <t>(기계경비산출근거#2)</t>
    <phoneticPr fontId="4" type="noConversion"/>
  </si>
  <si>
    <t>단 가 산 출 근 거 #9</t>
    <phoneticPr fontId="4" type="noConversion"/>
  </si>
  <si>
    <t>단 가 산 출 근 거 #8</t>
    <phoneticPr fontId="4" type="noConversion"/>
  </si>
  <si>
    <t>(ELP 30)</t>
    <phoneticPr fontId="4" type="noConversion"/>
  </si>
  <si>
    <t>수목조명 기초</t>
    <phoneticPr fontId="6" type="noConversion"/>
  </si>
  <si>
    <t>W:500 x H:300 x D:500</t>
    <phoneticPr fontId="4" type="noConversion"/>
  </si>
  <si>
    <t>저강도 레이저조명 기초</t>
    <phoneticPr fontId="6" type="noConversion"/>
  </si>
  <si>
    <t>문라이트조명 기초</t>
    <phoneticPr fontId="6" type="noConversion"/>
  </si>
  <si>
    <t>W:400 x H:300 x D:400</t>
    <phoneticPr fontId="4" type="noConversion"/>
  </si>
  <si>
    <t>내역서4</t>
    <phoneticPr fontId="4" type="noConversion"/>
  </si>
  <si>
    <t>Ø10x75L</t>
    <phoneticPr fontId="4" type="noConversion"/>
  </si>
  <si>
    <t>◎ 기 계 경 비 산 출 근 거#17</t>
    <phoneticPr fontId="4" type="noConversion"/>
  </si>
  <si>
    <t xml:space="preserve">탠덤롤러 (자주식) (5-8TON) </t>
    <phoneticPr fontId="4" type="noConversion"/>
  </si>
  <si>
    <t>탠덤롤러 (자주식) (5-8TON):</t>
    <phoneticPr fontId="4" type="noConversion"/>
  </si>
  <si>
    <t>3) 탠덤로라(5-8TON)</t>
    <phoneticPr fontId="4" type="noConversion"/>
  </si>
  <si>
    <t>(기계경비산출근거#17)</t>
    <phoneticPr fontId="4" type="noConversion"/>
  </si>
  <si>
    <t>텍코팅 RSC-4  (㎡당)</t>
    <phoneticPr fontId="4" type="noConversion"/>
  </si>
  <si>
    <t>2) 진동로울러(자주식) (12Ton)</t>
    <phoneticPr fontId="4" type="noConversion"/>
  </si>
  <si>
    <t>1) 모우터그레이더 3.6(일반용)</t>
    <phoneticPr fontId="4" type="noConversion"/>
  </si>
  <si>
    <t>기존 투광등 (MHN-LA 1000W) - (약13.2KG) 알루미늄</t>
    <phoneticPr fontId="4" type="noConversion"/>
  </si>
  <si>
    <t>기존 POLE - (약20KG) 철</t>
    <phoneticPr fontId="4" type="noConversion"/>
  </si>
  <si>
    <t>산출집계2</t>
    <phoneticPr fontId="4" type="noConversion"/>
  </si>
  <si>
    <t>8. 접지선 (GV난연 4㎟)</t>
    <phoneticPr fontId="4" type="noConversion"/>
  </si>
  <si>
    <t>기존 투광등 (MH-TS 250W) - (약9.7+10KG) 알루미늄</t>
    <phoneticPr fontId="4" type="noConversion"/>
  </si>
  <si>
    <t>기존 투광등 (MH-TS 150W) - (약6+10KG) 알루미늄</t>
    <phoneticPr fontId="4" type="noConversion"/>
  </si>
  <si>
    <t>기존 투광등 (NA-T 250W) - (약9.7+10KG) 알루미늄</t>
    <phoneticPr fontId="4" type="noConversion"/>
  </si>
  <si>
    <t>page 702</t>
    <phoneticPr fontId="4" type="noConversion"/>
  </si>
  <si>
    <t>page 650</t>
    <phoneticPr fontId="4" type="noConversion"/>
  </si>
  <si>
    <t>page 658</t>
    <phoneticPr fontId="4" type="noConversion"/>
  </si>
  <si>
    <t>page 704</t>
    <phoneticPr fontId="4" type="noConversion"/>
  </si>
  <si>
    <t>page 669</t>
    <phoneticPr fontId="4" type="noConversion"/>
  </si>
  <si>
    <t>page 709</t>
    <phoneticPr fontId="4" type="noConversion"/>
  </si>
  <si>
    <t>page 689</t>
    <phoneticPr fontId="4" type="noConversion"/>
  </si>
  <si>
    <t>page 652</t>
    <phoneticPr fontId="4" type="noConversion"/>
  </si>
  <si>
    <t>page 708</t>
    <phoneticPr fontId="4" type="noConversion"/>
  </si>
  <si>
    <t>page 655</t>
    <phoneticPr fontId="4" type="noConversion"/>
  </si>
  <si>
    <t>page 657</t>
    <phoneticPr fontId="4" type="noConversion"/>
  </si>
  <si>
    <t>page 656</t>
    <phoneticPr fontId="4" type="noConversion"/>
  </si>
  <si>
    <t>page 703</t>
    <phoneticPr fontId="4" type="noConversion"/>
  </si>
  <si>
    <t>고재처리</t>
    <phoneticPr fontId="4" type="noConversion"/>
  </si>
  <si>
    <t>500×500×900×700×800mm</t>
    <phoneticPr fontId="4" type="noConversion"/>
  </si>
  <si>
    <t>2. 제작기초부피</t>
    <phoneticPr fontId="69" type="noConversion"/>
  </si>
  <si>
    <t>관로터파기(화강암블럭)</t>
    <phoneticPr fontId="51" type="noConversion"/>
  </si>
  <si>
    <t>화강암 블럭 걷기</t>
    <phoneticPr fontId="51" type="noConversion"/>
  </si>
  <si>
    <t>화강암 블럭 포장</t>
    <phoneticPr fontId="51" type="noConversion"/>
  </si>
  <si>
    <t>◎ 산출근거1 : 트럭탑재형크레인 ( 5 TON )</t>
    <phoneticPr fontId="51" type="noConversion"/>
  </si>
  <si>
    <t>제작기초 [조명기구 TYPE "E"용 - 수목 조명용]</t>
    <phoneticPr fontId="6" type="noConversion"/>
  </si>
  <si>
    <t>W:700 x H:400 x D:400</t>
    <phoneticPr fontId="4" type="noConversion"/>
  </si>
  <si>
    <t>SUB함체 기초</t>
    <phoneticPr fontId="6" type="noConversion"/>
  </si>
  <si>
    <t>기초산출#9</t>
    <phoneticPr fontId="51" type="noConversion"/>
  </si>
  <si>
    <t>제작기초 [조명기구 TYPE "H"용 - 분화구 조명용]</t>
    <phoneticPr fontId="6" type="noConversion"/>
  </si>
  <si>
    <t>제작기초 [조명기구 TYPE "F"용 - 분화구 조명용]</t>
    <phoneticPr fontId="6" type="noConversion"/>
  </si>
  <si>
    <t>제작기초 [조명기구 TYPE "D,G"용 - 볼라드 조명용]</t>
    <phoneticPr fontId="6" type="noConversion"/>
  </si>
  <si>
    <t>관로터파기산출#5</t>
    <phoneticPr fontId="51" type="noConversion"/>
  </si>
  <si>
    <t>관로터파기(아스팔트), H:0.6m</t>
    <phoneticPr fontId="51" type="noConversion"/>
  </si>
  <si>
    <t>6. 전선관</t>
    <phoneticPr fontId="4" type="noConversion"/>
  </si>
  <si>
    <t>조명기구 브라켓 기초</t>
    <phoneticPr fontId="6" type="noConversion"/>
  </si>
  <si>
    <t>관로터파기(콘크리트)</t>
    <phoneticPr fontId="51" type="noConversion"/>
  </si>
  <si>
    <t>교류200Amp</t>
    <phoneticPr fontId="4" type="noConversion"/>
  </si>
  <si>
    <t>ㅑ</t>
    <phoneticPr fontId="4" type="noConversion"/>
  </si>
  <si>
    <t>W:460 x H:600 x D:460</t>
    <phoneticPr fontId="4" type="noConversion"/>
  </si>
  <si>
    <t>관로터파기(아스팔트), H:1m</t>
    <phoneticPr fontId="51" type="noConversion"/>
  </si>
  <si>
    <t>◎ 건주단가산출근거#2: 크레인 트럭 ( 5 TON ) 건주 - 5m ~ 7m  (등주 철거)</t>
    <phoneticPr fontId="51" type="noConversion"/>
  </si>
  <si>
    <t>노인장기요양보험료</t>
    <phoneticPr fontId="4" type="noConversion"/>
  </si>
  <si>
    <t>공급가액</t>
    <phoneticPr fontId="4" type="noConversion"/>
  </si>
  <si>
    <t>◎ 건주단가산출근거#2: 크레인 트럭 ( 5 TON ) 건주 - 8m ~ 9m  (등주 철거)</t>
    <phoneticPr fontId="51" type="noConversion"/>
  </si>
  <si>
    <t>전력량</t>
  </si>
  <si>
    <t>산업용</t>
  </si>
  <si>
    <t>Kwh</t>
  </si>
  <si>
    <t>물가정보부록(2024.02)</t>
    <phoneticPr fontId="4" type="noConversion"/>
  </si>
  <si>
    <t>물가자료부록(2024.02)</t>
    <phoneticPr fontId="4" type="noConversion"/>
  </si>
  <si>
    <t>여만교</t>
    <phoneticPr fontId="4" type="noConversion"/>
  </si>
  <si>
    <t>금송교</t>
    <phoneticPr fontId="4" type="noConversion"/>
  </si>
  <si>
    <t>산출집계0</t>
    <phoneticPr fontId="4" type="noConversion"/>
  </si>
  <si>
    <t>Ⅲ. 고재처리비</t>
    <phoneticPr fontId="4" type="noConversion"/>
  </si>
  <si>
    <t>내역서3</t>
    <phoneticPr fontId="4" type="noConversion"/>
  </si>
  <si>
    <t>관로터파기산출#2</t>
    <phoneticPr fontId="51" type="noConversion"/>
  </si>
  <si>
    <t>Ⅱ. 관급자재비</t>
    <phoneticPr fontId="4" type="noConversion"/>
  </si>
  <si>
    <t>Ⅰ. 도급공사</t>
    <phoneticPr fontId="4" type="noConversion"/>
  </si>
  <si>
    <t>4. 모래</t>
    <phoneticPr fontId="51" type="noConversion"/>
  </si>
  <si>
    <t>a*b*h</t>
    <phoneticPr fontId="69" type="noConversion"/>
  </si>
  <si>
    <t>*</t>
    <phoneticPr fontId="6" type="noConversion"/>
  </si>
  <si>
    <t>원  가  계  산  서</t>
  </si>
  <si>
    <t>비목</t>
    <phoneticPr fontId="4" type="noConversion"/>
  </si>
  <si>
    <t>구             분</t>
  </si>
  <si>
    <t>구        성        비 (%)</t>
  </si>
  <si>
    <t>비  고</t>
  </si>
  <si>
    <t>공사기간</t>
  </si>
  <si>
    <t>6개월이하</t>
  </si>
  <si>
    <t>순 공 사 원 가</t>
  </si>
  <si>
    <t>재료비</t>
  </si>
  <si>
    <t>직접재료비</t>
  </si>
  <si>
    <t>간접노무비</t>
  </si>
  <si>
    <t>간접재료비</t>
  </si>
  <si>
    <t>산재보험료</t>
  </si>
  <si>
    <t>소계</t>
  </si>
  <si>
    <t>고용보험료</t>
  </si>
  <si>
    <t>노무비</t>
  </si>
  <si>
    <t>직접노무비</t>
  </si>
  <si>
    <t>건강보험료</t>
  </si>
  <si>
    <t>연금보험료</t>
  </si>
  <si>
    <t>노인장기요양보험료</t>
  </si>
  <si>
    <t>경비</t>
  </si>
  <si>
    <t>기계경비</t>
  </si>
  <si>
    <t>퇴직공제 부금비</t>
  </si>
  <si>
    <t>추정1억이상</t>
    <phoneticPr fontId="4" type="noConversion"/>
  </si>
  <si>
    <t>산업안전보건관리비</t>
  </si>
  <si>
    <t>5억미만</t>
    <phoneticPr fontId="4" type="noConversion"/>
  </si>
  <si>
    <t>공사금액2천이상</t>
    <phoneticPr fontId="4" type="noConversion"/>
  </si>
  <si>
    <t>기초액</t>
  </si>
  <si>
    <t>기타경비</t>
  </si>
  <si>
    <t>환경보전비</t>
  </si>
  <si>
    <t>일반관리비</t>
  </si>
  <si>
    <t>이윤</t>
  </si>
  <si>
    <t>이윤삭제액</t>
  </si>
  <si>
    <t>(이윤삭제액은 공급가액에서 천원단위까지 입력)</t>
    <phoneticPr fontId="4" type="noConversion"/>
  </si>
  <si>
    <t>퇴직공제부금비</t>
    <phoneticPr fontId="4" type="noConversion"/>
  </si>
  <si>
    <t>구성비입력용</t>
    <phoneticPr fontId="4" type="noConversion"/>
  </si>
  <si>
    <t>부가 가치세</t>
  </si>
  <si>
    <t>도급자관급</t>
    <phoneticPr fontId="4" type="noConversion"/>
  </si>
  <si>
    <t>안전보건관리비(1)</t>
    <phoneticPr fontId="4" type="noConversion"/>
  </si>
  <si>
    <t>순공사비 원가 합계</t>
  </si>
  <si>
    <t>안전보건관리비(2)</t>
    <phoneticPr fontId="4" type="noConversion"/>
  </si>
  <si>
    <t>부가가치세</t>
  </si>
  <si>
    <t>도급액</t>
    <phoneticPr fontId="4" type="noConversion"/>
  </si>
  <si>
    <t>&lt;천단위이하 절사&gt;</t>
    <phoneticPr fontId="4" type="noConversion"/>
  </si>
  <si>
    <t>관급자재비</t>
    <phoneticPr fontId="4" type="noConversion"/>
  </si>
  <si>
    <t>총공사비</t>
    <phoneticPr fontId="4" type="noConversion"/>
  </si>
  <si>
    <t>I</t>
    <phoneticPr fontId="4" type="noConversion"/>
  </si>
  <si>
    <t>기초산출#7</t>
    <phoneticPr fontId="51" type="noConversion"/>
  </si>
  <si>
    <t>2025년 하반기</t>
    <phoneticPr fontId="4" type="noConversion"/>
  </si>
  <si>
    <t>소   계</t>
    <phoneticPr fontId="4" type="noConversion"/>
  </si>
  <si>
    <t>과장</t>
    <phoneticPr fontId="199" type="noConversion"/>
  </si>
  <si>
    <t>심사자</t>
    <phoneticPr fontId="199" type="noConversion"/>
  </si>
  <si>
    <t>검산자</t>
    <phoneticPr fontId="199" type="noConversion"/>
  </si>
  <si>
    <t>설계자</t>
    <phoneticPr fontId="199" type="noConversion"/>
  </si>
  <si>
    <t>사    업    개    요 :</t>
    <phoneticPr fontId="199" type="noConversion"/>
  </si>
  <si>
    <t>총 사 업 비 :</t>
    <phoneticPr fontId="199" type="noConversion"/>
  </si>
  <si>
    <t>원정</t>
    <phoneticPr fontId="199" type="noConversion"/>
  </si>
  <si>
    <t>관급자재비 :</t>
    <phoneticPr fontId="199" type="noConversion"/>
  </si>
  <si>
    <t>한전표준시설부담금 :</t>
    <phoneticPr fontId="199" type="noConversion"/>
  </si>
  <si>
    <t>과
장</t>
    <phoneticPr fontId="199" type="noConversion"/>
  </si>
  <si>
    <t>팀
장</t>
    <phoneticPr fontId="199" type="noConversion"/>
  </si>
  <si>
    <t>검
토
자</t>
    <phoneticPr fontId="199" type="noConversion"/>
  </si>
  <si>
    <t>담
당
자</t>
    <phoneticPr fontId="199" type="noConversion"/>
  </si>
  <si>
    <t>설
계
자</t>
    <phoneticPr fontId="199" type="noConversion"/>
  </si>
  <si>
    <t>면  장</t>
    <phoneticPr fontId="199" type="noConversion"/>
  </si>
  <si>
    <t>부 면 장</t>
    <phoneticPr fontId="199" type="noConversion"/>
  </si>
  <si>
    <t>검 산 자</t>
    <phoneticPr fontId="199" type="noConversion"/>
  </si>
  <si>
    <t>설 계 자</t>
    <phoneticPr fontId="199" type="noConversion"/>
  </si>
  <si>
    <t>도급공사비 :</t>
    <phoneticPr fontId="199" type="noConversion"/>
  </si>
  <si>
    <t>한전표준시설부담금</t>
    <phoneticPr fontId="4" type="noConversion"/>
  </si>
  <si>
    <t>%</t>
  </si>
  <si>
    <t>합판거푸집</t>
  </si>
  <si>
    <t>1. LED경관조명기구</t>
    <phoneticPr fontId="4" type="noConversion"/>
  </si>
  <si>
    <t>석면분담금</t>
    <phoneticPr fontId="4" type="noConversion"/>
  </si>
  <si>
    <t>임금채권부담금</t>
    <phoneticPr fontId="4" type="noConversion"/>
  </si>
  <si>
    <t>&lt;노무비&gt; x 0.006%</t>
    <phoneticPr fontId="4" type="noConversion"/>
  </si>
  <si>
    <t>&lt;노무비&gt; x 0.09%</t>
    <phoneticPr fontId="4" type="noConversion"/>
  </si>
  <si>
    <t>2026년   월   일 설계</t>
    <phoneticPr fontId="4" type="noConversion"/>
  </si>
  <si>
    <t>2026년도</t>
    <phoneticPr fontId="199" type="noConversion"/>
  </si>
  <si>
    <t>전력인입 및 간선공사 : 1식</t>
    <phoneticPr fontId="4" type="noConversion"/>
  </si>
  <si>
    <t>명    칭</t>
  </si>
  <si>
    <t>규  격</t>
  </si>
  <si>
    <t>산  출  근  거</t>
  </si>
  <si>
    <t>합    계</t>
  </si>
  <si>
    <t>경    비</t>
  </si>
  <si>
    <t>비    고</t>
  </si>
  <si>
    <t>1. 굴착기(무한궤도)</t>
  </si>
  <si>
    <t>0.2㎥</t>
  </si>
  <si>
    <t>손    료</t>
  </si>
  <si>
    <t/>
  </si>
  <si>
    <t>￦×</t>
  </si>
  <si>
    <t>×</t>
  </si>
  <si>
    <t>10(-7)</t>
  </si>
  <si>
    <t>'26年 개정</t>
  </si>
  <si>
    <t>주연료</t>
  </si>
  <si>
    <t>경유</t>
  </si>
  <si>
    <t>잡    품</t>
  </si>
  <si>
    <t>주연료의</t>
  </si>
  <si>
    <t>1/8*16/12*25/20</t>
  </si>
  <si>
    <t>단가산출총괄표</t>
  </si>
  <si>
    <t>No</t>
  </si>
  <si>
    <t>품    명</t>
  </si>
  <si>
    <t>규   격</t>
  </si>
  <si>
    <t>단위</t>
  </si>
  <si>
    <t>당초합계</t>
  </si>
  <si>
    <t>당초노무비</t>
  </si>
  <si>
    <t>당초재료비</t>
  </si>
  <si>
    <t>당초경비</t>
  </si>
  <si>
    <t>1</t>
  </si>
  <si>
    <t>터파기</t>
  </si>
  <si>
    <t>백호(0.2㎥)90%+인력10%</t>
  </si>
  <si>
    <t>2</t>
  </si>
  <si>
    <t>되메우기</t>
  </si>
  <si>
    <t>3</t>
  </si>
  <si>
    <t>잔토처리(현장내)</t>
  </si>
  <si>
    <t>4</t>
  </si>
  <si>
    <t>6회</t>
  </si>
  <si>
    <t>단가산출</t>
  </si>
  <si>
    <t>산    출    근    거</t>
  </si>
  <si>
    <t>합  계</t>
  </si>
  <si>
    <t>경  비</t>
  </si>
  <si>
    <t>1.터파기 (백호(0.2㎥)90%+인력10%) [㎥]</t>
  </si>
  <si>
    <t>1.</t>
  </si>
  <si>
    <t>기</t>
  </si>
  <si>
    <t>90</t>
  </si>
  <si>
    <t>굴착기(무한궤도)</t>
  </si>
  <si>
    <t>(0.2㎥)</t>
  </si>
  <si>
    <t>q</t>
  </si>
  <si>
    <t>f</t>
  </si>
  <si>
    <t>K</t>
  </si>
  <si>
    <t>E</t>
  </si>
  <si>
    <t>Cm</t>
  </si>
  <si>
    <t>sec</t>
  </si>
  <si>
    <t>135</t>
  </si>
  <si>
    <t>˚</t>
  </si>
  <si>
    <t>Q</t>
  </si>
  <si>
    <t>─</t>
  </si>
  <si>
    <t>÷</t>
  </si>
  <si>
    <t>경</t>
  </si>
  <si>
    <t>비</t>
  </si>
  <si>
    <t>소</t>
  </si>
  <si>
    <t>2.</t>
  </si>
  <si>
    <t>력</t>
  </si>
  <si>
    <t>10</t>
  </si>
  <si>
    <t>보통토</t>
  </si>
  <si>
    <t>,경질토</t>
  </si>
  <si>
    <t>,자갈토</t>
  </si>
  <si>
    <t>의</t>
  </si>
  <si>
    <t>평균</t>
  </si>
  <si>
    <t>&lt;25년 품셈개정&gt;</t>
  </si>
  <si>
    <t>3.</t>
  </si>
  <si>
    <t>합</t>
  </si>
  <si>
    <t>2.되메우기 (백호(0.2㎥)90%+인력10%) [㎥]</t>
  </si>
  <si>
    <t>3.잔토처리(현장내) (백호(0.2㎥)90%+인력10%) [㎥]</t>
  </si>
  <si>
    <t>&lt;품셈 3-2-1&gt;</t>
  </si>
  <si>
    <t>4.합판거푸집(6회)[㎡]</t>
  </si>
  <si>
    <t>&lt; 토목품셈 6-3-1 합판거푸집 &gt;</t>
  </si>
  <si>
    <t>※</t>
  </si>
  <si>
    <t>사용횟수</t>
  </si>
  <si>
    <t>6</t>
  </si>
  <si>
    <t>회</t>
  </si>
  <si>
    <t>간단</t>
  </si>
  <si>
    <t>합판(내수),서울</t>
  </si>
  <si>
    <t>(12t×1220×2440mm)</t>
  </si>
  <si>
    <t>외송각재,서울</t>
  </si>
  <si>
    <t>(30×30×3600mm)</t>
  </si>
  <si>
    <t>주자재소계</t>
  </si>
  <si>
    <t>소모자재</t>
  </si>
  <si>
    <t>박리재등</t>
  </si>
  <si>
    <t>주자재비의</t>
  </si>
  <si>
    <t>11</t>
  </si>
  <si>
    <t>인건비</t>
  </si>
  <si>
    <t>24</t>
  </si>
  <si>
    <t>년</t>
  </si>
  <si>
    <t>품셈</t>
  </si>
  <si>
    <t>개정</t>
  </si>
  <si>
    <t>인부소계</t>
  </si>
  <si>
    <t>공구손료</t>
  </si>
  <si>
    <t>및</t>
  </si>
  <si>
    <t>경장비</t>
  </si>
  <si>
    <t>노무비의</t>
  </si>
  <si>
    <t>◎ 건주단가산출근거#2: 크레인 트럭 ( 2 TON ) 건주 - 5m ~ 7m  (등주 신설)</t>
    <phoneticPr fontId="51" type="noConversion"/>
  </si>
  <si>
    <t>기계경비적용기준</t>
  </si>
  <si>
    <t>환 율 (/￦)</t>
  </si>
  <si>
    <t>기본재료비</t>
  </si>
  <si>
    <t>화   폐</t>
  </si>
  <si>
    <t>환  율</t>
  </si>
  <si>
    <t>비     고</t>
  </si>
  <si>
    <t>품   명</t>
  </si>
  <si>
    <t>단  가</t>
  </si>
  <si>
    <t>달러($)</t>
  </si>
  <si>
    <t>2026.3.3. 매매기준율</t>
  </si>
  <si>
    <t>경    유</t>
  </si>
  <si>
    <t>엔(100￥)</t>
  </si>
  <si>
    <t>유로(E)</t>
  </si>
  <si>
    <t>마르크(M)</t>
  </si>
  <si>
    <t>파운드(L)</t>
  </si>
  <si>
    <t>노임계수</t>
  </si>
  <si>
    <t>계산결과값 자리수</t>
  </si>
  <si>
    <t>계산값</t>
  </si>
  <si>
    <t>1/8*16/12*25/20*24/15</t>
  </si>
  <si>
    <t>경  비 소수 1 미만 절하</t>
  </si>
  <si>
    <t>1/8*16/12*25/20*12/10</t>
  </si>
  <si>
    <t>1/8*16/12*25/20*14/12</t>
  </si>
  <si>
    <t>재료비 소수 1 미만 절하</t>
  </si>
  <si>
    <t>5</t>
  </si>
  <si>
    <t>1/8*16/12*25/20*24/5</t>
  </si>
  <si>
    <t>노무비 소수 1 미만 절하</t>
  </si>
  <si>
    <t>조달수수료</t>
    <phoneticPr fontId="4" type="noConversion"/>
  </si>
  <si>
    <t>5.보도용 블록 인력철거(A-Type)[㎡]</t>
  </si>
  <si>
    <t>A</t>
  </si>
  <si>
    <t>Type</t>
  </si>
  <si>
    <t>공원</t>
  </si>
  <si>
    <t>,단지내</t>
  </si>
  <si>
    <t>보도</t>
  </si>
  <si>
    <t>등</t>
  </si>
  <si>
    <t>장비이동</t>
  </si>
  <si>
    <t>적재가</t>
  </si>
  <si>
    <t>용이한</t>
  </si>
  <si>
    <t>구간</t>
  </si>
  <si>
    <t>일</t>
  </si>
  <si>
    <t>시공량</t>
  </si>
  <si>
    <t>Qd</t>
  </si>
  <si>
    <t>시간당</t>
  </si>
  <si>
    <t>덤프트럭</t>
  </si>
  <si>
    <t>(2.5Ton)</t>
  </si>
  <si>
    <t>6.보도용 블록 재설치(소형)(A-Type, t=8cm이하)[㎡]</t>
  </si>
  <si>
    <t>본품은</t>
  </si>
  <si>
    <t>기존</t>
  </si>
  <si>
    <t>블록이</t>
  </si>
  <si>
    <t>철거된</t>
  </si>
  <si>
    <t>상태에서</t>
  </si>
  <si>
    <t>신규블록</t>
  </si>
  <si>
    <t>규격</t>
  </si>
  <si>
    <t>0.1</t>
  </si>
  <si>
    <t>㎡이하</t>
  </si>
  <si>
    <t>두께</t>
  </si>
  <si>
    <t>8</t>
  </si>
  <si>
    <t>cm이하</t>
  </si>
  <si>
    <t>을</t>
  </si>
  <si>
    <t>재설치하는</t>
  </si>
  <si>
    <t>기준이다</t>
  </si>
  <si>
    <t>.</t>
  </si>
  <si>
    <t>보도용</t>
  </si>
  <si>
    <t>블록</t>
  </si>
  <si>
    <t>1.08</t>
  </si>
  <si>
    <t>별도계상</t>
  </si>
  <si>
    <t>모래,서울,도착도</t>
  </si>
  <si>
    <t>(강모래)</t>
  </si>
  <si>
    <t>{모래보강 1cm기준}</t>
  </si>
  <si>
    <t>절단기</t>
  </si>
  <si>
    <t>인건비의</t>
  </si>
  <si>
    <t>4.</t>
  </si>
  <si>
    <t>가</t>
  </si>
  <si>
    <t>(0.4㎥)</t>
  </si>
  <si>
    <t>나</t>
  </si>
  <si>
    <t>플레이트콤팩터</t>
  </si>
  <si>
    <t>(1.5Ton)</t>
  </si>
  <si>
    <t>다</t>
  </si>
  <si>
    <t>라</t>
  </si>
  <si>
    <t>5.</t>
  </si>
  <si>
    <t>2. 덤프트럭</t>
  </si>
  <si>
    <t>2.5Ton</t>
  </si>
  <si>
    <t>손   료</t>
  </si>
  <si>
    <t>잡  품</t>
  </si>
  <si>
    <t>3. 굴착기(무한궤도)</t>
  </si>
  <si>
    <t>0.4㎥</t>
  </si>
  <si>
    <t>손     료</t>
  </si>
  <si>
    <t>4. 플레이트 콤팩터</t>
  </si>
  <si>
    <t>1.5Ton</t>
  </si>
  <si>
    <t>휘발유</t>
  </si>
  <si>
    <t>보도용 블록 인력철거</t>
  </si>
  <si>
    <t>A-Type</t>
  </si>
  <si>
    <t>보도용 블록 재설치(소형)</t>
  </si>
  <si>
    <t>A-Type, t=8cm이하</t>
  </si>
  <si>
    <t>2026년 건축∙산업환경설비공사 원가계산 간접공사비(제비율) 적용기준 : 2026.04.13</t>
    <phoneticPr fontId="4" type="noConversion"/>
  </si>
  <si>
    <t>MAS : 0.54%</t>
    <phoneticPr fontId="4" type="noConversion"/>
  </si>
  <si>
    <t>단수조정</t>
    <phoneticPr fontId="4" type="noConversion"/>
  </si>
  <si>
    <t>변경전 금액(원)</t>
    <phoneticPr fontId="4" type="noConversion"/>
  </si>
  <si>
    <t>변경후 금액(원)</t>
    <phoneticPr fontId="4" type="noConversion"/>
  </si>
  <si>
    <t>증.감</t>
    <phoneticPr fontId="4" type="noConversion"/>
  </si>
  <si>
    <t>에코순환루트 매포터널 경관조명 설치공사</t>
    <phoneticPr fontId="4" type="noConversion"/>
  </si>
  <si>
    <t>충북 단양군 단양읍 상진리 313-13 일원</t>
    <phoneticPr fontId="4" type="noConversion"/>
  </si>
  <si>
    <t>1-1. 기본조명</t>
    <phoneticPr fontId="4" type="noConversion"/>
  </si>
  <si>
    <t>2. 조명제어장치</t>
    <phoneticPr fontId="4" type="noConversion"/>
  </si>
  <si>
    <t>기본조명 (TYPE "A") : 2,052m</t>
    <phoneticPr fontId="4" type="noConversion"/>
  </si>
  <si>
    <t>차원의 전이 (TYPE "B") : 187m</t>
    <phoneticPr fontId="4" type="noConversion"/>
  </si>
  <si>
    <t>개화의 전야 (TYPE "D") : 10EA</t>
    <phoneticPr fontId="4" type="noConversion"/>
  </si>
  <si>
    <t>고보조명 (TYPE "E") : 14EA</t>
    <phoneticPr fontId="4" type="noConversion"/>
  </si>
  <si>
    <t>입구 FLEX LED조명 (TYPE "C") : 52m</t>
    <phoneticPr fontId="4" type="noConversion"/>
  </si>
  <si>
    <t>입구 볼조명 (TYPE "F") : 1EA</t>
    <phoneticPr fontId="4" type="noConversion"/>
  </si>
  <si>
    <t>조명연출용 제어장치 : 1식</t>
    <phoneticPr fontId="4" type="noConversion"/>
  </si>
  <si>
    <t>노 임 단 가 (2026. 9. 1. 공표)</t>
    <phoneticPr fontId="4" type="noConversion"/>
  </si>
  <si>
    <t>직  종  명</t>
  </si>
  <si>
    <t>노임 단가 (26.1.1)</t>
  </si>
  <si>
    <t>포설공</t>
  </si>
  <si>
    <t>플랜트용접공</t>
  </si>
  <si>
    <t>송전전공</t>
  </si>
  <si>
    <t>송전활선전공</t>
  </si>
  <si>
    <t>배전활선전공</t>
  </si>
  <si>
    <t>플랜트전공</t>
  </si>
  <si>
    <t>계장공</t>
  </si>
  <si>
    <t>1.2 개화의 전야</t>
    <phoneticPr fontId="4" type="noConversion"/>
  </si>
  <si>
    <t>1.3 입구조명</t>
    <phoneticPr fontId="4" type="noConversion"/>
  </si>
  <si>
    <t>공사명 : 에코순환루트 매포터널 경관조명 설치공사</t>
  </si>
  <si>
    <t>조명기구 TYPE "A"</t>
  </si>
  <si>
    <t>FLEX LED 12W/m [3,000K]</t>
  </si>
  <si>
    <t>m</t>
  </si>
  <si>
    <t>조명기구 TYPE "D"</t>
  </si>
  <si>
    <t>투광등 LED 54W [4,000K]</t>
  </si>
  <si>
    <t>조명기구 TYPE "C"</t>
  </si>
  <si>
    <t>FLEX LED 12W/m [R.G.B]</t>
  </si>
  <si>
    <t>조명기구 TYPE "F"</t>
  </si>
  <si>
    <t>볼조명 LED 10W [MONO]</t>
  </si>
  <si>
    <t>조명기구 TYPE "G"</t>
  </si>
  <si>
    <t>태양광 볼라드 LED 1.5W [White]</t>
  </si>
  <si>
    <t>콘크리트기초</t>
  </si>
  <si>
    <t>300x300x300mm</t>
  </si>
  <si>
    <t>FLEX LED용 Main Controller</t>
  </si>
  <si>
    <t>FLEX LED용 Sub Controller</t>
  </si>
  <si>
    <t>1. 한전인입 및 전력간선</t>
  </si>
  <si>
    <t>파상형경질폴리에틸렌전선관</t>
  </si>
  <si>
    <t>ELP Φ50</t>
  </si>
  <si>
    <t>ELP Φ100</t>
  </si>
  <si>
    <t>관로터파기</t>
  </si>
  <si>
    <t>토공구간 (기계:90%, 인력:10%), H:0.6m</t>
  </si>
  <si>
    <t>강제전선관</t>
  </si>
  <si>
    <t>ST 82C</t>
  </si>
  <si>
    <t>강제전선관 부품</t>
  </si>
  <si>
    <t>워셔캡 82mm</t>
  </si>
  <si>
    <t>CABLE DUCT</t>
  </si>
  <si>
    <t>AL W:150xH:100mm</t>
  </si>
  <si>
    <t>AL W:70xH:40mm</t>
  </si>
  <si>
    <t>CABLE DUCT 브라켓-1</t>
  </si>
  <si>
    <t>TRAY SINGLE BRACKET 200L</t>
  </si>
  <si>
    <t>CABLE DUCT 브라켓-2</t>
  </si>
  <si>
    <t>TRAY SINGLE BRACKET 350L</t>
  </si>
  <si>
    <t>XLPE 절연비닐시스 트레이용 케이블</t>
  </si>
  <si>
    <t>0.6/1kV F-CV 150㎟/1C (4열)</t>
  </si>
  <si>
    <t>0.6/1kV F-CV 6㎟/4C</t>
  </si>
  <si>
    <t>0.6/1kV F-CV 10㎟/4C</t>
  </si>
  <si>
    <t>0.6/1kV F-CV 25㎟/4C</t>
  </si>
  <si>
    <t>0.6/1kV F-CV 6㎟/2C</t>
  </si>
  <si>
    <t>0.6/1kV F-CV 16㎟/2C</t>
  </si>
  <si>
    <t>접지용 전선</t>
  </si>
  <si>
    <t>F-GV 6㎟</t>
  </si>
  <si>
    <t>F-GV 16㎟</t>
  </si>
  <si>
    <t>F-GV 95㎟</t>
  </si>
  <si>
    <t>경관조명용 분전반</t>
  </si>
  <si>
    <t>LP-M, 옥외자립형</t>
  </si>
  <si>
    <t>면</t>
  </si>
  <si>
    <t>SMPS 외함</t>
  </si>
  <si>
    <t>STS 1.2t, W500xH600xD150mm</t>
  </si>
  <si>
    <t>STS 1.2t, W800xH850xD400mm</t>
  </si>
  <si>
    <t>STS 1.2t, W800xH1,050xD400mm</t>
  </si>
  <si>
    <t>케미칼앵커</t>
  </si>
  <si>
    <t>캡슐식 M24</t>
  </si>
  <si>
    <t>케미칼앵커볼트</t>
  </si>
  <si>
    <t>전기아연도금 M24x290mm</t>
  </si>
  <si>
    <t>SET ANCHOR</t>
  </si>
  <si>
    <t>STS M10x75L</t>
  </si>
  <si>
    <t>접지봉 (3본)</t>
  </si>
  <si>
    <t>Ø18x2,400L</t>
  </si>
  <si>
    <t>접지봉 (1본)</t>
  </si>
  <si>
    <t>Ø14x1,000L</t>
  </si>
  <si>
    <t>터널용 고소작업차</t>
  </si>
  <si>
    <t>0.5TON</t>
  </si>
  <si>
    <t>2. 기본조명</t>
  </si>
  <si>
    <t>1종금속제가요전선관</t>
  </si>
  <si>
    <t>FLEX 28C</t>
  </si>
  <si>
    <t>FLEX 36C</t>
  </si>
  <si>
    <t>새들 28C</t>
  </si>
  <si>
    <t>새들 36C</t>
  </si>
  <si>
    <t>0.6/1kV F-CV 4㎟/2C</t>
  </si>
  <si>
    <t>0.6/1kV F-CV 10㎟/2C</t>
  </si>
  <si>
    <t>일반형 SMPS</t>
  </si>
  <si>
    <t>DC 24V 320W</t>
  </si>
  <si>
    <t>3. 개화의 전야</t>
  </si>
  <si>
    <t>DC 24V 750W</t>
  </si>
  <si>
    <t>4. 입구조명</t>
  </si>
  <si>
    <t>FLEX 16C</t>
  </si>
  <si>
    <t>새들 16C</t>
  </si>
  <si>
    <t>F-GV 4㎟</t>
  </si>
  <si>
    <t>조작선</t>
  </si>
  <si>
    <t>#20 AWG CALBE 4C</t>
  </si>
  <si>
    <t>조명기구용 브라켓</t>
  </si>
  <si>
    <t>아연도 Steel 1t, 40x10x20mm</t>
  </si>
  <si>
    <t>전자식 타이머 (정전보상식)</t>
  </si>
  <si>
    <t>24시간, 30A</t>
  </si>
  <si>
    <t>STS M6x55L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</si>
</sst>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0.0_ "/>
    <numFmt numFmtId="177" formatCode="0.000_ "/>
    <numFmt numFmtId="178" formatCode="0_ "/>
    <numFmt numFmtId="179" formatCode="0.0000_ "/>
    <numFmt numFmtId="180" formatCode="#,##0;[Red]#,##0"/>
    <numFmt numFmtId="184" formatCode="#,##0_ "/>
    <numFmt numFmtId="185" formatCode="&quot;₩&quot;#,##0.00;&quot;₩&quot;&quot;₩&quot;&quot;₩&quot;&quot;₩&quot;&quot;₩&quot;\-#,##0.00"/>
    <numFmt numFmtId="186" formatCode="_-&quot;₩&quot;* #,##0.00_-;&quot;₩&quot;&quot;₩&quot;\-&quot;₩&quot;* #,##0.00_-;_-&quot;₩&quot;* &quot;-&quot;??_-;_-@_-"/>
    <numFmt numFmtId="187" formatCode="_-* #,##0.00_-;&quot;₩&quot;&quot;₩&quot;\-* #,##0.00_-;_-* &quot;-&quot;??_-;_-@_-"/>
    <numFmt numFmtId="188" formatCode="&quot;₩&quot;#,##0;&quot;₩&quot;&quot;₩&quot;&quot;₩&quot;&quot;₩&quot;\-#,##0"/>
    <numFmt numFmtId="189" formatCode="&quot;₩&quot;#,##0;[Red]&quot;₩&quot;&quot;₩&quot;&quot;₩&quot;&quot;₩&quot;\-#,##0"/>
    <numFmt numFmtId="190" formatCode="&quot;₩&quot;#,##0.00;&quot;₩&quot;&quot;₩&quot;&quot;₩&quot;&quot;₩&quot;\-#,##0.00"/>
    <numFmt numFmtId="191" formatCode="&quot;₩&quot;#,##0;&quot;₩&quot;&quot;₩&quot;&quot;₩&quot;&quot;₩&quot;\-&quot;₩&quot;#,##0"/>
    <numFmt numFmtId="192" formatCode="#,##0.00\ &quot;Pts&quot;;\-#,##0.00\ &quot;Pts&quot;"/>
    <numFmt numFmtId="193" formatCode="_ * #,##0_ ;_ * \-#,##0_ ;_ * &quot;-&quot;_ ;_ @_ "/>
    <numFmt numFmtId="194" formatCode="_ * #,##0.00_ ;_ * \-#,##0.00_ ;_ * &quot;-&quot;??_ ;_ @_ "/>
    <numFmt numFmtId="195" formatCode="#,##0.0"/>
    <numFmt numFmtId="196" formatCode="_-[$€-2]* #,##0.00_-;\-[$€-2]* #,##0.00_-;_-[$€-2]* &quot;-&quot;??_-"/>
    <numFmt numFmtId="197" formatCode="_-* #,##0\ &quot;DM&quot;_-;\-* #,##0\ &quot;DM&quot;_-;_-* &quot;-&quot;\ &quot;DM&quot;_-;_-@_-"/>
    <numFmt numFmtId="198" formatCode="_-* #,##0\ _D_M_-;\-* #,##0\ _D_M_-;_-* &quot;-&quot;\ _D_M_-;_-@_-"/>
    <numFmt numFmtId="199" formatCode="_-* #,##0.00\ &quot;DM&quot;_-;\-* #,##0.00\ &quot;DM&quot;_-;_-* &quot;-&quot;??\ &quot;DM&quot;_-;_-@_-"/>
    <numFmt numFmtId="200" formatCode="_-* #,##0.00\ _D_M_-;\-* #,##0.00\ _D_M_-;_-* &quot;-&quot;??\ _D_M_-;_-@_-"/>
    <numFmt numFmtId="201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02" formatCode="#,##0;&quot;₩&quot;&quot;₩&quot;&quot;₩&quot;&quot;₩&quot;\(#,##0&quot;₩&quot;&quot;₩&quot;&quot;₩&quot;&quot;₩&quot;\)"/>
    <numFmt numFmtId="203" formatCode="0.0"/>
    <numFmt numFmtId="204" formatCode="_-* #,##0.0000_-;\-* #,##0.0000_-;_-* &quot;-&quot;_-;_-@_-"/>
    <numFmt numFmtId="205" formatCode="&quot;₩&quot;#,##0;&quot;₩&quot;&quot;₩&quot;&quot;₩&quot;&quot;₩&quot;&quot;₩&quot;&quot;₩&quot;&quot;₩&quot;&quot;₩&quot;&quot;₩&quot;&quot;₩&quot;\-&quot;₩&quot;#,##0"/>
    <numFmt numFmtId="206" formatCode="#."/>
    <numFmt numFmtId="207" formatCode="_-* #,##0.0_-;\-* #,##0.0_-;_-* &quot;-&quot;_-;_-@_-"/>
    <numFmt numFmtId="208" formatCode="0.000"/>
    <numFmt numFmtId="209" formatCode="_ * #,##0.0_ ;_ * \-#,##0.0_ ;_ * &quot;-&quot;_ ;_ @_ "/>
    <numFmt numFmtId="210" formatCode="_ * #,##0.00_ ;_ * \-#,##0.00_ ;_ * &quot;-&quot;_ ;_ @_ "/>
    <numFmt numFmtId="211" formatCode="_ * #,##0.000_ ;_ * \-#,##0.000_ ;_ * &quot;-&quot;_ ;_ @_ "/>
    <numFmt numFmtId="212" formatCode="_-* #,##0.00_-;&quot;₩&quot;&quot;₩&quot;&quot;₩&quot;\-* #,##0.00_-;_-* &quot;-&quot;??_-;_-@_-"/>
    <numFmt numFmtId="213" formatCode="&quot;직&quot;&quot;원&quot;\ ##\ &quot;인&quot;"/>
    <numFmt numFmtId="214" formatCode="&quot;순&quot;&quot;공&quot;&quot;사&quot;&quot;비&quot;&quot;의&quot;\ #.##\ %"/>
    <numFmt numFmtId="217" formatCode="#,##0_);\(#,##0\)"/>
    <numFmt numFmtId="218" formatCode="&quot;제 &quot;General&quot;호표&quot;"/>
    <numFmt numFmtId="219" formatCode="#,##0.00000000000"/>
    <numFmt numFmtId="221" formatCode="0;[Red]0"/>
    <numFmt numFmtId="222" formatCode="#\!."/>
    <numFmt numFmtId="223" formatCode="_-* #,##0.000_-;\-* #,##0.000_-;_-* &quot;-&quot;_-;_-@_-"/>
    <numFmt numFmtId="224" formatCode="#,##0.00_ "/>
    <numFmt numFmtId="225" formatCode="#,##0;[Red]&quot;-&quot;#,##0"/>
    <numFmt numFmtId="226" formatCode="#,##0.00;[Red]&quot;-&quot;#,##0.00"/>
    <numFmt numFmtId="227" formatCode="&quot;₩&quot;#,##0;&quot;₩&quot;&quot;₩&quot;&quot;₩&quot;&quot;₩&quot;&quot;₩&quot;\-#,##0"/>
    <numFmt numFmtId="228" formatCode="&quot;₩&quot;#,##0.00;[Red]&quot;₩&quot;&quot;₩&quot;\-#,##0.00"/>
    <numFmt numFmtId="229" formatCode="&quot;₩&quot;#,##0;[Red]&quot;₩&quot;&quot;₩&quot;\-#,##0"/>
    <numFmt numFmtId="230" formatCode="&quot;₩&quot;#,##0;[Red]&quot;₩&quot;&quot;₩&quot;&quot;₩&quot;&quot;₩&quot;&quot;₩&quot;\-#,##0"/>
    <numFmt numFmtId="231" formatCode="_-&quot;₩&quot;* #,##0.00_-;&quot;₩&quot;&quot;₩&quot;&quot;₩&quot;\-&quot;₩&quot;* #,##0.00_-;_-&quot;₩&quot;* &quot;-&quot;??_-;_-@_-"/>
    <numFmt numFmtId="232" formatCode="0.0000000000E+00;\ᯜ"/>
    <numFmt numFmtId="233" formatCode="_-* #,##0.00_-;\-* #,##0.00_-;_-* &quot;-&quot;_-;_-@_-"/>
    <numFmt numFmtId="234" formatCode="General&quot;천원&quot;"/>
    <numFmt numFmtId="235" formatCode="0.00_ "/>
    <numFmt numFmtId="238" formatCode="#,##0_ ;[Red]\-#,##0\ "/>
    <numFmt numFmtId="239" formatCode="0;_뇿"/>
    <numFmt numFmtId="240" formatCode="0.0;_뇿"/>
    <numFmt numFmtId="241" formatCode="General\ &quot;m/hr&quot;"/>
    <numFmt numFmtId="242" formatCode="_-* #,##0.00_-;\!\-* #,##0.00_-;_-* &quot;-&quot;??_-;_-@_-"/>
    <numFmt numFmtId="248" formatCode="0_ ;[Red]\-0\ "/>
    <numFmt numFmtId="249" formatCode="0.00000_ "/>
    <numFmt numFmtId="250" formatCode="_ * #,##0.0000_ ;_ * \-#,##0.0000_ ;_ * &quot;-&quot;_ ;_ @_ "/>
    <numFmt numFmtId="251" formatCode="0.000%"/>
    <numFmt numFmtId="252" formatCode="0.00000"/>
    <numFmt numFmtId="255" formatCode="0.0%"/>
    <numFmt numFmtId="256" formatCode="#,##0.0;[Red]#,##0.0"/>
    <numFmt numFmtId="257" formatCode="#,##0.0_ "/>
    <numFmt numFmtId="258" formatCode="&quot;( ￦ &quot;#,##0&quot; )&quot;"/>
    <numFmt numFmtId="259" formatCode="#,##0.##"/>
    <numFmt numFmtId="260" formatCode="#,##0.#######"/>
    <numFmt numFmtId="261" formatCode="#,##0.0########"/>
  </numFmts>
  <fonts count="211">
    <font>
      <sz val="11"/>
      <name val="돋움"/>
      <family val="3"/>
      <charset val="129"/>
    </font>
    <font>
      <sz val="11"/>
      <name val="맑은 고딕"/>
      <family val="3"/>
      <charset val="129"/>
    </font>
    <font>
      <sz val="11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10"/>
      <name val="Times New Roman"/>
      <family val="1"/>
    </font>
    <font>
      <u/>
      <sz val="11"/>
      <color indexed="20"/>
      <name val="돋움"/>
      <family val="3"/>
      <charset val="129"/>
    </font>
    <font>
      <sz val="11"/>
      <name val="바탕"/>
      <family val="1"/>
      <charset val="129"/>
    </font>
    <font>
      <sz val="10"/>
      <name val="굴림체"/>
      <family val="3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Arial"/>
      <family val="2"/>
    </font>
    <font>
      <sz val="10"/>
      <name val="Helv"/>
      <family val="2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1"/>
      <name val="바탕"/>
      <family val="1"/>
      <charset val="129"/>
    </font>
    <font>
      <sz val="9"/>
      <name val="MS Sans Serif"/>
      <family val="2"/>
    </font>
    <font>
      <sz val="10"/>
      <name val="명조"/>
      <family val="3"/>
      <charset val="129"/>
    </font>
    <font>
      <sz val="12"/>
      <name val="견고딕"/>
      <family val="1"/>
      <charset val="129"/>
    </font>
    <font>
      <sz val="16"/>
      <name val="굴림체"/>
      <family val="3"/>
      <charset val="129"/>
    </font>
    <font>
      <u/>
      <sz val="9"/>
      <color indexed="36"/>
      <name val="Helv"/>
      <family val="2"/>
    </font>
    <font>
      <sz val="12"/>
      <name val="ⓒoUAAA¨u"/>
      <family val="1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"/>
      <color indexed="16"/>
      <name val="Courier"/>
      <family val="3"/>
    </font>
    <font>
      <sz val="10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"/>
      <color indexed="16"/>
      <name val="Courier"/>
      <family val="3"/>
    </font>
    <font>
      <b/>
      <sz val="11"/>
      <name val="Helv"/>
      <family val="2"/>
    </font>
    <font>
      <sz val="7"/>
      <name val="Small Fonts"/>
      <family val="2"/>
    </font>
    <font>
      <b/>
      <sz val="12"/>
      <name val="Book Antiqua"/>
      <family val="1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24"/>
      <name val="Arial"/>
      <family val="2"/>
    </font>
    <font>
      <b/>
      <sz val="14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sz val="8"/>
      <name val="바탕"/>
      <family val="1"/>
      <charset val="129"/>
    </font>
    <font>
      <sz val="10"/>
      <name val="돋움체"/>
      <family val="3"/>
      <charset val="129"/>
    </font>
    <font>
      <sz val="12"/>
      <name val="돋움체"/>
      <family val="3"/>
      <charset val="129"/>
    </font>
    <font>
      <sz val="11"/>
      <name val="굴림체"/>
      <family val="3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±¼¸²Ã¼"/>
      <family val="3"/>
      <charset val="129"/>
    </font>
    <font>
      <sz val="12"/>
      <name val="±¼¸²A¼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8"/>
      <name val="¹UAAA¼"/>
      <family val="1"/>
      <charset val="129"/>
    </font>
    <font>
      <sz val="14"/>
      <name val="¹ÙÅÁÃ¼"/>
      <family val="1"/>
      <charset val="129"/>
    </font>
    <font>
      <sz val="12"/>
      <name val="μ¸¿oA¼"/>
      <family val="3"/>
      <charset val="129"/>
    </font>
    <font>
      <sz val="12"/>
      <color indexed="24"/>
      <name val="Arial"/>
      <family val="2"/>
    </font>
    <font>
      <sz val="10"/>
      <name val="굴림"/>
      <family val="3"/>
      <charset val="129"/>
    </font>
    <font>
      <sz val="11"/>
      <name val="돋움체"/>
      <family val="3"/>
      <charset val="129"/>
    </font>
    <font>
      <u/>
      <sz val="22"/>
      <name val="돋움체"/>
      <family val="3"/>
      <charset val="129"/>
    </font>
    <font>
      <b/>
      <sz val="13"/>
      <name val="돋움체"/>
      <family val="3"/>
      <charset val="129"/>
    </font>
    <font>
      <sz val="11"/>
      <color indexed="10"/>
      <name val="돋움체"/>
      <family val="3"/>
      <charset val="129"/>
    </font>
    <font>
      <sz val="24"/>
      <name val="돋움체"/>
      <family val="3"/>
      <charset val="129"/>
    </font>
    <font>
      <b/>
      <sz val="12"/>
      <name val="바탕체"/>
      <family val="1"/>
      <charset val="129"/>
    </font>
    <font>
      <sz val="1"/>
      <color indexed="0"/>
      <name val="Courier"/>
      <family val="3"/>
    </font>
    <font>
      <sz val="10"/>
      <name val="¹UAAA¼"/>
      <family val="1"/>
      <charset val="129"/>
    </font>
    <font>
      <sz val="10"/>
      <name val="¹ÙÅÁÃ¼"/>
      <family val="1"/>
      <charset val="129"/>
    </font>
    <font>
      <sz val="11"/>
      <color indexed="8"/>
      <name val="맑은 고딕"/>
      <family val="3"/>
      <charset val="129"/>
    </font>
    <font>
      <sz val="1"/>
      <color indexed="0"/>
      <name val="Courier"/>
      <family val="3"/>
    </font>
    <font>
      <i/>
      <outline/>
      <shadow/>
      <u/>
      <sz val="1"/>
      <color indexed="24"/>
      <name val="Courier"/>
      <family val="3"/>
    </font>
    <font>
      <sz val="1"/>
      <color indexed="8"/>
      <name val="Courier"/>
      <family val="3"/>
    </font>
    <font>
      <sz val="9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1"/>
      <name val="굴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10"/>
      <name val="Univers (WN)"/>
      <family val="2"/>
    </font>
    <font>
      <b/>
      <i/>
      <sz val="12"/>
      <name val="Times New Roman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8"/>
      <color indexed="12"/>
      <name val="MS Sans Serif"/>
      <family val="2"/>
    </font>
    <font>
      <sz val="8"/>
      <name val="바탕체"/>
      <family val="1"/>
      <charset val="129"/>
    </font>
    <font>
      <b/>
      <sz val="12"/>
      <color indexed="16"/>
      <name val="±¼¸²A¼"/>
      <family val="3"/>
      <charset val="129"/>
    </font>
    <font>
      <sz val="11"/>
      <name val="±¼¸²A¼"/>
      <family val="3"/>
      <charset val="129"/>
    </font>
    <font>
      <u/>
      <sz val="14"/>
      <color indexed="36"/>
      <name val="Cordia New"/>
      <family val="2"/>
    </font>
    <font>
      <u/>
      <sz val="14"/>
      <color indexed="12"/>
      <name val="Cordia New"/>
      <family val="2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2"/>
      <name val="맑은 고딕"/>
      <family val="3"/>
      <charset val="129"/>
    </font>
    <font>
      <sz val="11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u/>
      <sz val="22"/>
      <name val="맑은 고딕"/>
      <family val="3"/>
      <charset val="129"/>
    </font>
    <font>
      <b/>
      <sz val="13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24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color indexed="12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1"/>
      <charset val="129"/>
    </font>
    <font>
      <sz val="9"/>
      <name val="맑은 고딕"/>
      <family val="3"/>
      <charset val="129"/>
    </font>
    <font>
      <sz val="9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12"/>
      <name val="맑은 고딕"/>
      <family val="3"/>
      <charset val="129"/>
    </font>
    <font>
      <sz val="10"/>
      <color indexed="48"/>
      <name val="맑은 고딕"/>
      <family val="3"/>
      <charset val="129"/>
    </font>
    <font>
      <sz val="10"/>
      <color indexed="9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sz val="9"/>
      <color indexed="13"/>
      <name val="맑은 고딕"/>
      <family val="3"/>
      <charset val="129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0"/>
      <color indexed="13"/>
      <name val="맑은 고딕"/>
      <family val="3"/>
      <charset val="129"/>
    </font>
    <font>
      <sz val="10"/>
      <color indexed="13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8"/>
      <name val="맑은 고딕"/>
      <family val="3"/>
      <charset val="129"/>
    </font>
    <font>
      <sz val="11"/>
      <color indexed="13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2"/>
      <name val="¹UAAA¼"/>
      <family val="1"/>
      <charset val="129"/>
    </font>
    <font>
      <sz val="12"/>
      <name val="¹ÙÅÁÃ¼"/>
      <family val="1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</font>
    <font>
      <sz val="10"/>
      <color theme="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10"/>
      <name val="돋움"/>
      <family val="3"/>
      <charset val="129"/>
    </font>
    <font>
      <sz val="9"/>
      <color rgb="FFFF0000"/>
      <name val="맑은 고딕"/>
      <family val="3"/>
      <charset val="129"/>
    </font>
    <font>
      <b/>
      <sz val="14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8"/>
      <color indexed="12"/>
      <name val="맑은 고딕"/>
      <family val="3"/>
      <charset val="129"/>
    </font>
    <font>
      <sz val="8"/>
      <color rgb="FFFF0000"/>
      <name val="돋움"/>
      <family val="3"/>
      <charset val="129"/>
    </font>
    <font>
      <sz val="8"/>
      <color indexed="10"/>
      <name val="맑은 고딕"/>
      <family val="3"/>
      <charset val="129"/>
    </font>
    <font>
      <sz val="8"/>
      <color indexed="36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0"/>
      <name val="맑은 고딕"/>
      <family val="3"/>
      <charset val="129"/>
    </font>
    <font>
      <sz val="14"/>
      <name val="돋움"/>
      <family val="3"/>
      <charset val="129"/>
    </font>
    <font>
      <b/>
      <sz val="16"/>
      <name val="맑은 고딕"/>
      <family val="3"/>
      <charset val="129"/>
    </font>
    <font>
      <sz val="16"/>
      <color indexed="13"/>
      <name val="맑은 고딕"/>
      <family val="3"/>
      <charset val="129"/>
    </font>
    <font>
      <sz val="16"/>
      <name val="맑은 고딕"/>
      <family val="3"/>
      <charset val="129"/>
    </font>
    <font>
      <sz val="16"/>
      <color indexed="10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Calibri"/>
      <family val="3"/>
      <charset val="161"/>
    </font>
    <font>
      <sz val="10"/>
      <color rgb="FF7030A0"/>
      <name val="맑은 고딕"/>
      <family val="3"/>
      <charset val="129"/>
    </font>
    <font>
      <sz val="9"/>
      <color rgb="FF7030A0"/>
      <name val="맑은 고딕"/>
      <family val="3"/>
      <charset val="129"/>
    </font>
    <font>
      <b/>
      <sz val="18"/>
      <name val="맑은 고딕"/>
      <family val="3"/>
      <charset val="129"/>
    </font>
    <font>
      <sz val="18"/>
      <name val="돋움"/>
      <family val="3"/>
      <charset val="129"/>
    </font>
    <font>
      <sz val="14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20"/>
      <name val="맑은 고딕"/>
      <family val="3"/>
      <charset val="129"/>
    </font>
    <font>
      <sz val="9"/>
      <color rgb="FF0070C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2"/>
      <color theme="1"/>
      <name val="HY중고딕"/>
      <family val="1"/>
      <charset val="129"/>
    </font>
    <font>
      <sz val="8"/>
      <name val="맑은 고딕"/>
      <family val="2"/>
      <charset val="129"/>
      <scheme val="minor"/>
    </font>
    <font>
      <b/>
      <sz val="12"/>
      <color rgb="FFFF0000"/>
      <name val="HY중고딕"/>
      <family val="1"/>
      <charset val="129"/>
    </font>
    <font>
      <sz val="30"/>
      <color theme="1"/>
      <name val="HY헤드라인M"/>
      <family val="1"/>
      <charset val="129"/>
    </font>
    <font>
      <b/>
      <sz val="14"/>
      <color theme="1"/>
      <name val="HY중고딕"/>
      <family val="1"/>
      <charset val="129"/>
    </font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b/>
      <sz val="13"/>
      <color indexed="8"/>
      <name val="Arial"/>
      <family val="2"/>
    </font>
    <font>
      <b/>
      <sz val="11"/>
      <color rgb="FFFF0000"/>
      <name val="맑은 고딕"/>
      <family val="3"/>
      <charset val="129"/>
    </font>
    <font>
      <sz val="9"/>
      <color theme="3"/>
      <name val="맑은 고딕"/>
      <family val="3"/>
      <charset val="129"/>
    </font>
    <font>
      <b/>
      <sz val="9"/>
      <color theme="3"/>
      <name val="맑은 고딕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lightUp">
        <fgColor indexed="19"/>
      </patternFill>
    </fill>
    <fill>
      <patternFill patternType="darkGray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/>
      <top/>
      <bottom/>
      <diagonal/>
    </border>
    <border>
      <left/>
      <right style="thin">
        <color indexed="10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/>
      <diagonal/>
    </border>
    <border>
      <left style="thin">
        <color indexed="10"/>
      </left>
      <right/>
      <top style="medium">
        <color indexed="64"/>
      </top>
      <bottom/>
      <diagonal/>
    </border>
    <border>
      <left/>
      <right style="thin">
        <color indexed="10"/>
      </right>
      <top style="medium">
        <color indexed="64"/>
      </top>
      <bottom/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10"/>
      </left>
      <right style="thin">
        <color indexed="64"/>
      </right>
      <top/>
      <bottom/>
      <diagonal/>
    </border>
    <border>
      <left style="thin">
        <color indexed="10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10"/>
      </right>
      <top/>
      <bottom style="thin">
        <color indexed="10"/>
      </bottom>
      <diagonal/>
    </border>
    <border>
      <left style="medium">
        <color indexed="64"/>
      </left>
      <right style="thin">
        <color indexed="10"/>
      </right>
      <top style="thin">
        <color indexed="10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10"/>
      </right>
      <top style="thin">
        <color rgb="FFFF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FF0000"/>
      </bottom>
      <diagonal/>
    </border>
    <border>
      <left style="medium">
        <color indexed="64"/>
      </left>
      <right style="thin">
        <color indexed="10"/>
      </right>
      <top/>
      <bottom/>
      <diagonal/>
    </border>
    <border>
      <left style="medium">
        <color indexed="64"/>
      </left>
      <right style="thin">
        <color rgb="FFFF0000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/>
      <right style="thin">
        <color indexed="10"/>
      </right>
      <top/>
      <bottom style="thin">
        <color indexed="10"/>
      </bottom>
      <diagonal/>
    </border>
    <border>
      <left/>
      <right/>
      <top/>
      <bottom style="thin">
        <color indexed="10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2115">
    <xf numFmtId="0" fontId="0" fillId="0" borderId="0">
      <alignment vertical="center"/>
    </xf>
    <xf numFmtId="0" fontId="11" fillId="0" borderId="1">
      <alignment horizontal="center"/>
    </xf>
    <xf numFmtId="0" fontId="12" fillId="0" borderId="0">
      <alignment vertical="center"/>
    </xf>
    <xf numFmtId="3" fontId="53" fillId="0" borderId="2"/>
    <xf numFmtId="0" fontId="13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6" fillId="0" borderId="0"/>
    <xf numFmtId="0" fontId="6" fillId="0" borderId="0"/>
    <xf numFmtId="0" fontId="3" fillId="0" borderId="0" applyFont="0" applyFill="0" applyBorder="0" applyAlignment="0" applyProtection="0"/>
    <xf numFmtId="0" fontId="15" fillId="0" borderId="0"/>
    <xf numFmtId="0" fontId="15" fillId="0" borderId="0"/>
    <xf numFmtId="0" fontId="16" fillId="0" borderId="0"/>
    <xf numFmtId="0" fontId="16" fillId="0" borderId="0"/>
    <xf numFmtId="0" fontId="15" fillId="0" borderId="0"/>
    <xf numFmtId="0" fontId="10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212" fontId="3" fillId="0" borderId="0" applyFont="0" applyFill="0" applyBorder="0" applyAlignment="0" applyProtection="0"/>
    <xf numFmtId="0" fontId="3" fillId="0" borderId="0"/>
    <xf numFmtId="0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" fillId="0" borderId="0"/>
    <xf numFmtId="0" fontId="3" fillId="0" borderId="0"/>
    <xf numFmtId="0" fontId="16" fillId="0" borderId="0"/>
    <xf numFmtId="0" fontId="15" fillId="0" borderId="0"/>
    <xf numFmtId="0" fontId="15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5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5" fillId="0" borderId="0"/>
    <xf numFmtId="0" fontId="15" fillId="0" borderId="0"/>
    <xf numFmtId="0" fontId="10" fillId="0" borderId="0"/>
    <xf numFmtId="0" fontId="10" fillId="0" borderId="0"/>
    <xf numFmtId="0" fontId="3" fillId="0" borderId="0"/>
    <xf numFmtId="0" fontId="3" fillId="0" borderId="0"/>
    <xf numFmtId="0" fontId="15" fillId="0" borderId="0"/>
    <xf numFmtId="0" fontId="10" fillId="0" borderId="0" applyFont="0" applyFill="0" applyBorder="0" applyAlignment="0" applyProtection="0"/>
    <xf numFmtId="0" fontId="15" fillId="0" borderId="0"/>
    <xf numFmtId="0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0" fillId="0" borderId="0"/>
    <xf numFmtId="0" fontId="10" fillId="0" borderId="0" applyFont="0" applyFill="0" applyBorder="0" applyAlignment="0" applyProtection="0"/>
    <xf numFmtId="0" fontId="19" fillId="0" borderId="0"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 applyFont="0" applyFill="0" applyBorder="0" applyAlignment="0" applyProtection="0"/>
    <xf numFmtId="0" fontId="15" fillId="0" borderId="0"/>
    <xf numFmtId="0" fontId="15" fillId="0" borderId="0"/>
    <xf numFmtId="206" fontId="19" fillId="0" borderId="0">
      <protection locked="0"/>
    </xf>
    <xf numFmtId="0" fontId="10" fillId="0" borderId="0"/>
    <xf numFmtId="0" fontId="3" fillId="0" borderId="0"/>
    <xf numFmtId="0" fontId="16" fillId="0" borderId="0"/>
    <xf numFmtId="21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6" fillId="0" borderId="0"/>
    <xf numFmtId="0" fontId="16" fillId="0" borderId="0"/>
    <xf numFmtId="0" fontId="16" fillId="0" borderId="0"/>
    <xf numFmtId="0" fontId="10" fillId="0" borderId="0" applyFont="0" applyFill="0" applyBorder="0" applyAlignment="0" applyProtection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16" fillId="0" borderId="0"/>
    <xf numFmtId="0" fontId="1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212" fontId="3" fillId="0" borderId="0" applyFont="0" applyFill="0" applyBorder="0" applyAlignment="0" applyProtection="0"/>
    <xf numFmtId="212" fontId="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5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206" fontId="19" fillId="0" borderId="0">
      <protection locked="0"/>
    </xf>
    <xf numFmtId="0" fontId="15" fillId="0" borderId="0"/>
    <xf numFmtId="0" fontId="10" fillId="0" borderId="0" applyFont="0" applyFill="0" applyBorder="0" applyAlignment="0" applyProtection="0"/>
    <xf numFmtId="0" fontId="10" fillId="0" borderId="0"/>
    <xf numFmtId="0" fontId="15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15" fillId="0" borderId="0"/>
    <xf numFmtId="0" fontId="1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9" fillId="0" borderId="0"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7" fillId="0" borderId="0"/>
    <xf numFmtId="0" fontId="13" fillId="0" borderId="0">
      <alignment vertical="center"/>
    </xf>
    <xf numFmtId="0" fontId="13" fillId="0" borderId="0">
      <alignment vertical="center"/>
    </xf>
    <xf numFmtId="227" fontId="27" fillId="0" borderId="0">
      <protection locked="0"/>
    </xf>
    <xf numFmtId="227" fontId="27" fillId="0" borderId="0">
      <protection locked="0"/>
    </xf>
    <xf numFmtId="227" fontId="138" fillId="0" borderId="0">
      <protection locked="0"/>
    </xf>
    <xf numFmtId="227" fontId="164" fillId="0" borderId="0">
      <protection locked="0"/>
    </xf>
    <xf numFmtId="227" fontId="164" fillId="0" borderId="0">
      <protection locked="0"/>
    </xf>
    <xf numFmtId="227" fontId="27" fillId="0" borderId="0">
      <protection locked="0"/>
    </xf>
    <xf numFmtId="227" fontId="164" fillId="0" borderId="0">
      <protection locked="0"/>
    </xf>
    <xf numFmtId="227" fontId="27" fillId="0" borderId="0">
      <protection locked="0"/>
    </xf>
    <xf numFmtId="227" fontId="164" fillId="0" borderId="0">
      <protection locked="0"/>
    </xf>
    <xf numFmtId="227" fontId="164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3" fontId="53" fillId="0" borderId="2"/>
    <xf numFmtId="3" fontId="53" fillId="0" borderId="2"/>
    <xf numFmtId="0" fontId="15" fillId="0" borderId="0"/>
    <xf numFmtId="225" fontId="98" fillId="0" borderId="0">
      <alignment vertical="center"/>
    </xf>
    <xf numFmtId="225" fontId="98" fillId="0" borderId="0">
      <alignment vertical="center"/>
    </xf>
    <xf numFmtId="225" fontId="98" fillId="0" borderId="0">
      <alignment vertical="center"/>
    </xf>
    <xf numFmtId="225" fontId="98" fillId="0" borderId="0">
      <alignment vertical="center"/>
    </xf>
    <xf numFmtId="0" fontId="15" fillId="0" borderId="0" applyNumberFormat="0" applyFill="0" applyBorder="0" applyAlignment="0" applyProtection="0"/>
    <xf numFmtId="206" fontId="80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9" fontId="99" fillId="2" borderId="0" applyFill="0" applyBorder="0" applyProtection="0">
      <alignment horizontal="right"/>
    </xf>
    <xf numFmtId="10" fontId="99" fillId="0" borderId="0" applyFill="0" applyBorder="0" applyProtection="0">
      <alignment horizontal="right"/>
    </xf>
    <xf numFmtId="193" fontId="6" fillId="0" borderId="3" applyBorder="0"/>
    <xf numFmtId="0" fontId="6" fillId="0" borderId="4">
      <alignment horizontal="center"/>
    </xf>
    <xf numFmtId="0" fontId="79" fillId="3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79" fillId="5" borderId="0" applyNumberFormat="0" applyBorder="0" applyAlignment="0" applyProtection="0">
      <alignment vertical="center"/>
    </xf>
    <xf numFmtId="0" fontId="79" fillId="6" borderId="0" applyNumberFormat="0" applyBorder="0" applyAlignment="0" applyProtection="0">
      <alignment vertical="center"/>
    </xf>
    <xf numFmtId="0" fontId="79" fillId="7" borderId="0" applyNumberFormat="0" applyBorder="0" applyAlignment="0" applyProtection="0">
      <alignment vertical="center"/>
    </xf>
    <xf numFmtId="0" fontId="79" fillId="8" borderId="0" applyNumberFormat="0" applyBorder="0" applyAlignment="0" applyProtection="0">
      <alignment vertical="center"/>
    </xf>
    <xf numFmtId="0" fontId="19" fillId="0" borderId="0">
      <protection locked="0"/>
    </xf>
    <xf numFmtId="0" fontId="79" fillId="9" borderId="0" applyNumberFormat="0" applyBorder="0" applyAlignment="0" applyProtection="0">
      <alignment vertical="center"/>
    </xf>
    <xf numFmtId="0" fontId="79" fillId="10" borderId="0" applyNumberFormat="0" applyBorder="0" applyAlignment="0" applyProtection="0">
      <alignment vertical="center"/>
    </xf>
    <xf numFmtId="0" fontId="79" fillId="11" borderId="0" applyNumberFormat="0" applyBorder="0" applyAlignment="0" applyProtection="0">
      <alignment vertical="center"/>
    </xf>
    <xf numFmtId="0" fontId="79" fillId="6" borderId="0" applyNumberFormat="0" applyBorder="0" applyAlignment="0" applyProtection="0">
      <alignment vertical="center"/>
    </xf>
    <xf numFmtId="0" fontId="79" fillId="9" borderId="0" applyNumberFormat="0" applyBorder="0" applyAlignment="0" applyProtection="0">
      <alignment vertical="center"/>
    </xf>
    <xf numFmtId="0" fontId="79" fillId="12" borderId="0" applyNumberFormat="0" applyBorder="0" applyAlignment="0" applyProtection="0">
      <alignment vertical="center"/>
    </xf>
    <xf numFmtId="9" fontId="6" fillId="0" borderId="0">
      <protection locked="0"/>
    </xf>
    <xf numFmtId="0" fontId="124" fillId="13" borderId="0" applyNumberFormat="0" applyBorder="0" applyAlignment="0" applyProtection="0">
      <alignment vertical="center"/>
    </xf>
    <xf numFmtId="0" fontId="124" fillId="10" borderId="0" applyNumberFormat="0" applyBorder="0" applyAlignment="0" applyProtection="0">
      <alignment vertical="center"/>
    </xf>
    <xf numFmtId="0" fontId="124" fillId="11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4" fillId="15" borderId="0" applyNumberFormat="0" applyBorder="0" applyAlignment="0" applyProtection="0">
      <alignment vertical="center"/>
    </xf>
    <xf numFmtId="0" fontId="124" fillId="16" borderId="0" applyNumberFormat="0" applyBorder="0" applyAlignment="0" applyProtection="0">
      <alignment vertical="center"/>
    </xf>
    <xf numFmtId="0" fontId="15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55" fillId="0" borderId="0" applyFont="0" applyFill="0" applyBorder="0" applyAlignment="0" applyProtection="0"/>
    <xf numFmtId="41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55" fillId="0" borderId="0" applyFont="0" applyFill="0" applyBorder="0" applyAlignment="0" applyProtection="0"/>
    <xf numFmtId="43" fontId="57" fillId="0" borderId="0" applyFont="0" applyFill="0" applyBorder="0" applyAlignment="0" applyProtection="0"/>
    <xf numFmtId="0" fontId="6" fillId="0" borderId="0" applyFont="0" applyFill="0" applyBorder="0" applyAlignment="0" applyProtection="0"/>
    <xf numFmtId="206" fontId="82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82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82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0" fontId="3" fillId="0" borderId="0">
      <protection locked="0"/>
    </xf>
    <xf numFmtId="206" fontId="80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28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42" fontId="5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37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213" fontId="11" fillId="0" borderId="0" applyFont="0" applyFill="0" applyBorder="0" applyAlignment="0" applyProtection="0"/>
    <xf numFmtId="0" fontId="3" fillId="0" borderId="0">
      <protection locked="0"/>
    </xf>
    <xf numFmtId="229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7" fillId="0" borderId="0" applyFont="0" applyFill="0" applyBorder="0" applyAlignment="0" applyProtection="0"/>
    <xf numFmtId="44" fontId="5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37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214" fontId="11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206" fontId="82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0" fontId="56" fillId="0" borderId="0" applyFont="0" applyFill="0" applyBorder="0" applyAlignment="0" applyProtection="0"/>
    <xf numFmtId="206" fontId="19" fillId="0" borderId="0">
      <protection locked="0"/>
    </xf>
    <xf numFmtId="0" fontId="56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2" fontId="27" fillId="0" borderId="0">
      <protection locked="0"/>
    </xf>
    <xf numFmtId="212" fontId="27" fillId="0" borderId="0">
      <protection locked="0"/>
    </xf>
    <xf numFmtId="212" fontId="138" fillId="0" borderId="0">
      <protection locked="0"/>
    </xf>
    <xf numFmtId="212" fontId="164" fillId="0" borderId="0">
      <protection locked="0"/>
    </xf>
    <xf numFmtId="212" fontId="164" fillId="0" borderId="0">
      <protection locked="0"/>
    </xf>
    <xf numFmtId="212" fontId="27" fillId="0" borderId="0">
      <protection locked="0"/>
    </xf>
    <xf numFmtId="212" fontId="164" fillId="0" borderId="0">
      <protection locked="0"/>
    </xf>
    <xf numFmtId="212" fontId="27" fillId="0" borderId="0">
      <protection locked="0"/>
    </xf>
    <xf numFmtId="212" fontId="164" fillId="0" borderId="0">
      <protection locked="0"/>
    </xf>
    <xf numFmtId="212" fontId="164" fillId="0" borderId="0">
      <protection locked="0"/>
    </xf>
    <xf numFmtId="0" fontId="11" fillId="0" borderId="0"/>
    <xf numFmtId="206" fontId="80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80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25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41" fontId="121" fillId="0" borderId="0" applyFont="0" applyFill="0" applyBorder="0" applyAlignment="0" applyProtection="0"/>
    <xf numFmtId="0" fontId="12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41" fontId="5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28" fillId="0" borderId="0" applyFont="0" applyFill="0" applyBorder="0" applyAlignment="0" applyProtection="0"/>
    <xf numFmtId="37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224" fontId="99" fillId="2" borderId="0" applyFill="0" applyBorder="0" applyProtection="0">
      <alignment horizontal="right"/>
    </xf>
    <xf numFmtId="226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194" fontId="123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7" fillId="0" borderId="0" applyFont="0" applyFill="0" applyBorder="0" applyAlignment="0" applyProtection="0"/>
    <xf numFmtId="43" fontId="59" fillId="0" borderId="0" applyFont="0" applyFill="0" applyBorder="0" applyAlignment="0" applyProtection="0"/>
    <xf numFmtId="0" fontId="60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8" fillId="0" borderId="0" applyFont="0" applyFill="0" applyBorder="0" applyAlignment="0" applyProtection="0"/>
    <xf numFmtId="37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4" fontId="19" fillId="0" borderId="0">
      <protection locked="0"/>
    </xf>
    <xf numFmtId="230" fontId="27" fillId="0" borderId="0">
      <protection locked="0"/>
    </xf>
    <xf numFmtId="230" fontId="27" fillId="0" borderId="0">
      <protection locked="0"/>
    </xf>
    <xf numFmtId="230" fontId="138" fillId="0" borderId="0">
      <protection locked="0"/>
    </xf>
    <xf numFmtId="230" fontId="164" fillId="0" borderId="0">
      <protection locked="0"/>
    </xf>
    <xf numFmtId="230" fontId="164" fillId="0" borderId="0">
      <protection locked="0"/>
    </xf>
    <xf numFmtId="230" fontId="27" fillId="0" borderId="0">
      <protection locked="0"/>
    </xf>
    <xf numFmtId="230" fontId="164" fillId="0" borderId="0">
      <protection locked="0"/>
    </xf>
    <xf numFmtId="230" fontId="27" fillId="0" borderId="0">
      <protection locked="0"/>
    </xf>
    <xf numFmtId="230" fontId="164" fillId="0" borderId="0">
      <protection locked="0"/>
    </xf>
    <xf numFmtId="230" fontId="164" fillId="0" borderId="0">
      <protection locked="0"/>
    </xf>
    <xf numFmtId="0" fontId="3" fillId="0" borderId="0" applyFont="0" applyFill="0" applyBorder="0" applyAlignment="0" applyProtection="0"/>
    <xf numFmtId="206" fontId="82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0" fontId="61" fillId="0" borderId="0"/>
    <xf numFmtId="0" fontId="3" fillId="0" borderId="0"/>
    <xf numFmtId="0" fontId="62" fillId="0" borderId="0"/>
    <xf numFmtId="0" fontId="26" fillId="0" borderId="0"/>
    <xf numFmtId="0" fontId="55" fillId="0" borderId="0"/>
    <xf numFmtId="0" fontId="26" fillId="0" borderId="0"/>
    <xf numFmtId="0" fontId="55" fillId="0" borderId="0"/>
    <xf numFmtId="0" fontId="3" fillId="0" borderId="0"/>
    <xf numFmtId="0" fontId="63" fillId="0" borderId="0"/>
    <xf numFmtId="0" fontId="56" fillId="0" borderId="0"/>
    <xf numFmtId="0" fontId="55" fillId="0" borderId="0"/>
    <xf numFmtId="0" fontId="26" fillId="0" borderId="0"/>
    <xf numFmtId="0" fontId="64" fillId="0" borderId="0"/>
    <xf numFmtId="0" fontId="3" fillId="0" borderId="0"/>
    <xf numFmtId="206" fontId="80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0" fontId="65" fillId="0" borderId="0"/>
    <xf numFmtId="0" fontId="28" fillId="0" borderId="0"/>
    <xf numFmtId="0" fontId="27" fillId="0" borderId="0"/>
    <xf numFmtId="0" fontId="31" fillId="0" borderId="0"/>
    <xf numFmtId="0" fontId="31" fillId="0" borderId="0"/>
    <xf numFmtId="0" fontId="66" fillId="0" borderId="0"/>
    <xf numFmtId="0" fontId="77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78" fillId="0" borderId="0"/>
    <xf numFmtId="0" fontId="77" fillId="0" borderId="0"/>
    <xf numFmtId="0" fontId="78" fillId="0" borderId="0"/>
    <xf numFmtId="0" fontId="67" fillId="0" borderId="0"/>
    <xf numFmtId="0" fontId="28" fillId="0" borderId="0"/>
    <xf numFmtId="0" fontId="27" fillId="0" borderId="0"/>
    <xf numFmtId="0" fontId="28" fillId="0" borderId="0"/>
    <xf numFmtId="0" fontId="31" fillId="0" borderId="0" applyNumberFormat="0"/>
    <xf numFmtId="0" fontId="59" fillId="0" borderId="0"/>
    <xf numFmtId="0" fontId="27" fillId="0" borderId="0"/>
    <xf numFmtId="0" fontId="30" fillId="0" borderId="0"/>
    <xf numFmtId="0" fontId="27" fillId="0" borderId="0"/>
    <xf numFmtId="0" fontId="28" fillId="0" borderId="0"/>
    <xf numFmtId="0" fontId="27" fillId="0" borderId="0"/>
    <xf numFmtId="0" fontId="28" fillId="0" borderId="0"/>
    <xf numFmtId="0" fontId="27" fillId="0" borderId="0"/>
    <xf numFmtId="0" fontId="28" fillId="0" borderId="0"/>
    <xf numFmtId="0" fontId="27" fillId="0" borderId="0"/>
    <xf numFmtId="0" fontId="28" fillId="0" borderId="0"/>
    <xf numFmtId="0" fontId="27" fillId="0" borderId="0"/>
    <xf numFmtId="0" fontId="28" fillId="0" borderId="0"/>
    <xf numFmtId="0" fontId="164" fillId="0" borderId="0"/>
    <xf numFmtId="0" fontId="165" fillId="0" borderId="0"/>
    <xf numFmtId="0" fontId="27" fillId="0" borderId="0"/>
    <xf numFmtId="0" fontId="28" fillId="0" borderId="0"/>
    <xf numFmtId="0" fontId="164" fillId="0" borderId="0"/>
    <xf numFmtId="0" fontId="165" fillId="0" borderId="0"/>
    <xf numFmtId="0" fontId="27" fillId="0" borderId="0"/>
    <xf numFmtId="0" fontId="28" fillId="0" borderId="0"/>
    <xf numFmtId="0" fontId="164" fillId="0" borderId="0"/>
    <xf numFmtId="0" fontId="165" fillId="0" borderId="0"/>
    <xf numFmtId="0" fontId="164" fillId="0" borderId="0"/>
    <xf numFmtId="0" fontId="165" fillId="0" borderId="0"/>
    <xf numFmtId="0" fontId="29" fillId="0" borderId="0"/>
    <xf numFmtId="0" fontId="30" fillId="0" borderId="0"/>
    <xf numFmtId="0" fontId="15" fillId="0" borderId="0"/>
    <xf numFmtId="0" fontId="15" fillId="0" borderId="0"/>
    <xf numFmtId="0" fontId="27" fillId="0" borderId="0"/>
    <xf numFmtId="0" fontId="3" fillId="0" borderId="0" applyFill="0" applyBorder="0" applyAlignment="0"/>
    <xf numFmtId="0" fontId="32" fillId="0" borderId="0"/>
    <xf numFmtId="0" fontId="33" fillId="0" borderId="0" applyNumberFormat="0" applyFill="0" applyBorder="0" applyAlignment="0" applyProtection="0">
      <alignment vertical="top"/>
      <protection locked="0"/>
    </xf>
    <xf numFmtId="205" fontId="6" fillId="0" borderId="0" applyFont="0" applyFill="0" applyBorder="0" applyAlignment="0" applyProtection="0"/>
    <xf numFmtId="0" fontId="19" fillId="0" borderId="5">
      <protection locked="0"/>
    </xf>
    <xf numFmtId="206" fontId="82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19" fillId="0" borderId="0">
      <protection locked="0"/>
    </xf>
    <xf numFmtId="206" fontId="34" fillId="0" borderId="0">
      <protection locked="0"/>
    </xf>
    <xf numFmtId="38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02" fontId="7" fillId="0" borderId="0"/>
    <xf numFmtId="0" fontId="15" fillId="0" borderId="0" applyFont="0" applyFill="0" applyBorder="0" applyAlignment="0" applyProtection="0"/>
    <xf numFmtId="3" fontId="35" fillId="0" borderId="0" applyFont="0" applyFill="0" applyBorder="0" applyAlignment="0" applyProtection="0"/>
    <xf numFmtId="0" fontId="88" fillId="0" borderId="0" applyNumberFormat="0" applyAlignment="0">
      <alignment horizontal="left"/>
    </xf>
    <xf numFmtId="0" fontId="10" fillId="0" borderId="0" applyFont="0" applyFill="0" applyBorder="0" applyAlignment="0" applyProtection="0"/>
    <xf numFmtId="206" fontId="34" fillId="0" borderId="0"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92" fontId="3" fillId="0" borderId="0" applyFont="0" applyFill="0" applyBorder="0" applyAlignment="0" applyProtection="0"/>
    <xf numFmtId="0" fontId="7" fillId="0" borderId="0"/>
    <xf numFmtId="0" fontId="6" fillId="0" borderId="0"/>
    <xf numFmtId="0" fontId="35" fillId="0" borderId="0" applyFont="0" applyFill="0" applyBorder="0" applyAlignment="0" applyProtection="0"/>
    <xf numFmtId="198" fontId="15" fillId="0" borderId="0" applyFont="0" applyFill="0" applyBorder="0" applyAlignment="0" applyProtection="0"/>
    <xf numFmtId="200" fontId="15" fillId="0" borderId="0" applyFont="0" applyFill="0" applyBorder="0" applyAlignment="0" applyProtection="0"/>
    <xf numFmtId="201" fontId="7" fillId="0" borderId="0"/>
    <xf numFmtId="0" fontId="75" fillId="0" borderId="2"/>
    <xf numFmtId="231" fontId="27" fillId="0" borderId="0">
      <protection locked="0"/>
    </xf>
    <xf numFmtId="231" fontId="27" fillId="0" borderId="0">
      <protection locked="0"/>
    </xf>
    <xf numFmtId="231" fontId="138" fillId="0" borderId="0">
      <protection locked="0"/>
    </xf>
    <xf numFmtId="231" fontId="164" fillId="0" borderId="0">
      <protection locked="0"/>
    </xf>
    <xf numFmtId="231" fontId="164" fillId="0" borderId="0">
      <protection locked="0"/>
    </xf>
    <xf numFmtId="231" fontId="27" fillId="0" borderId="0">
      <protection locked="0"/>
    </xf>
    <xf numFmtId="231" fontId="164" fillId="0" borderId="0">
      <protection locked="0"/>
    </xf>
    <xf numFmtId="231" fontId="27" fillId="0" borderId="0">
      <protection locked="0"/>
    </xf>
    <xf numFmtId="231" fontId="164" fillId="0" borderId="0">
      <protection locked="0"/>
    </xf>
    <xf numFmtId="231" fontId="164" fillId="0" borderId="0">
      <protection locked="0"/>
    </xf>
    <xf numFmtId="185" fontId="27" fillId="0" borderId="0">
      <protection locked="0"/>
    </xf>
    <xf numFmtId="185" fontId="27" fillId="0" borderId="0">
      <protection locked="0"/>
    </xf>
    <xf numFmtId="185" fontId="138" fillId="0" borderId="0">
      <protection locked="0"/>
    </xf>
    <xf numFmtId="185" fontId="164" fillId="0" borderId="0">
      <protection locked="0"/>
    </xf>
    <xf numFmtId="185" fontId="164" fillId="0" borderId="0">
      <protection locked="0"/>
    </xf>
    <xf numFmtId="185" fontId="27" fillId="0" borderId="0">
      <protection locked="0"/>
    </xf>
    <xf numFmtId="185" fontId="164" fillId="0" borderId="0">
      <protection locked="0"/>
    </xf>
    <xf numFmtId="185" fontId="27" fillId="0" borderId="0">
      <protection locked="0"/>
    </xf>
    <xf numFmtId="185" fontId="164" fillId="0" borderId="0">
      <protection locked="0"/>
    </xf>
    <xf numFmtId="185" fontId="164" fillId="0" borderId="0">
      <protection locked="0"/>
    </xf>
    <xf numFmtId="0" fontId="89" fillId="0" borderId="0" applyNumberFormat="0" applyAlignment="0">
      <alignment horizontal="left"/>
    </xf>
    <xf numFmtId="196" fontId="3" fillId="0" borderId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0" fontId="68" fillId="0" borderId="0" applyNumberFormat="0" applyFont="0" applyFill="0" applyBorder="0" applyAlignment="0" applyProtection="0"/>
    <xf numFmtId="2" fontId="35" fillId="0" borderId="0" applyFont="0" applyFill="0" applyBorder="0" applyAlignment="0" applyProtection="0"/>
    <xf numFmtId="0" fontId="100" fillId="0" borderId="0" applyNumberFormat="0" applyFill="0" applyBorder="0" applyAlignment="0" applyProtection="0">
      <alignment vertical="top"/>
      <protection locked="0"/>
    </xf>
    <xf numFmtId="38" fontId="36" fillId="17" borderId="0" applyNumberFormat="0" applyBorder="0" applyAlignment="0" applyProtection="0"/>
    <xf numFmtId="0" fontId="37" fillId="0" borderId="0">
      <alignment horizontal="left"/>
    </xf>
    <xf numFmtId="0" fontId="38" fillId="0" borderId="6" applyNumberFormat="0" applyAlignment="0" applyProtection="0">
      <alignment horizontal="left" vertical="center"/>
    </xf>
    <xf numFmtId="0" fontId="38" fillId="0" borderId="7">
      <alignment horizontal="left" vertical="center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206" fontId="41" fillId="0" borderId="0">
      <protection locked="0"/>
    </xf>
    <xf numFmtId="206" fontId="41" fillId="0" borderId="0">
      <protection locked="0"/>
    </xf>
    <xf numFmtId="0" fontId="90" fillId="0" borderId="0" applyNumberFormat="0" applyFill="0" applyBorder="0" applyAlignment="0" applyProtection="0"/>
    <xf numFmtId="0" fontId="101" fillId="0" borderId="0" applyNumberFormat="0" applyFill="0" applyBorder="0" applyAlignment="0" applyProtection="0">
      <alignment vertical="top"/>
      <protection locked="0"/>
    </xf>
    <xf numFmtId="0" fontId="6" fillId="0" borderId="0" applyFont="0" applyFill="0" applyBorder="0" applyAlignment="0" applyProtection="0"/>
    <xf numFmtId="10" fontId="36" fillId="18" borderId="2" applyNumberFormat="0" applyBorder="0" applyAlignment="0" applyProtection="0"/>
    <xf numFmtId="0" fontId="3" fillId="0" borderId="8">
      <protection locked="0"/>
    </xf>
    <xf numFmtId="0" fontId="6" fillId="0" borderId="0" applyFont="0" applyFill="0" applyBorder="0" applyAlignment="0" applyProtection="0"/>
    <xf numFmtId="0" fontId="91" fillId="0" borderId="0">
      <alignment horizontal="left"/>
    </xf>
    <xf numFmtId="0" fontId="102" fillId="0" borderId="0"/>
    <xf numFmtId="0" fontId="103" fillId="0" borderId="0"/>
    <xf numFmtId="0" fontId="102" fillId="0" borderId="0"/>
    <xf numFmtId="0" fontId="103" fillId="0" borderId="0"/>
    <xf numFmtId="0" fontId="104" fillId="0" borderId="0"/>
    <xf numFmtId="193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0" fontId="42" fillId="0" borderId="8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37" fontId="43" fillId="0" borderId="0"/>
    <xf numFmtId="0" fontId="102" fillId="0" borderId="0"/>
    <xf numFmtId="0" fontId="103" fillId="0" borderId="0"/>
    <xf numFmtId="0" fontId="103" fillId="0" borderId="0"/>
    <xf numFmtId="185" fontId="3" fillId="0" borderId="0"/>
    <xf numFmtId="185" fontId="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103" fillId="0" borderId="0"/>
    <xf numFmtId="0" fontId="6" fillId="0" borderId="0"/>
    <xf numFmtId="0" fontId="15" fillId="0" borderId="0"/>
    <xf numFmtId="0" fontId="15" fillId="0" borderId="0"/>
    <xf numFmtId="206" fontId="34" fillId="0" borderId="0">
      <protection locked="0"/>
    </xf>
    <xf numFmtId="10" fontId="15" fillId="0" borderId="0" applyFont="0" applyFill="0" applyBorder="0" applyAlignment="0" applyProtection="0"/>
    <xf numFmtId="232" fontId="3" fillId="0" borderId="0">
      <protection locked="0"/>
    </xf>
    <xf numFmtId="0" fontId="44" fillId="17" borderId="0" applyNumberFormat="0">
      <alignment vertical="center"/>
    </xf>
    <xf numFmtId="0" fontId="6" fillId="0" borderId="0" applyFont="0" applyFill="0" applyBorder="0" applyAlignment="0" applyProtection="0"/>
    <xf numFmtId="30" fontId="92" fillId="0" borderId="0" applyNumberFormat="0" applyFill="0" applyBorder="0" applyAlignment="0" applyProtection="0">
      <alignment horizontal="left"/>
    </xf>
    <xf numFmtId="14" fontId="92" fillId="0" borderId="0" applyNumberFormat="0" applyFill="0" applyBorder="0" applyAlignment="0" applyProtection="0">
      <alignment horizontal="left"/>
    </xf>
    <xf numFmtId="0" fontId="13" fillId="0" borderId="0" applyFont="0" applyFill="0" applyBorder="0" applyAlignment="0" applyProtection="0"/>
    <xf numFmtId="0" fontId="11" fillId="0" borderId="0"/>
    <xf numFmtId="0" fontId="45" fillId="0" borderId="0">
      <alignment horizontal="center" vertical="center"/>
    </xf>
    <xf numFmtId="0" fontId="46" fillId="0" borderId="0"/>
    <xf numFmtId="0" fontId="42" fillId="0" borderId="0"/>
    <xf numFmtId="40" fontId="93" fillId="0" borderId="0" applyBorder="0">
      <alignment horizontal="right"/>
    </xf>
    <xf numFmtId="0" fontId="94" fillId="0" borderId="0">
      <alignment horizontal="center"/>
    </xf>
    <xf numFmtId="0" fontId="27" fillId="0" borderId="0"/>
    <xf numFmtId="0" fontId="27" fillId="0" borderId="0"/>
    <xf numFmtId="0" fontId="138" fillId="0" borderId="0"/>
    <xf numFmtId="0" fontId="164" fillId="0" borderId="0"/>
    <xf numFmtId="0" fontId="164" fillId="0" borderId="0"/>
    <xf numFmtId="0" fontId="27" fillId="0" borderId="0"/>
    <xf numFmtId="0" fontId="164" fillId="0" borderId="0"/>
    <xf numFmtId="0" fontId="27" fillId="0" borderId="0"/>
    <xf numFmtId="0" fontId="164" fillId="0" borderId="0"/>
    <xf numFmtId="0" fontId="164" fillId="0" borderId="0"/>
    <xf numFmtId="0" fontId="47" fillId="17" borderId="7">
      <alignment vertical="center"/>
    </xf>
    <xf numFmtId="0" fontId="95" fillId="0" borderId="0" applyFill="0" applyBorder="0" applyProtection="0">
      <alignment horizontal="centerContinuous" vertical="center"/>
    </xf>
    <xf numFmtId="0" fontId="13" fillId="2" borderId="0" applyFill="0" applyBorder="0" applyProtection="0">
      <alignment horizontal="center" vertical="center"/>
    </xf>
    <xf numFmtId="0" fontId="96" fillId="17" borderId="0">
      <alignment horizontal="centerContinuous"/>
    </xf>
    <xf numFmtId="0" fontId="48" fillId="0" borderId="0"/>
    <xf numFmtId="0" fontId="35" fillId="0" borderId="5" applyNumberFormat="0" applyFont="0" applyFill="0" applyAlignment="0" applyProtection="0"/>
    <xf numFmtId="0" fontId="97" fillId="0" borderId="4">
      <alignment horizontal="left"/>
    </xf>
    <xf numFmtId="197" fontId="15" fillId="0" borderId="0" applyFont="0" applyFill="0" applyBorder="0" applyAlignment="0" applyProtection="0"/>
    <xf numFmtId="199" fontId="15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49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212" fontId="3" fillId="0" borderId="0" applyFont="0" applyFill="0" applyBorder="0" applyAlignment="0" applyProtection="0"/>
    <xf numFmtId="0" fontId="81" fillId="0" borderId="0">
      <protection locked="0"/>
    </xf>
    <xf numFmtId="0" fontId="124" fillId="19" borderId="0" applyNumberFormat="0" applyBorder="0" applyAlignment="0" applyProtection="0">
      <alignment vertical="center"/>
    </xf>
    <xf numFmtId="0" fontId="124" fillId="20" borderId="0" applyNumberFormat="0" applyBorder="0" applyAlignment="0" applyProtection="0">
      <alignment vertical="center"/>
    </xf>
    <xf numFmtId="0" fontId="124" fillId="21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4" fillId="15" borderId="0" applyNumberFormat="0" applyBorder="0" applyAlignment="0" applyProtection="0">
      <alignment vertical="center"/>
    </xf>
    <xf numFmtId="0" fontId="124" fillId="22" borderId="0" applyNumberFormat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25" fillId="23" borderId="9" applyNumberFormat="0" applyAlignment="0" applyProtection="0">
      <alignment vertical="center"/>
    </xf>
    <xf numFmtId="188" fontId="6" fillId="0" borderId="0">
      <protection locked="0"/>
    </xf>
    <xf numFmtId="188" fontId="6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38" fontId="54" fillId="0" borderId="0"/>
    <xf numFmtId="0" fontId="3" fillId="0" borderId="0">
      <protection locked="0"/>
    </xf>
    <xf numFmtId="0" fontId="126" fillId="4" borderId="0" applyNumberFormat="0" applyBorder="0" applyAlignment="0" applyProtection="0">
      <alignment vertical="center"/>
    </xf>
    <xf numFmtId="0" fontId="19" fillId="0" borderId="0">
      <protection locked="0"/>
    </xf>
    <xf numFmtId="0" fontId="19" fillId="0" borderId="0">
      <protection locked="0"/>
    </xf>
    <xf numFmtId="0" fontId="20" fillId="0" borderId="10">
      <alignment vertical="center"/>
    </xf>
    <xf numFmtId="0" fontId="20" fillId="0" borderId="10">
      <alignment vertical="center"/>
    </xf>
    <xf numFmtId="0" fontId="19" fillId="0" borderId="0">
      <protection locked="0"/>
    </xf>
    <xf numFmtId="0" fontId="19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3" fillId="24" borderId="11" applyNumberFormat="0" applyFont="0" applyAlignment="0" applyProtection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22" fontId="76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22" fontId="80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22" fontId="80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9" fontId="83" fillId="0" borderId="0" applyFont="0" applyFill="0" applyBorder="0" applyAlignment="0" applyProtection="0"/>
    <xf numFmtId="10" fontId="54" fillId="0" borderId="0" applyFill="0" applyBorder="0" applyProtection="0">
      <alignment horizontal="right"/>
    </xf>
    <xf numFmtId="0" fontId="127" fillId="25" borderId="0" applyNumberFormat="0" applyBorder="0" applyAlignment="0" applyProtection="0">
      <alignment vertical="center"/>
    </xf>
    <xf numFmtId="0" fontId="21" fillId="0" borderId="12" applyFont="0" applyFill="0" applyAlignment="0" applyProtection="0">
      <alignment horizontal="center" vertical="center"/>
    </xf>
    <xf numFmtId="0" fontId="6" fillId="0" borderId="0"/>
    <xf numFmtId="184" fontId="84" fillId="0" borderId="13">
      <alignment vertical="center"/>
    </xf>
    <xf numFmtId="3" fontId="52" fillId="0" borderId="2"/>
    <xf numFmtId="0" fontId="52" fillId="0" borderId="2"/>
    <xf numFmtId="3" fontId="52" fillId="0" borderId="14"/>
    <xf numFmtId="3" fontId="52" fillId="0" borderId="15"/>
    <xf numFmtId="0" fontId="85" fillId="0" borderId="2"/>
    <xf numFmtId="0" fontId="86" fillId="0" borderId="0">
      <alignment horizontal="center"/>
    </xf>
    <xf numFmtId="0" fontId="75" fillId="0" borderId="16">
      <alignment horizontal="center"/>
    </xf>
    <xf numFmtId="0" fontId="128" fillId="0" borderId="0" applyNumberFormat="0" applyFill="0" applyBorder="0" applyAlignment="0" applyProtection="0">
      <alignment vertical="center"/>
    </xf>
    <xf numFmtId="0" fontId="129" fillId="26" borderId="17" applyNumberFormat="0" applyAlignment="0" applyProtection="0">
      <alignment vertical="center"/>
    </xf>
    <xf numFmtId="0" fontId="3" fillId="0" borderId="0" applyFont="0" applyFill="0" applyBorder="0" applyAlignment="0" applyProtection="0"/>
    <xf numFmtId="191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7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7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93" fontId="6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" fillId="0" borderId="0"/>
    <xf numFmtId="0" fontId="54" fillId="0" borderId="0"/>
    <xf numFmtId="0" fontId="54" fillId="0" borderId="0"/>
    <xf numFmtId="0" fontId="6" fillId="0" borderId="0"/>
    <xf numFmtId="0" fontId="6" fillId="0" borderId="0"/>
    <xf numFmtId="0" fontId="5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2" fillId="0" borderId="18"/>
    <xf numFmtId="0" fontId="130" fillId="0" borderId="19" applyNumberFormat="0" applyFill="0" applyAlignment="0" applyProtection="0">
      <alignment vertical="center"/>
    </xf>
    <xf numFmtId="0" fontId="131" fillId="0" borderId="20" applyNumberFormat="0" applyFill="0" applyAlignment="0" applyProtection="0">
      <alignment vertical="center"/>
    </xf>
    <xf numFmtId="0" fontId="23" fillId="0" borderId="0">
      <alignment horizontal="center" vertical="center"/>
    </xf>
    <xf numFmtId="3" fontId="3" fillId="0" borderId="2"/>
    <xf numFmtId="0" fontId="5" fillId="0" borderId="0" applyNumberFormat="0" applyBorder="0" applyAlignment="0">
      <alignment horizontal="centerContinuous" vertical="center"/>
    </xf>
    <xf numFmtId="0" fontId="132" fillId="8" borderId="9" applyNumberFormat="0" applyAlignment="0" applyProtection="0">
      <alignment vertical="center"/>
    </xf>
    <xf numFmtId="4" fontId="19" fillId="0" borderId="0">
      <protection locked="0"/>
    </xf>
    <xf numFmtId="4" fontId="19" fillId="0" borderId="0">
      <protection locked="0"/>
    </xf>
    <xf numFmtId="189" fontId="6" fillId="0" borderId="0">
      <protection locked="0"/>
    </xf>
    <xf numFmtId="189" fontId="6" fillId="0" borderId="0">
      <protection locked="0"/>
    </xf>
    <xf numFmtId="0" fontId="87" fillId="0" borderId="0" applyNumberFormat="0" applyFont="0" applyBorder="0">
      <alignment vertical="center" shrinkToFit="1"/>
    </xf>
    <xf numFmtId="0" fontId="24" fillId="0" borderId="0"/>
    <xf numFmtId="0" fontId="133" fillId="0" borderId="21" applyNumberFormat="0" applyFill="0" applyAlignment="0" applyProtection="0">
      <alignment vertical="center"/>
    </xf>
    <xf numFmtId="0" fontId="134" fillId="0" borderId="22" applyNumberFormat="0" applyFill="0" applyAlignment="0" applyProtection="0">
      <alignment vertical="center"/>
    </xf>
    <xf numFmtId="0" fontId="135" fillId="0" borderId="23" applyNumberFormat="0" applyFill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6" fillId="5" borderId="0" applyNumberFormat="0" applyBorder="0" applyAlignment="0" applyProtection="0">
      <alignment vertical="center"/>
    </xf>
    <xf numFmtId="0" fontId="6" fillId="0" borderId="0"/>
    <xf numFmtId="0" fontId="137" fillId="23" borderId="24" applyNumberFormat="0" applyAlignment="0" applyProtection="0">
      <alignment vertical="center"/>
    </xf>
    <xf numFmtId="222" fontId="76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22" fontId="80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22" fontId="80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193" fontId="6" fillId="0" borderId="2">
      <alignment horizontal="center" vertical="center"/>
    </xf>
    <xf numFmtId="222" fontId="80" fillId="0" borderId="0">
      <protection locked="0"/>
    </xf>
    <xf numFmtId="0" fontId="3" fillId="0" borderId="0" applyFont="0" applyFill="0" applyBorder="0" applyAlignment="0" applyProtection="0"/>
    <xf numFmtId="193" fontId="6" fillId="0" borderId="0" applyFont="0" applyFill="0" applyBorder="0" applyAlignment="0" applyProtection="0"/>
    <xf numFmtId="224" fontId="54" fillId="2" borderId="0" applyFill="0" applyBorder="0" applyProtection="0">
      <alignment horizontal="right"/>
    </xf>
    <xf numFmtId="0" fontId="13" fillId="0" borderId="0" applyFont="0" applyFill="0" applyBorder="0" applyAlignment="0" applyProtection="0"/>
    <xf numFmtId="223" fontId="70" fillId="0" borderId="2">
      <alignment vertical="center"/>
    </xf>
    <xf numFmtId="0" fontId="13" fillId="0" borderId="0"/>
    <xf numFmtId="0" fontId="3" fillId="0" borderId="0" applyFont="0" applyFill="0" applyBorder="0" applyAlignment="0" applyProtection="0"/>
    <xf numFmtId="193" fontId="6" fillId="0" borderId="0" applyFont="0" applyFill="0" applyBorder="0" applyAlignment="0" applyProtection="0"/>
    <xf numFmtId="222" fontId="76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22" fontId="80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22" fontId="80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0" fontId="6" fillId="0" borderId="0" applyFont="0" applyFill="0" applyBorder="0" applyAlignment="0" applyProtection="0"/>
    <xf numFmtId="187" fontId="6" fillId="0" borderId="0">
      <protection locked="0"/>
    </xf>
    <xf numFmtId="187" fontId="6" fillId="0" borderId="0">
      <protection locked="0"/>
    </xf>
    <xf numFmtId="222" fontId="76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222" fontId="80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06" fontId="76" fillId="0" borderId="0">
      <protection locked="0"/>
    </xf>
    <xf numFmtId="222" fontId="80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222" fontId="76" fillId="0" borderId="0"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79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9" fillId="0" borderId="0"/>
    <xf numFmtId="0" fontId="3" fillId="0" borderId="0"/>
    <xf numFmtId="0" fontId="3" fillId="0" borderId="0"/>
    <xf numFmtId="0" fontId="11" fillId="0" borderId="0"/>
    <xf numFmtId="0" fontId="6" fillId="0" borderId="0"/>
    <xf numFmtId="0" fontId="9" fillId="0" borderId="0"/>
    <xf numFmtId="0" fontId="3" fillId="0" borderId="0"/>
    <xf numFmtId="0" fontId="6" fillId="0" borderId="0"/>
    <xf numFmtId="0" fontId="6" fillId="0" borderId="0"/>
    <xf numFmtId="0" fontId="69" fillId="0" borderId="0"/>
    <xf numFmtId="0" fontId="3" fillId="0" borderId="0">
      <alignment vertical="center"/>
    </xf>
    <xf numFmtId="0" fontId="6" fillId="0" borderId="0"/>
    <xf numFmtId="0" fontId="54" fillId="0" borderId="0"/>
    <xf numFmtId="0" fontId="9" fillId="0" borderId="0"/>
    <xf numFmtId="0" fontId="3" fillId="0" borderId="0"/>
    <xf numFmtId="0" fontId="6" fillId="0" borderId="13">
      <alignment vertical="center" wrapText="1"/>
    </xf>
    <xf numFmtId="0" fontId="3" fillId="0" borderId="2" applyNumberFormat="0" applyFill="0" applyProtection="0">
      <alignment vertical="center"/>
    </xf>
    <xf numFmtId="221" fontId="3" fillId="0" borderId="0" applyNumberFormat="0" applyAlignment="0">
      <alignment horizontal="center"/>
    </xf>
    <xf numFmtId="0" fontId="19" fillId="0" borderId="5">
      <protection locked="0"/>
    </xf>
    <xf numFmtId="0" fontId="19" fillId="0" borderId="5">
      <protection locked="0"/>
    </xf>
    <xf numFmtId="186" fontId="6" fillId="0" borderId="0">
      <protection locked="0"/>
    </xf>
    <xf numFmtId="186" fontId="6" fillId="0" borderId="0">
      <protection locked="0"/>
    </xf>
    <xf numFmtId="190" fontId="6" fillId="0" borderId="0">
      <protection locked="0"/>
    </xf>
    <xf numFmtId="190" fontId="6" fillId="0" borderId="0">
      <protection locked="0"/>
    </xf>
    <xf numFmtId="0" fontId="3" fillId="0" borderId="0"/>
    <xf numFmtId="41" fontId="3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94" fillId="0" borderId="0">
      <alignment vertical="center"/>
    </xf>
    <xf numFmtId="0" fontId="203" fillId="0" borderId="0"/>
    <xf numFmtId="0" fontId="1" fillId="0" borderId="0">
      <alignment vertical="center"/>
    </xf>
  </cellStyleXfs>
  <cellXfs count="1589">
    <xf numFmtId="0" fontId="0" fillId="0" borderId="0" xfId="0">
      <alignment vertical="center"/>
    </xf>
    <xf numFmtId="0" fontId="52" fillId="0" borderId="0" xfId="2091" applyFont="1" applyAlignment="1">
      <alignment vertical="center"/>
    </xf>
    <xf numFmtId="0" fontId="70" fillId="0" borderId="0" xfId="0" applyFont="1">
      <alignment vertical="center"/>
    </xf>
    <xf numFmtId="0" fontId="71" fillId="0" borderId="0" xfId="0" applyFont="1">
      <alignment vertical="center"/>
    </xf>
    <xf numFmtId="0" fontId="72" fillId="0" borderId="0" xfId="0" applyFont="1">
      <alignment vertical="center"/>
    </xf>
    <xf numFmtId="0" fontId="72" fillId="0" borderId="0" xfId="0" applyFont="1" applyAlignment="1">
      <alignment horizontal="left" vertical="center"/>
    </xf>
    <xf numFmtId="0" fontId="74" fillId="0" borderId="0" xfId="0" applyFont="1">
      <alignment vertical="center"/>
    </xf>
    <xf numFmtId="41" fontId="73" fillId="0" borderId="0" xfId="1003" applyFont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109" fillId="0" borderId="0" xfId="0" applyFont="1">
      <alignment vertical="center"/>
    </xf>
    <xf numFmtId="0" fontId="112" fillId="0" borderId="0" xfId="0" applyFont="1">
      <alignment vertical="center"/>
    </xf>
    <xf numFmtId="0" fontId="113" fillId="0" borderId="0" xfId="0" applyFont="1">
      <alignment vertical="center"/>
    </xf>
    <xf numFmtId="0" fontId="113" fillId="0" borderId="0" xfId="0" applyFont="1" applyAlignment="1">
      <alignment horizontal="left" vertical="center"/>
    </xf>
    <xf numFmtId="0" fontId="117" fillId="0" borderId="0" xfId="0" applyFont="1">
      <alignment vertical="center"/>
    </xf>
    <xf numFmtId="41" fontId="118" fillId="0" borderId="0" xfId="1003" applyFont="1" applyAlignment="1">
      <alignment horizontal="center" vertical="center"/>
    </xf>
    <xf numFmtId="0" fontId="118" fillId="0" borderId="0" xfId="0" applyFont="1" applyAlignment="1">
      <alignment horizontal="center" vertical="center"/>
    </xf>
    <xf numFmtId="0" fontId="111" fillId="0" borderId="0" xfId="2091" applyFont="1" applyAlignment="1">
      <alignment vertical="center"/>
    </xf>
    <xf numFmtId="0" fontId="111" fillId="0" borderId="3" xfId="2091" applyFont="1" applyBorder="1" applyAlignment="1">
      <alignment vertical="center"/>
    </xf>
    <xf numFmtId="0" fontId="111" fillId="0" borderId="25" xfId="2091" applyFont="1" applyBorder="1" applyAlignment="1">
      <alignment vertical="center"/>
    </xf>
    <xf numFmtId="0" fontId="115" fillId="0" borderId="0" xfId="2091" applyFont="1" applyAlignment="1">
      <alignment horizontal="centerContinuous" vertical="center"/>
    </xf>
    <xf numFmtId="0" fontId="114" fillId="0" borderId="0" xfId="2091" applyFont="1" applyAlignment="1">
      <alignment vertical="center"/>
    </xf>
    <xf numFmtId="0" fontId="111" fillId="0" borderId="0" xfId="2090" applyFont="1" applyAlignment="1">
      <alignment vertical="center"/>
    </xf>
    <xf numFmtId="0" fontId="110" fillId="0" borderId="0" xfId="2087" applyFont="1" applyAlignment="1">
      <alignment vertical="center"/>
    </xf>
    <xf numFmtId="0" fontId="110" fillId="0" borderId="0" xfId="2087" applyFont="1" applyAlignment="1">
      <alignment horizontal="centerContinuous" vertical="center"/>
    </xf>
    <xf numFmtId="0" fontId="111" fillId="0" borderId="0" xfId="2087" applyFont="1"/>
    <xf numFmtId="0" fontId="111" fillId="0" borderId="0" xfId="2087" applyFont="1" applyAlignment="1">
      <alignment horizontal="centerContinuous"/>
    </xf>
    <xf numFmtId="0" fontId="110" fillId="0" borderId="0" xfId="2087" applyFont="1" applyAlignment="1">
      <alignment horizontal="center" vertical="center"/>
    </xf>
    <xf numFmtId="3" fontId="111" fillId="0" borderId="0" xfId="2087" applyNumberFormat="1" applyFont="1" applyAlignment="1">
      <alignment horizontal="centerContinuous" vertical="center"/>
    </xf>
    <xf numFmtId="0" fontId="111" fillId="0" borderId="0" xfId="2087" applyFont="1" applyAlignment="1">
      <alignment vertical="center"/>
    </xf>
    <xf numFmtId="0" fontId="111" fillId="0" borderId="0" xfId="2091" applyFont="1" applyAlignment="1">
      <alignment horizontal="centerContinuous" vertical="center"/>
    </xf>
    <xf numFmtId="41" fontId="119" fillId="0" borderId="0" xfId="1009" applyFont="1" applyFill="1" applyBorder="1" applyAlignment="1">
      <alignment horizontal="centerContinuous" vertical="center"/>
    </xf>
    <xf numFmtId="0" fontId="111" fillId="0" borderId="0" xfId="2091" quotePrefix="1" applyFont="1" applyAlignment="1">
      <alignment horizontal="centerContinuous" vertical="center"/>
    </xf>
    <xf numFmtId="41" fontId="111" fillId="0" borderId="0" xfId="1009" applyFont="1" applyFill="1" applyBorder="1" applyAlignment="1">
      <alignment horizontal="centerContinuous" vertical="center"/>
    </xf>
    <xf numFmtId="0" fontId="111" fillId="0" borderId="5" xfId="2091" applyFont="1" applyBorder="1" applyAlignment="1">
      <alignment vertical="center"/>
    </xf>
    <xf numFmtId="0" fontId="111" fillId="0" borderId="5" xfId="2091" applyFont="1" applyBorder="1" applyAlignment="1">
      <alignment horizontal="centerContinuous" vertical="center"/>
    </xf>
    <xf numFmtId="3" fontId="111" fillId="0" borderId="0" xfId="1009" applyNumberFormat="1" applyFont="1" applyFill="1" applyBorder="1" applyAlignment="1">
      <alignment horizontal="centerContinuous" vertical="center"/>
    </xf>
    <xf numFmtId="3" fontId="111" fillId="0" borderId="0" xfId="2091" applyNumberFormat="1" applyFont="1" applyAlignment="1">
      <alignment horizontal="centerContinuous" vertical="center"/>
    </xf>
    <xf numFmtId="0" fontId="111" fillId="0" borderId="26" xfId="2091" applyFont="1" applyBorder="1" applyAlignment="1">
      <alignment vertical="center"/>
    </xf>
    <xf numFmtId="0" fontId="111" fillId="0" borderId="27" xfId="2091" applyFont="1" applyBorder="1" applyAlignment="1">
      <alignment vertical="center"/>
    </xf>
    <xf numFmtId="0" fontId="111" fillId="0" borderId="12" xfId="2091" applyFont="1" applyBorder="1" applyAlignment="1">
      <alignment vertical="center"/>
    </xf>
    <xf numFmtId="0" fontId="111" fillId="0" borderId="28" xfId="2091" applyFont="1" applyBorder="1" applyAlignment="1">
      <alignment vertical="center"/>
    </xf>
    <xf numFmtId="0" fontId="111" fillId="0" borderId="29" xfId="2091" applyFont="1" applyBorder="1" applyAlignment="1">
      <alignment vertical="center"/>
    </xf>
    <xf numFmtId="0" fontId="114" fillId="0" borderId="29" xfId="2091" applyFont="1" applyBorder="1" applyAlignment="1">
      <alignment vertical="center"/>
    </xf>
    <xf numFmtId="0" fontId="111" fillId="0" borderId="30" xfId="2091" applyFont="1" applyBorder="1" applyAlignment="1">
      <alignment vertical="center"/>
    </xf>
    <xf numFmtId="0" fontId="119" fillId="0" borderId="0" xfId="2091" applyFont="1" applyAlignment="1">
      <alignment horizontal="centerContinuous" vertical="center"/>
    </xf>
    <xf numFmtId="3" fontId="111" fillId="0" borderId="27" xfId="1009" applyNumberFormat="1" applyFont="1" applyFill="1" applyBorder="1" applyAlignment="1">
      <alignment horizontal="centerContinuous" vertical="center"/>
    </xf>
    <xf numFmtId="3" fontId="111" fillId="0" borderId="27" xfId="2091" applyNumberFormat="1" applyFont="1" applyBorder="1" applyAlignment="1">
      <alignment horizontal="centerContinuous" vertical="center"/>
    </xf>
    <xf numFmtId="0" fontId="111" fillId="0" borderId="27" xfId="2091" applyFont="1" applyBorder="1" applyAlignment="1">
      <alignment horizontal="centerContinuous" vertical="center"/>
    </xf>
    <xf numFmtId="0" fontId="111" fillId="0" borderId="27" xfId="2091" quotePrefix="1" applyFont="1" applyBorder="1" applyAlignment="1">
      <alignment horizontal="centerContinuous" vertical="center"/>
    </xf>
    <xf numFmtId="0" fontId="105" fillId="0" borderId="0" xfId="2091" applyFont="1" applyAlignment="1">
      <alignment vertical="center"/>
    </xf>
    <xf numFmtId="0" fontId="105" fillId="0" borderId="3" xfId="2091" applyFont="1" applyBorder="1" applyAlignment="1">
      <alignment vertical="center"/>
    </xf>
    <xf numFmtId="0" fontId="108" fillId="0" borderId="0" xfId="2091" applyFont="1" applyAlignment="1">
      <alignment vertical="center"/>
    </xf>
    <xf numFmtId="0" fontId="105" fillId="0" borderId="0" xfId="2091" applyFont="1" applyAlignment="1">
      <alignment horizontal="centerContinuous" vertical="center"/>
    </xf>
    <xf numFmtId="0" fontId="105" fillId="0" borderId="0" xfId="2091" quotePrefix="1" applyFont="1" applyAlignment="1">
      <alignment horizontal="centerContinuous" vertical="center"/>
    </xf>
    <xf numFmtId="0" fontId="105" fillId="0" borderId="26" xfId="2091" applyFont="1" applyBorder="1" applyAlignment="1">
      <alignment vertical="center"/>
    </xf>
    <xf numFmtId="0" fontId="105" fillId="0" borderId="27" xfId="2091" applyFont="1" applyBorder="1" applyAlignment="1">
      <alignment vertical="center"/>
    </xf>
    <xf numFmtId="0" fontId="105" fillId="0" borderId="28" xfId="2091" applyFont="1" applyBorder="1" applyAlignment="1">
      <alignment vertical="center"/>
    </xf>
    <xf numFmtId="0" fontId="108" fillId="0" borderId="29" xfId="2091" applyFont="1" applyBorder="1" applyAlignment="1">
      <alignment vertical="center"/>
    </xf>
    <xf numFmtId="0" fontId="105" fillId="0" borderId="29" xfId="2091" applyFont="1" applyBorder="1" applyAlignment="1">
      <alignment vertical="center"/>
    </xf>
    <xf numFmtId="0" fontId="106" fillId="0" borderId="0" xfId="0" applyFont="1" applyAlignment="1">
      <alignment horizontal="center" vertical="center"/>
    </xf>
    <xf numFmtId="0" fontId="116" fillId="0" borderId="0" xfId="0" applyFont="1" applyAlignment="1">
      <alignment horizontal="center" vertical="center"/>
    </xf>
    <xf numFmtId="0" fontId="105" fillId="0" borderId="25" xfId="2091" applyFont="1" applyBorder="1" applyAlignment="1">
      <alignment vertical="center"/>
    </xf>
    <xf numFmtId="41" fontId="105" fillId="0" borderId="0" xfId="1009" applyFont="1" applyFill="1" applyBorder="1" applyAlignment="1">
      <alignment horizontal="centerContinuous" vertical="center"/>
    </xf>
    <xf numFmtId="0" fontId="105" fillId="0" borderId="5" xfId="2091" applyFont="1" applyBorder="1" applyAlignment="1">
      <alignment vertical="center"/>
    </xf>
    <xf numFmtId="0" fontId="105" fillId="0" borderId="5" xfId="2091" applyFont="1" applyBorder="1" applyAlignment="1">
      <alignment horizontal="centerContinuous" vertical="center"/>
    </xf>
    <xf numFmtId="3" fontId="105" fillId="0" borderId="0" xfId="1009" applyNumberFormat="1" applyFont="1" applyFill="1" applyBorder="1" applyAlignment="1">
      <alignment horizontal="centerContinuous" vertical="center"/>
    </xf>
    <xf numFmtId="3" fontId="105" fillId="0" borderId="0" xfId="2091" applyNumberFormat="1" applyFont="1" applyAlignment="1">
      <alignment horizontal="centerContinuous" vertical="center"/>
    </xf>
    <xf numFmtId="0" fontId="105" fillId="0" borderId="12" xfId="2091" applyFont="1" applyBorder="1" applyAlignment="1">
      <alignment vertical="center"/>
    </xf>
    <xf numFmtId="0" fontId="105" fillId="0" borderId="30" xfId="2091" applyFont="1" applyBorder="1" applyAlignment="1">
      <alignment vertical="center"/>
    </xf>
    <xf numFmtId="0" fontId="142" fillId="0" borderId="0" xfId="2087" applyFont="1"/>
    <xf numFmtId="0" fontId="142" fillId="0" borderId="3" xfId="2087" applyFont="1" applyBorder="1"/>
    <xf numFmtId="0" fontId="142" fillId="0" borderId="0" xfId="2087" applyFont="1" applyAlignment="1">
      <alignment vertical="center"/>
    </xf>
    <xf numFmtId="0" fontId="143" fillId="0" borderId="0" xfId="2087" applyFont="1" applyAlignment="1">
      <alignment horizontal="left" vertical="center"/>
    </xf>
    <xf numFmtId="0" fontId="142" fillId="0" borderId="0" xfId="2090" applyFont="1" applyAlignment="1">
      <alignment vertical="center"/>
    </xf>
    <xf numFmtId="0" fontId="143" fillId="0" borderId="0" xfId="2087" applyFont="1" applyAlignment="1">
      <alignment vertical="center"/>
    </xf>
    <xf numFmtId="0" fontId="143" fillId="0" borderId="0" xfId="2087" applyFont="1" applyAlignment="1">
      <alignment horizontal="centerContinuous" vertical="center"/>
    </xf>
    <xf numFmtId="0" fontId="143" fillId="0" borderId="0" xfId="2087" quotePrefix="1" applyFont="1" applyAlignment="1">
      <alignment horizontal="centerContinuous" vertical="center"/>
    </xf>
    <xf numFmtId="195" fontId="143" fillId="0" borderId="0" xfId="2087" applyNumberFormat="1" applyFont="1" applyAlignment="1">
      <alignment horizontal="centerContinuous" vertical="center"/>
    </xf>
    <xf numFmtId="3" fontId="142" fillId="0" borderId="0" xfId="2087" applyNumberFormat="1" applyFont="1" applyAlignment="1">
      <alignment horizontal="centerContinuous" vertical="center"/>
    </xf>
    <xf numFmtId="0" fontId="142" fillId="0" borderId="0" xfId="2087" applyFont="1" applyAlignment="1">
      <alignment horizontal="centerContinuous" vertical="center"/>
    </xf>
    <xf numFmtId="0" fontId="142" fillId="0" borderId="25" xfId="2087" applyFont="1" applyBorder="1"/>
    <xf numFmtId="0" fontId="142" fillId="0" borderId="0" xfId="2087" applyFont="1" applyAlignment="1">
      <alignment horizontal="left" vertical="center"/>
    </xf>
    <xf numFmtId="0" fontId="142" fillId="0" borderId="0" xfId="2087" applyFont="1" applyAlignment="1">
      <alignment horizontal="center" vertical="center"/>
    </xf>
    <xf numFmtId="0" fontId="142" fillId="0" borderId="0" xfId="2087" applyFont="1" applyAlignment="1">
      <alignment horizontal="centerContinuous"/>
    </xf>
    <xf numFmtId="0" fontId="144" fillId="0" borderId="0" xfId="2087" applyFont="1" applyAlignment="1">
      <alignment horizontal="centerContinuous" vertical="center"/>
    </xf>
    <xf numFmtId="0" fontId="142" fillId="0" borderId="3" xfId="2087" applyFont="1" applyBorder="1" applyAlignment="1">
      <alignment vertical="center"/>
    </xf>
    <xf numFmtId="0" fontId="142" fillId="0" borderId="25" xfId="2087" applyFont="1" applyBorder="1" applyAlignment="1">
      <alignment vertical="center"/>
    </xf>
    <xf numFmtId="176" fontId="142" fillId="0" borderId="0" xfId="2087" applyNumberFormat="1" applyFont="1" applyAlignment="1">
      <alignment horizontal="centerContinuous" vertical="center"/>
    </xf>
    <xf numFmtId="0" fontId="142" fillId="0" borderId="0" xfId="2087" quotePrefix="1" applyFont="1" applyAlignment="1">
      <alignment vertical="center"/>
    </xf>
    <xf numFmtId="0" fontId="142" fillId="0" borderId="0" xfId="2087" quotePrefix="1" applyFont="1" applyAlignment="1">
      <alignment horizontal="left" vertical="center"/>
    </xf>
    <xf numFmtId="0" fontId="142" fillId="0" borderId="0" xfId="2090" applyFont="1" applyAlignment="1">
      <alignment horizontal="centerContinuous" vertical="center"/>
    </xf>
    <xf numFmtId="0" fontId="142" fillId="0" borderId="0" xfId="2087" quotePrefix="1" applyFont="1" applyAlignment="1">
      <alignment horizontal="centerContinuous" vertical="center"/>
    </xf>
    <xf numFmtId="0" fontId="142" fillId="0" borderId="26" xfId="2087" applyFont="1" applyBorder="1" applyAlignment="1">
      <alignment vertical="center"/>
    </xf>
    <xf numFmtId="0" fontId="142" fillId="0" borderId="27" xfId="2087" applyFont="1" applyBorder="1" applyAlignment="1">
      <alignment vertical="center"/>
    </xf>
    <xf numFmtId="0" fontId="142" fillId="0" borderId="12" xfId="2087" applyFont="1" applyBorder="1" applyAlignment="1">
      <alignment vertical="center"/>
    </xf>
    <xf numFmtId="0" fontId="145" fillId="0" borderId="0" xfId="2087" applyFont="1" applyAlignment="1">
      <alignment horizontal="centerContinuous" vertical="center"/>
    </xf>
    <xf numFmtId="0" fontId="142" fillId="0" borderId="27" xfId="2087" applyFont="1" applyBorder="1" applyAlignment="1">
      <alignment horizontal="left" vertical="center"/>
    </xf>
    <xf numFmtId="0" fontId="142" fillId="0" borderId="27" xfId="2090" applyFont="1" applyBorder="1" applyAlignment="1">
      <alignment vertical="center"/>
    </xf>
    <xf numFmtId="0" fontId="142" fillId="0" borderId="27" xfId="2087" applyFont="1" applyBorder="1" applyAlignment="1">
      <alignment horizontal="center" vertical="center"/>
    </xf>
    <xf numFmtId="0" fontId="142" fillId="0" borderId="27" xfId="2087" quotePrefix="1" applyFont="1" applyBorder="1" applyAlignment="1">
      <alignment horizontal="left" vertical="center"/>
    </xf>
    <xf numFmtId="0" fontId="142" fillId="0" borderId="27" xfId="2090" applyFont="1" applyBorder="1" applyAlignment="1">
      <alignment horizontal="centerContinuous" vertical="center"/>
    </xf>
    <xf numFmtId="0" fontId="142" fillId="0" borderId="27" xfId="2087" applyFont="1" applyBorder="1" applyAlignment="1">
      <alignment horizontal="centerContinuous" vertical="center"/>
    </xf>
    <xf numFmtId="0" fontId="142" fillId="0" borderId="27" xfId="2087" quotePrefix="1" applyFont="1" applyBorder="1" applyAlignment="1">
      <alignment horizontal="centerContinuous" vertical="center"/>
    </xf>
    <xf numFmtId="0" fontId="142" fillId="0" borderId="28" xfId="2087" applyFont="1" applyBorder="1"/>
    <xf numFmtId="0" fontId="142" fillId="0" borderId="29" xfId="2087" applyFont="1" applyBorder="1"/>
    <xf numFmtId="0" fontId="142" fillId="0" borderId="29" xfId="2087" applyFont="1" applyBorder="1" applyAlignment="1">
      <alignment vertical="center"/>
    </xf>
    <xf numFmtId="0" fontId="142" fillId="0" borderId="30" xfId="2087" applyFont="1" applyBorder="1"/>
    <xf numFmtId="0" fontId="142" fillId="0" borderId="27" xfId="2087" quotePrefix="1" applyFont="1" applyBorder="1" applyAlignment="1">
      <alignment vertical="center"/>
    </xf>
    <xf numFmtId="0" fontId="142" fillId="0" borderId="28" xfId="2087" applyFont="1" applyBorder="1" applyAlignment="1">
      <alignment vertical="center"/>
    </xf>
    <xf numFmtId="0" fontId="143" fillId="0" borderId="29" xfId="2087" applyFont="1" applyBorder="1" applyAlignment="1">
      <alignment horizontal="left" vertical="center"/>
    </xf>
    <xf numFmtId="0" fontId="142" fillId="0" borderId="29" xfId="2092" applyFont="1" applyBorder="1" applyAlignment="1">
      <alignment vertical="center"/>
    </xf>
    <xf numFmtId="0" fontId="143" fillId="0" borderId="29" xfId="2087" applyFont="1" applyBorder="1" applyAlignment="1">
      <alignment vertical="center"/>
    </xf>
    <xf numFmtId="0" fontId="143" fillId="0" borderId="29" xfId="2087" applyFont="1" applyBorder="1" applyAlignment="1">
      <alignment horizontal="centerContinuous" vertical="center"/>
    </xf>
    <xf numFmtId="0" fontId="143" fillId="0" borderId="29" xfId="2087" quotePrefix="1" applyFont="1" applyBorder="1" applyAlignment="1">
      <alignment horizontal="centerContinuous" vertical="center"/>
    </xf>
    <xf numFmtId="195" fontId="143" fillId="0" borderId="29" xfId="2087" applyNumberFormat="1" applyFont="1" applyBorder="1" applyAlignment="1">
      <alignment horizontal="centerContinuous" vertical="center"/>
    </xf>
    <xf numFmtId="3" fontId="142" fillId="0" borderId="29" xfId="2087" applyNumberFormat="1" applyFont="1" applyBorder="1" applyAlignment="1">
      <alignment horizontal="centerContinuous" vertical="center"/>
    </xf>
    <xf numFmtId="0" fontId="142" fillId="0" borderId="29" xfId="2087" applyFont="1" applyBorder="1" applyAlignment="1">
      <alignment horizontal="centerContinuous" vertical="center"/>
    </xf>
    <xf numFmtId="0" fontId="142" fillId="0" borderId="0" xfId="2092" applyFont="1" applyAlignment="1">
      <alignment horizontal="centerContinuous" vertical="center"/>
    </xf>
    <xf numFmtId="0" fontId="142" fillId="0" borderId="0" xfId="2092" applyFont="1" applyAlignment="1">
      <alignment vertical="center"/>
    </xf>
    <xf numFmtId="0" fontId="146" fillId="0" borderId="0" xfId="2087" applyFont="1"/>
    <xf numFmtId="3" fontId="143" fillId="0" borderId="0" xfId="2087" applyNumberFormat="1" applyFont="1" applyAlignment="1">
      <alignment horizontal="left" vertical="center"/>
    </xf>
    <xf numFmtId="0" fontId="143" fillId="0" borderId="0" xfId="2087" applyFont="1" applyAlignment="1">
      <alignment horizontal="center" vertical="center"/>
    </xf>
    <xf numFmtId="179" fontId="142" fillId="0" borderId="0" xfId="2087" applyNumberFormat="1" applyFont="1" applyAlignment="1">
      <alignment horizontal="centerContinuous" vertical="center"/>
    </xf>
    <xf numFmtId="0" fontId="142" fillId="0" borderId="3" xfId="2090" applyFont="1" applyBorder="1" applyAlignment="1">
      <alignment vertical="center"/>
    </xf>
    <xf numFmtId="0" fontId="142" fillId="0" borderId="25" xfId="2090" applyFont="1" applyBorder="1" applyAlignment="1">
      <alignment vertical="center"/>
    </xf>
    <xf numFmtId="0" fontId="143" fillId="0" borderId="0" xfId="2087" quotePrefix="1" applyFont="1" applyAlignment="1">
      <alignment horizontal="left" vertical="center"/>
    </xf>
    <xf numFmtId="3" fontId="143" fillId="0" borderId="0" xfId="2087" applyNumberFormat="1" applyFont="1" applyAlignment="1">
      <alignment horizontal="centerContinuous" vertical="center"/>
    </xf>
    <xf numFmtId="3" fontId="143" fillId="0" borderId="0" xfId="2087" applyNumberFormat="1" applyFont="1" applyAlignment="1">
      <alignment vertical="center"/>
    </xf>
    <xf numFmtId="203" fontId="142" fillId="0" borderId="0" xfId="2087" applyNumberFormat="1" applyFont="1" applyAlignment="1">
      <alignment horizontal="centerContinuous" vertical="center"/>
    </xf>
    <xf numFmtId="203" fontId="144" fillId="0" borderId="0" xfId="2087" applyNumberFormat="1" applyFont="1" applyAlignment="1">
      <alignment horizontal="centerContinuous" vertical="center"/>
    </xf>
    <xf numFmtId="0" fontId="142" fillId="0" borderId="0" xfId="2088" applyFont="1" applyAlignment="1">
      <alignment vertical="center"/>
    </xf>
    <xf numFmtId="0" fontId="142" fillId="0" borderId="0" xfId="2088" applyFont="1" applyAlignment="1">
      <alignment horizontal="centerContinuous" vertical="center"/>
    </xf>
    <xf numFmtId="0" fontId="142" fillId="0" borderId="0" xfId="2088" applyFont="1" applyAlignment="1">
      <alignment horizontal="center" vertical="center"/>
    </xf>
    <xf numFmtId="0" fontId="142" fillId="0" borderId="0" xfId="2087" applyFont="1" applyAlignment="1">
      <alignment horizontal="right" vertical="center"/>
    </xf>
    <xf numFmtId="0" fontId="142" fillId="0" borderId="36" xfId="2087" applyFont="1" applyBorder="1"/>
    <xf numFmtId="0" fontId="142" fillId="0" borderId="7" xfId="2087" applyFont="1" applyBorder="1"/>
    <xf numFmtId="0" fontId="142" fillId="0" borderId="7" xfId="2087" applyFont="1" applyBorder="1" applyAlignment="1">
      <alignment vertical="center"/>
    </xf>
    <xf numFmtId="0" fontId="146" fillId="0" borderId="7" xfId="2087" applyFont="1" applyBorder="1"/>
    <xf numFmtId="3" fontId="143" fillId="0" borderId="7" xfId="2087" applyNumberFormat="1" applyFont="1" applyBorder="1" applyAlignment="1">
      <alignment horizontal="left" vertical="center"/>
    </xf>
    <xf numFmtId="0" fontId="142" fillId="0" borderId="7" xfId="2090" applyFont="1" applyBorder="1" applyAlignment="1">
      <alignment vertical="center"/>
    </xf>
    <xf numFmtId="0" fontId="143" fillId="0" borderId="7" xfId="2087" applyFont="1" applyBorder="1" applyAlignment="1">
      <alignment vertical="center"/>
    </xf>
    <xf numFmtId="0" fontId="143" fillId="0" borderId="7" xfId="2087" applyFont="1" applyBorder="1" applyAlignment="1">
      <alignment horizontal="centerContinuous" vertical="center"/>
    </xf>
    <xf numFmtId="0" fontId="142" fillId="0" borderId="7" xfId="2087" applyFont="1" applyBorder="1" applyAlignment="1">
      <alignment horizontal="centerContinuous"/>
    </xf>
    <xf numFmtId="0" fontId="143" fillId="0" borderId="7" xfId="2087" applyFont="1" applyBorder="1" applyAlignment="1">
      <alignment horizontal="center" vertical="center"/>
    </xf>
    <xf numFmtId="3" fontId="142" fillId="0" borderId="7" xfId="2087" applyNumberFormat="1" applyFont="1" applyBorder="1" applyAlignment="1">
      <alignment horizontal="centerContinuous" vertical="center"/>
    </xf>
    <xf numFmtId="0" fontId="142" fillId="0" borderId="37" xfId="2087" applyFont="1" applyBorder="1"/>
    <xf numFmtId="0" fontId="142" fillId="0" borderId="36" xfId="2087" applyFont="1" applyBorder="1" applyAlignment="1">
      <alignment vertical="center"/>
    </xf>
    <xf numFmtId="0" fontId="143" fillId="0" borderId="7" xfId="2087" applyFont="1" applyBorder="1" applyAlignment="1">
      <alignment horizontal="left" vertical="center"/>
    </xf>
    <xf numFmtId="0" fontId="142" fillId="0" borderId="7" xfId="2092" applyFont="1" applyBorder="1" applyAlignment="1">
      <alignment vertical="center"/>
    </xf>
    <xf numFmtId="0" fontId="142" fillId="0" borderId="7" xfId="2097" applyFont="1" applyBorder="1" applyAlignment="1">
      <alignment vertical="center"/>
    </xf>
    <xf numFmtId="0" fontId="142" fillId="0" borderId="7" xfId="2087" applyFont="1" applyBorder="1" applyAlignment="1">
      <alignment horizontal="centerContinuous" vertical="center"/>
    </xf>
    <xf numFmtId="0" fontId="143" fillId="0" borderId="7" xfId="2087" quotePrefix="1" applyFont="1" applyBorder="1" applyAlignment="1">
      <alignment horizontal="left" vertical="center"/>
    </xf>
    <xf numFmtId="3" fontId="143" fillId="0" borderId="7" xfId="2087" applyNumberFormat="1" applyFont="1" applyBorder="1" applyAlignment="1">
      <alignment horizontal="centerContinuous" vertical="center"/>
    </xf>
    <xf numFmtId="0" fontId="143" fillId="0" borderId="3" xfId="2087" applyFont="1" applyBorder="1" applyAlignment="1">
      <alignment horizontal="left" vertical="center"/>
    </xf>
    <xf numFmtId="0" fontId="142" fillId="0" borderId="0" xfId="2097" applyFont="1" applyAlignment="1">
      <alignment vertical="center"/>
    </xf>
    <xf numFmtId="0" fontId="142" fillId="0" borderId="0" xfId="2097" applyFont="1" applyAlignment="1">
      <alignment horizontal="center" vertical="center"/>
    </xf>
    <xf numFmtId="0" fontId="142" fillId="0" borderId="0" xfId="2097" applyFont="1" applyAlignment="1">
      <alignment horizontal="centerContinuous" vertical="center"/>
    </xf>
    <xf numFmtId="0" fontId="142" fillId="0" borderId="26" xfId="2087" applyFont="1" applyBorder="1"/>
    <xf numFmtId="0" fontId="142" fillId="0" borderId="27" xfId="2087" applyFont="1" applyBorder="1"/>
    <xf numFmtId="0" fontId="142" fillId="0" borderId="27" xfId="2087" applyFont="1" applyBorder="1" applyAlignment="1">
      <alignment horizontal="centerContinuous"/>
    </xf>
    <xf numFmtId="0" fontId="143" fillId="0" borderId="27" xfId="2087" applyFont="1" applyBorder="1" applyAlignment="1">
      <alignment horizontal="centerContinuous" vertical="center"/>
    </xf>
    <xf numFmtId="0" fontId="143" fillId="0" borderId="27" xfId="2087" applyFont="1" applyBorder="1" applyAlignment="1">
      <alignment vertical="center"/>
    </xf>
    <xf numFmtId="0" fontId="142" fillId="0" borderId="12" xfId="2087" applyFont="1" applyBorder="1"/>
    <xf numFmtId="3" fontId="147" fillId="0" borderId="0" xfId="2087" applyNumberFormat="1" applyFont="1" applyAlignment="1">
      <alignment horizontal="center" vertical="center"/>
    </xf>
    <xf numFmtId="3" fontId="147" fillId="0" borderId="0" xfId="2087" applyNumberFormat="1" applyFont="1" applyAlignment="1">
      <alignment vertical="center"/>
    </xf>
    <xf numFmtId="3" fontId="147" fillId="0" borderId="0" xfId="2087" applyNumberFormat="1" applyFont="1" applyAlignment="1">
      <alignment horizontal="left" vertical="center"/>
    </xf>
    <xf numFmtId="3" fontId="148" fillId="0" borderId="28" xfId="2098" applyNumberFormat="1" applyFont="1" applyBorder="1" applyAlignment="1">
      <alignment vertical="center"/>
    </xf>
    <xf numFmtId="3" fontId="148" fillId="0" borderId="29" xfId="2098" applyNumberFormat="1" applyFont="1" applyBorder="1" applyAlignment="1">
      <alignment vertical="center"/>
    </xf>
    <xf numFmtId="3" fontId="148" fillId="0" borderId="30" xfId="2098" applyNumberFormat="1" applyFont="1" applyBorder="1" applyAlignment="1">
      <alignment vertical="center"/>
    </xf>
    <xf numFmtId="3" fontId="148" fillId="0" borderId="0" xfId="2098" applyNumberFormat="1" applyFont="1" applyAlignment="1">
      <alignment vertical="center"/>
    </xf>
    <xf numFmtId="3" fontId="148" fillId="0" borderId="3" xfId="2098" applyNumberFormat="1" applyFont="1" applyBorder="1" applyAlignment="1">
      <alignment vertical="center"/>
    </xf>
    <xf numFmtId="0" fontId="142" fillId="0" borderId="0" xfId="2091" applyFont="1" applyAlignment="1">
      <alignment vertical="center"/>
    </xf>
    <xf numFmtId="3" fontId="148" fillId="0" borderId="25" xfId="2098" applyNumberFormat="1" applyFont="1" applyBorder="1" applyAlignment="1">
      <alignment vertical="center"/>
    </xf>
    <xf numFmtId="3" fontId="148" fillId="0" borderId="0" xfId="2098" applyNumberFormat="1" applyFont="1" applyAlignment="1">
      <alignment horizontal="center" vertical="center"/>
    </xf>
    <xf numFmtId="3" fontId="148" fillId="0" borderId="0" xfId="2098" applyNumberFormat="1" applyFont="1" applyAlignment="1">
      <alignment horizontal="right" vertical="center"/>
    </xf>
    <xf numFmtId="3" fontId="148" fillId="0" borderId="0" xfId="2098" quotePrefix="1" applyNumberFormat="1" applyFont="1" applyAlignment="1">
      <alignment horizontal="center" vertical="center"/>
    </xf>
    <xf numFmtId="3" fontId="148" fillId="0" borderId="0" xfId="2098" applyNumberFormat="1" applyFont="1" applyAlignment="1">
      <alignment horizontal="left" vertical="center"/>
    </xf>
    <xf numFmtId="3" fontId="148" fillId="0" borderId="0" xfId="1008" applyNumberFormat="1" applyFont="1" applyBorder="1" applyAlignment="1">
      <alignment horizontal="center" vertical="center"/>
    </xf>
    <xf numFmtId="3" fontId="148" fillId="0" borderId="18" xfId="2098" applyNumberFormat="1" applyFont="1" applyBorder="1" applyAlignment="1">
      <alignment vertical="center"/>
    </xf>
    <xf numFmtId="3" fontId="148" fillId="0" borderId="18" xfId="2098" applyNumberFormat="1" applyFont="1" applyBorder="1" applyAlignment="1">
      <alignment horizontal="center" vertical="center"/>
    </xf>
    <xf numFmtId="3" fontId="148" fillId="0" borderId="18" xfId="1008" applyNumberFormat="1" applyFont="1" applyBorder="1" applyAlignment="1">
      <alignment horizontal="center" vertical="center"/>
    </xf>
    <xf numFmtId="3" fontId="148" fillId="0" borderId="18" xfId="2098" applyNumberFormat="1" applyFont="1" applyBorder="1" applyAlignment="1">
      <alignment horizontal="right" vertical="center"/>
    </xf>
    <xf numFmtId="3" fontId="148" fillId="0" borderId="18" xfId="2098" quotePrefix="1" applyNumberFormat="1" applyFont="1" applyBorder="1" applyAlignment="1">
      <alignment horizontal="center" vertical="center"/>
    </xf>
    <xf numFmtId="3" fontId="148" fillId="0" borderId="18" xfId="2098" applyNumberFormat="1" applyFont="1" applyBorder="1" applyAlignment="1">
      <alignment horizontal="left" vertical="center"/>
    </xf>
    <xf numFmtId="3" fontId="148" fillId="0" borderId="10" xfId="2098" applyNumberFormat="1" applyFont="1" applyBorder="1" applyAlignment="1">
      <alignment vertical="center"/>
    </xf>
    <xf numFmtId="3" fontId="148" fillId="0" borderId="38" xfId="2098" applyNumberFormat="1" applyFont="1" applyBorder="1" applyAlignment="1">
      <alignment vertical="center"/>
    </xf>
    <xf numFmtId="3" fontId="148" fillId="0" borderId="38" xfId="2098" applyNumberFormat="1" applyFont="1" applyBorder="1" applyAlignment="1">
      <alignment horizontal="center" vertical="center"/>
    </xf>
    <xf numFmtId="3" fontId="148" fillId="0" borderId="38" xfId="1008" applyNumberFormat="1" applyFont="1" applyBorder="1" applyAlignment="1">
      <alignment horizontal="center" vertical="center"/>
    </xf>
    <xf numFmtId="3" fontId="148" fillId="0" borderId="38" xfId="2098" applyNumberFormat="1" applyFont="1" applyBorder="1" applyAlignment="1">
      <alignment horizontal="right" vertical="center"/>
    </xf>
    <xf numFmtId="3" fontId="148" fillId="0" borderId="38" xfId="2098" quotePrefix="1" applyNumberFormat="1" applyFont="1" applyBorder="1" applyAlignment="1">
      <alignment horizontal="center" vertical="center"/>
    </xf>
    <xf numFmtId="3" fontId="148" fillId="0" borderId="38" xfId="2098" applyNumberFormat="1" applyFont="1" applyBorder="1" applyAlignment="1">
      <alignment horizontal="left" vertical="center"/>
    </xf>
    <xf numFmtId="3" fontId="148" fillId="0" borderId="39" xfId="2098" applyNumberFormat="1" applyFont="1" applyBorder="1" applyAlignment="1">
      <alignment vertical="center"/>
    </xf>
    <xf numFmtId="3" fontId="148" fillId="0" borderId="0" xfId="2098" applyNumberFormat="1" applyFont="1" applyAlignment="1">
      <alignment horizontal="centerContinuous" vertical="center"/>
    </xf>
    <xf numFmtId="3" fontId="148" fillId="0" borderId="0" xfId="1008" applyNumberFormat="1" applyFont="1" applyBorder="1" applyAlignment="1">
      <alignment horizontal="centerContinuous" vertical="center"/>
    </xf>
    <xf numFmtId="3" fontId="148" fillId="0" borderId="0" xfId="2098" quotePrefix="1" applyNumberFormat="1" applyFont="1" applyAlignment="1">
      <alignment horizontal="centerContinuous" vertical="center"/>
    </xf>
    <xf numFmtId="3" fontId="148" fillId="0" borderId="26" xfId="2098" applyNumberFormat="1" applyFont="1" applyBorder="1" applyAlignment="1">
      <alignment vertical="center"/>
    </xf>
    <xf numFmtId="3" fontId="148" fillId="0" borderId="27" xfId="2098" applyNumberFormat="1" applyFont="1" applyBorder="1" applyAlignment="1">
      <alignment vertical="center"/>
    </xf>
    <xf numFmtId="3" fontId="148" fillId="0" borderId="12" xfId="2098" applyNumberFormat="1" applyFont="1" applyBorder="1" applyAlignment="1">
      <alignment vertical="center"/>
    </xf>
    <xf numFmtId="3" fontId="148" fillId="0" borderId="0" xfId="2098" quotePrefix="1" applyNumberFormat="1" applyFont="1" applyAlignment="1">
      <alignment vertical="center"/>
    </xf>
    <xf numFmtId="219" fontId="148" fillId="0" borderId="0" xfId="2098" applyNumberFormat="1" applyFont="1" applyAlignment="1">
      <alignment horizontal="center" vertical="center"/>
    </xf>
    <xf numFmtId="0" fontId="142" fillId="0" borderId="3" xfId="2091" applyFont="1" applyBorder="1" applyAlignment="1">
      <alignment vertical="center"/>
    </xf>
    <xf numFmtId="0" fontId="150" fillId="0" borderId="0" xfId="2091" applyFont="1" applyAlignment="1">
      <alignment vertical="center"/>
    </xf>
    <xf numFmtId="3" fontId="142" fillId="0" borderId="34" xfId="2091" applyNumberFormat="1" applyFont="1" applyBorder="1" applyAlignment="1">
      <alignment vertical="center"/>
    </xf>
    <xf numFmtId="0" fontId="142" fillId="0" borderId="34" xfId="2091" applyFont="1" applyBorder="1" applyAlignment="1">
      <alignment vertical="center"/>
    </xf>
    <xf numFmtId="3" fontId="144" fillId="0" borderId="0" xfId="1009" applyNumberFormat="1" applyFont="1" applyFill="1" applyAlignment="1">
      <alignment horizontal="center" vertical="center"/>
    </xf>
    <xf numFmtId="41" fontId="144" fillId="0" borderId="34" xfId="1009" applyFont="1" applyFill="1" applyBorder="1" applyAlignment="1">
      <alignment vertical="center"/>
    </xf>
    <xf numFmtId="0" fontId="144" fillId="0" borderId="0" xfId="2091" applyFont="1" applyAlignment="1">
      <alignment horizontal="centerContinuous" vertical="center"/>
    </xf>
    <xf numFmtId="0" fontId="142" fillId="0" borderId="0" xfId="2091" applyFont="1" applyAlignment="1">
      <alignment horizontal="centerContinuous" vertical="center"/>
    </xf>
    <xf numFmtId="0" fontId="142" fillId="0" borderId="0" xfId="2091" applyFont="1" applyAlignment="1">
      <alignment horizontal="centerContinuous" vertical="center" shrinkToFit="1"/>
    </xf>
    <xf numFmtId="0" fontId="142" fillId="0" borderId="0" xfId="2091" quotePrefix="1" applyFont="1" applyAlignment="1">
      <alignment horizontal="centerContinuous" vertical="center"/>
    </xf>
    <xf numFmtId="41" fontId="144" fillId="0" borderId="0" xfId="1009" applyFont="1" applyFill="1" applyBorder="1" applyAlignment="1">
      <alignment horizontal="centerContinuous" vertical="center"/>
    </xf>
    <xf numFmtId="41" fontId="144" fillId="0" borderId="0" xfId="1009" applyFont="1" applyFill="1" applyAlignment="1">
      <alignment vertical="center"/>
    </xf>
    <xf numFmtId="3" fontId="142" fillId="0" borderId="0" xfId="1009" applyNumberFormat="1" applyFont="1" applyFill="1" applyBorder="1" applyAlignment="1">
      <alignment vertical="center"/>
    </xf>
    <xf numFmtId="0" fontId="142" fillId="0" borderId="0" xfId="2091" quotePrefix="1" applyFont="1" applyAlignment="1">
      <alignment vertical="center"/>
    </xf>
    <xf numFmtId="3" fontId="142" fillId="0" borderId="40" xfId="2091" applyNumberFormat="1" applyFont="1" applyBorder="1" applyAlignment="1">
      <alignment vertical="center"/>
    </xf>
    <xf numFmtId="0" fontId="142" fillId="0" borderId="25" xfId="2091" applyFont="1" applyBorder="1" applyAlignment="1">
      <alignment vertical="center"/>
    </xf>
    <xf numFmtId="3" fontId="144" fillId="0" borderId="0" xfId="2091" applyNumberFormat="1" applyFont="1" applyAlignment="1">
      <alignment horizontal="centerContinuous" vertical="center"/>
    </xf>
    <xf numFmtId="3" fontId="142" fillId="0" borderId="0" xfId="2091" applyNumberFormat="1" applyFont="1" applyAlignment="1">
      <alignment horizontal="centerContinuous" vertical="center"/>
    </xf>
    <xf numFmtId="0" fontId="142" fillId="0" borderId="31" xfId="2091" applyFont="1" applyBorder="1" applyAlignment="1">
      <alignment vertical="center"/>
    </xf>
    <xf numFmtId="3" fontId="142" fillId="0" borderId="31" xfId="1009" applyNumberFormat="1" applyFont="1" applyFill="1" applyBorder="1" applyAlignment="1">
      <alignment vertical="center"/>
    </xf>
    <xf numFmtId="0" fontId="142" fillId="0" borderId="31" xfId="2091" quotePrefix="1" applyFont="1" applyBorder="1" applyAlignment="1">
      <alignment vertical="center"/>
    </xf>
    <xf numFmtId="3" fontId="142" fillId="0" borderId="41" xfId="2091" applyNumberFormat="1" applyFont="1" applyBorder="1" applyAlignment="1">
      <alignment vertical="center"/>
    </xf>
    <xf numFmtId="0" fontId="142" fillId="0" borderId="26" xfId="2091" applyFont="1" applyBorder="1" applyAlignment="1">
      <alignment vertical="center"/>
    </xf>
    <xf numFmtId="0" fontId="142" fillId="0" borderId="27" xfId="2091" applyFont="1" applyBorder="1" applyAlignment="1">
      <alignment vertical="center"/>
    </xf>
    <xf numFmtId="3" fontId="142" fillId="0" borderId="27" xfId="1009" applyNumberFormat="1" applyFont="1" applyFill="1" applyBorder="1" applyAlignment="1">
      <alignment vertical="center"/>
    </xf>
    <xf numFmtId="0" fontId="142" fillId="0" borderId="27" xfId="2091" quotePrefix="1" applyFont="1" applyBorder="1" applyAlignment="1">
      <alignment vertical="center"/>
    </xf>
    <xf numFmtId="0" fontId="142" fillId="0" borderId="42" xfId="2091" applyFont="1" applyBorder="1" applyAlignment="1">
      <alignment vertical="center"/>
    </xf>
    <xf numFmtId="0" fontId="143" fillId="0" borderId="0" xfId="2091" applyFont="1" applyAlignment="1">
      <alignment vertical="center"/>
    </xf>
    <xf numFmtId="0" fontId="144" fillId="0" borderId="0" xfId="2091" applyFont="1" applyAlignment="1">
      <alignment horizontal="center" vertical="center"/>
    </xf>
    <xf numFmtId="0" fontId="142" fillId="0" borderId="0" xfId="2091" applyFont="1" applyAlignment="1">
      <alignment vertical="center" shrinkToFit="1"/>
    </xf>
    <xf numFmtId="3" fontId="142" fillId="0" borderId="42" xfId="2091" applyNumberFormat="1" applyFont="1" applyBorder="1" applyAlignment="1">
      <alignment vertical="center"/>
    </xf>
    <xf numFmtId="0" fontId="151" fillId="0" borderId="36" xfId="2091" applyFont="1" applyBorder="1" applyAlignment="1">
      <alignment horizontal="centerContinuous" vertical="center"/>
    </xf>
    <xf numFmtId="0" fontId="143" fillId="0" borderId="7" xfId="2091" applyFont="1" applyBorder="1" applyAlignment="1">
      <alignment horizontal="left" vertical="center"/>
    </xf>
    <xf numFmtId="0" fontId="142" fillId="0" borderId="7" xfId="2091" applyFont="1" applyBorder="1" applyAlignment="1">
      <alignment horizontal="centerContinuous" vertical="center"/>
    </xf>
    <xf numFmtId="0" fontId="143" fillId="0" borderId="2" xfId="2091" applyFont="1" applyBorder="1" applyAlignment="1">
      <alignment horizontal="centerContinuous" vertical="center"/>
    </xf>
    <xf numFmtId="3" fontId="142" fillId="0" borderId="0" xfId="1009" applyNumberFormat="1" applyFont="1" applyFill="1" applyBorder="1" applyAlignment="1">
      <alignment horizontal="centerContinuous" vertical="center" shrinkToFit="1"/>
    </xf>
    <xf numFmtId="3" fontId="142" fillId="0" borderId="0" xfId="2091" applyNumberFormat="1" applyFont="1" applyAlignment="1">
      <alignment horizontal="centerContinuous" vertical="center" shrinkToFit="1"/>
    </xf>
    <xf numFmtId="0" fontId="150" fillId="0" borderId="36" xfId="2091" applyFont="1" applyBorder="1" applyAlignment="1">
      <alignment horizontal="centerContinuous" vertical="center"/>
    </xf>
    <xf numFmtId="0" fontId="143" fillId="0" borderId="7" xfId="2091" applyFont="1" applyBorder="1" applyAlignment="1">
      <alignment horizontal="centerContinuous" vertical="center"/>
    </xf>
    <xf numFmtId="0" fontId="143" fillId="0" borderId="37" xfId="2091" applyFont="1" applyBorder="1" applyAlignment="1">
      <alignment horizontal="centerContinuous" vertical="center"/>
    </xf>
    <xf numFmtId="0" fontId="142" fillId="0" borderId="12" xfId="2091" applyFont="1" applyBorder="1" applyAlignment="1">
      <alignment vertical="center"/>
    </xf>
    <xf numFmtId="41" fontId="144" fillId="0" borderId="0" xfId="1009" applyFont="1" applyFill="1" applyBorder="1" applyAlignment="1">
      <alignment vertical="center"/>
    </xf>
    <xf numFmtId="3" fontId="152" fillId="0" borderId="0" xfId="1009" applyNumberFormat="1" applyFont="1" applyFill="1" applyAlignment="1">
      <alignment horizontal="center" vertical="center"/>
    </xf>
    <xf numFmtId="41" fontId="111" fillId="0" borderId="0" xfId="1003" applyFont="1" applyFill="1" applyAlignment="1">
      <alignment vertical="center"/>
    </xf>
    <xf numFmtId="41" fontId="153" fillId="0" borderId="0" xfId="1003" applyFont="1" applyFill="1" applyBorder="1" applyAlignment="1">
      <alignment horizontal="centerContinuous" vertical="center"/>
    </xf>
    <xf numFmtId="41" fontId="153" fillId="0" borderId="0" xfId="1003" applyFont="1" applyFill="1" applyBorder="1" applyAlignment="1">
      <alignment vertical="center"/>
    </xf>
    <xf numFmtId="41" fontId="111" fillId="0" borderId="0" xfId="1003" applyFont="1" applyFill="1" applyBorder="1" applyAlignment="1">
      <alignment vertical="center"/>
    </xf>
    <xf numFmtId="41" fontId="119" fillId="0" borderId="0" xfId="1003" applyFont="1" applyFill="1" applyAlignment="1">
      <alignment vertical="center"/>
    </xf>
    <xf numFmtId="41" fontId="52" fillId="0" borderId="0" xfId="1003" applyFont="1" applyFill="1" applyAlignment="1">
      <alignment vertical="center"/>
    </xf>
    <xf numFmtId="3" fontId="152" fillId="0" borderId="0" xfId="1009" applyNumberFormat="1" applyFont="1" applyFill="1" applyBorder="1" applyAlignment="1">
      <alignment horizontal="center" vertical="center"/>
    </xf>
    <xf numFmtId="0" fontId="142" fillId="0" borderId="28" xfId="2091" applyFont="1" applyBorder="1" applyAlignment="1">
      <alignment vertical="center"/>
    </xf>
    <xf numFmtId="0" fontId="150" fillId="0" borderId="29" xfId="2091" applyFont="1" applyBorder="1" applyAlignment="1">
      <alignment vertical="center"/>
    </xf>
    <xf numFmtId="0" fontId="142" fillId="0" borderId="29" xfId="2091" applyFont="1" applyBorder="1" applyAlignment="1">
      <alignment vertical="center"/>
    </xf>
    <xf numFmtId="3" fontId="142" fillId="0" borderId="35" xfId="2091" applyNumberFormat="1" applyFont="1" applyBorder="1" applyAlignment="1">
      <alignment vertical="center"/>
    </xf>
    <xf numFmtId="0" fontId="142" fillId="0" borderId="0" xfId="2096" applyFont="1"/>
    <xf numFmtId="0" fontId="142" fillId="0" borderId="3" xfId="2095" applyFont="1" applyBorder="1" applyAlignment="1">
      <alignment horizontal="center" vertical="center"/>
    </xf>
    <xf numFmtId="0" fontId="142" fillId="0" borderId="0" xfId="2095" applyFont="1" applyAlignment="1">
      <alignment vertical="center"/>
    </xf>
    <xf numFmtId="193" fontId="142" fillId="0" borderId="25" xfId="1388" applyFont="1" applyFill="1" applyBorder="1" applyAlignment="1">
      <alignment horizontal="center" vertical="center"/>
    </xf>
    <xf numFmtId="209" fontId="142" fillId="0" borderId="27" xfId="1388" applyNumberFormat="1" applyFont="1" applyBorder="1" applyAlignment="1">
      <alignment horizontal="center" vertical="center" wrapText="1" shrinkToFit="1"/>
    </xf>
    <xf numFmtId="193" fontId="142" fillId="0" borderId="27" xfId="1388" applyFont="1" applyBorder="1" applyAlignment="1">
      <alignment horizontal="center" vertical="center"/>
    </xf>
    <xf numFmtId="193" fontId="142" fillId="0" borderId="26" xfId="1388" applyFont="1" applyBorder="1" applyAlignment="1">
      <alignment horizontal="right" vertical="center"/>
    </xf>
    <xf numFmtId="0" fontId="142" fillId="0" borderId="12" xfId="2095" applyFont="1" applyBorder="1" applyAlignment="1">
      <alignment horizontal="center" vertical="center" wrapText="1" shrinkToFit="1"/>
    </xf>
    <xf numFmtId="209" fontId="142" fillId="0" borderId="28" xfId="1388" applyNumberFormat="1" applyFont="1" applyBorder="1" applyAlignment="1">
      <alignment horizontal="left" vertical="center"/>
    </xf>
    <xf numFmtId="193" fontId="142" fillId="0" borderId="29" xfId="1388" applyFont="1" applyBorder="1" applyAlignment="1">
      <alignment vertical="center"/>
    </xf>
    <xf numFmtId="209" fontId="142" fillId="0" borderId="29" xfId="1388" applyNumberFormat="1" applyFont="1" applyBorder="1" applyAlignment="1">
      <alignment horizontal="left" vertical="center"/>
    </xf>
    <xf numFmtId="193" fontId="142" fillId="0" borderId="29" xfId="1388" applyFont="1" applyBorder="1" applyAlignment="1">
      <alignment horizontal="center" vertical="center"/>
    </xf>
    <xf numFmtId="193" fontId="142" fillId="0" borderId="28" xfId="1388" applyFont="1" applyBorder="1" applyAlignment="1">
      <alignment horizontal="center" vertical="center"/>
    </xf>
    <xf numFmtId="0" fontId="142" fillId="0" borderId="30" xfId="2095" applyFont="1" applyBorder="1" applyAlignment="1">
      <alignment horizontal="center" vertical="center" wrapText="1" shrinkToFit="1"/>
    </xf>
    <xf numFmtId="0" fontId="142" fillId="0" borderId="0" xfId="2095" applyFont="1" applyAlignment="1">
      <alignment horizontal="centerContinuous" vertical="center"/>
    </xf>
    <xf numFmtId="193" fontId="142" fillId="0" borderId="0" xfId="1388" applyFont="1" applyFill="1" applyBorder="1" applyAlignment="1">
      <alignment horizontal="center" vertical="center"/>
    </xf>
    <xf numFmtId="193" fontId="142" fillId="0" borderId="3" xfId="1388" applyFont="1" applyBorder="1" applyAlignment="1">
      <alignment horizontal="right" vertical="center"/>
    </xf>
    <xf numFmtId="210" fontId="142" fillId="0" borderId="0" xfId="1388" applyNumberFormat="1" applyFont="1" applyBorder="1" applyAlignment="1">
      <alignment horizontal="center" vertical="center"/>
    </xf>
    <xf numFmtId="210" fontId="142" fillId="0" borderId="0" xfId="1388" applyNumberFormat="1" applyFont="1" applyBorder="1" applyAlignment="1">
      <alignment horizontal="right" vertical="center"/>
    </xf>
    <xf numFmtId="210" fontId="142" fillId="0" borderId="0" xfId="1388" applyNumberFormat="1" applyFont="1" applyBorder="1" applyAlignment="1">
      <alignment horizontal="left" vertical="center"/>
    </xf>
    <xf numFmtId="210" fontId="142" fillId="0" borderId="0" xfId="2096" applyNumberFormat="1" applyFont="1"/>
    <xf numFmtId="0" fontId="142" fillId="0" borderId="0" xfId="2096" applyFont="1" applyAlignment="1">
      <alignment horizontal="center" vertical="center"/>
    </xf>
    <xf numFmtId="208" fontId="142" fillId="0" borderId="0" xfId="2095" applyNumberFormat="1" applyFont="1" applyAlignment="1">
      <alignment horizontal="right" vertical="center"/>
    </xf>
    <xf numFmtId="0" fontId="142" fillId="0" borderId="3" xfId="2095" applyFont="1" applyBorder="1"/>
    <xf numFmtId="0" fontId="142" fillId="0" borderId="25" xfId="2095" applyFont="1" applyBorder="1" applyAlignment="1">
      <alignment horizontal="center" vertical="center" wrapText="1" shrinkToFit="1"/>
    </xf>
    <xf numFmtId="0" fontId="142" fillId="0" borderId="45" xfId="2095" applyFont="1" applyBorder="1" applyAlignment="1">
      <alignment vertical="center"/>
    </xf>
    <xf numFmtId="0" fontId="142" fillId="0" borderId="46" xfId="2095" applyFont="1" applyBorder="1" applyAlignment="1">
      <alignment horizontal="centerContinuous" vertical="center"/>
    </xf>
    <xf numFmtId="0" fontId="142" fillId="0" borderId="47" xfId="2095" applyFont="1" applyBorder="1" applyAlignment="1">
      <alignment horizontal="centerContinuous" vertical="center"/>
    </xf>
    <xf numFmtId="0" fontId="142" fillId="0" borderId="25" xfId="2095" applyFont="1" applyBorder="1"/>
    <xf numFmtId="193" fontId="142" fillId="0" borderId="0" xfId="1388" applyFont="1" applyBorder="1" applyAlignment="1">
      <alignment horizontal="center" vertical="center"/>
    </xf>
    <xf numFmtId="193" fontId="142" fillId="0" borderId="3" xfId="1388" applyFont="1" applyBorder="1" applyAlignment="1">
      <alignment horizontal="center" vertical="center"/>
    </xf>
    <xf numFmtId="209" fontId="142" fillId="0" borderId="26" xfId="1388" applyNumberFormat="1" applyFont="1" applyBorder="1" applyAlignment="1">
      <alignment horizontal="center" vertical="center"/>
    </xf>
    <xf numFmtId="210" fontId="142" fillId="0" borderId="27" xfId="1388" applyNumberFormat="1" applyFont="1" applyBorder="1" applyAlignment="1">
      <alignment horizontal="center" vertical="center"/>
    </xf>
    <xf numFmtId="210" fontId="142" fillId="0" borderId="27" xfId="1388" applyNumberFormat="1" applyFont="1" applyBorder="1" applyAlignment="1">
      <alignment vertical="center"/>
    </xf>
    <xf numFmtId="211" fontId="142" fillId="0" borderId="26" xfId="1388" applyNumberFormat="1" applyFont="1" applyBorder="1" applyAlignment="1">
      <alignment horizontal="right" vertical="center"/>
    </xf>
    <xf numFmtId="193" fontId="142" fillId="0" borderId="12" xfId="1388" applyFont="1" applyBorder="1" applyAlignment="1">
      <alignment horizontal="center" vertical="center"/>
    </xf>
    <xf numFmtId="0" fontId="142" fillId="0" borderId="45" xfId="2096" applyFont="1" applyBorder="1"/>
    <xf numFmtId="0" fontId="142" fillId="0" borderId="46" xfId="2096" applyFont="1" applyBorder="1"/>
    <xf numFmtId="210" fontId="142" fillId="0" borderId="29" xfId="1388" applyNumberFormat="1" applyFont="1" applyBorder="1" applyAlignment="1">
      <alignment vertical="center"/>
    </xf>
    <xf numFmtId="210" fontId="142" fillId="0" borderId="29" xfId="1388" applyNumberFormat="1" applyFont="1" applyBorder="1" applyAlignment="1">
      <alignment horizontal="left" vertical="center"/>
    </xf>
    <xf numFmtId="0" fontId="142" fillId="0" borderId="30" xfId="2095" applyFont="1" applyBorder="1" applyAlignment="1">
      <alignment horizontal="center" vertical="center"/>
    </xf>
    <xf numFmtId="0" fontId="142" fillId="0" borderId="48" xfId="2096" applyFont="1" applyBorder="1"/>
    <xf numFmtId="0" fontId="142" fillId="0" borderId="49" xfId="2095" applyFont="1" applyBorder="1" applyAlignment="1">
      <alignment horizontal="centerContinuous" vertical="center"/>
    </xf>
    <xf numFmtId="0" fontId="142" fillId="0" borderId="3" xfId="2095" applyFont="1" applyBorder="1" applyAlignment="1">
      <alignment vertical="center"/>
    </xf>
    <xf numFmtId="0" fontId="142" fillId="0" borderId="25" xfId="2095" applyFont="1" applyBorder="1" applyAlignment="1">
      <alignment horizontal="center" vertical="center"/>
    </xf>
    <xf numFmtId="0" fontId="142" fillId="0" borderId="48" xfId="2095" applyFont="1" applyBorder="1" applyAlignment="1">
      <alignment vertical="center"/>
    </xf>
    <xf numFmtId="0" fontId="142" fillId="0" borderId="45" xfId="2095" applyFont="1" applyBorder="1" applyAlignment="1">
      <alignment horizontal="center" vertical="center"/>
    </xf>
    <xf numFmtId="0" fontId="142" fillId="0" borderId="47" xfId="2095" applyFont="1" applyBorder="1" applyAlignment="1">
      <alignment horizontal="center" vertical="center"/>
    </xf>
    <xf numFmtId="0" fontId="142" fillId="0" borderId="49" xfId="2095" applyFont="1" applyBorder="1" applyAlignment="1">
      <alignment horizontal="center" vertical="center"/>
    </xf>
    <xf numFmtId="0" fontId="142" fillId="0" borderId="48" xfId="2095" applyFont="1" applyBorder="1" applyAlignment="1">
      <alignment horizontal="center" vertical="center"/>
    </xf>
    <xf numFmtId="193" fontId="142" fillId="0" borderId="0" xfId="1388" applyFont="1" applyBorder="1" applyAlignment="1">
      <alignment horizontal="right" vertical="center"/>
    </xf>
    <xf numFmtId="193" fontId="142" fillId="0" borderId="0" xfId="1388" applyFont="1" applyFill="1" applyBorder="1" applyAlignment="1">
      <alignment horizontal="right" vertical="center"/>
    </xf>
    <xf numFmtId="0" fontId="142" fillId="0" borderId="27" xfId="2095" applyFont="1" applyBorder="1" applyAlignment="1">
      <alignment horizontal="left"/>
    </xf>
    <xf numFmtId="0" fontId="142" fillId="0" borderId="27" xfId="2095" applyFont="1" applyBorder="1" applyAlignment="1">
      <alignment horizontal="right"/>
    </xf>
    <xf numFmtId="0" fontId="142" fillId="0" borderId="25" xfId="2096" applyFont="1" applyBorder="1"/>
    <xf numFmtId="210" fontId="142" fillId="0" borderId="29" xfId="2095" applyNumberFormat="1" applyFont="1" applyBorder="1" applyAlignment="1">
      <alignment vertical="center"/>
    </xf>
    <xf numFmtId="210" fontId="142" fillId="0" borderId="29" xfId="2095" applyNumberFormat="1" applyFont="1" applyBorder="1" applyAlignment="1">
      <alignment horizontal="center" vertical="center"/>
    </xf>
    <xf numFmtId="210" fontId="142" fillId="0" borderId="0" xfId="2096" applyNumberFormat="1" applyFont="1" applyAlignment="1">
      <alignment vertical="center"/>
    </xf>
    <xf numFmtId="0" fontId="142" fillId="0" borderId="29" xfId="2095" applyFont="1" applyBorder="1" applyAlignment="1">
      <alignment vertical="center"/>
    </xf>
    <xf numFmtId="0" fontId="142" fillId="0" borderId="28" xfId="2095" applyFont="1" applyBorder="1" applyAlignment="1">
      <alignment vertical="center"/>
    </xf>
    <xf numFmtId="0" fontId="142" fillId="0" borderId="50" xfId="2095" applyFont="1" applyBorder="1" applyAlignment="1">
      <alignment horizontal="center" vertical="center"/>
    </xf>
    <xf numFmtId="193" fontId="142" fillId="0" borderId="8" xfId="1388" applyFont="1" applyFill="1" applyBorder="1" applyAlignment="1">
      <alignment horizontal="center" vertical="center"/>
    </xf>
    <xf numFmtId="0" fontId="142" fillId="0" borderId="51" xfId="2095" applyFont="1" applyBorder="1"/>
    <xf numFmtId="0" fontId="142" fillId="0" borderId="26" xfId="2095" applyFont="1" applyBorder="1"/>
    <xf numFmtId="210" fontId="142" fillId="0" borderId="27" xfId="2095" applyNumberFormat="1" applyFont="1" applyBorder="1"/>
    <xf numFmtId="210" fontId="142" fillId="0" borderId="27" xfId="2095" applyNumberFormat="1" applyFont="1" applyBorder="1" applyAlignment="1">
      <alignment horizontal="center" vertical="center"/>
    </xf>
    <xf numFmtId="210" fontId="142" fillId="0" borderId="27" xfId="1388" applyNumberFormat="1" applyFont="1" applyBorder="1" applyAlignment="1">
      <alignment horizontal="left" vertical="center"/>
    </xf>
    <xf numFmtId="0" fontId="142" fillId="0" borderId="27" xfId="2095" applyFont="1" applyBorder="1" applyAlignment="1">
      <alignment horizontal="center"/>
    </xf>
    <xf numFmtId="211" fontId="142" fillId="0" borderId="27" xfId="1388" applyNumberFormat="1" applyFont="1" applyBorder="1" applyAlignment="1">
      <alignment horizontal="center" vertical="center"/>
    </xf>
    <xf numFmtId="210" fontId="142" fillId="0" borderId="26" xfId="1388" applyNumberFormat="1" applyFont="1" applyBorder="1" applyAlignment="1">
      <alignment horizontal="left" vertical="center"/>
    </xf>
    <xf numFmtId="0" fontId="142" fillId="27" borderId="52" xfId="2095" applyFont="1" applyFill="1" applyBorder="1" applyAlignment="1">
      <alignment vertical="center"/>
    </xf>
    <xf numFmtId="0" fontId="142" fillId="28" borderId="54" xfId="2095" applyFont="1" applyFill="1" applyBorder="1" applyAlignment="1">
      <alignment horizontal="center" vertical="center"/>
    </xf>
    <xf numFmtId="0" fontId="142" fillId="27" borderId="55" xfId="2095" applyFont="1" applyFill="1" applyBorder="1" applyAlignment="1">
      <alignment horizontal="center" vertical="center"/>
    </xf>
    <xf numFmtId="0" fontId="142" fillId="0" borderId="53" xfId="2095" applyFont="1" applyBorder="1" applyAlignment="1">
      <alignment horizontal="center" vertical="center"/>
    </xf>
    <xf numFmtId="0" fontId="142" fillId="0" borderId="29" xfId="2095" applyFont="1" applyBorder="1" applyAlignment="1">
      <alignment horizontal="left"/>
    </xf>
    <xf numFmtId="0" fontId="142" fillId="0" borderId="29" xfId="2095" applyFont="1" applyBorder="1"/>
    <xf numFmtId="47" fontId="142" fillId="0" borderId="3" xfId="2095" quotePrefix="1" applyNumberFormat="1" applyFont="1" applyBorder="1" applyAlignment="1">
      <alignment horizontal="center" vertical="center"/>
    </xf>
    <xf numFmtId="0" fontId="142" fillId="28" borderId="52" xfId="2095" applyFont="1" applyFill="1" applyBorder="1" applyAlignment="1">
      <alignment horizontal="center" vertical="center"/>
    </xf>
    <xf numFmtId="0" fontId="142" fillId="28" borderId="56" xfId="2095" applyFont="1" applyFill="1" applyBorder="1" applyAlignment="1">
      <alignment horizontal="center" vertical="center"/>
    </xf>
    <xf numFmtId="0" fontId="142" fillId="0" borderId="52" xfId="2095" applyFont="1" applyBorder="1" applyAlignment="1">
      <alignment horizontal="center" vertical="center"/>
    </xf>
    <xf numFmtId="209" fontId="142" fillId="0" borderId="26" xfId="1388" applyNumberFormat="1" applyFont="1" applyBorder="1" applyAlignment="1">
      <alignment horizontal="center" vertical="center" wrapText="1" shrinkToFit="1"/>
    </xf>
    <xf numFmtId="210" fontId="142" fillId="0" borderId="27" xfId="1388" applyNumberFormat="1" applyFont="1" applyBorder="1" applyAlignment="1">
      <alignment horizontal="center" vertical="center" wrapText="1" shrinkToFit="1"/>
    </xf>
    <xf numFmtId="210" fontId="142" fillId="0" borderId="27" xfId="1388" applyNumberFormat="1" applyFont="1" applyBorder="1" applyAlignment="1">
      <alignment horizontal="left" vertical="center" wrapText="1" shrinkToFit="1"/>
    </xf>
    <xf numFmtId="193" fontId="142" fillId="0" borderId="25" xfId="1388" applyFont="1" applyBorder="1" applyAlignment="1">
      <alignment horizontal="center" vertical="center"/>
    </xf>
    <xf numFmtId="0" fontId="142" fillId="0" borderId="28" xfId="1388" applyNumberFormat="1" applyFont="1" applyBorder="1" applyAlignment="1">
      <alignment horizontal="left" vertical="center"/>
    </xf>
    <xf numFmtId="210" fontId="142" fillId="0" borderId="29" xfId="1388" applyNumberFormat="1" applyFont="1" applyBorder="1" applyAlignment="1">
      <alignment horizontal="center" vertical="center"/>
    </xf>
    <xf numFmtId="210" fontId="142" fillId="0" borderId="29" xfId="2095" applyNumberFormat="1" applyFont="1" applyBorder="1"/>
    <xf numFmtId="0" fontId="142" fillId="0" borderId="30" xfId="2095" applyFont="1" applyBorder="1"/>
    <xf numFmtId="41" fontId="142" fillId="0" borderId="26" xfId="1003" applyFont="1" applyFill="1" applyBorder="1" applyAlignment="1">
      <alignment horizontal="right" vertical="center"/>
    </xf>
    <xf numFmtId="209" fontId="142" fillId="0" borderId="0" xfId="1388" applyNumberFormat="1" applyFont="1" applyFill="1" applyBorder="1" applyAlignment="1">
      <alignment horizontal="center" vertical="center"/>
    </xf>
    <xf numFmtId="41" fontId="142" fillId="0" borderId="27" xfId="1003" applyFont="1" applyFill="1" applyBorder="1" applyAlignment="1">
      <alignment horizontal="center" vertical="center"/>
    </xf>
    <xf numFmtId="233" fontId="142" fillId="0" borderId="27" xfId="1003" applyNumberFormat="1" applyFont="1" applyFill="1" applyBorder="1" applyAlignment="1">
      <alignment vertical="center"/>
    </xf>
    <xf numFmtId="41" fontId="142" fillId="0" borderId="27" xfId="1003" applyFont="1" applyFill="1" applyBorder="1" applyAlignment="1">
      <alignment horizontal="left" vertical="center"/>
    </xf>
    <xf numFmtId="0" fontId="142" fillId="0" borderId="0" xfId="2096" applyFont="1" applyAlignment="1">
      <alignment vertical="center"/>
    </xf>
    <xf numFmtId="210" fontId="142" fillId="0" borderId="27" xfId="1388" applyNumberFormat="1" applyFont="1" applyFill="1" applyBorder="1" applyAlignment="1">
      <alignment horizontal="left" vertical="center"/>
    </xf>
    <xf numFmtId="209" fontId="142" fillId="0" borderId="27" xfId="1388" applyNumberFormat="1" applyFont="1" applyFill="1" applyBorder="1" applyAlignment="1">
      <alignment horizontal="right" vertical="center"/>
    </xf>
    <xf numFmtId="0" fontId="142" fillId="0" borderId="27" xfId="2095" applyFont="1" applyBorder="1" applyAlignment="1">
      <alignment horizontal="center" vertical="center"/>
    </xf>
    <xf numFmtId="211" fontId="142" fillId="0" borderId="26" xfId="1388" applyNumberFormat="1" applyFont="1" applyBorder="1" applyAlignment="1">
      <alignment horizontal="center" vertical="center"/>
    </xf>
    <xf numFmtId="0" fontId="142" fillId="27" borderId="57" xfId="2095" applyFont="1" applyFill="1" applyBorder="1" applyAlignment="1">
      <alignment vertical="center"/>
    </xf>
    <xf numFmtId="0" fontId="142" fillId="28" borderId="57" xfId="2095" applyFont="1" applyFill="1" applyBorder="1" applyAlignment="1">
      <alignment horizontal="center" vertical="center"/>
    </xf>
    <xf numFmtId="0" fontId="142" fillId="28" borderId="58" xfId="2095" applyFont="1" applyFill="1" applyBorder="1" applyAlignment="1">
      <alignment horizontal="center" vertical="center"/>
    </xf>
    <xf numFmtId="0" fontId="142" fillId="27" borderId="59" xfId="2095" applyFont="1" applyFill="1" applyBorder="1" applyAlignment="1">
      <alignment horizontal="center" vertical="center"/>
    </xf>
    <xf numFmtId="0" fontId="142" fillId="0" borderId="60" xfId="2095" applyFont="1" applyBorder="1" applyAlignment="1">
      <alignment horizontal="center" vertical="center"/>
    </xf>
    <xf numFmtId="209" fontId="142" fillId="0" borderId="28" xfId="1388" applyNumberFormat="1" applyFont="1" applyBorder="1" applyAlignment="1">
      <alignment vertical="center"/>
    </xf>
    <xf numFmtId="209" fontId="142" fillId="0" borderId="29" xfId="1388" applyNumberFormat="1" applyFont="1" applyBorder="1" applyAlignment="1">
      <alignment vertical="center"/>
    </xf>
    <xf numFmtId="193" fontId="142" fillId="0" borderId="29" xfId="1388" applyFont="1" applyBorder="1" applyAlignment="1">
      <alignment horizontal="left" vertical="center"/>
    </xf>
    <xf numFmtId="211" fontId="142" fillId="0" borderId="28" xfId="2095" applyNumberFormat="1" applyFont="1" applyBorder="1" applyAlignment="1">
      <alignment vertical="center"/>
    </xf>
    <xf numFmtId="193" fontId="142" fillId="0" borderId="30" xfId="1388" applyFont="1" applyBorder="1" applyAlignment="1">
      <alignment horizontal="center" vertical="center"/>
    </xf>
    <xf numFmtId="0" fontId="142" fillId="0" borderId="61" xfId="2095" applyFont="1" applyBorder="1" applyAlignment="1">
      <alignment vertical="center"/>
    </xf>
    <xf numFmtId="0" fontId="142" fillId="0" borderId="62" xfId="2095" applyFont="1" applyBorder="1" applyAlignment="1">
      <alignment horizontal="center" vertical="center"/>
    </xf>
    <xf numFmtId="0" fontId="142" fillId="0" borderId="63" xfId="2095" applyFont="1" applyBorder="1" applyAlignment="1">
      <alignment horizontal="center" vertical="center"/>
    </xf>
    <xf numFmtId="0" fontId="142" fillId="0" borderId="61" xfId="2095" applyFont="1" applyBorder="1" applyAlignment="1">
      <alignment horizontal="center" vertical="center"/>
    </xf>
    <xf numFmtId="209" fontId="142" fillId="0" borderId="26" xfId="1388" applyNumberFormat="1" applyFont="1" applyBorder="1" applyAlignment="1">
      <alignment horizontal="right" vertical="center"/>
    </xf>
    <xf numFmtId="209" fontId="142" fillId="0" borderId="27" xfId="1388" applyNumberFormat="1" applyFont="1" applyBorder="1" applyAlignment="1">
      <alignment horizontal="right" vertical="center"/>
    </xf>
    <xf numFmtId="209" fontId="142" fillId="0" borderId="27" xfId="1388" applyNumberFormat="1" applyFont="1" applyBorder="1" applyAlignment="1">
      <alignment horizontal="center" vertical="center"/>
    </xf>
    <xf numFmtId="211" fontId="142" fillId="0" borderId="27" xfId="1388" applyNumberFormat="1" applyFont="1" applyBorder="1" applyAlignment="1">
      <alignment horizontal="right" vertical="center"/>
    </xf>
    <xf numFmtId="211" fontId="142" fillId="0" borderId="27" xfId="1388" applyNumberFormat="1" applyFont="1" applyBorder="1" applyAlignment="1">
      <alignment vertical="center"/>
    </xf>
    <xf numFmtId="184" fontId="142" fillId="0" borderId="64" xfId="2095" applyNumberFormat="1" applyFont="1" applyBorder="1" applyAlignment="1">
      <alignment vertical="center"/>
    </xf>
    <xf numFmtId="184" fontId="142" fillId="0" borderId="64" xfId="2095" applyNumberFormat="1" applyFont="1" applyBorder="1" applyAlignment="1">
      <alignment horizontal="center" vertical="center"/>
    </xf>
    <xf numFmtId="0" fontId="142" fillId="0" borderId="0" xfId="2085" applyFont="1"/>
    <xf numFmtId="193" fontId="142" fillId="0" borderId="29" xfId="1388" applyFont="1" applyBorder="1" applyAlignment="1">
      <alignment horizontal="centerContinuous" vertical="center"/>
    </xf>
    <xf numFmtId="0" fontId="142" fillId="0" borderId="29" xfId="2095" applyFont="1" applyBorder="1" applyAlignment="1">
      <alignment horizontal="centerContinuous" vertical="center"/>
    </xf>
    <xf numFmtId="0" fontId="142" fillId="0" borderId="3" xfId="2095" applyFont="1" applyBorder="1" applyAlignment="1">
      <alignment horizontal="right" vertical="center"/>
    </xf>
    <xf numFmtId="0" fontId="142" fillId="0" borderId="65" xfId="2095" applyFont="1" applyBorder="1" applyAlignment="1">
      <alignment vertical="center"/>
    </xf>
    <xf numFmtId="0" fontId="142" fillId="0" borderId="65" xfId="2095" applyFont="1" applyBorder="1" applyAlignment="1">
      <alignment horizontal="center" vertical="center"/>
    </xf>
    <xf numFmtId="0" fontId="142" fillId="0" borderId="0" xfId="2095" applyFont="1" applyAlignment="1">
      <alignment horizontal="right" vertical="center"/>
    </xf>
    <xf numFmtId="0" fontId="142" fillId="0" borderId="26" xfId="2095" applyFont="1" applyBorder="1" applyAlignment="1">
      <alignment horizontal="left"/>
    </xf>
    <xf numFmtId="0" fontId="142" fillId="0" borderId="27" xfId="2095" applyFont="1" applyBorder="1"/>
    <xf numFmtId="210" fontId="142" fillId="0" borderId="26" xfId="1388" applyNumberFormat="1" applyFont="1" applyBorder="1" applyAlignment="1">
      <alignment horizontal="center" vertical="center"/>
    </xf>
    <xf numFmtId="0" fontId="142" fillId="0" borderId="12" xfId="2095" applyFont="1" applyBorder="1" applyAlignment="1">
      <alignment horizontal="center" vertical="center"/>
    </xf>
    <xf numFmtId="209" fontId="142" fillId="0" borderId="0" xfId="1388" applyNumberFormat="1" applyFont="1" applyBorder="1" applyAlignment="1">
      <alignment horizontal="left" vertical="center"/>
    </xf>
    <xf numFmtId="0" fontId="142" fillId="0" borderId="0" xfId="2095" applyFont="1"/>
    <xf numFmtId="0" fontId="142" fillId="0" borderId="28" xfId="2096" applyFont="1" applyBorder="1"/>
    <xf numFmtId="0" fontId="142" fillId="0" borderId="30" xfId="2096" applyFont="1" applyBorder="1" applyAlignment="1">
      <alignment horizontal="center"/>
    </xf>
    <xf numFmtId="184" fontId="142" fillId="0" borderId="46" xfId="2095" applyNumberFormat="1" applyFont="1" applyBorder="1" applyAlignment="1">
      <alignment horizontal="center" vertical="center"/>
    </xf>
    <xf numFmtId="0" fontId="142" fillId="0" borderId="47" xfId="2096" applyFont="1" applyBorder="1"/>
    <xf numFmtId="209" fontId="142" fillId="0" borderId="26" xfId="1388" applyNumberFormat="1" applyFont="1" applyBorder="1" applyAlignment="1">
      <alignment horizontal="left" vertical="center"/>
    </xf>
    <xf numFmtId="209" fontId="142" fillId="0" borderId="27" xfId="1388" applyNumberFormat="1" applyFont="1" applyBorder="1" applyAlignment="1">
      <alignment horizontal="left" vertical="center"/>
    </xf>
    <xf numFmtId="193" fontId="142" fillId="0" borderId="27" xfId="1388" applyFont="1" applyBorder="1" applyAlignment="1">
      <alignment horizontal="centerContinuous" vertical="center"/>
    </xf>
    <xf numFmtId="0" fontId="142" fillId="0" borderId="27" xfId="2095" applyFont="1" applyBorder="1" applyAlignment="1">
      <alignment horizontal="centerContinuous" vertical="center"/>
    </xf>
    <xf numFmtId="203" fontId="142" fillId="0" borderId="26" xfId="2095" applyNumberFormat="1" applyFont="1" applyBorder="1" applyAlignment="1">
      <alignment horizontal="right" vertical="center"/>
    </xf>
    <xf numFmtId="193" fontId="142" fillId="0" borderId="26" xfId="1388" applyFont="1" applyBorder="1" applyAlignment="1">
      <alignment horizontal="center" vertical="center"/>
    </xf>
    <xf numFmtId="184" fontId="142" fillId="0" borderId="45" xfId="2095" applyNumberFormat="1" applyFont="1" applyBorder="1" applyAlignment="1">
      <alignment vertical="center"/>
    </xf>
    <xf numFmtId="184" fontId="142" fillId="0" borderId="47" xfId="2095" applyNumberFormat="1" applyFont="1" applyBorder="1" applyAlignment="1">
      <alignment horizontal="center" vertical="center"/>
    </xf>
    <xf numFmtId="0" fontId="155" fillId="0" borderId="29" xfId="2095" applyFont="1" applyBorder="1" applyAlignment="1">
      <alignment horizontal="left"/>
    </xf>
    <xf numFmtId="0" fontId="155" fillId="0" borderId="29" xfId="2095" applyFont="1" applyBorder="1"/>
    <xf numFmtId="210" fontId="155" fillId="0" borderId="29" xfId="0" applyNumberFormat="1" applyFont="1" applyBorder="1" applyAlignment="1">
      <alignment horizontal="center" vertical="center"/>
    </xf>
    <xf numFmtId="0" fontId="155" fillId="0" borderId="28" xfId="0" applyFont="1" applyBorder="1" applyAlignment="1">
      <alignment horizontal="center" vertical="center"/>
    </xf>
    <xf numFmtId="0" fontId="155" fillId="0" borderId="30" xfId="2095" applyFont="1" applyBorder="1" applyAlignment="1">
      <alignment horizontal="left" vertical="center" wrapText="1" shrinkToFit="1"/>
    </xf>
    <xf numFmtId="0" fontId="155" fillId="0" borderId="26" xfId="0" applyFont="1" applyBorder="1" applyAlignment="1">
      <alignment horizontal="center" vertical="center" wrapText="1" shrinkToFit="1"/>
    </xf>
    <xf numFmtId="0" fontId="155" fillId="0" borderId="27" xfId="0" applyFont="1" applyBorder="1" applyAlignment="1">
      <alignment horizontal="center" vertical="center" wrapText="1" shrinkToFit="1"/>
    </xf>
    <xf numFmtId="0" fontId="155" fillId="0" borderId="27" xfId="0" applyFont="1" applyBorder="1" applyAlignment="1">
      <alignment horizontal="center" vertical="center"/>
    </xf>
    <xf numFmtId="0" fontId="142" fillId="0" borderId="28" xfId="2095" applyFont="1" applyBorder="1" applyAlignment="1">
      <alignment horizontal="left"/>
    </xf>
    <xf numFmtId="209" fontId="142" fillId="0" borderId="29" xfId="1388" applyNumberFormat="1" applyFont="1" applyBorder="1" applyAlignment="1">
      <alignment horizontal="center" vertical="center" wrapText="1" shrinkToFit="1"/>
    </xf>
    <xf numFmtId="0" fontId="142" fillId="0" borderId="26" xfId="2095" applyFont="1" applyBorder="1" applyAlignment="1">
      <alignment horizontal="center" vertical="center"/>
    </xf>
    <xf numFmtId="0" fontId="142" fillId="0" borderId="27" xfId="2095" applyFont="1" applyBorder="1" applyAlignment="1">
      <alignment vertical="center"/>
    </xf>
    <xf numFmtId="193" fontId="142" fillId="0" borderId="27" xfId="1388" applyFont="1" applyFill="1" applyBorder="1" applyAlignment="1">
      <alignment horizontal="center" vertical="center"/>
    </xf>
    <xf numFmtId="0" fontId="142" fillId="0" borderId="27" xfId="2085" applyFont="1" applyBorder="1"/>
    <xf numFmtId="207" fontId="142" fillId="0" borderId="27" xfId="1003" applyNumberFormat="1" applyFont="1" applyFill="1" applyBorder="1" applyAlignment="1">
      <alignment vertical="center"/>
    </xf>
    <xf numFmtId="0" fontId="142" fillId="0" borderId="0" xfId="2096" applyFont="1" applyAlignment="1">
      <alignment horizontal="center"/>
    </xf>
    <xf numFmtId="0" fontId="141" fillId="0" borderId="0" xfId="0" applyFont="1" applyAlignment="1">
      <alignment horizontal="center" vertical="center"/>
    </xf>
    <xf numFmtId="0" fontId="148" fillId="0" borderId="0" xfId="2094" applyFont="1">
      <alignment vertical="center"/>
    </xf>
    <xf numFmtId="0" fontId="154" fillId="0" borderId="0" xfId="0" applyFont="1" applyAlignment="1">
      <alignment horizontal="right" vertical="center" shrinkToFit="1"/>
    </xf>
    <xf numFmtId="0" fontId="148" fillId="0" borderId="0" xfId="2094" applyFont="1" applyAlignment="1">
      <alignment vertical="center" shrinkToFit="1"/>
    </xf>
    <xf numFmtId="217" fontId="147" fillId="0" borderId="0" xfId="2094" applyNumberFormat="1" applyFont="1" applyAlignment="1">
      <alignment horizontal="left" vertical="center"/>
    </xf>
    <xf numFmtId="217" fontId="148" fillId="0" borderId="0" xfId="2094" applyNumberFormat="1" applyFont="1" applyAlignment="1">
      <alignment horizontal="center" vertical="center"/>
    </xf>
    <xf numFmtId="217" fontId="148" fillId="0" borderId="0" xfId="2094" applyNumberFormat="1" applyFont="1">
      <alignment vertical="center"/>
    </xf>
    <xf numFmtId="0" fontId="148" fillId="0" borderId="0" xfId="2094" applyFont="1" applyAlignment="1">
      <alignment horizontal="center" vertical="center"/>
    </xf>
    <xf numFmtId="41" fontId="148" fillId="0" borderId="0" xfId="1003" applyFont="1" applyFill="1" applyBorder="1" applyAlignment="1">
      <alignment vertical="center"/>
    </xf>
    <xf numFmtId="41" fontId="148" fillId="0" borderId="0" xfId="1003" applyFont="1" applyFill="1" applyBorder="1" applyAlignment="1">
      <alignment vertical="center" shrinkToFit="1"/>
    </xf>
    <xf numFmtId="217" fontId="156" fillId="0" borderId="0" xfId="2094" applyNumberFormat="1" applyFont="1" applyAlignment="1">
      <alignment horizontal="center" vertical="center" shrinkToFit="1"/>
    </xf>
    <xf numFmtId="9" fontId="148" fillId="0" borderId="0" xfId="2094" applyNumberFormat="1" applyFont="1">
      <alignment vertical="center"/>
    </xf>
    <xf numFmtId="180" fontId="142" fillId="0" borderId="0" xfId="2094" applyNumberFormat="1" applyFont="1" applyAlignment="1">
      <alignment horizontal="center" vertical="center"/>
    </xf>
    <xf numFmtId="180" fontId="142" fillId="0" borderId="0" xfId="2094" applyNumberFormat="1" applyFont="1">
      <alignment vertical="center"/>
    </xf>
    <xf numFmtId="41" fontId="148" fillId="0" borderId="0" xfId="1003" applyFont="1" applyFill="1" applyBorder="1" applyAlignment="1"/>
    <xf numFmtId="0" fontId="156" fillId="0" borderId="0" xfId="2094" applyFont="1" applyAlignment="1">
      <alignment horizontal="center" shrinkToFit="1"/>
    </xf>
    <xf numFmtId="0" fontId="141" fillId="0" borderId="0" xfId="0" applyFont="1" applyAlignment="1">
      <alignment horizontal="left" vertical="center"/>
    </xf>
    <xf numFmtId="0" fontId="162" fillId="0" borderId="0" xfId="0" applyFont="1" applyAlignment="1">
      <alignment horizontal="center" vertical="center"/>
    </xf>
    <xf numFmtId="0" fontId="151" fillId="0" borderId="0" xfId="0" applyFont="1" applyAlignment="1">
      <alignment horizontal="center" vertical="center"/>
    </xf>
    <xf numFmtId="41" fontId="141" fillId="0" borderId="0" xfId="1003" applyFont="1" applyFill="1" applyAlignment="1">
      <alignment horizontal="center" vertical="center"/>
    </xf>
    <xf numFmtId="41" fontId="151" fillId="0" borderId="0" xfId="0" applyNumberFormat="1" applyFont="1" applyAlignment="1">
      <alignment horizontal="center" vertical="center"/>
    </xf>
    <xf numFmtId="0" fontId="142" fillId="0" borderId="0" xfId="0" applyFont="1" applyAlignment="1">
      <alignment horizontal="center" vertical="center"/>
    </xf>
    <xf numFmtId="0" fontId="148" fillId="0" borderId="0" xfId="2093" applyFont="1"/>
    <xf numFmtId="0" fontId="148" fillId="0" borderId="0" xfId="0" applyFont="1" applyAlignment="1">
      <alignment horizontal="left" vertical="center"/>
    </xf>
    <xf numFmtId="0" fontId="148" fillId="0" borderId="0" xfId="0" applyFont="1" applyAlignment="1">
      <alignment horizontal="center" vertical="center"/>
    </xf>
    <xf numFmtId="41" fontId="105" fillId="0" borderId="0" xfId="1003" applyFont="1" applyFill="1" applyAlignment="1">
      <alignment vertical="center"/>
    </xf>
    <xf numFmtId="0" fontId="149" fillId="0" borderId="0" xfId="2093" applyFont="1"/>
    <xf numFmtId="0" fontId="142" fillId="29" borderId="7" xfId="2087" applyFont="1" applyFill="1" applyBorder="1"/>
    <xf numFmtId="3" fontId="143" fillId="29" borderId="7" xfId="2087" applyNumberFormat="1" applyFont="1" applyFill="1" applyBorder="1" applyAlignment="1">
      <alignment horizontal="left" vertical="center"/>
    </xf>
    <xf numFmtId="0" fontId="142" fillId="29" borderId="7" xfId="2090" applyFont="1" applyFill="1" applyBorder="1" applyAlignment="1">
      <alignment vertical="center"/>
    </xf>
    <xf numFmtId="0" fontId="143" fillId="29" borderId="7" xfId="2087" applyFont="1" applyFill="1" applyBorder="1" applyAlignment="1">
      <alignment vertical="center"/>
    </xf>
    <xf numFmtId="0" fontId="143" fillId="29" borderId="7" xfId="2087" applyFont="1" applyFill="1" applyBorder="1" applyAlignment="1">
      <alignment horizontal="centerContinuous" vertical="center"/>
    </xf>
    <xf numFmtId="0" fontId="142" fillId="29" borderId="7" xfId="2087" applyFont="1" applyFill="1" applyBorder="1" applyAlignment="1">
      <alignment horizontal="centerContinuous"/>
    </xf>
    <xf numFmtId="0" fontId="143" fillId="29" borderId="7" xfId="2087" applyFont="1" applyFill="1" applyBorder="1" applyAlignment="1">
      <alignment horizontal="center" vertical="center"/>
    </xf>
    <xf numFmtId="3" fontId="142" fillId="29" borderId="7" xfId="2087" applyNumberFormat="1" applyFont="1" applyFill="1" applyBorder="1" applyAlignment="1">
      <alignment horizontal="centerContinuous" vertical="center"/>
    </xf>
    <xf numFmtId="0" fontId="142" fillId="29" borderId="7" xfId="2087" applyFont="1" applyFill="1" applyBorder="1" applyAlignment="1">
      <alignment vertical="center"/>
    </xf>
    <xf numFmtId="0" fontId="142" fillId="29" borderId="37" xfId="2087" applyFont="1" applyFill="1" applyBorder="1"/>
    <xf numFmtId="3" fontId="107" fillId="29" borderId="7" xfId="2087" applyNumberFormat="1" applyFont="1" applyFill="1" applyBorder="1" applyAlignment="1">
      <alignment horizontal="left" vertical="center"/>
    </xf>
    <xf numFmtId="0" fontId="142" fillId="29" borderId="2" xfId="2091" applyFont="1" applyFill="1" applyBorder="1" applyAlignment="1">
      <alignment horizontal="centerContinuous" vertical="center"/>
    </xf>
    <xf numFmtId="0" fontId="143" fillId="29" borderId="2" xfId="2091" applyFont="1" applyFill="1" applyBorder="1" applyAlignment="1">
      <alignment horizontal="centerContinuous" vertical="center"/>
    </xf>
    <xf numFmtId="3" fontId="148" fillId="29" borderId="0" xfId="2098" applyNumberFormat="1" applyFont="1" applyFill="1" applyAlignment="1">
      <alignment vertical="center"/>
    </xf>
    <xf numFmtId="0" fontId="143" fillId="29" borderId="36" xfId="2095" applyFont="1" applyFill="1" applyBorder="1" applyAlignment="1">
      <alignment vertical="center" shrinkToFit="1"/>
    </xf>
    <xf numFmtId="0" fontId="142" fillId="0" borderId="0" xfId="2095" applyFont="1" applyAlignment="1">
      <alignment horizontal="center" vertical="center"/>
    </xf>
    <xf numFmtId="0" fontId="142" fillId="28" borderId="53" xfId="2095" applyFont="1" applyFill="1" applyBorder="1" applyAlignment="1">
      <alignment horizontal="center" vertical="center"/>
    </xf>
    <xf numFmtId="0" fontId="105" fillId="0" borderId="0" xfId="0" applyFont="1" applyAlignment="1">
      <alignment horizontal="center" vertical="center" shrinkToFit="1"/>
    </xf>
    <xf numFmtId="0" fontId="143" fillId="29" borderId="66" xfId="0" applyFont="1" applyFill="1" applyBorder="1" applyAlignment="1">
      <alignment horizontal="center" vertical="center"/>
    </xf>
    <xf numFmtId="0" fontId="143" fillId="29" borderId="67" xfId="0" applyFont="1" applyFill="1" applyBorder="1" applyAlignment="1">
      <alignment horizontal="center" vertical="center"/>
    </xf>
    <xf numFmtId="41" fontId="143" fillId="29" borderId="67" xfId="1003" applyFont="1" applyFill="1" applyBorder="1" applyAlignment="1">
      <alignment horizontal="center" vertical="center"/>
    </xf>
    <xf numFmtId="0" fontId="143" fillId="29" borderId="68" xfId="0" applyFont="1" applyFill="1" applyBorder="1" applyAlignment="1">
      <alignment horizontal="center" vertical="center"/>
    </xf>
    <xf numFmtId="0" fontId="115" fillId="0" borderId="0" xfId="0" applyFont="1" applyAlignment="1">
      <alignment horizontal="center" vertical="center"/>
    </xf>
    <xf numFmtId="41" fontId="170" fillId="0" borderId="0" xfId="0" applyNumberFormat="1" applyFont="1" applyAlignment="1">
      <alignment horizontal="center" vertical="center"/>
    </xf>
    <xf numFmtId="41" fontId="169" fillId="0" borderId="0" xfId="0" applyNumberFormat="1" applyFont="1" applyAlignment="1">
      <alignment horizontal="center" vertical="center"/>
    </xf>
    <xf numFmtId="0" fontId="105" fillId="0" borderId="0" xfId="2087" quotePrefix="1" applyFont="1" applyAlignment="1">
      <alignment horizontal="left" vertical="center"/>
    </xf>
    <xf numFmtId="0" fontId="105" fillId="0" borderId="28" xfId="1388" applyNumberFormat="1" applyFont="1" applyBorder="1" applyAlignment="1">
      <alignment horizontal="left" vertical="center"/>
    </xf>
    <xf numFmtId="0" fontId="107" fillId="29" borderId="36" xfId="2095" applyFont="1" applyFill="1" applyBorder="1" applyAlignment="1">
      <alignment vertical="center" shrinkToFit="1"/>
    </xf>
    <xf numFmtId="209" fontId="105" fillId="0" borderId="28" xfId="1388" applyNumberFormat="1" applyFont="1" applyBorder="1" applyAlignment="1">
      <alignment vertical="center"/>
    </xf>
    <xf numFmtId="209" fontId="105" fillId="0" borderId="0" xfId="1388" applyNumberFormat="1" applyFont="1" applyBorder="1" applyAlignment="1">
      <alignment horizontal="left" vertical="center"/>
    </xf>
    <xf numFmtId="0" fontId="139" fillId="0" borderId="0" xfId="2094" applyFont="1" applyAlignment="1">
      <alignment horizontal="right" vertical="center"/>
    </xf>
    <xf numFmtId="0" fontId="139" fillId="0" borderId="0" xfId="2094" applyFont="1" applyAlignment="1">
      <alignment horizontal="center" vertical="center"/>
    </xf>
    <xf numFmtId="0" fontId="139" fillId="0" borderId="0" xfId="2094" applyFont="1">
      <alignment vertical="center"/>
    </xf>
    <xf numFmtId="0" fontId="141" fillId="0" borderId="0" xfId="0" applyFont="1" applyAlignment="1">
      <alignment horizontal="center" vertical="center" shrinkToFit="1"/>
    </xf>
    <xf numFmtId="0" fontId="105" fillId="0" borderId="0" xfId="0" applyFont="1" applyAlignment="1">
      <alignment horizontal="right" vertical="center" shrinkToFit="1"/>
    </xf>
    <xf numFmtId="209" fontId="105" fillId="0" borderId="28" xfId="1388" applyNumberFormat="1" applyFont="1" applyBorder="1" applyAlignment="1">
      <alignment horizontal="left" vertical="center"/>
    </xf>
    <xf numFmtId="3" fontId="139" fillId="0" borderId="0" xfId="2098" applyNumberFormat="1" applyFont="1" applyAlignment="1">
      <alignment vertical="center"/>
    </xf>
    <xf numFmtId="3" fontId="147" fillId="31" borderId="0" xfId="2087" applyNumberFormat="1" applyFont="1" applyFill="1" applyAlignment="1">
      <alignment horizontal="left" vertical="center"/>
    </xf>
    <xf numFmtId="3" fontId="148" fillId="31" borderId="0" xfId="2098" applyNumberFormat="1" applyFont="1" applyFill="1" applyAlignment="1">
      <alignment vertical="center"/>
    </xf>
    <xf numFmtId="3" fontId="147" fillId="31" borderId="0" xfId="2087" applyNumberFormat="1" applyFont="1" applyFill="1" applyAlignment="1">
      <alignment vertical="center"/>
    </xf>
    <xf numFmtId="0" fontId="143" fillId="29" borderId="67" xfId="0" applyFont="1" applyFill="1" applyBorder="1" applyAlignment="1">
      <alignment horizontal="center" vertical="center" shrinkToFit="1"/>
    </xf>
    <xf numFmtId="217" fontId="147" fillId="0" borderId="0" xfId="2094" applyNumberFormat="1" applyFont="1" applyAlignment="1">
      <alignment horizontal="left" vertical="center" shrinkToFit="1"/>
    </xf>
    <xf numFmtId="41" fontId="148" fillId="0" borderId="0" xfId="1003" applyFont="1" applyFill="1" applyBorder="1" applyAlignment="1">
      <alignment shrinkToFit="1"/>
    </xf>
    <xf numFmtId="0" fontId="152" fillId="0" borderId="0" xfId="0" applyFont="1" applyAlignment="1">
      <alignment horizontal="center" vertical="center"/>
    </xf>
    <xf numFmtId="0" fontId="105" fillId="0" borderId="28" xfId="2095" applyFont="1" applyBorder="1" applyAlignment="1">
      <alignment horizontal="left"/>
    </xf>
    <xf numFmtId="0" fontId="105" fillId="0" borderId="0" xfId="2087" applyFont="1" applyAlignment="1">
      <alignment horizontal="left" vertical="center"/>
    </xf>
    <xf numFmtId="3" fontId="152" fillId="0" borderId="0" xfId="1009" applyNumberFormat="1" applyFont="1" applyFill="1" applyAlignment="1">
      <alignment horizontal="left" vertical="center"/>
    </xf>
    <xf numFmtId="41" fontId="142" fillId="0" borderId="0" xfId="1003" applyFont="1" applyFill="1" applyBorder="1" applyAlignment="1">
      <alignment vertical="center"/>
    </xf>
    <xf numFmtId="41" fontId="142" fillId="0" borderId="0" xfId="2091" applyNumberFormat="1" applyFont="1" applyAlignment="1">
      <alignment vertical="center"/>
    </xf>
    <xf numFmtId="0" fontId="158" fillId="0" borderId="3" xfId="2091" applyFont="1" applyBorder="1" applyAlignment="1">
      <alignment vertical="center"/>
    </xf>
    <xf numFmtId="0" fontId="161" fillId="0" borderId="0" xfId="2091" applyFont="1" applyAlignment="1">
      <alignment vertical="center"/>
    </xf>
    <xf numFmtId="0" fontId="158" fillId="0" borderId="0" xfId="2091" applyFont="1" applyAlignment="1">
      <alignment vertical="center"/>
    </xf>
    <xf numFmtId="0" fontId="158" fillId="0" borderId="34" xfId="2091" applyFont="1" applyBorder="1" applyAlignment="1">
      <alignment vertical="center"/>
    </xf>
    <xf numFmtId="41" fontId="176" fillId="0" borderId="34" xfId="1009" applyFont="1" applyFill="1" applyBorder="1" applyAlignment="1">
      <alignment vertical="center"/>
    </xf>
    <xf numFmtId="0" fontId="158" fillId="0" borderId="0" xfId="2091" applyFont="1" applyAlignment="1">
      <alignment vertical="center" shrinkToFit="1"/>
    </xf>
    <xf numFmtId="0" fontId="158" fillId="0" borderId="0" xfId="2091" quotePrefix="1" applyFont="1" applyAlignment="1">
      <alignment vertical="center"/>
    </xf>
    <xf numFmtId="0" fontId="158" fillId="0" borderId="0" xfId="2091" applyFont="1" applyAlignment="1">
      <alignment horizontal="centerContinuous" vertical="center"/>
    </xf>
    <xf numFmtId="0" fontId="158" fillId="0" borderId="0" xfId="2091" applyFont="1" applyAlignment="1">
      <alignment horizontal="centerContinuous" vertical="center" shrinkToFit="1"/>
    </xf>
    <xf numFmtId="3" fontId="158" fillId="0" borderId="34" xfId="2091" applyNumberFormat="1" applyFont="1" applyBorder="1" applyAlignment="1">
      <alignment vertical="center"/>
    </xf>
    <xf numFmtId="3" fontId="158" fillId="0" borderId="0" xfId="2091" applyNumberFormat="1" applyFont="1" applyAlignment="1">
      <alignment horizontal="centerContinuous" vertical="center" shrinkToFit="1"/>
    </xf>
    <xf numFmtId="178" fontId="158" fillId="0" borderId="0" xfId="2091" applyNumberFormat="1" applyFont="1" applyAlignment="1">
      <alignment horizontal="centerContinuous" vertical="center" shrinkToFit="1"/>
    </xf>
    <xf numFmtId="3" fontId="158" fillId="0" borderId="0" xfId="1009" applyNumberFormat="1" applyFont="1" applyFill="1" applyBorder="1" applyAlignment="1">
      <alignment vertical="center"/>
    </xf>
    <xf numFmtId="3" fontId="158" fillId="0" borderId="40" xfId="2091" applyNumberFormat="1" applyFont="1" applyBorder="1" applyAlignment="1">
      <alignment vertical="center"/>
    </xf>
    <xf numFmtId="0" fontId="158" fillId="0" borderId="43" xfId="2091" applyFont="1" applyBorder="1" applyAlignment="1">
      <alignment vertical="center"/>
    </xf>
    <xf numFmtId="0" fontId="158" fillId="0" borderId="43" xfId="2091" applyFont="1" applyBorder="1" applyAlignment="1">
      <alignment horizontal="centerContinuous" vertical="center" shrinkToFit="1"/>
    </xf>
    <xf numFmtId="20" fontId="158" fillId="0" borderId="0" xfId="2091" applyNumberFormat="1" applyFont="1" applyAlignment="1">
      <alignment vertical="center"/>
    </xf>
    <xf numFmtId="0" fontId="158" fillId="0" borderId="0" xfId="2091" quotePrefix="1" applyFont="1" applyAlignment="1">
      <alignment horizontal="centerContinuous" vertical="center"/>
    </xf>
    <xf numFmtId="240" fontId="158" fillId="0" borderId="0" xfId="2091" applyNumberFormat="1" applyFont="1" applyAlignment="1">
      <alignment horizontal="centerContinuous" vertical="center" shrinkToFit="1"/>
    </xf>
    <xf numFmtId="239" fontId="158" fillId="0" borderId="34" xfId="2091" applyNumberFormat="1" applyFont="1" applyBorder="1" applyAlignment="1">
      <alignment vertical="center"/>
    </xf>
    <xf numFmtId="0" fontId="158" fillId="0" borderId="26" xfId="2091" applyFont="1" applyBorder="1" applyAlignment="1">
      <alignment vertical="center"/>
    </xf>
    <xf numFmtId="0" fontId="158" fillId="0" borderId="27" xfId="2091" applyFont="1" applyBorder="1" applyAlignment="1">
      <alignment vertical="center"/>
    </xf>
    <xf numFmtId="3" fontId="158" fillId="0" borderId="27" xfId="1009" applyNumberFormat="1" applyFont="1" applyFill="1" applyBorder="1" applyAlignment="1">
      <alignment vertical="center"/>
    </xf>
    <xf numFmtId="0" fontId="158" fillId="0" borderId="27" xfId="2091" quotePrefix="1" applyFont="1" applyBorder="1" applyAlignment="1">
      <alignment vertical="center"/>
    </xf>
    <xf numFmtId="3" fontId="158" fillId="0" borderId="42" xfId="2091" applyNumberFormat="1" applyFont="1" applyBorder="1" applyAlignment="1">
      <alignment vertical="center"/>
    </xf>
    <xf numFmtId="0" fontId="176" fillId="0" borderId="0" xfId="2091" applyFont="1" applyAlignment="1">
      <alignment horizontal="centerContinuous" vertical="center" shrinkToFit="1"/>
    </xf>
    <xf numFmtId="41" fontId="176" fillId="0" borderId="0" xfId="2091" applyNumberFormat="1" applyFont="1" applyAlignment="1">
      <alignment horizontal="centerContinuous" vertical="center" shrinkToFit="1"/>
    </xf>
    <xf numFmtId="0" fontId="176" fillId="0" borderId="0" xfId="2091" applyFont="1" applyAlignment="1">
      <alignment horizontal="centerContinuous" vertical="center"/>
    </xf>
    <xf numFmtId="0" fontId="158" fillId="0" borderId="31" xfId="2091" applyFont="1" applyBorder="1" applyAlignment="1">
      <alignment vertical="center"/>
    </xf>
    <xf numFmtId="3" fontId="158" fillId="0" borderId="31" xfId="1009" applyNumberFormat="1" applyFont="1" applyFill="1" applyBorder="1" applyAlignment="1">
      <alignment vertical="center"/>
    </xf>
    <xf numFmtId="0" fontId="158" fillId="0" borderId="31" xfId="2091" quotePrefix="1" applyFont="1" applyBorder="1" applyAlignment="1">
      <alignment vertical="center"/>
    </xf>
    <xf numFmtId="3" fontId="158" fillId="0" borderId="41" xfId="2091" applyNumberFormat="1" applyFont="1" applyBorder="1" applyAlignment="1">
      <alignment vertical="center"/>
    </xf>
    <xf numFmtId="0" fontId="158" fillId="0" borderId="42" xfId="2091" applyFont="1" applyBorder="1" applyAlignment="1">
      <alignment vertical="center"/>
    </xf>
    <xf numFmtId="0" fontId="179" fillId="0" borderId="0" xfId="2091" applyFont="1" applyAlignment="1">
      <alignment vertical="center"/>
    </xf>
    <xf numFmtId="0" fontId="178" fillId="0" borderId="0" xfId="2091" applyFont="1" applyAlignment="1">
      <alignment vertical="center"/>
    </xf>
    <xf numFmtId="0" fontId="158" fillId="0" borderId="0" xfId="2091" quotePrefix="1" applyFont="1" applyAlignment="1">
      <alignment horizontal="centerContinuous" vertical="center" shrinkToFit="1"/>
    </xf>
    <xf numFmtId="3" fontId="176" fillId="0" borderId="0" xfId="2091" applyNumberFormat="1" applyFont="1" applyAlignment="1">
      <alignment horizontal="centerContinuous" vertical="center" shrinkToFit="1"/>
    </xf>
    <xf numFmtId="0" fontId="158" fillId="0" borderId="44" xfId="2091" applyFont="1" applyBorder="1" applyAlignment="1">
      <alignment vertical="center"/>
    </xf>
    <xf numFmtId="0" fontId="107" fillId="0" borderId="0" xfId="2091" applyFont="1" applyAlignment="1">
      <alignment vertical="center"/>
    </xf>
    <xf numFmtId="3" fontId="105" fillId="0" borderId="34" xfId="2091" applyNumberFormat="1" applyFont="1" applyBorder="1" applyAlignment="1">
      <alignment vertical="center"/>
    </xf>
    <xf numFmtId="0" fontId="105" fillId="0" borderId="0" xfId="2087" applyFont="1" applyAlignment="1">
      <alignment horizontal="centerContinuous" vertical="center"/>
    </xf>
    <xf numFmtId="0" fontId="105" fillId="0" borderId="0" xfId="2092" applyFont="1" applyAlignment="1">
      <alignment horizontal="centerContinuous" vertical="center"/>
    </xf>
    <xf numFmtId="0" fontId="105" fillId="0" borderId="0" xfId="2087" applyFont="1" applyAlignment="1">
      <alignment vertical="center"/>
    </xf>
    <xf numFmtId="0" fontId="105" fillId="0" borderId="0" xfId="2087" quotePrefix="1" applyFont="1" applyAlignment="1">
      <alignment horizontal="centerContinuous" vertical="center"/>
    </xf>
    <xf numFmtId="0" fontId="105" fillId="0" borderId="0" xfId="2092" applyFont="1" applyAlignment="1">
      <alignment vertical="center"/>
    </xf>
    <xf numFmtId="0" fontId="105" fillId="0" borderId="0" xfId="2087" quotePrefix="1" applyFont="1" applyAlignment="1">
      <alignment vertical="center"/>
    </xf>
    <xf numFmtId="0" fontId="140" fillId="0" borderId="0" xfId="2094" applyFont="1" applyAlignment="1">
      <alignment horizontal="right" vertical="center"/>
    </xf>
    <xf numFmtId="9" fontId="139" fillId="0" borderId="0" xfId="2094" applyNumberFormat="1" applyFont="1">
      <alignment vertical="center"/>
    </xf>
    <xf numFmtId="180" fontId="105" fillId="0" borderId="0" xfId="2094" applyNumberFormat="1" applyFont="1" applyAlignment="1">
      <alignment horizontal="center" vertical="center"/>
    </xf>
    <xf numFmtId="180" fontId="105" fillId="0" borderId="0" xfId="2094" applyNumberFormat="1" applyFont="1">
      <alignment vertical="center"/>
    </xf>
    <xf numFmtId="180" fontId="140" fillId="0" borderId="0" xfId="2094" applyNumberFormat="1" applyFont="1" applyAlignment="1">
      <alignment horizontal="right" vertical="center"/>
    </xf>
    <xf numFmtId="0" fontId="105" fillId="0" borderId="25" xfId="2095" applyFont="1" applyBorder="1" applyAlignment="1">
      <alignment horizontal="center" vertical="center"/>
    </xf>
    <xf numFmtId="210" fontId="105" fillId="0" borderId="0" xfId="1388" applyNumberFormat="1" applyFont="1" applyBorder="1" applyAlignment="1">
      <alignment horizontal="center" vertical="center"/>
    </xf>
    <xf numFmtId="210" fontId="105" fillId="0" borderId="29" xfId="2095" applyNumberFormat="1" applyFont="1" applyBorder="1" applyAlignment="1">
      <alignment vertical="center"/>
    </xf>
    <xf numFmtId="210" fontId="105" fillId="0" borderId="27" xfId="2095" applyNumberFormat="1" applyFont="1" applyBorder="1" applyAlignment="1">
      <alignment horizontal="center"/>
    </xf>
    <xf numFmtId="0" fontId="107" fillId="29" borderId="2" xfId="2094" applyFont="1" applyFill="1" applyBorder="1" applyAlignment="1">
      <alignment horizontal="center" vertical="center"/>
    </xf>
    <xf numFmtId="0" fontId="0" fillId="0" borderId="25" xfId="0" applyBorder="1" applyAlignment="1">
      <alignment vertical="center" shrinkToFit="1"/>
    </xf>
    <xf numFmtId="0" fontId="142" fillId="0" borderId="8" xfId="2095" applyFont="1" applyBorder="1" applyAlignment="1">
      <alignment horizontal="center" vertical="center"/>
    </xf>
    <xf numFmtId="0" fontId="185" fillId="0" borderId="74" xfId="0" applyFont="1" applyBorder="1" applyAlignment="1">
      <alignment horizontal="center" vertical="center" shrinkToFit="1"/>
    </xf>
    <xf numFmtId="0" fontId="185" fillId="0" borderId="72" xfId="0" applyFont="1" applyBorder="1" applyAlignment="1">
      <alignment horizontal="left" vertical="center" shrinkToFit="1"/>
    </xf>
    <xf numFmtId="0" fontId="185" fillId="0" borderId="72" xfId="0" applyFont="1" applyBorder="1" applyAlignment="1">
      <alignment horizontal="center" vertical="center" shrinkToFit="1"/>
    </xf>
    <xf numFmtId="178" fontId="185" fillId="0" borderId="72" xfId="0" applyNumberFormat="1" applyFont="1" applyBorder="1" applyAlignment="1">
      <alignment horizontal="center" vertical="center" shrinkToFit="1"/>
    </xf>
    <xf numFmtId="0" fontId="184" fillId="0" borderId="0" xfId="0" applyFont="1" applyAlignment="1">
      <alignment horizontal="center" vertical="center" shrinkToFit="1"/>
    </xf>
    <xf numFmtId="180" fontId="183" fillId="0" borderId="74" xfId="2094" applyNumberFormat="1" applyFont="1" applyBorder="1" applyAlignment="1">
      <alignment horizontal="left" vertical="center" shrinkToFit="1"/>
    </xf>
    <xf numFmtId="0" fontId="186" fillId="0" borderId="25" xfId="0" applyFont="1" applyBorder="1" applyAlignment="1">
      <alignment horizontal="right" vertical="center" shrinkToFit="1"/>
    </xf>
    <xf numFmtId="41" fontId="142" fillId="0" borderId="0" xfId="1003" applyFont="1" applyFill="1" applyAlignment="1">
      <alignment vertical="center"/>
    </xf>
    <xf numFmtId="0" fontId="142" fillId="0" borderId="0" xfId="2095" applyFont="1" applyAlignment="1">
      <alignment horizontal="center"/>
    </xf>
    <xf numFmtId="249" fontId="142" fillId="0" borderId="3" xfId="2095" applyNumberFormat="1" applyFont="1" applyBorder="1" applyAlignment="1">
      <alignment vertical="center"/>
    </xf>
    <xf numFmtId="217" fontId="143" fillId="29" borderId="75" xfId="2094" applyNumberFormat="1" applyFont="1" applyFill="1" applyBorder="1" applyAlignment="1">
      <alignment horizontal="center" vertical="center"/>
    </xf>
    <xf numFmtId="43" fontId="105" fillId="0" borderId="72" xfId="2089" applyNumberFormat="1" applyFont="1" applyBorder="1" applyAlignment="1">
      <alignment horizontal="left" vertical="center" shrinkToFit="1"/>
    </xf>
    <xf numFmtId="43" fontId="105" fillId="0" borderId="72" xfId="2089" applyNumberFormat="1" applyFont="1" applyBorder="1" applyAlignment="1">
      <alignment horizontal="center" vertical="center" shrinkToFit="1"/>
    </xf>
    <xf numFmtId="43" fontId="105" fillId="0" borderId="72" xfId="2089" applyNumberFormat="1" applyFont="1" applyBorder="1" applyAlignment="1">
      <alignment horizontal="center" vertical="center"/>
    </xf>
    <xf numFmtId="41" fontId="105" fillId="0" borderId="72" xfId="1003" applyFont="1" applyFill="1" applyBorder="1" applyAlignment="1">
      <alignment horizontal="center" vertical="center" shrinkToFit="1"/>
    </xf>
    <xf numFmtId="218" fontId="105" fillId="0" borderId="72" xfId="2094" applyNumberFormat="1" applyFont="1" applyBorder="1" applyAlignment="1">
      <alignment horizontal="center" vertical="center" shrinkToFit="1"/>
    </xf>
    <xf numFmtId="43" fontId="107" fillId="0" borderId="75" xfId="2089" applyNumberFormat="1" applyFont="1" applyBorder="1" applyAlignment="1">
      <alignment horizontal="center" vertical="center"/>
    </xf>
    <xf numFmtId="41" fontId="107" fillId="0" borderId="75" xfId="1003" applyFont="1" applyFill="1" applyBorder="1" applyAlignment="1">
      <alignment horizontal="center" vertical="center" shrinkToFit="1"/>
    </xf>
    <xf numFmtId="43" fontId="142" fillId="0" borderId="72" xfId="2089" applyNumberFormat="1" applyFont="1" applyBorder="1" applyAlignment="1">
      <alignment horizontal="left" vertical="center" shrinkToFit="1"/>
    </xf>
    <xf numFmtId="43" fontId="142" fillId="0" borderId="72" xfId="2089" applyNumberFormat="1" applyFont="1" applyBorder="1" applyAlignment="1">
      <alignment horizontal="center" vertical="center" shrinkToFit="1"/>
    </xf>
    <xf numFmtId="43" fontId="142" fillId="0" borderId="72" xfId="2089" applyNumberFormat="1" applyFont="1" applyBorder="1" applyAlignment="1">
      <alignment horizontal="center" vertical="center"/>
    </xf>
    <xf numFmtId="41" fontId="142" fillId="0" borderId="72" xfId="1003" applyFont="1" applyFill="1" applyBorder="1" applyAlignment="1">
      <alignment horizontal="center" vertical="center" shrinkToFit="1"/>
    </xf>
    <xf numFmtId="180" fontId="142" fillId="0" borderId="72" xfId="2094" applyNumberFormat="1" applyFont="1" applyBorder="1" applyAlignment="1">
      <alignment vertical="center" shrinkToFit="1"/>
    </xf>
    <xf numFmtId="180" fontId="142" fillId="0" borderId="72" xfId="2094" applyNumberFormat="1" applyFont="1" applyBorder="1" applyAlignment="1">
      <alignment horizontal="right" vertical="center" shrinkToFit="1"/>
    </xf>
    <xf numFmtId="218" fontId="148" fillId="0" borderId="72" xfId="2094" applyNumberFormat="1" applyFont="1" applyBorder="1" applyAlignment="1">
      <alignment horizontal="center" vertical="center" shrinkToFit="1"/>
    </xf>
    <xf numFmtId="43" fontId="143" fillId="0" borderId="75" xfId="2089" applyNumberFormat="1" applyFont="1" applyBorder="1" applyAlignment="1">
      <alignment horizontal="center" vertical="center"/>
    </xf>
    <xf numFmtId="41" fontId="143" fillId="0" borderId="75" xfId="1003" applyFont="1" applyFill="1" applyBorder="1" applyAlignment="1">
      <alignment horizontal="center" vertical="center" shrinkToFit="1"/>
    </xf>
    <xf numFmtId="180" fontId="143" fillId="0" borderId="75" xfId="2094" applyNumberFormat="1" applyFont="1" applyBorder="1" applyAlignment="1">
      <alignment vertical="center" shrinkToFit="1"/>
    </xf>
    <xf numFmtId="180" fontId="143" fillId="0" borderId="75" xfId="2094" applyNumberFormat="1" applyFont="1" applyBorder="1" applyAlignment="1">
      <alignment horizontal="right" vertical="center" shrinkToFit="1"/>
    </xf>
    <xf numFmtId="218" fontId="143" fillId="0" borderId="75" xfId="2094" applyNumberFormat="1" applyFont="1" applyBorder="1" applyAlignment="1">
      <alignment horizontal="center" vertical="center" shrinkToFit="1"/>
    </xf>
    <xf numFmtId="238" fontId="148" fillId="0" borderId="72" xfId="0" applyNumberFormat="1" applyFont="1" applyBorder="1" applyAlignment="1">
      <alignment horizontal="right" vertical="center" shrinkToFit="1"/>
    </xf>
    <xf numFmtId="41" fontId="107" fillId="0" borderId="74" xfId="1003" applyFont="1" applyFill="1" applyBorder="1" applyAlignment="1">
      <alignment horizontal="center" vertical="center"/>
    </xf>
    <xf numFmtId="41" fontId="107" fillId="0" borderId="72" xfId="1003" applyFont="1" applyFill="1" applyBorder="1" applyAlignment="1">
      <alignment horizontal="center" vertical="center"/>
    </xf>
    <xf numFmtId="0" fontId="148" fillId="29" borderId="75" xfId="0" applyFont="1" applyFill="1" applyBorder="1" applyAlignment="1">
      <alignment horizontal="center" vertical="center"/>
    </xf>
    <xf numFmtId="0" fontId="167" fillId="0" borderId="72" xfId="2093" applyFont="1" applyBorder="1" applyAlignment="1">
      <alignment horizontal="left" vertical="center" shrinkToFit="1"/>
    </xf>
    <xf numFmtId="0" fontId="167" fillId="0" borderId="72" xfId="2093" applyFont="1" applyBorder="1" applyAlignment="1">
      <alignment horizontal="center" vertical="center" shrinkToFit="1"/>
    </xf>
    <xf numFmtId="41" fontId="167" fillId="0" borderId="72" xfId="1003" applyFont="1" applyFill="1" applyBorder="1" applyAlignment="1">
      <alignment vertical="center" shrinkToFit="1"/>
    </xf>
    <xf numFmtId="41" fontId="167" fillId="0" borderId="72" xfId="1003" applyFont="1" applyFill="1" applyBorder="1" applyAlignment="1">
      <alignment horizontal="center" vertical="center" shrinkToFit="1"/>
    </xf>
    <xf numFmtId="41" fontId="167" fillId="0" borderId="72" xfId="2093" applyNumberFormat="1" applyFont="1" applyBorder="1" applyAlignment="1">
      <alignment horizontal="center" vertical="center" shrinkToFit="1"/>
    </xf>
    <xf numFmtId="207" fontId="167" fillId="0" borderId="72" xfId="1003" applyNumberFormat="1" applyFont="1" applyFill="1" applyBorder="1" applyAlignment="1">
      <alignment vertical="center" shrinkToFit="1"/>
    </xf>
    <xf numFmtId="0" fontId="167" fillId="0" borderId="72" xfId="0" applyFont="1" applyBorder="1" applyAlignment="1">
      <alignment horizontal="left" vertical="center"/>
    </xf>
    <xf numFmtId="0" fontId="167" fillId="0" borderId="72" xfId="0" applyFont="1" applyBorder="1" applyAlignment="1">
      <alignment horizontal="center" vertical="center"/>
    </xf>
    <xf numFmtId="178" fontId="167" fillId="0" borderId="72" xfId="0" applyNumberFormat="1" applyFont="1" applyBorder="1" applyAlignment="1">
      <alignment horizontal="center" vertical="center"/>
    </xf>
    <xf numFmtId="0" fontId="167" fillId="0" borderId="75" xfId="0" applyFont="1" applyBorder="1" applyAlignment="1">
      <alignment horizontal="left" vertical="center"/>
    </xf>
    <xf numFmtId="0" fontId="167" fillId="0" borderId="75" xfId="0" applyFont="1" applyBorder="1" applyAlignment="1">
      <alignment horizontal="center" vertical="center"/>
    </xf>
    <xf numFmtId="0" fontId="185" fillId="0" borderId="75" xfId="0" applyFont="1" applyBorder="1" applyAlignment="1">
      <alignment horizontal="left" vertical="center" shrinkToFit="1"/>
    </xf>
    <xf numFmtId="0" fontId="185" fillId="0" borderId="75" xfId="0" applyFont="1" applyBorder="1" applyAlignment="1">
      <alignment horizontal="center" vertical="center" shrinkToFit="1"/>
    </xf>
    <xf numFmtId="178" fontId="185" fillId="0" borderId="75" xfId="0" applyNumberFormat="1" applyFont="1" applyBorder="1" applyAlignment="1">
      <alignment horizontal="center" vertical="center" shrinkToFit="1"/>
    </xf>
    <xf numFmtId="0" fontId="142" fillId="0" borderId="46" xfId="2095" applyFont="1" applyBorder="1" applyAlignment="1">
      <alignment horizontal="center" vertical="center"/>
    </xf>
    <xf numFmtId="0" fontId="142" fillId="0" borderId="29" xfId="2095" applyFont="1" applyBorder="1" applyAlignment="1">
      <alignment horizontal="center" vertical="center"/>
    </xf>
    <xf numFmtId="193" fontId="142" fillId="0" borderId="30" xfId="1388" applyFont="1" applyFill="1" applyBorder="1" applyAlignment="1">
      <alignment horizontal="center" vertical="center"/>
    </xf>
    <xf numFmtId="193" fontId="142" fillId="0" borderId="12" xfId="1388" applyFont="1" applyFill="1" applyBorder="1" applyAlignment="1">
      <alignment horizontal="center" vertical="center"/>
    </xf>
    <xf numFmtId="41" fontId="107" fillId="0" borderId="72" xfId="1003" applyFont="1" applyFill="1" applyBorder="1" applyAlignment="1">
      <alignment horizontal="center" vertical="center" shrinkToFit="1"/>
    </xf>
    <xf numFmtId="0" fontId="166" fillId="0" borderId="74" xfId="0" applyFont="1" applyBorder="1" applyAlignment="1">
      <alignment horizontal="left" vertical="center"/>
    </xf>
    <xf numFmtId="0" fontId="167" fillId="0" borderId="74" xfId="0" applyFont="1" applyBorder="1" applyAlignment="1">
      <alignment horizontal="center" vertical="center" shrinkToFit="1"/>
    </xf>
    <xf numFmtId="0" fontId="166" fillId="0" borderId="74" xfId="0" applyFont="1" applyBorder="1" applyAlignment="1">
      <alignment horizontal="center" vertical="center"/>
    </xf>
    <xf numFmtId="41" fontId="166" fillId="0" borderId="74" xfId="1003" applyFont="1" applyFill="1" applyBorder="1" applyAlignment="1">
      <alignment horizontal="center" vertical="center"/>
    </xf>
    <xf numFmtId="41" fontId="167" fillId="0" borderId="72" xfId="1003" applyFont="1" applyFill="1" applyBorder="1" applyAlignment="1">
      <alignment horizontal="center" vertical="center"/>
    </xf>
    <xf numFmtId="0" fontId="167" fillId="0" borderId="72" xfId="0" applyFont="1" applyBorder="1" applyAlignment="1">
      <alignment horizontal="center" vertical="center" shrinkToFit="1"/>
    </xf>
    <xf numFmtId="0" fontId="167" fillId="0" borderId="72" xfId="0" applyFont="1" applyBorder="1">
      <alignment vertical="center"/>
    </xf>
    <xf numFmtId="0" fontId="167" fillId="0" borderId="72" xfId="0" applyFont="1" applyBorder="1" applyAlignment="1">
      <alignment vertical="center" shrinkToFit="1"/>
    </xf>
    <xf numFmtId="178" fontId="167" fillId="0" borderId="72" xfId="0" applyNumberFormat="1" applyFont="1" applyBorder="1" applyAlignment="1">
      <alignment horizontal="left" vertical="center"/>
    </xf>
    <xf numFmtId="0" fontId="167" fillId="0" borderId="75" xfId="0" applyFont="1" applyBorder="1">
      <alignment vertical="center"/>
    </xf>
    <xf numFmtId="0" fontId="167" fillId="0" borderId="75" xfId="0" applyFont="1" applyBorder="1" applyAlignment="1">
      <alignment vertical="center" shrinkToFit="1"/>
    </xf>
    <xf numFmtId="178" fontId="167" fillId="0" borderId="75" xfId="0" applyNumberFormat="1" applyFont="1" applyBorder="1" applyAlignment="1">
      <alignment horizontal="left" vertical="center"/>
    </xf>
    <xf numFmtId="41" fontId="167" fillId="0" borderId="75" xfId="1003" applyFont="1" applyFill="1" applyBorder="1" applyAlignment="1">
      <alignment horizontal="center" vertical="center"/>
    </xf>
    <xf numFmtId="217" fontId="143" fillId="29" borderId="2" xfId="2094" applyNumberFormat="1" applyFont="1" applyFill="1" applyBorder="1" applyAlignment="1">
      <alignment horizontal="center" vertical="center"/>
    </xf>
    <xf numFmtId="248" fontId="148" fillId="0" borderId="72" xfId="0" applyNumberFormat="1" applyFont="1" applyBorder="1" applyAlignment="1">
      <alignment horizontal="right" vertical="center" shrinkToFit="1"/>
    </xf>
    <xf numFmtId="248" fontId="142" fillId="0" borderId="72" xfId="2094" applyNumberFormat="1" applyFont="1" applyBorder="1" applyAlignment="1">
      <alignment vertical="center" shrinkToFit="1"/>
    </xf>
    <xf numFmtId="248" fontId="142" fillId="0" borderId="72" xfId="2094" applyNumberFormat="1" applyFont="1" applyBorder="1" applyAlignment="1">
      <alignment horizontal="right" vertical="center" shrinkToFit="1"/>
    </xf>
    <xf numFmtId="248" fontId="148" fillId="0" borderId="72" xfId="2094" applyNumberFormat="1" applyFont="1" applyBorder="1" applyAlignment="1">
      <alignment horizontal="center" vertical="center" shrinkToFit="1"/>
    </xf>
    <xf numFmtId="238" fontId="142" fillId="0" borderId="72" xfId="2094" applyNumberFormat="1" applyFont="1" applyBorder="1" applyAlignment="1">
      <alignment horizontal="right" vertical="center" shrinkToFit="1"/>
    </xf>
    <xf numFmtId="238" fontId="143" fillId="0" borderId="75" xfId="2094" applyNumberFormat="1" applyFont="1" applyBorder="1" applyAlignment="1">
      <alignment vertical="center" shrinkToFit="1"/>
    </xf>
    <xf numFmtId="180" fontId="107" fillId="0" borderId="72" xfId="2094" applyNumberFormat="1" applyFont="1" applyBorder="1" applyAlignment="1">
      <alignment horizontal="left" vertical="center"/>
    </xf>
    <xf numFmtId="217" fontId="107" fillId="0" borderId="72" xfId="2094" applyNumberFormat="1" applyFont="1" applyBorder="1" applyAlignment="1">
      <alignment horizontal="center" vertical="center"/>
    </xf>
    <xf numFmtId="217" fontId="107" fillId="0" borderId="72" xfId="2094" applyNumberFormat="1" applyFont="1" applyBorder="1" applyAlignment="1">
      <alignment horizontal="center" vertical="center" shrinkToFit="1"/>
    </xf>
    <xf numFmtId="238" fontId="105" fillId="0" borderId="72" xfId="2094" applyNumberFormat="1" applyFont="1" applyBorder="1" applyAlignment="1">
      <alignment horizontal="right" vertical="center" shrinkToFit="1"/>
    </xf>
    <xf numFmtId="238" fontId="105" fillId="0" borderId="72" xfId="2094" applyNumberFormat="1" applyFont="1" applyBorder="1" applyAlignment="1">
      <alignment vertical="center" shrinkToFit="1"/>
    </xf>
    <xf numFmtId="238" fontId="180" fillId="0" borderId="72" xfId="0" applyNumberFormat="1" applyFont="1" applyBorder="1" applyAlignment="1">
      <alignment horizontal="center" vertical="center" shrinkToFit="1"/>
    </xf>
    <xf numFmtId="218" fontId="181" fillId="0" borderId="72" xfId="2094" applyNumberFormat="1" applyFont="1" applyBorder="1" applyAlignment="1">
      <alignment horizontal="center" vertical="center" shrinkToFit="1"/>
    </xf>
    <xf numFmtId="0" fontId="180" fillId="0" borderId="72" xfId="0" applyFont="1" applyBorder="1" applyAlignment="1">
      <alignment horizontal="center" vertical="center"/>
    </xf>
    <xf numFmtId="238" fontId="107" fillId="0" borderId="72" xfId="2094" applyNumberFormat="1" applyFont="1" applyBorder="1" applyAlignment="1">
      <alignment vertical="center" shrinkToFit="1"/>
    </xf>
    <xf numFmtId="41" fontId="180" fillId="0" borderId="72" xfId="0" applyNumberFormat="1" applyFont="1" applyBorder="1" applyAlignment="1">
      <alignment horizontal="center" vertical="center"/>
    </xf>
    <xf numFmtId="218" fontId="139" fillId="0" borderId="72" xfId="2094" applyNumberFormat="1" applyFont="1" applyBorder="1" applyAlignment="1">
      <alignment horizontal="center" vertical="center" shrinkToFit="1"/>
    </xf>
    <xf numFmtId="41" fontId="180" fillId="0" borderId="72" xfId="0" applyNumberFormat="1" applyFont="1" applyBorder="1" applyAlignment="1">
      <alignment horizontal="center" vertical="center" shrinkToFit="1"/>
    </xf>
    <xf numFmtId="0" fontId="180" fillId="0" borderId="72" xfId="0" applyFont="1" applyBorder="1" applyAlignment="1">
      <alignment horizontal="center" vertical="center" shrinkToFit="1"/>
    </xf>
    <xf numFmtId="238" fontId="107" fillId="0" borderId="75" xfId="2094" applyNumberFormat="1" applyFont="1" applyBorder="1" applyAlignment="1">
      <alignment horizontal="right" vertical="center" shrinkToFit="1"/>
    </xf>
    <xf numFmtId="180" fontId="107" fillId="0" borderId="74" xfId="2094" applyNumberFormat="1" applyFont="1" applyBorder="1" applyAlignment="1">
      <alignment horizontal="left" vertical="center"/>
    </xf>
    <xf numFmtId="217" fontId="107" fillId="0" borderId="74" xfId="2094" applyNumberFormat="1" applyFont="1" applyBorder="1" applyAlignment="1">
      <alignment horizontal="center" vertical="center"/>
    </xf>
    <xf numFmtId="41" fontId="107" fillId="0" borderId="74" xfId="1003" applyFont="1" applyFill="1" applyBorder="1" applyAlignment="1">
      <alignment horizontal="center" vertical="center" shrinkToFit="1"/>
    </xf>
    <xf numFmtId="217" fontId="107" fillId="0" borderId="74" xfId="2094" applyNumberFormat="1" applyFont="1" applyBorder="1" applyAlignment="1">
      <alignment horizontal="center" vertical="center" shrinkToFit="1"/>
    </xf>
    <xf numFmtId="0" fontId="187" fillId="0" borderId="72" xfId="0" applyFont="1" applyBorder="1" applyAlignment="1">
      <alignment horizontal="center" vertical="center"/>
    </xf>
    <xf numFmtId="238" fontId="147" fillId="0" borderId="72" xfId="2094" applyNumberFormat="1" applyFont="1" applyBorder="1">
      <alignment vertical="center"/>
    </xf>
    <xf numFmtId="0" fontId="148" fillId="0" borderId="0" xfId="2094" applyFont="1" applyAlignment="1">
      <alignment horizontal="center" vertical="center" shrinkToFit="1"/>
    </xf>
    <xf numFmtId="180" fontId="142" fillId="0" borderId="0" xfId="2094" applyNumberFormat="1" applyFont="1" applyAlignment="1">
      <alignment horizontal="center" vertical="center" shrinkToFit="1"/>
    </xf>
    <xf numFmtId="180" fontId="105" fillId="0" borderId="0" xfId="2094" applyNumberFormat="1" applyFont="1" applyAlignment="1">
      <alignment horizontal="center" vertical="center" shrinkToFit="1"/>
    </xf>
    <xf numFmtId="180" fontId="105" fillId="0" borderId="72" xfId="2094" applyNumberFormat="1" applyFont="1" applyBorder="1" applyAlignment="1">
      <alignment horizontal="center" vertical="center" shrinkToFit="1"/>
    </xf>
    <xf numFmtId="41" fontId="142" fillId="0" borderId="3" xfId="1003" applyFont="1" applyFill="1" applyBorder="1" applyAlignment="1">
      <alignment horizontal="right" vertical="center"/>
    </xf>
    <xf numFmtId="41" fontId="142" fillId="0" borderId="0" xfId="1003" applyFont="1" applyFill="1" applyBorder="1" applyAlignment="1">
      <alignment horizontal="center" vertical="center"/>
    </xf>
    <xf numFmtId="207" fontId="142" fillId="0" borderId="0" xfId="1003" applyNumberFormat="1" applyFont="1" applyFill="1" applyBorder="1" applyAlignment="1">
      <alignment vertical="center"/>
    </xf>
    <xf numFmtId="41" fontId="142" fillId="0" borderId="0" xfId="1003" applyFont="1" applyFill="1" applyBorder="1" applyAlignment="1">
      <alignment horizontal="left" vertical="center"/>
    </xf>
    <xf numFmtId="210" fontId="142" fillId="0" borderId="0" xfId="1388" applyNumberFormat="1" applyFont="1" applyFill="1" applyBorder="1" applyAlignment="1">
      <alignment horizontal="left" vertical="center"/>
    </xf>
    <xf numFmtId="209" fontId="142" fillId="0" borderId="0" xfId="1388" applyNumberFormat="1" applyFont="1" applyFill="1" applyBorder="1" applyAlignment="1">
      <alignment horizontal="right" vertical="center"/>
    </xf>
    <xf numFmtId="211" fontId="142" fillId="0" borderId="3" xfId="1388" applyNumberFormat="1" applyFont="1" applyBorder="1" applyAlignment="1">
      <alignment horizontal="center" vertical="center"/>
    </xf>
    <xf numFmtId="209" fontId="105" fillId="0" borderId="29" xfId="1388" applyNumberFormat="1" applyFont="1" applyBorder="1" applyAlignment="1">
      <alignment horizontal="left" vertical="center"/>
    </xf>
    <xf numFmtId="0" fontId="169" fillId="0" borderId="0" xfId="0" applyFont="1" applyAlignment="1">
      <alignment horizontal="right" vertical="center" shrinkToFit="1"/>
    </xf>
    <xf numFmtId="0" fontId="105" fillId="0" borderId="2" xfId="2094" applyFont="1" applyBorder="1" applyAlignment="1">
      <alignment horizontal="center" vertical="center"/>
    </xf>
    <xf numFmtId="3" fontId="189" fillId="30" borderId="0" xfId="1009" applyNumberFormat="1" applyFont="1" applyFill="1" applyAlignment="1">
      <alignment horizontal="center" vertical="center"/>
    </xf>
    <xf numFmtId="3" fontId="189" fillId="30" borderId="0" xfId="1009" applyNumberFormat="1" applyFont="1" applyFill="1" applyAlignment="1">
      <alignment horizontal="left" vertical="center"/>
    </xf>
    <xf numFmtId="0" fontId="189" fillId="30" borderId="0" xfId="2091" applyFont="1" applyFill="1" applyAlignment="1">
      <alignment vertical="center"/>
    </xf>
    <xf numFmtId="41" fontId="189" fillId="30" borderId="0" xfId="1009" applyFont="1" applyFill="1" applyBorder="1" applyAlignment="1">
      <alignment vertical="center"/>
    </xf>
    <xf numFmtId="0" fontId="105" fillId="30" borderId="0" xfId="2091" applyFont="1" applyFill="1" applyAlignment="1">
      <alignment vertical="center"/>
    </xf>
    <xf numFmtId="3" fontId="189" fillId="30" borderId="0" xfId="1009" applyNumberFormat="1" applyFont="1" applyFill="1" applyBorder="1" applyAlignment="1">
      <alignment horizontal="center" vertical="center"/>
    </xf>
    <xf numFmtId="41" fontId="189" fillId="30" borderId="0" xfId="1009" applyFont="1" applyFill="1" applyBorder="1" applyAlignment="1">
      <alignment horizontal="centerContinuous" vertical="center"/>
    </xf>
    <xf numFmtId="41" fontId="189" fillId="0" borderId="0" xfId="1003" applyFont="1" applyFill="1" applyBorder="1" applyAlignment="1">
      <alignment horizontal="center" vertical="center"/>
    </xf>
    <xf numFmtId="3" fontId="190" fillId="0" borderId="0" xfId="2098" applyNumberFormat="1" applyFont="1" applyAlignment="1">
      <alignment vertical="center"/>
    </xf>
    <xf numFmtId="0" fontId="189" fillId="0" borderId="0" xfId="2091" applyFont="1" applyAlignment="1">
      <alignment vertical="center"/>
    </xf>
    <xf numFmtId="3" fontId="189" fillId="0" borderId="0" xfId="1009" applyNumberFormat="1" applyFont="1" applyFill="1" applyAlignment="1">
      <alignment horizontal="center" vertical="center"/>
    </xf>
    <xf numFmtId="3" fontId="189" fillId="0" borderId="0" xfId="1009" applyNumberFormat="1" applyFont="1" applyFill="1" applyAlignment="1">
      <alignment horizontal="left" vertical="center"/>
    </xf>
    <xf numFmtId="41" fontId="189" fillId="0" borderId="0" xfId="1003" applyFont="1" applyFill="1" applyAlignment="1">
      <alignment vertical="center"/>
    </xf>
    <xf numFmtId="3" fontId="173" fillId="0" borderId="0" xfId="2098" applyNumberFormat="1" applyFont="1" applyAlignment="1">
      <alignment vertical="center"/>
    </xf>
    <xf numFmtId="41" fontId="169" fillId="0" borderId="0" xfId="1003" applyFont="1" applyFill="1" applyBorder="1" applyAlignment="1">
      <alignment horizontal="centerContinuous" vertical="center"/>
    </xf>
    <xf numFmtId="0" fontId="105" fillId="0" borderId="3" xfId="2095" applyFont="1" applyBorder="1" applyAlignment="1">
      <alignment horizontal="center" vertical="center"/>
    </xf>
    <xf numFmtId="0" fontId="105" fillId="0" borderId="0" xfId="2095" applyFont="1" applyAlignment="1">
      <alignment vertical="center"/>
    </xf>
    <xf numFmtId="0" fontId="105" fillId="0" borderId="0" xfId="2095" applyFont="1" applyAlignment="1">
      <alignment horizontal="center" vertical="center"/>
    </xf>
    <xf numFmtId="193" fontId="105" fillId="0" borderId="25" xfId="1388" applyFont="1" applyFill="1" applyBorder="1" applyAlignment="1">
      <alignment horizontal="center" vertical="center"/>
    </xf>
    <xf numFmtId="0" fontId="105" fillId="0" borderId="0" xfId="2095" applyFont="1" applyAlignment="1">
      <alignment horizontal="centerContinuous" vertical="center"/>
    </xf>
    <xf numFmtId="193" fontId="105" fillId="0" borderId="0" xfId="1388" applyFont="1" applyFill="1" applyBorder="1" applyAlignment="1">
      <alignment horizontal="center" vertical="center"/>
    </xf>
    <xf numFmtId="0" fontId="105" fillId="0" borderId="25" xfId="2095" applyFont="1" applyBorder="1"/>
    <xf numFmtId="0" fontId="105" fillId="0" borderId="45" xfId="2096" applyFont="1" applyBorder="1"/>
    <xf numFmtId="0" fontId="105" fillId="0" borderId="46" xfId="2096" applyFont="1" applyBorder="1"/>
    <xf numFmtId="0" fontId="105" fillId="0" borderId="47" xfId="2095" applyFont="1" applyBorder="1" applyAlignment="1">
      <alignment horizontal="centerContinuous" vertical="center"/>
    </xf>
    <xf numFmtId="0" fontId="105" fillId="0" borderId="48" xfId="2096" applyFont="1" applyBorder="1"/>
    <xf numFmtId="0" fontId="105" fillId="0" borderId="49" xfId="2095" applyFont="1" applyBorder="1" applyAlignment="1">
      <alignment horizontal="centerContinuous" vertical="center"/>
    </xf>
    <xf numFmtId="0" fontId="105" fillId="0" borderId="48" xfId="2095" applyFont="1" applyBorder="1" applyAlignment="1">
      <alignment vertical="center"/>
    </xf>
    <xf numFmtId="0" fontId="105" fillId="0" borderId="49" xfId="2095" applyFont="1" applyBorder="1" applyAlignment="1">
      <alignment horizontal="center" vertical="center"/>
    </xf>
    <xf numFmtId="193" fontId="105" fillId="0" borderId="0" xfId="1388" applyFont="1" applyFill="1" applyBorder="1" applyAlignment="1">
      <alignment horizontal="right" vertical="center"/>
    </xf>
    <xf numFmtId="0" fontId="105" fillId="0" borderId="25" xfId="2096" applyFont="1" applyBorder="1"/>
    <xf numFmtId="0" fontId="105" fillId="0" borderId="50" xfId="2095" applyFont="1" applyBorder="1" applyAlignment="1">
      <alignment horizontal="center" vertical="center"/>
    </xf>
    <xf numFmtId="193" fontId="105" fillId="0" borderId="8" xfId="1388" applyFont="1" applyFill="1" applyBorder="1" applyAlignment="1">
      <alignment horizontal="center" vertical="center"/>
    </xf>
    <xf numFmtId="0" fontId="105" fillId="0" borderId="51" xfId="2095" applyFont="1" applyBorder="1"/>
    <xf numFmtId="0" fontId="105" fillId="27" borderId="52" xfId="2095" applyFont="1" applyFill="1" applyBorder="1" applyAlignment="1">
      <alignment vertical="center"/>
    </xf>
    <xf numFmtId="0" fontId="105" fillId="27" borderId="55" xfId="2095" applyFont="1" applyFill="1" applyBorder="1" applyAlignment="1">
      <alignment horizontal="center" vertical="center"/>
    </xf>
    <xf numFmtId="0" fontId="105" fillId="0" borderId="53" xfId="2095" applyFont="1" applyBorder="1" applyAlignment="1">
      <alignment horizontal="center" vertical="center"/>
    </xf>
    <xf numFmtId="47" fontId="105" fillId="0" borderId="3" xfId="2095" quotePrefix="1" applyNumberFormat="1" applyFont="1" applyBorder="1" applyAlignment="1">
      <alignment horizontal="center" vertical="center"/>
    </xf>
    <xf numFmtId="0" fontId="154" fillId="0" borderId="79" xfId="2095" applyFont="1" applyBorder="1" applyAlignment="1">
      <alignment horizontal="center" vertical="center"/>
    </xf>
    <xf numFmtId="0" fontId="105" fillId="0" borderId="80" xfId="2095" applyFont="1" applyBorder="1" applyAlignment="1">
      <alignment horizontal="center" vertical="center"/>
    </xf>
    <xf numFmtId="0" fontId="105" fillId="0" borderId="79" xfId="2095" applyFont="1" applyBorder="1" applyAlignment="1">
      <alignment horizontal="center" vertical="center"/>
    </xf>
    <xf numFmtId="0" fontId="105" fillId="27" borderId="57" xfId="2095" applyFont="1" applyFill="1" applyBorder="1" applyAlignment="1">
      <alignment vertical="center"/>
    </xf>
    <xf numFmtId="0" fontId="105" fillId="27" borderId="59" xfId="2095" applyFont="1" applyFill="1" applyBorder="1" applyAlignment="1">
      <alignment horizontal="center" vertical="center"/>
    </xf>
    <xf numFmtId="184" fontId="105" fillId="0" borderId="48" xfId="2095" applyNumberFormat="1" applyFont="1" applyBorder="1" applyAlignment="1">
      <alignment vertical="center"/>
    </xf>
    <xf numFmtId="184" fontId="105" fillId="0" borderId="49" xfId="2095" applyNumberFormat="1" applyFont="1" applyBorder="1" applyAlignment="1">
      <alignment horizontal="center" vertical="center"/>
    </xf>
    <xf numFmtId="0" fontId="105" fillId="0" borderId="0" xfId="2085" applyFont="1"/>
    <xf numFmtId="0" fontId="105" fillId="0" borderId="3" xfId="2095" applyFont="1" applyBorder="1" applyAlignment="1">
      <alignment horizontal="right" vertical="center"/>
    </xf>
    <xf numFmtId="0" fontId="105" fillId="0" borderId="0" xfId="2095" applyFont="1" applyAlignment="1">
      <alignment horizontal="right" vertical="center"/>
    </xf>
    <xf numFmtId="184" fontId="105" fillId="0" borderId="0" xfId="2095" applyNumberFormat="1" applyFont="1" applyAlignment="1">
      <alignment horizontal="center" vertical="center"/>
    </xf>
    <xf numFmtId="0" fontId="105" fillId="0" borderId="49" xfId="2096" applyFont="1" applyBorder="1"/>
    <xf numFmtId="184" fontId="105" fillId="0" borderId="45" xfId="2095" applyNumberFormat="1" applyFont="1" applyBorder="1" applyAlignment="1">
      <alignment vertical="center"/>
    </xf>
    <xf numFmtId="184" fontId="105" fillId="0" borderId="46" xfId="2095" applyNumberFormat="1" applyFont="1" applyBorder="1" applyAlignment="1">
      <alignment horizontal="center" vertical="center"/>
    </xf>
    <xf numFmtId="184" fontId="105" fillId="0" borderId="47" xfId="2095" applyNumberFormat="1" applyFont="1" applyBorder="1" applyAlignment="1">
      <alignment horizontal="center" vertical="center"/>
    </xf>
    <xf numFmtId="0" fontId="105" fillId="0" borderId="26" xfId="2095" applyFont="1" applyBorder="1" applyAlignment="1">
      <alignment horizontal="center" vertical="center"/>
    </xf>
    <xf numFmtId="0" fontId="105" fillId="0" borderId="27" xfId="2095" applyFont="1" applyBorder="1" applyAlignment="1">
      <alignment vertical="center"/>
    </xf>
    <xf numFmtId="0" fontId="105" fillId="0" borderId="27" xfId="2095" applyFont="1" applyBorder="1" applyAlignment="1">
      <alignment horizontal="center" vertical="center"/>
    </xf>
    <xf numFmtId="193" fontId="105" fillId="0" borderId="27" xfId="1388" applyFont="1" applyFill="1" applyBorder="1" applyAlignment="1">
      <alignment horizontal="center" vertical="center"/>
    </xf>
    <xf numFmtId="193" fontId="105" fillId="0" borderId="29" xfId="1388" applyFont="1" applyBorder="1" applyAlignment="1">
      <alignment vertical="center"/>
    </xf>
    <xf numFmtId="0" fontId="105" fillId="0" borderId="0" xfId="2096" applyFont="1"/>
    <xf numFmtId="193" fontId="105" fillId="0" borderId="29" xfId="1388" applyFont="1" applyBorder="1" applyAlignment="1">
      <alignment horizontal="center" vertical="center"/>
    </xf>
    <xf numFmtId="193" fontId="105" fillId="0" borderId="28" xfId="1388" applyFont="1" applyBorder="1" applyAlignment="1">
      <alignment horizontal="center" vertical="center"/>
    </xf>
    <xf numFmtId="0" fontId="105" fillId="0" borderId="30" xfId="2095" applyFont="1" applyBorder="1" applyAlignment="1">
      <alignment horizontal="center" vertical="center" wrapText="1" shrinkToFit="1"/>
    </xf>
    <xf numFmtId="193" fontId="105" fillId="0" borderId="3" xfId="1388" applyFont="1" applyBorder="1" applyAlignment="1">
      <alignment horizontal="right" vertical="center"/>
    </xf>
    <xf numFmtId="210" fontId="105" fillId="0" borderId="0" xfId="1388" applyNumberFormat="1" applyFont="1" applyBorder="1" applyAlignment="1">
      <alignment horizontal="right" vertical="center"/>
    </xf>
    <xf numFmtId="210" fontId="105" fillId="0" borderId="0" xfId="1388" applyNumberFormat="1" applyFont="1" applyBorder="1" applyAlignment="1">
      <alignment horizontal="left" vertical="center"/>
    </xf>
    <xf numFmtId="210" fontId="105" fillId="0" borderId="0" xfId="2096" applyNumberFormat="1" applyFont="1"/>
    <xf numFmtId="0" fontId="105" fillId="0" borderId="0" xfId="2096" applyFont="1" applyAlignment="1">
      <alignment horizontal="center" vertical="center"/>
    </xf>
    <xf numFmtId="208" fontId="105" fillId="0" borderId="0" xfId="2095" applyNumberFormat="1" applyFont="1" applyAlignment="1">
      <alignment horizontal="right" vertical="center"/>
    </xf>
    <xf numFmtId="0" fontId="105" fillId="0" borderId="3" xfId="2095" applyFont="1" applyBorder="1"/>
    <xf numFmtId="0" fontId="105" fillId="0" borderId="25" xfId="2095" applyFont="1" applyBorder="1" applyAlignment="1">
      <alignment horizontal="center" vertical="center" wrapText="1" shrinkToFit="1"/>
    </xf>
    <xf numFmtId="193" fontId="105" fillId="0" borderId="0" xfId="1388" applyFont="1" applyBorder="1" applyAlignment="1">
      <alignment horizontal="center" vertical="center"/>
    </xf>
    <xf numFmtId="193" fontId="105" fillId="0" borderId="3" xfId="1388" applyFont="1" applyBorder="1" applyAlignment="1">
      <alignment horizontal="center" vertical="center"/>
    </xf>
    <xf numFmtId="209" fontId="105" fillId="0" borderId="26" xfId="1388" applyNumberFormat="1" applyFont="1" applyBorder="1" applyAlignment="1">
      <alignment horizontal="center" vertical="center"/>
    </xf>
    <xf numFmtId="210" fontId="105" fillId="0" borderId="27" xfId="1388" applyNumberFormat="1" applyFont="1" applyBorder="1" applyAlignment="1">
      <alignment horizontal="center" vertical="center"/>
    </xf>
    <xf numFmtId="210" fontId="105" fillId="0" borderId="27" xfId="1388" applyNumberFormat="1" applyFont="1" applyBorder="1" applyAlignment="1">
      <alignment vertical="center"/>
    </xf>
    <xf numFmtId="193" fontId="105" fillId="0" borderId="27" xfId="1388" applyFont="1" applyBorder="1" applyAlignment="1">
      <alignment horizontal="center" vertical="center"/>
    </xf>
    <xf numFmtId="211" fontId="105" fillId="0" borderId="26" xfId="1388" applyNumberFormat="1" applyFont="1" applyBorder="1" applyAlignment="1">
      <alignment horizontal="right" vertical="center"/>
    </xf>
    <xf numFmtId="193" fontId="105" fillId="0" borderId="12" xfId="1388" applyFont="1" applyBorder="1" applyAlignment="1">
      <alignment horizontal="center" vertical="center"/>
    </xf>
    <xf numFmtId="209" fontId="155" fillId="0" borderId="28" xfId="1388" applyNumberFormat="1" applyFont="1" applyFill="1" applyBorder="1" applyAlignment="1">
      <alignment horizontal="left" vertical="center"/>
    </xf>
    <xf numFmtId="209" fontId="155" fillId="0" borderId="29" xfId="1388" applyNumberFormat="1" applyFont="1" applyFill="1" applyBorder="1" applyAlignment="1">
      <alignment horizontal="left" vertical="center"/>
    </xf>
    <xf numFmtId="209" fontId="155" fillId="0" borderId="29" xfId="2095" applyNumberFormat="1" applyFont="1" applyBorder="1" applyAlignment="1">
      <alignment vertical="center"/>
    </xf>
    <xf numFmtId="0" fontId="155" fillId="0" borderId="0" xfId="2096" applyFont="1" applyAlignment="1">
      <alignment vertical="center"/>
    </xf>
    <xf numFmtId="0" fontId="155" fillId="0" borderId="29" xfId="2095" applyFont="1" applyBorder="1" applyAlignment="1">
      <alignment vertical="center"/>
    </xf>
    <xf numFmtId="0" fontId="155" fillId="0" borderId="28" xfId="2095" applyFont="1" applyBorder="1" applyAlignment="1">
      <alignment vertical="center"/>
    </xf>
    <xf numFmtId="0" fontId="155" fillId="0" borderId="81" xfId="2095" applyFont="1" applyBorder="1" applyAlignment="1">
      <alignment vertical="center"/>
    </xf>
    <xf numFmtId="0" fontId="155" fillId="0" borderId="26" xfId="2095" applyFont="1" applyBorder="1"/>
    <xf numFmtId="0" fontId="155" fillId="0" borderId="27" xfId="2095" applyFont="1" applyBorder="1"/>
    <xf numFmtId="0" fontId="155" fillId="0" borderId="27" xfId="2095" applyFont="1" applyBorder="1" applyAlignment="1">
      <alignment horizontal="center" vertical="center"/>
    </xf>
    <xf numFmtId="211" fontId="155" fillId="0" borderId="27" xfId="1388" applyNumberFormat="1" applyFont="1" applyFill="1" applyBorder="1" applyAlignment="1">
      <alignment horizontal="left" vertical="center"/>
    </xf>
    <xf numFmtId="0" fontId="155" fillId="0" borderId="27" xfId="2095" applyFont="1" applyBorder="1" applyAlignment="1">
      <alignment horizontal="center"/>
    </xf>
    <xf numFmtId="211" fontId="155" fillId="0" borderId="27" xfId="1388" applyNumberFormat="1" applyFont="1" applyFill="1" applyBorder="1" applyAlignment="1">
      <alignment horizontal="center" vertical="center"/>
    </xf>
    <xf numFmtId="211" fontId="155" fillId="0" borderId="26" xfId="2095" applyNumberFormat="1" applyFont="1" applyBorder="1" applyAlignment="1">
      <alignment vertical="center" shrinkToFit="1"/>
    </xf>
    <xf numFmtId="193" fontId="155" fillId="0" borderId="73" xfId="1388" applyFont="1" applyFill="1" applyBorder="1" applyAlignment="1">
      <alignment horizontal="left" vertical="center"/>
    </xf>
    <xf numFmtId="211" fontId="155" fillId="0" borderId="29" xfId="1388" applyNumberFormat="1" applyFont="1" applyFill="1" applyBorder="1" applyAlignment="1">
      <alignment horizontal="left" vertical="center"/>
    </xf>
    <xf numFmtId="193" fontId="155" fillId="0" borderId="29" xfId="1388" applyFont="1" applyFill="1" applyBorder="1" applyAlignment="1">
      <alignment horizontal="left" vertical="center"/>
    </xf>
    <xf numFmtId="193" fontId="155" fillId="0" borderId="28" xfId="1388" applyFont="1" applyFill="1" applyBorder="1" applyAlignment="1">
      <alignment horizontal="center" vertical="center" shrinkToFit="1"/>
    </xf>
    <xf numFmtId="0" fontId="155" fillId="0" borderId="81" xfId="2095" applyFont="1" applyBorder="1" applyAlignment="1">
      <alignment horizontal="left" vertical="center"/>
    </xf>
    <xf numFmtId="209" fontId="155" fillId="0" borderId="26" xfId="1388" applyNumberFormat="1" applyFont="1" applyFill="1" applyBorder="1" applyAlignment="1">
      <alignment horizontal="center" vertical="center" wrapText="1" shrinkToFit="1"/>
    </xf>
    <xf numFmtId="209" fontId="155" fillId="0" borderId="27" xfId="1388" applyNumberFormat="1" applyFont="1" applyFill="1" applyBorder="1" applyAlignment="1">
      <alignment horizontal="center" vertical="center" wrapText="1" shrinkToFit="1"/>
    </xf>
    <xf numFmtId="193" fontId="155" fillId="0" borderId="27" xfId="1388" applyFont="1" applyFill="1" applyBorder="1" applyAlignment="1">
      <alignment horizontal="center" vertical="center"/>
    </xf>
    <xf numFmtId="211" fontId="155" fillId="0" borderId="3" xfId="1388" applyNumberFormat="1" applyFont="1" applyFill="1" applyBorder="1" applyAlignment="1">
      <alignment horizontal="center" vertical="center" shrinkToFit="1"/>
    </xf>
    <xf numFmtId="193" fontId="155" fillId="0" borderId="56" xfId="1388" applyFont="1" applyFill="1" applyBorder="1" applyAlignment="1">
      <alignment horizontal="left" vertical="center"/>
    </xf>
    <xf numFmtId="193" fontId="155" fillId="0" borderId="28" xfId="1388" applyFont="1" applyFill="1" applyBorder="1" applyAlignment="1">
      <alignment horizontal="center" vertical="center"/>
    </xf>
    <xf numFmtId="193" fontId="155" fillId="0" borderId="3" xfId="1388" applyFont="1" applyFill="1" applyBorder="1" applyAlignment="1">
      <alignment horizontal="right" vertical="center"/>
    </xf>
    <xf numFmtId="210" fontId="155" fillId="0" borderId="27" xfId="1388" applyNumberFormat="1" applyFont="1" applyFill="1" applyBorder="1" applyAlignment="1">
      <alignment horizontal="center" vertical="center"/>
    </xf>
    <xf numFmtId="193" fontId="155" fillId="0" borderId="0" xfId="1388" applyFont="1" applyFill="1" applyBorder="1" applyAlignment="1">
      <alignment horizontal="center" vertical="center"/>
    </xf>
    <xf numFmtId="210" fontId="155" fillId="0" borderId="0" xfId="1388" applyNumberFormat="1" applyFont="1" applyFill="1" applyBorder="1" applyAlignment="1">
      <alignment horizontal="left" vertical="center"/>
    </xf>
    <xf numFmtId="0" fontId="155" fillId="0" borderId="0" xfId="2096" applyFont="1"/>
    <xf numFmtId="0" fontId="155" fillId="0" borderId="0" xfId="2096" applyFont="1" applyAlignment="1">
      <alignment horizontal="center" vertical="center"/>
    </xf>
    <xf numFmtId="208" fontId="155" fillId="0" borderId="0" xfId="2095" applyNumberFormat="1" applyFont="1" applyAlignment="1">
      <alignment horizontal="right" vertical="center"/>
    </xf>
    <xf numFmtId="209" fontId="155" fillId="0" borderId="28" xfId="1388" applyNumberFormat="1" applyFont="1" applyFill="1" applyBorder="1" applyAlignment="1">
      <alignment vertical="center"/>
    </xf>
    <xf numFmtId="209" fontId="155" fillId="0" borderId="29" xfId="1388" applyNumberFormat="1" applyFont="1" applyFill="1" applyBorder="1" applyAlignment="1">
      <alignment vertical="center"/>
    </xf>
    <xf numFmtId="193" fontId="155" fillId="0" borderId="29" xfId="1388" applyFont="1" applyFill="1" applyBorder="1" applyAlignment="1">
      <alignment horizontal="centerContinuous" vertical="center"/>
    </xf>
    <xf numFmtId="0" fontId="155" fillId="0" borderId="29" xfId="2095" applyFont="1" applyBorder="1" applyAlignment="1">
      <alignment horizontal="centerContinuous" vertical="center"/>
    </xf>
    <xf numFmtId="193" fontId="155" fillId="0" borderId="29" xfId="1388" applyFont="1" applyFill="1" applyBorder="1" applyAlignment="1">
      <alignment horizontal="center" vertical="center"/>
    </xf>
    <xf numFmtId="0" fontId="155" fillId="0" borderId="30" xfId="2095" applyFont="1" applyBorder="1" applyAlignment="1">
      <alignment horizontal="left" vertical="center"/>
    </xf>
    <xf numFmtId="193" fontId="155" fillId="0" borderId="26" xfId="1388" applyFont="1" applyFill="1" applyBorder="1" applyAlignment="1">
      <alignment horizontal="right" vertical="center"/>
    </xf>
    <xf numFmtId="193" fontId="155" fillId="0" borderId="27" xfId="1388" applyFont="1" applyFill="1" applyBorder="1" applyAlignment="1">
      <alignment horizontal="right" vertical="center"/>
    </xf>
    <xf numFmtId="210" fontId="155" fillId="0" borderId="27" xfId="1388" applyNumberFormat="1" applyFont="1" applyFill="1" applyBorder="1" applyAlignment="1">
      <alignment horizontal="left" vertical="center"/>
    </xf>
    <xf numFmtId="0" fontId="155" fillId="0" borderId="27" xfId="2096" applyFont="1" applyBorder="1"/>
    <xf numFmtId="0" fontId="155" fillId="0" borderId="27" xfId="2096" applyFont="1" applyBorder="1" applyAlignment="1">
      <alignment horizontal="center" vertical="center"/>
    </xf>
    <xf numFmtId="250" fontId="155" fillId="0" borderId="26" xfId="1388" applyNumberFormat="1" applyFont="1" applyFill="1" applyBorder="1" applyAlignment="1">
      <alignment horizontal="center" vertical="center"/>
    </xf>
    <xf numFmtId="193" fontId="155" fillId="0" borderId="12" xfId="1388" applyFont="1" applyFill="1" applyBorder="1" applyAlignment="1">
      <alignment horizontal="left" vertical="center"/>
    </xf>
    <xf numFmtId="210" fontId="105" fillId="0" borderId="29" xfId="1388" applyNumberFormat="1" applyFont="1" applyBorder="1" applyAlignment="1">
      <alignment horizontal="left" vertical="center"/>
    </xf>
    <xf numFmtId="210" fontId="105" fillId="0" borderId="29" xfId="1388" applyNumberFormat="1" applyFont="1" applyBorder="1" applyAlignment="1">
      <alignment horizontal="center" vertical="center"/>
    </xf>
    <xf numFmtId="210" fontId="105" fillId="0" borderId="29" xfId="2095" applyNumberFormat="1" applyFont="1" applyBorder="1"/>
    <xf numFmtId="0" fontId="105" fillId="0" borderId="29" xfId="2095" applyFont="1" applyBorder="1"/>
    <xf numFmtId="0" fontId="105" fillId="0" borderId="30" xfId="2095" applyFont="1" applyBorder="1"/>
    <xf numFmtId="0" fontId="105" fillId="0" borderId="30" xfId="2095" applyFont="1" applyBorder="1" applyAlignment="1">
      <alignment horizontal="center" vertical="center"/>
    </xf>
    <xf numFmtId="211" fontId="105" fillId="0" borderId="26" xfId="1388" applyNumberFormat="1" applyFont="1" applyBorder="1" applyAlignment="1">
      <alignment horizontal="center" vertical="center"/>
    </xf>
    <xf numFmtId="209" fontId="105" fillId="0" borderId="29" xfId="1388" applyNumberFormat="1" applyFont="1" applyBorder="1" applyAlignment="1">
      <alignment vertical="center"/>
    </xf>
    <xf numFmtId="193" fontId="105" fillId="0" borderId="29" xfId="1388" applyFont="1" applyBorder="1" applyAlignment="1">
      <alignment horizontal="left" vertical="center"/>
    </xf>
    <xf numFmtId="211" fontId="105" fillId="0" borderId="28" xfId="2095" applyNumberFormat="1" applyFont="1" applyBorder="1" applyAlignment="1">
      <alignment vertical="center"/>
    </xf>
    <xf numFmtId="193" fontId="105" fillId="0" borderId="30" xfId="1388" applyFont="1" applyBorder="1" applyAlignment="1">
      <alignment horizontal="center" vertical="center"/>
    </xf>
    <xf numFmtId="209" fontId="105" fillId="0" borderId="26" xfId="1388" applyNumberFormat="1" applyFont="1" applyBorder="1" applyAlignment="1">
      <alignment horizontal="right" vertical="center"/>
    </xf>
    <xf numFmtId="209" fontId="105" fillId="0" borderId="27" xfId="1388" applyNumberFormat="1" applyFont="1" applyBorder="1" applyAlignment="1">
      <alignment horizontal="right" vertical="center"/>
    </xf>
    <xf numFmtId="210" fontId="105" fillId="0" borderId="27" xfId="1388" applyNumberFormat="1" applyFont="1" applyBorder="1" applyAlignment="1">
      <alignment horizontal="left" vertical="center"/>
    </xf>
    <xf numFmtId="209" fontId="105" fillId="0" borderId="27" xfId="1388" applyNumberFormat="1" applyFont="1" applyBorder="1" applyAlignment="1">
      <alignment horizontal="center" vertical="center"/>
    </xf>
    <xf numFmtId="211" fontId="105" fillId="0" borderId="27" xfId="1388" applyNumberFormat="1" applyFont="1" applyBorder="1" applyAlignment="1">
      <alignment horizontal="right" vertical="center"/>
    </xf>
    <xf numFmtId="211" fontId="105" fillId="0" borderId="27" xfId="1388" applyNumberFormat="1" applyFont="1" applyBorder="1" applyAlignment="1">
      <alignment vertical="center"/>
    </xf>
    <xf numFmtId="210" fontId="105" fillId="0" borderId="26" xfId="1388" applyNumberFormat="1" applyFont="1" applyBorder="1" applyAlignment="1">
      <alignment horizontal="left" vertical="center"/>
    </xf>
    <xf numFmtId="193" fontId="105" fillId="0" borderId="29" xfId="1388" applyFont="1" applyBorder="1" applyAlignment="1">
      <alignment horizontal="centerContinuous" vertical="center"/>
    </xf>
    <xf numFmtId="0" fontId="105" fillId="0" borderId="29" xfId="2095" applyFont="1" applyBorder="1" applyAlignment="1">
      <alignment horizontal="centerContinuous" vertical="center"/>
    </xf>
    <xf numFmtId="0" fontId="105" fillId="0" borderId="26" xfId="2095" applyFont="1" applyBorder="1" applyAlignment="1">
      <alignment horizontal="left"/>
    </xf>
    <xf numFmtId="0" fontId="105" fillId="0" borderId="27" xfId="2095" applyFont="1" applyBorder="1" applyAlignment="1">
      <alignment horizontal="left"/>
    </xf>
    <xf numFmtId="0" fontId="105" fillId="0" borderId="27" xfId="2095" applyFont="1" applyBorder="1"/>
    <xf numFmtId="210" fontId="105" fillId="0" borderId="26" xfId="1388" applyNumberFormat="1" applyFont="1" applyBorder="1" applyAlignment="1">
      <alignment horizontal="center" vertical="center"/>
    </xf>
    <xf numFmtId="0" fontId="105" fillId="0" borderId="12" xfId="2095" applyFont="1" applyBorder="1" applyAlignment="1">
      <alignment horizontal="center" vertical="center"/>
    </xf>
    <xf numFmtId="0" fontId="105" fillId="0" borderId="0" xfId="2095" applyFont="1"/>
    <xf numFmtId="0" fontId="105" fillId="0" borderId="28" xfId="2096" applyFont="1" applyBorder="1"/>
    <xf numFmtId="0" fontId="105" fillId="0" borderId="30" xfId="2096" applyFont="1" applyBorder="1" applyAlignment="1">
      <alignment horizontal="center"/>
    </xf>
    <xf numFmtId="209" fontId="105" fillId="0" borderId="26" xfId="1388" applyNumberFormat="1" applyFont="1" applyBorder="1" applyAlignment="1">
      <alignment horizontal="left" vertical="center"/>
    </xf>
    <xf numFmtId="209" fontId="105" fillId="0" borderId="27" xfId="1388" applyNumberFormat="1" applyFont="1" applyBorder="1" applyAlignment="1">
      <alignment horizontal="left" vertical="center"/>
    </xf>
    <xf numFmtId="193" fontId="105" fillId="0" borderId="27" xfId="1388" applyFont="1" applyBorder="1" applyAlignment="1">
      <alignment horizontal="centerContinuous" vertical="center"/>
    </xf>
    <xf numFmtId="0" fontId="105" fillId="0" borderId="27" xfId="2095" applyFont="1" applyBorder="1" applyAlignment="1">
      <alignment horizontal="centerContinuous" vertical="center"/>
    </xf>
    <xf numFmtId="203" fontId="105" fillId="0" borderId="26" xfId="2095" applyNumberFormat="1" applyFont="1" applyBorder="1" applyAlignment="1">
      <alignment horizontal="right" vertical="center"/>
    </xf>
    <xf numFmtId="209" fontId="105" fillId="0" borderId="26" xfId="1388" applyNumberFormat="1" applyFont="1" applyBorder="1" applyAlignment="1">
      <alignment horizontal="center" vertical="center" wrapText="1" shrinkToFit="1"/>
    </xf>
    <xf numFmtId="209" fontId="105" fillId="0" borderId="27" xfId="1388" applyNumberFormat="1" applyFont="1" applyBorder="1" applyAlignment="1">
      <alignment horizontal="center" vertical="center" wrapText="1" shrinkToFit="1"/>
    </xf>
    <xf numFmtId="193" fontId="105" fillId="0" borderId="26" xfId="1388" applyFont="1" applyBorder="1" applyAlignment="1">
      <alignment horizontal="center" vertical="center"/>
    </xf>
    <xf numFmtId="0" fontId="105" fillId="0" borderId="12" xfId="2095" applyFont="1" applyBorder="1" applyAlignment="1">
      <alignment horizontal="center" vertical="center" wrapText="1" shrinkToFit="1"/>
    </xf>
    <xf numFmtId="209" fontId="105" fillId="0" borderId="29" xfId="1388" applyNumberFormat="1" applyFont="1" applyBorder="1" applyAlignment="1">
      <alignment horizontal="center" vertical="center" wrapText="1" shrinkToFit="1"/>
    </xf>
    <xf numFmtId="0" fontId="105" fillId="0" borderId="27" xfId="2085" applyFont="1" applyBorder="1"/>
    <xf numFmtId="0" fontId="105" fillId="0" borderId="34" xfId="2091" applyFont="1" applyBorder="1" applyAlignment="1">
      <alignment vertical="center"/>
    </xf>
    <xf numFmtId="41" fontId="119" fillId="0" borderId="34" xfId="1009" applyFont="1" applyFill="1" applyBorder="1" applyAlignment="1">
      <alignment vertical="center"/>
    </xf>
    <xf numFmtId="0" fontId="105" fillId="0" borderId="0" xfId="2091" applyFont="1" applyAlignment="1">
      <alignment horizontal="centerContinuous" vertical="center" shrinkToFit="1"/>
    </xf>
    <xf numFmtId="3" fontId="105" fillId="0" borderId="0" xfId="1009" applyNumberFormat="1" applyFont="1" applyFill="1" applyBorder="1" applyAlignment="1">
      <alignment vertical="center"/>
    </xf>
    <xf numFmtId="0" fontId="105" fillId="0" borderId="0" xfId="2091" quotePrefix="1" applyFont="1" applyAlignment="1">
      <alignment vertical="center"/>
    </xf>
    <xf numFmtId="3" fontId="105" fillId="0" borderId="27" xfId="1009" applyNumberFormat="1" applyFont="1" applyFill="1" applyBorder="1" applyAlignment="1">
      <alignment vertical="center"/>
    </xf>
    <xf numFmtId="0" fontId="105" fillId="0" borderId="27" xfId="2091" quotePrefix="1" applyFont="1" applyBorder="1" applyAlignment="1">
      <alignment vertical="center"/>
    </xf>
    <xf numFmtId="3" fontId="105" fillId="0" borderId="42" xfId="2091" applyNumberFormat="1" applyFont="1" applyBorder="1" applyAlignment="1">
      <alignment vertical="center"/>
    </xf>
    <xf numFmtId="0" fontId="105" fillId="0" borderId="42" xfId="2091" applyFont="1" applyBorder="1" applyAlignment="1">
      <alignment vertical="center"/>
    </xf>
    <xf numFmtId="209" fontId="142" fillId="0" borderId="27" xfId="1388" applyNumberFormat="1" applyFont="1" applyFill="1" applyBorder="1" applyAlignment="1">
      <alignment horizontal="center" vertical="center" wrapText="1" shrinkToFit="1"/>
    </xf>
    <xf numFmtId="193" fontId="142" fillId="0" borderId="26" xfId="1388" applyFont="1" applyFill="1" applyBorder="1" applyAlignment="1">
      <alignment horizontal="right" vertical="center"/>
    </xf>
    <xf numFmtId="209" fontId="142" fillId="0" borderId="28" xfId="1388" applyNumberFormat="1" applyFont="1" applyFill="1" applyBorder="1" applyAlignment="1">
      <alignment horizontal="left" vertical="center"/>
    </xf>
    <xf numFmtId="193" fontId="142" fillId="0" borderId="29" xfId="1388" applyFont="1" applyFill="1" applyBorder="1" applyAlignment="1">
      <alignment vertical="center"/>
    </xf>
    <xf numFmtId="209" fontId="142" fillId="0" borderId="29" xfId="1388" applyNumberFormat="1" applyFont="1" applyFill="1" applyBorder="1" applyAlignment="1">
      <alignment horizontal="left" vertical="center"/>
    </xf>
    <xf numFmtId="193" fontId="142" fillId="0" borderId="29" xfId="1388" applyFont="1" applyFill="1" applyBorder="1" applyAlignment="1">
      <alignment horizontal="center" vertical="center"/>
    </xf>
    <xf numFmtId="193" fontId="142" fillId="0" borderId="28" xfId="1388" applyFont="1" applyFill="1" applyBorder="1" applyAlignment="1">
      <alignment horizontal="center" vertical="center"/>
    </xf>
    <xf numFmtId="193" fontId="142" fillId="0" borderId="3" xfId="1388" applyFont="1" applyFill="1" applyBorder="1" applyAlignment="1">
      <alignment horizontal="right" vertical="center"/>
    </xf>
    <xf numFmtId="210" fontId="142" fillId="0" borderId="0" xfId="1388" applyNumberFormat="1" applyFont="1" applyFill="1" applyBorder="1" applyAlignment="1">
      <alignment horizontal="center" vertical="center"/>
    </xf>
    <xf numFmtId="210" fontId="142" fillId="0" borderId="0" xfId="1388" applyNumberFormat="1" applyFont="1" applyFill="1" applyBorder="1" applyAlignment="1">
      <alignment horizontal="right" vertical="center"/>
    </xf>
    <xf numFmtId="193" fontId="142" fillId="0" borderId="3" xfId="1388" applyFont="1" applyFill="1" applyBorder="1" applyAlignment="1">
      <alignment horizontal="center" vertical="center"/>
    </xf>
    <xf numFmtId="209" fontId="142" fillId="0" borderId="26" xfId="1388" applyNumberFormat="1" applyFont="1" applyFill="1" applyBorder="1" applyAlignment="1">
      <alignment horizontal="center" vertical="center"/>
    </xf>
    <xf numFmtId="210" fontId="142" fillId="0" borderId="27" xfId="1388" applyNumberFormat="1" applyFont="1" applyFill="1" applyBorder="1" applyAlignment="1">
      <alignment horizontal="center" vertical="center"/>
    </xf>
    <xf numFmtId="210" fontId="142" fillId="0" borderId="27" xfId="1388" applyNumberFormat="1" applyFont="1" applyFill="1" applyBorder="1" applyAlignment="1">
      <alignment vertical="center"/>
    </xf>
    <xf numFmtId="211" fontId="142" fillId="0" borderId="26" xfId="1388" applyNumberFormat="1" applyFont="1" applyFill="1" applyBorder="1" applyAlignment="1">
      <alignment horizontal="right" vertical="center"/>
    </xf>
    <xf numFmtId="209" fontId="105" fillId="0" borderId="28" xfId="1388" applyNumberFormat="1" applyFont="1" applyFill="1" applyBorder="1" applyAlignment="1">
      <alignment horizontal="left" vertical="center"/>
    </xf>
    <xf numFmtId="210" fontId="142" fillId="0" borderId="29" xfId="1388" applyNumberFormat="1" applyFont="1" applyFill="1" applyBorder="1" applyAlignment="1">
      <alignment vertical="center"/>
    </xf>
    <xf numFmtId="210" fontId="142" fillId="0" borderId="29" xfId="1388" applyNumberFormat="1" applyFont="1" applyFill="1" applyBorder="1" applyAlignment="1">
      <alignment horizontal="left" vertical="center"/>
    </xf>
    <xf numFmtId="210" fontId="105" fillId="0" borderId="0" xfId="1388" applyNumberFormat="1" applyFont="1" applyFill="1" applyBorder="1" applyAlignment="1">
      <alignment horizontal="center" vertical="center"/>
    </xf>
    <xf numFmtId="211" fontId="142" fillId="0" borderId="27" xfId="2095" applyNumberFormat="1" applyFont="1" applyBorder="1"/>
    <xf numFmtId="211" fontId="142" fillId="0" borderId="27" xfId="1388" applyNumberFormat="1" applyFont="1" applyFill="1" applyBorder="1" applyAlignment="1">
      <alignment horizontal="center" vertical="center"/>
    </xf>
    <xf numFmtId="211" fontId="142" fillId="0" borderId="26" xfId="1388" applyNumberFormat="1" applyFont="1" applyFill="1" applyBorder="1" applyAlignment="1">
      <alignment horizontal="left" vertical="center"/>
    </xf>
    <xf numFmtId="209" fontId="142" fillId="0" borderId="26" xfId="1388" applyNumberFormat="1" applyFont="1" applyFill="1" applyBorder="1" applyAlignment="1">
      <alignment horizontal="center" vertical="center" wrapText="1" shrinkToFit="1"/>
    </xf>
    <xf numFmtId="210" fontId="142" fillId="0" borderId="27" xfId="1388" applyNumberFormat="1" applyFont="1" applyFill="1" applyBorder="1" applyAlignment="1">
      <alignment horizontal="center" vertical="center" wrapText="1" shrinkToFit="1"/>
    </xf>
    <xf numFmtId="210" fontId="142" fillId="0" borderId="27" xfId="1388" applyNumberFormat="1" applyFont="1" applyFill="1" applyBorder="1" applyAlignment="1">
      <alignment horizontal="left" vertical="center" wrapText="1" shrinkToFit="1"/>
    </xf>
    <xf numFmtId="210" fontId="142" fillId="0" borderId="26" xfId="1388" applyNumberFormat="1" applyFont="1" applyFill="1" applyBorder="1" applyAlignment="1">
      <alignment horizontal="left" vertical="center"/>
    </xf>
    <xf numFmtId="0" fontId="105" fillId="0" borderId="28" xfId="1388" applyNumberFormat="1" applyFont="1" applyFill="1" applyBorder="1" applyAlignment="1">
      <alignment horizontal="left" vertical="center"/>
    </xf>
    <xf numFmtId="210" fontId="142" fillId="0" borderId="29" xfId="1388" applyNumberFormat="1" applyFont="1" applyFill="1" applyBorder="1" applyAlignment="1">
      <alignment horizontal="center" vertical="center"/>
    </xf>
    <xf numFmtId="211" fontId="142" fillId="0" borderId="26" xfId="1388" applyNumberFormat="1" applyFont="1" applyFill="1" applyBorder="1" applyAlignment="1">
      <alignment horizontal="center" vertical="center"/>
    </xf>
    <xf numFmtId="209" fontId="142" fillId="0" borderId="28" xfId="1388" applyNumberFormat="1" applyFont="1" applyFill="1" applyBorder="1" applyAlignment="1">
      <alignment vertical="center"/>
    </xf>
    <xf numFmtId="209" fontId="142" fillId="0" borderId="29" xfId="1388" applyNumberFormat="1" applyFont="1" applyFill="1" applyBorder="1" applyAlignment="1">
      <alignment vertical="center"/>
    </xf>
    <xf numFmtId="193" fontId="142" fillId="0" borderId="29" xfId="1388" applyFont="1" applyFill="1" applyBorder="1" applyAlignment="1">
      <alignment horizontal="left" vertical="center"/>
    </xf>
    <xf numFmtId="209" fontId="142" fillId="0" borderId="26" xfId="1388" applyNumberFormat="1" applyFont="1" applyFill="1" applyBorder="1" applyAlignment="1">
      <alignment horizontal="right" vertical="center"/>
    </xf>
    <xf numFmtId="209" fontId="142" fillId="0" borderId="27" xfId="1388" applyNumberFormat="1" applyFont="1" applyFill="1" applyBorder="1" applyAlignment="1">
      <alignment horizontal="center" vertical="center"/>
    </xf>
    <xf numFmtId="211" fontId="142" fillId="0" borderId="27" xfId="1388" applyNumberFormat="1" applyFont="1" applyFill="1" applyBorder="1" applyAlignment="1">
      <alignment horizontal="right" vertical="center"/>
    </xf>
    <xf numFmtId="211" fontId="142" fillId="0" borderId="27" xfId="1388" applyNumberFormat="1" applyFont="1" applyFill="1" applyBorder="1" applyAlignment="1">
      <alignment vertical="center"/>
    </xf>
    <xf numFmtId="193" fontId="142" fillId="0" borderId="29" xfId="1388" applyFont="1" applyFill="1" applyBorder="1" applyAlignment="1">
      <alignment horizontal="centerContinuous" vertical="center"/>
    </xf>
    <xf numFmtId="210" fontId="142" fillId="0" borderId="26" xfId="1388" applyNumberFormat="1" applyFont="1" applyFill="1" applyBorder="1" applyAlignment="1">
      <alignment horizontal="center" vertical="center"/>
    </xf>
    <xf numFmtId="209" fontId="142" fillId="0" borderId="0" xfId="1388" applyNumberFormat="1" applyFont="1" applyFill="1" applyBorder="1" applyAlignment="1">
      <alignment horizontal="left" vertical="center"/>
    </xf>
    <xf numFmtId="209" fontId="142" fillId="0" borderId="26" xfId="1388" applyNumberFormat="1" applyFont="1" applyFill="1" applyBorder="1" applyAlignment="1">
      <alignment horizontal="left" vertical="center"/>
    </xf>
    <xf numFmtId="209" fontId="142" fillId="0" borderId="27" xfId="1388" applyNumberFormat="1" applyFont="1" applyFill="1" applyBorder="1" applyAlignment="1">
      <alignment horizontal="left" vertical="center"/>
    </xf>
    <xf numFmtId="193" fontId="142" fillId="0" borderId="27" xfId="1388" applyFont="1" applyFill="1" applyBorder="1" applyAlignment="1">
      <alignment horizontal="centerContinuous" vertical="center"/>
    </xf>
    <xf numFmtId="193" fontId="142" fillId="0" borderId="26" xfId="1388" applyFont="1" applyFill="1" applyBorder="1" applyAlignment="1">
      <alignment horizontal="center" vertical="center"/>
    </xf>
    <xf numFmtId="210" fontId="105" fillId="0" borderId="29" xfId="1388" applyNumberFormat="1" applyFont="1" applyFill="1" applyBorder="1" applyAlignment="1">
      <alignment vertical="center"/>
    </xf>
    <xf numFmtId="209" fontId="105" fillId="0" borderId="29" xfId="1388" applyNumberFormat="1" applyFont="1" applyFill="1" applyBorder="1" applyAlignment="1">
      <alignment horizontal="left" vertical="center"/>
    </xf>
    <xf numFmtId="193" fontId="105" fillId="0" borderId="29" xfId="1388" applyFont="1" applyFill="1" applyBorder="1" applyAlignment="1">
      <alignment horizontal="center" vertical="center"/>
    </xf>
    <xf numFmtId="193" fontId="105" fillId="0" borderId="28" xfId="1388" applyFont="1" applyFill="1" applyBorder="1" applyAlignment="1">
      <alignment horizontal="center" vertical="center"/>
    </xf>
    <xf numFmtId="209" fontId="105" fillId="0" borderId="26" xfId="1388" applyNumberFormat="1" applyFont="1" applyFill="1" applyBorder="1" applyAlignment="1">
      <alignment horizontal="center" vertical="center" wrapText="1" shrinkToFit="1"/>
    </xf>
    <xf numFmtId="209" fontId="105" fillId="0" borderId="27" xfId="1388" applyNumberFormat="1" applyFont="1" applyFill="1" applyBorder="1" applyAlignment="1">
      <alignment horizontal="center" vertical="center" wrapText="1" shrinkToFit="1"/>
    </xf>
    <xf numFmtId="193" fontId="105" fillId="0" borderId="26" xfId="1388" applyFont="1" applyFill="1" applyBorder="1" applyAlignment="1">
      <alignment horizontal="center" vertical="center"/>
    </xf>
    <xf numFmtId="209" fontId="105" fillId="0" borderId="28" xfId="1388" applyNumberFormat="1" applyFont="1" applyFill="1" applyBorder="1" applyAlignment="1">
      <alignment vertical="center"/>
    </xf>
    <xf numFmtId="209" fontId="105" fillId="0" borderId="0" xfId="1388" applyNumberFormat="1" applyFont="1" applyFill="1" applyBorder="1" applyAlignment="1">
      <alignment horizontal="left" vertical="center"/>
    </xf>
    <xf numFmtId="209" fontId="188" fillId="0" borderId="0" xfId="1388" applyNumberFormat="1" applyFont="1" applyFill="1" applyBorder="1" applyAlignment="1">
      <alignment horizontal="left" vertical="center"/>
    </xf>
    <xf numFmtId="0" fontId="0" fillId="0" borderId="72" xfId="0" applyBorder="1" applyAlignment="1">
      <alignment horizontal="center" vertical="center" shrinkToFit="1"/>
    </xf>
    <xf numFmtId="0" fontId="167" fillId="0" borderId="72" xfId="0" applyFont="1" applyBorder="1" applyAlignment="1">
      <alignment horizontal="left" vertical="center" shrinkToFit="1"/>
    </xf>
    <xf numFmtId="252" fontId="142" fillId="0" borderId="0" xfId="2087" applyNumberFormat="1" applyFont="1"/>
    <xf numFmtId="0" fontId="105" fillId="28" borderId="53" xfId="2095" applyFont="1" applyFill="1" applyBorder="1" applyAlignment="1">
      <alignment horizontal="center" vertical="center"/>
    </xf>
    <xf numFmtId="0" fontId="105" fillId="28" borderId="54" xfId="2095" applyFont="1" applyFill="1" applyBorder="1" applyAlignment="1">
      <alignment horizontal="center" vertical="center"/>
    </xf>
    <xf numFmtId="0" fontId="105" fillId="28" borderId="57" xfId="2095" applyFont="1" applyFill="1" applyBorder="1" applyAlignment="1">
      <alignment horizontal="center" vertical="center"/>
    </xf>
    <xf numFmtId="0" fontId="105" fillId="28" borderId="58" xfId="2095" applyFont="1" applyFill="1" applyBorder="1" applyAlignment="1">
      <alignment horizontal="center" vertical="center"/>
    </xf>
    <xf numFmtId="0" fontId="105" fillId="0" borderId="28" xfId="2095" applyFont="1" applyBorder="1" applyAlignment="1">
      <alignment horizontal="center" vertical="center"/>
    </xf>
    <xf numFmtId="0" fontId="105" fillId="0" borderId="29" xfId="2095" applyFont="1" applyBorder="1" applyAlignment="1">
      <alignment vertical="center"/>
    </xf>
    <xf numFmtId="0" fontId="105" fillId="0" borderId="29" xfId="2095" applyFont="1" applyBorder="1" applyAlignment="1">
      <alignment horizontal="center" vertical="center"/>
    </xf>
    <xf numFmtId="193" fontId="105" fillId="0" borderId="30" xfId="1388" applyFont="1" applyFill="1" applyBorder="1" applyAlignment="1">
      <alignment horizontal="center" vertical="center"/>
    </xf>
    <xf numFmtId="209" fontId="105" fillId="0" borderId="7" xfId="1388" applyNumberFormat="1" applyFont="1" applyBorder="1" applyAlignment="1">
      <alignment horizontal="center" vertical="center" wrapText="1" shrinkToFit="1"/>
    </xf>
    <xf numFmtId="193" fontId="105" fillId="0" borderId="7" xfId="1388" applyFont="1" applyBorder="1" applyAlignment="1">
      <alignment horizontal="center" vertical="center"/>
    </xf>
    <xf numFmtId="193" fontId="105" fillId="0" borderId="36" xfId="1388" applyFont="1" applyBorder="1" applyAlignment="1">
      <alignment horizontal="right" vertical="center"/>
    </xf>
    <xf numFmtId="0" fontId="105" fillId="0" borderId="37" xfId="2095" applyFont="1" applyBorder="1" applyAlignment="1">
      <alignment horizontal="center" vertical="center" wrapText="1" shrinkToFit="1"/>
    </xf>
    <xf numFmtId="0" fontId="105" fillId="0" borderId="45" xfId="2095" applyFont="1" applyBorder="1" applyAlignment="1">
      <alignment vertical="center"/>
    </xf>
    <xf numFmtId="0" fontId="105" fillId="0" borderId="46" xfId="2095" applyFont="1" applyBorder="1" applyAlignment="1">
      <alignment horizontal="centerContinuous" vertical="center"/>
    </xf>
    <xf numFmtId="210" fontId="105" fillId="0" borderId="29" xfId="1388" applyNumberFormat="1" applyFont="1" applyBorder="1" applyAlignment="1">
      <alignment vertical="center"/>
    </xf>
    <xf numFmtId="0" fontId="105" fillId="0" borderId="3" xfId="2095" applyFont="1" applyBorder="1" applyAlignment="1">
      <alignment vertical="center"/>
    </xf>
    <xf numFmtId="0" fontId="105" fillId="0" borderId="45" xfId="2095" applyFont="1" applyBorder="1" applyAlignment="1">
      <alignment horizontal="center" vertical="center"/>
    </xf>
    <xf numFmtId="0" fontId="105" fillId="0" borderId="47" xfId="2095" applyFont="1" applyBorder="1" applyAlignment="1">
      <alignment horizontal="center" vertical="center"/>
    </xf>
    <xf numFmtId="0" fontId="105" fillId="0" borderId="48" xfId="2095" applyFont="1" applyBorder="1" applyAlignment="1">
      <alignment horizontal="center" vertical="center"/>
    </xf>
    <xf numFmtId="193" fontId="105" fillId="0" borderId="0" xfId="1388" applyFont="1" applyBorder="1" applyAlignment="1">
      <alignment horizontal="right" vertical="center"/>
    </xf>
    <xf numFmtId="0" fontId="105" fillId="0" borderId="27" xfId="2095" applyFont="1" applyBorder="1" applyAlignment="1">
      <alignment horizontal="right"/>
    </xf>
    <xf numFmtId="210" fontId="105" fillId="0" borderId="29" xfId="2095" applyNumberFormat="1" applyFont="1" applyBorder="1" applyAlignment="1">
      <alignment horizontal="center" vertical="center"/>
    </xf>
    <xf numFmtId="210" fontId="105" fillId="0" borderId="0" xfId="2096" applyNumberFormat="1" applyFont="1" applyAlignment="1">
      <alignment vertical="center"/>
    </xf>
    <xf numFmtId="0" fontId="105" fillId="0" borderId="28" xfId="2095" applyFont="1" applyBorder="1" applyAlignment="1">
      <alignment vertical="center"/>
    </xf>
    <xf numFmtId="0" fontId="105" fillId="0" borderId="26" xfId="2095" applyFont="1" applyBorder="1"/>
    <xf numFmtId="210" fontId="105" fillId="0" borderId="27" xfId="2095" applyNumberFormat="1" applyFont="1" applyBorder="1"/>
    <xf numFmtId="210" fontId="105" fillId="0" borderId="27" xfId="2095" applyNumberFormat="1" applyFont="1" applyBorder="1" applyAlignment="1">
      <alignment horizontal="center" vertical="center"/>
    </xf>
    <xf numFmtId="0" fontId="105" fillId="0" borderId="27" xfId="2095" applyFont="1" applyBorder="1" applyAlignment="1">
      <alignment horizontal="center"/>
    </xf>
    <xf numFmtId="211" fontId="105" fillId="0" borderId="27" xfId="1388" applyNumberFormat="1" applyFont="1" applyBorder="1" applyAlignment="1">
      <alignment horizontal="center" vertical="center"/>
    </xf>
    <xf numFmtId="0" fontId="105" fillId="0" borderId="29" xfId="2095" applyFont="1" applyBorder="1" applyAlignment="1">
      <alignment horizontal="left"/>
    </xf>
    <xf numFmtId="0" fontId="105" fillId="28" borderId="52" xfId="2095" applyFont="1" applyFill="1" applyBorder="1" applyAlignment="1">
      <alignment horizontal="center" vertical="center"/>
    </xf>
    <xf numFmtId="0" fontId="105" fillId="28" borderId="56" xfId="2095" applyFont="1" applyFill="1" applyBorder="1" applyAlignment="1">
      <alignment horizontal="center" vertical="center"/>
    </xf>
    <xf numFmtId="0" fontId="105" fillId="0" borderId="52" xfId="2095" applyFont="1" applyBorder="1" applyAlignment="1">
      <alignment horizontal="center" vertical="center"/>
    </xf>
    <xf numFmtId="0" fontId="105" fillId="0" borderId="60" xfId="2095" applyFont="1" applyBorder="1" applyAlignment="1">
      <alignment horizontal="center" vertical="center"/>
    </xf>
    <xf numFmtId="0" fontId="105" fillId="0" borderId="61" xfId="2095" applyFont="1" applyBorder="1" applyAlignment="1">
      <alignment vertical="center"/>
    </xf>
    <xf numFmtId="0" fontId="105" fillId="0" borderId="62" xfId="2095" applyFont="1" applyBorder="1" applyAlignment="1">
      <alignment horizontal="center" vertical="center"/>
    </xf>
    <xf numFmtId="0" fontId="105" fillId="0" borderId="63" xfId="2095" applyFont="1" applyBorder="1" applyAlignment="1">
      <alignment horizontal="center" vertical="center"/>
    </xf>
    <xf numFmtId="0" fontId="105" fillId="0" borderId="61" xfId="2095" applyFont="1" applyBorder="1" applyAlignment="1">
      <alignment horizontal="center" vertical="center"/>
    </xf>
    <xf numFmtId="184" fontId="105" fillId="0" borderId="64" xfId="2095" applyNumberFormat="1" applyFont="1" applyBorder="1" applyAlignment="1">
      <alignment vertical="center"/>
    </xf>
    <xf numFmtId="184" fontId="105" fillId="0" borderId="64" xfId="2095" applyNumberFormat="1" applyFont="1" applyBorder="1" applyAlignment="1">
      <alignment horizontal="center" vertical="center"/>
    </xf>
    <xf numFmtId="0" fontId="105" fillId="0" borderId="65" xfId="2095" applyFont="1" applyBorder="1" applyAlignment="1">
      <alignment vertical="center"/>
    </xf>
    <xf numFmtId="0" fontId="105" fillId="0" borderId="65" xfId="2095" applyFont="1" applyBorder="1" applyAlignment="1">
      <alignment horizontal="center" vertical="center"/>
    </xf>
    <xf numFmtId="0" fontId="105" fillId="0" borderId="47" xfId="2096" applyFont="1" applyBorder="1"/>
    <xf numFmtId="193" fontId="105" fillId="0" borderId="12" xfId="1388" applyFont="1" applyFill="1" applyBorder="1" applyAlignment="1">
      <alignment horizontal="center" vertical="center"/>
    </xf>
    <xf numFmtId="209" fontId="105" fillId="0" borderId="36" xfId="1388" applyNumberFormat="1" applyFont="1" applyBorder="1" applyAlignment="1">
      <alignment horizontal="left" vertical="center"/>
    </xf>
    <xf numFmtId="193" fontId="105" fillId="0" borderId="36" xfId="1388" applyFont="1" applyBorder="1" applyAlignment="1">
      <alignment horizontal="center" vertical="center"/>
    </xf>
    <xf numFmtId="0" fontId="142" fillId="27" borderId="56" xfId="2095" applyFont="1" applyFill="1" applyBorder="1" applyAlignment="1">
      <alignment horizontal="center" vertical="center"/>
    </xf>
    <xf numFmtId="0" fontId="142" fillId="27" borderId="8" xfId="2095" applyFont="1" applyFill="1" applyBorder="1" applyAlignment="1">
      <alignment horizontal="center" vertical="center"/>
    </xf>
    <xf numFmtId="0" fontId="142" fillId="0" borderId="82" xfId="2095" applyFont="1" applyBorder="1" applyAlignment="1">
      <alignment horizontal="center" vertical="center"/>
    </xf>
    <xf numFmtId="0" fontId="142" fillId="0" borderId="83" xfId="2095" applyFont="1" applyBorder="1" applyAlignment="1">
      <alignment horizontal="center" vertical="center"/>
    </xf>
    <xf numFmtId="0" fontId="142" fillId="0" borderId="84" xfId="2095" applyFont="1" applyBorder="1" applyAlignment="1">
      <alignment horizontal="center" vertical="center"/>
    </xf>
    <xf numFmtId="0" fontId="142" fillId="0" borderId="85" xfId="2095" applyFont="1" applyBorder="1" applyAlignment="1">
      <alignment horizontal="center" vertical="center"/>
    </xf>
    <xf numFmtId="180" fontId="107" fillId="0" borderId="4" xfId="2094" applyNumberFormat="1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43" fontId="142" fillId="0" borderId="4" xfId="2089" applyNumberFormat="1" applyFont="1" applyBorder="1" applyAlignment="1">
      <alignment horizontal="left" vertical="center" shrinkToFit="1"/>
    </xf>
    <xf numFmtId="43" fontId="142" fillId="0" borderId="13" xfId="2089" applyNumberFormat="1" applyFont="1" applyBorder="1" applyAlignment="1">
      <alignment horizontal="center" vertical="center" shrinkToFit="1"/>
    </xf>
    <xf numFmtId="43" fontId="142" fillId="0" borderId="13" xfId="2089" applyNumberFormat="1" applyFont="1" applyBorder="1" applyAlignment="1">
      <alignment horizontal="center" vertical="center"/>
    </xf>
    <xf numFmtId="41" fontId="142" fillId="0" borderId="13" xfId="1003" applyFont="1" applyFill="1" applyBorder="1" applyAlignment="1">
      <alignment horizontal="center" vertical="center" shrinkToFit="1"/>
    </xf>
    <xf numFmtId="180" fontId="142" fillId="0" borderId="13" xfId="2094" applyNumberFormat="1" applyFont="1" applyBorder="1" applyAlignment="1">
      <alignment vertical="center" shrinkToFit="1"/>
    </xf>
    <xf numFmtId="180" fontId="142" fillId="0" borderId="13" xfId="2094" applyNumberFormat="1" applyFont="1" applyBorder="1" applyAlignment="1">
      <alignment horizontal="right" vertical="center" shrinkToFit="1"/>
    </xf>
    <xf numFmtId="43" fontId="143" fillId="0" borderId="89" xfId="2089" applyNumberFormat="1" applyFont="1" applyBorder="1" applyAlignment="1">
      <alignment horizontal="center" vertical="center"/>
    </xf>
    <xf numFmtId="41" fontId="143" fillId="0" borderId="89" xfId="1003" applyFont="1" applyFill="1" applyBorder="1" applyAlignment="1">
      <alignment horizontal="center" vertical="center" shrinkToFit="1"/>
    </xf>
    <xf numFmtId="180" fontId="143" fillId="0" borderId="89" xfId="2094" applyNumberFormat="1" applyFont="1" applyBorder="1" applyAlignment="1">
      <alignment vertical="center" shrinkToFit="1"/>
    </xf>
    <xf numFmtId="180" fontId="143" fillId="0" borderId="89" xfId="2094" applyNumberFormat="1" applyFont="1" applyBorder="1" applyAlignment="1">
      <alignment horizontal="right" vertical="center" shrinkToFit="1"/>
    </xf>
    <xf numFmtId="211" fontId="142" fillId="0" borderId="3" xfId="1388" applyNumberFormat="1" applyFont="1" applyFill="1" applyBorder="1" applyAlignment="1">
      <alignment horizontal="center" vertical="center"/>
    </xf>
    <xf numFmtId="0" fontId="185" fillId="0" borderId="0" xfId="0" applyFont="1" applyAlignment="1">
      <alignment horizontal="center" vertical="center"/>
    </xf>
    <xf numFmtId="0" fontId="193" fillId="0" borderId="0" xfId="0" applyFont="1" applyAlignment="1">
      <alignment horizontal="center" vertical="center" shrinkToFit="1"/>
    </xf>
    <xf numFmtId="0" fontId="193" fillId="0" borderId="0" xfId="0" applyFont="1" applyAlignment="1">
      <alignment horizontal="center" vertical="center"/>
    </xf>
    <xf numFmtId="255" fontId="139" fillId="0" borderId="0" xfId="2094" applyNumberFormat="1" applyFont="1">
      <alignment vertical="center"/>
    </xf>
    <xf numFmtId="0" fontId="193" fillId="0" borderId="0" xfId="0" applyFont="1" applyAlignment="1">
      <alignment horizontal="right" vertical="center" shrinkToFit="1"/>
    </xf>
    <xf numFmtId="180" fontId="107" fillId="0" borderId="86" xfId="2094" applyNumberFormat="1" applyFont="1" applyBorder="1" applyAlignment="1">
      <alignment horizontal="left" vertical="center" shrinkToFit="1"/>
    </xf>
    <xf numFmtId="0" fontId="0" fillId="0" borderId="87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43" fontId="105" fillId="0" borderId="4" xfId="2089" applyNumberFormat="1" applyFont="1" applyBorder="1" applyAlignment="1">
      <alignment horizontal="left" vertical="center" shrinkToFit="1"/>
    </xf>
    <xf numFmtId="43" fontId="105" fillId="0" borderId="13" xfId="2089" applyNumberFormat="1" applyFont="1" applyBorder="1" applyAlignment="1">
      <alignment horizontal="center" vertical="center"/>
    </xf>
    <xf numFmtId="10" fontId="142" fillId="0" borderId="13" xfId="2089" applyNumberFormat="1" applyFont="1" applyBorder="1" applyAlignment="1">
      <alignment horizontal="center" vertical="center" shrinkToFit="1"/>
    </xf>
    <xf numFmtId="0" fontId="183" fillId="29" borderId="91" xfId="0" applyFont="1" applyFill="1" applyBorder="1" applyAlignment="1">
      <alignment horizontal="center" vertical="center" shrinkToFit="1"/>
    </xf>
    <xf numFmtId="0" fontId="193" fillId="0" borderId="86" xfId="0" applyFont="1" applyBorder="1" applyAlignment="1">
      <alignment horizontal="left" vertical="center" shrinkToFit="1"/>
    </xf>
    <xf numFmtId="0" fontId="193" fillId="0" borderId="87" xfId="0" applyFont="1" applyBorder="1" applyAlignment="1">
      <alignment horizontal="left" vertical="center" shrinkToFit="1"/>
    </xf>
    <xf numFmtId="0" fontId="193" fillId="0" borderId="87" xfId="0" applyFont="1" applyBorder="1" applyAlignment="1">
      <alignment horizontal="center" vertical="center" shrinkToFit="1"/>
    </xf>
    <xf numFmtId="178" fontId="193" fillId="0" borderId="87" xfId="0" applyNumberFormat="1" applyFont="1" applyBorder="1" applyAlignment="1">
      <alignment horizontal="center" vertical="center" shrinkToFit="1"/>
    </xf>
    <xf numFmtId="0" fontId="193" fillId="0" borderId="32" xfId="0" applyFont="1" applyBorder="1" applyAlignment="1">
      <alignment horizontal="center" vertical="center" shrinkToFit="1"/>
    </xf>
    <xf numFmtId="233" fontId="142" fillId="0" borderId="0" xfId="1003" applyNumberFormat="1" applyFont="1" applyFill="1" applyBorder="1" applyAlignment="1">
      <alignment vertical="center"/>
    </xf>
    <xf numFmtId="0" fontId="105" fillId="0" borderId="103" xfId="2095" applyFont="1" applyBorder="1" applyAlignment="1">
      <alignment horizontal="center" vertical="center" wrapText="1" shrinkToFit="1"/>
    </xf>
    <xf numFmtId="209" fontId="105" fillId="0" borderId="94" xfId="1388" applyNumberFormat="1" applyFont="1" applyFill="1" applyBorder="1" applyAlignment="1">
      <alignment horizontal="center" vertical="center" wrapText="1" shrinkToFit="1"/>
    </xf>
    <xf numFmtId="193" fontId="105" fillId="0" borderId="94" xfId="1388" applyFont="1" applyFill="1" applyBorder="1" applyAlignment="1">
      <alignment horizontal="center" vertical="center"/>
    </xf>
    <xf numFmtId="193" fontId="105" fillId="0" borderId="102" xfId="1388" applyFont="1" applyFill="1" applyBorder="1" applyAlignment="1">
      <alignment horizontal="right" vertical="center"/>
    </xf>
    <xf numFmtId="193" fontId="105" fillId="0" borderId="29" xfId="1388" applyFont="1" applyFill="1" applyBorder="1" applyAlignment="1">
      <alignment vertical="center"/>
    </xf>
    <xf numFmtId="193" fontId="105" fillId="0" borderId="3" xfId="1388" applyFont="1" applyFill="1" applyBorder="1" applyAlignment="1">
      <alignment horizontal="right" vertical="center"/>
    </xf>
    <xf numFmtId="210" fontId="105" fillId="0" borderId="0" xfId="1388" applyNumberFormat="1" applyFont="1" applyFill="1" applyBorder="1" applyAlignment="1">
      <alignment horizontal="right" vertical="center"/>
    </xf>
    <xf numFmtId="210" fontId="105" fillId="0" borderId="0" xfId="1388" applyNumberFormat="1" applyFont="1" applyFill="1" applyBorder="1" applyAlignment="1">
      <alignment horizontal="left" vertical="center"/>
    </xf>
    <xf numFmtId="193" fontId="105" fillId="0" borderId="3" xfId="1388" applyFont="1" applyFill="1" applyBorder="1" applyAlignment="1">
      <alignment horizontal="center" vertical="center"/>
    </xf>
    <xf numFmtId="209" fontId="105" fillId="0" borderId="93" xfId="1388" applyNumberFormat="1" applyFont="1" applyFill="1" applyBorder="1" applyAlignment="1">
      <alignment horizontal="center" vertical="center"/>
    </xf>
    <xf numFmtId="210" fontId="105" fillId="0" borderId="104" xfId="1388" applyNumberFormat="1" applyFont="1" applyFill="1" applyBorder="1" applyAlignment="1">
      <alignment horizontal="center" vertical="center"/>
    </xf>
    <xf numFmtId="210" fontId="105" fillId="0" borderId="104" xfId="1388" applyNumberFormat="1" applyFont="1" applyFill="1" applyBorder="1" applyAlignment="1">
      <alignment vertical="center"/>
    </xf>
    <xf numFmtId="193" fontId="105" fillId="0" borderId="104" xfId="1388" applyFont="1" applyFill="1" applyBorder="1" applyAlignment="1">
      <alignment horizontal="center" vertical="center"/>
    </xf>
    <xf numFmtId="211" fontId="105" fillId="0" borderId="93" xfId="1388" applyNumberFormat="1" applyFont="1" applyFill="1" applyBorder="1" applyAlignment="1">
      <alignment horizontal="right" vertical="center"/>
    </xf>
    <xf numFmtId="193" fontId="105" fillId="0" borderId="98" xfId="1388" applyFont="1" applyFill="1" applyBorder="1" applyAlignment="1">
      <alignment horizontal="center" vertical="center"/>
    </xf>
    <xf numFmtId="210" fontId="105" fillId="0" borderId="29" xfId="1388" applyNumberFormat="1" applyFont="1" applyFill="1" applyBorder="1" applyAlignment="1">
      <alignment horizontal="left" vertical="center"/>
    </xf>
    <xf numFmtId="0" fontId="105" fillId="0" borderId="104" xfId="2095" applyFont="1" applyBorder="1" applyAlignment="1">
      <alignment horizontal="left"/>
    </xf>
    <xf numFmtId="0" fontId="105" fillId="0" borderId="104" xfId="2095" applyFont="1" applyBorder="1" applyAlignment="1">
      <alignment horizontal="right"/>
    </xf>
    <xf numFmtId="0" fontId="105" fillId="0" borderId="93" xfId="2095" applyFont="1" applyBorder="1"/>
    <xf numFmtId="210" fontId="105" fillId="0" borderId="104" xfId="2095" applyNumberFormat="1" applyFont="1" applyBorder="1"/>
    <xf numFmtId="211" fontId="105" fillId="0" borderId="104" xfId="2095" applyNumberFormat="1" applyFont="1" applyBorder="1"/>
    <xf numFmtId="210" fontId="105" fillId="0" borderId="104" xfId="2095" applyNumberFormat="1" applyFont="1" applyBorder="1" applyAlignment="1">
      <alignment horizontal="center" vertical="center"/>
    </xf>
    <xf numFmtId="210" fontId="105" fillId="0" borderId="104" xfId="1388" applyNumberFormat="1" applyFont="1" applyFill="1" applyBorder="1" applyAlignment="1">
      <alignment horizontal="left" vertical="center"/>
    </xf>
    <xf numFmtId="0" fontId="105" fillId="0" borderId="104" xfId="2095" applyFont="1" applyBorder="1" applyAlignment="1">
      <alignment horizontal="center"/>
    </xf>
    <xf numFmtId="211" fontId="105" fillId="0" borderId="104" xfId="1388" applyNumberFormat="1" applyFont="1" applyFill="1" applyBorder="1" applyAlignment="1">
      <alignment horizontal="center" vertical="center"/>
    </xf>
    <xf numFmtId="211" fontId="105" fillId="0" borderId="93" xfId="1388" applyNumberFormat="1" applyFont="1" applyFill="1" applyBorder="1" applyAlignment="1">
      <alignment horizontal="left" vertical="center"/>
    </xf>
    <xf numFmtId="209" fontId="105" fillId="0" borderId="93" xfId="1388" applyNumberFormat="1" applyFont="1" applyFill="1" applyBorder="1" applyAlignment="1">
      <alignment horizontal="center" vertical="center" wrapText="1" shrinkToFit="1"/>
    </xf>
    <xf numFmtId="210" fontId="105" fillId="0" borderId="104" xfId="1388" applyNumberFormat="1" applyFont="1" applyFill="1" applyBorder="1" applyAlignment="1">
      <alignment horizontal="center" vertical="center" wrapText="1" shrinkToFit="1"/>
    </xf>
    <xf numFmtId="210" fontId="105" fillId="0" borderId="104" xfId="1388" applyNumberFormat="1" applyFont="1" applyFill="1" applyBorder="1" applyAlignment="1">
      <alignment horizontal="left" vertical="center" wrapText="1" shrinkToFit="1"/>
    </xf>
    <xf numFmtId="210" fontId="105" fillId="0" borderId="93" xfId="1388" applyNumberFormat="1" applyFont="1" applyFill="1" applyBorder="1" applyAlignment="1">
      <alignment horizontal="left" vertical="center"/>
    </xf>
    <xf numFmtId="210" fontId="105" fillId="0" borderId="29" xfId="1388" applyNumberFormat="1" applyFont="1" applyFill="1" applyBorder="1" applyAlignment="1">
      <alignment horizontal="center" vertical="center"/>
    </xf>
    <xf numFmtId="41" fontId="105" fillId="0" borderId="3" xfId="1003" applyFont="1" applyFill="1" applyBorder="1" applyAlignment="1">
      <alignment horizontal="right" vertical="center"/>
    </xf>
    <xf numFmtId="209" fontId="105" fillId="0" borderId="0" xfId="1388" applyNumberFormat="1" applyFont="1" applyFill="1" applyBorder="1" applyAlignment="1">
      <alignment horizontal="center" vertical="center"/>
    </xf>
    <xf numFmtId="41" fontId="105" fillId="0" borderId="0" xfId="1003" applyFont="1" applyFill="1" applyBorder="1" applyAlignment="1">
      <alignment horizontal="center" vertical="center"/>
    </xf>
    <xf numFmtId="207" fontId="105" fillId="0" borderId="0" xfId="1003" applyNumberFormat="1" applyFont="1" applyFill="1" applyBorder="1" applyAlignment="1">
      <alignment vertical="center"/>
    </xf>
    <xf numFmtId="41" fontId="105" fillId="0" borderId="0" xfId="1003" applyFont="1" applyFill="1" applyBorder="1" applyAlignment="1">
      <alignment horizontal="left" vertical="center"/>
    </xf>
    <xf numFmtId="0" fontId="105" fillId="0" borderId="0" xfId="2096" applyFont="1" applyAlignment="1">
      <alignment vertical="center"/>
    </xf>
    <xf numFmtId="209" fontId="105" fillId="0" borderId="0" xfId="1388" applyNumberFormat="1" applyFont="1" applyFill="1" applyBorder="1" applyAlignment="1">
      <alignment horizontal="right" vertical="center"/>
    </xf>
    <xf numFmtId="211" fontId="105" fillId="0" borderId="3" xfId="1388" applyNumberFormat="1" applyFont="1" applyFill="1" applyBorder="1" applyAlignment="1">
      <alignment horizontal="center" vertical="center"/>
    </xf>
    <xf numFmtId="210" fontId="105" fillId="0" borderId="29" xfId="2096" applyNumberFormat="1" applyFont="1" applyBorder="1" applyAlignment="1">
      <alignment vertical="center"/>
    </xf>
    <xf numFmtId="0" fontId="195" fillId="0" borderId="0" xfId="0" applyFont="1" applyAlignment="1">
      <alignment horizontal="center" vertical="center"/>
    </xf>
    <xf numFmtId="0" fontId="139" fillId="0" borderId="0" xfId="0" applyFont="1">
      <alignment vertical="center"/>
    </xf>
    <xf numFmtId="0" fontId="2" fillId="0" borderId="0" xfId="0" applyFont="1">
      <alignment vertical="center"/>
    </xf>
    <xf numFmtId="0" fontId="107" fillId="0" borderId="0" xfId="0" applyFont="1">
      <alignment vertical="center"/>
    </xf>
    <xf numFmtId="0" fontId="116" fillId="0" borderId="0" xfId="0" applyFont="1">
      <alignment vertical="center"/>
    </xf>
    <xf numFmtId="0" fontId="147" fillId="0" borderId="0" xfId="0" applyFont="1" applyAlignment="1">
      <alignment horizontal="right" vertical="center"/>
    </xf>
    <xf numFmtId="0" fontId="116" fillId="0" borderId="2" xfId="0" applyFont="1" applyBorder="1" applyAlignment="1">
      <alignment horizontal="distributed" vertical="center"/>
    </xf>
    <xf numFmtId="0" fontId="116" fillId="0" borderId="2" xfId="0" applyFont="1" applyBorder="1" applyAlignment="1">
      <alignment horizontal="center" vertical="center"/>
    </xf>
    <xf numFmtId="0" fontId="139" fillId="0" borderId="2" xfId="0" applyFont="1" applyBorder="1" applyAlignment="1">
      <alignment horizontal="center" vertical="center"/>
    </xf>
    <xf numFmtId="0" fontId="147" fillId="0" borderId="2" xfId="0" applyFont="1" applyBorder="1" applyAlignment="1">
      <alignment horizontal="center" vertical="center"/>
    </xf>
    <xf numFmtId="0" fontId="175" fillId="0" borderId="2" xfId="0" applyFont="1" applyBorder="1" applyAlignment="1">
      <alignment horizontal="center" vertical="center"/>
    </xf>
    <xf numFmtId="0" fontId="139" fillId="0" borderId="2" xfId="0" applyFont="1" applyBorder="1" applyAlignment="1">
      <alignment horizontal="distributed" vertical="center"/>
    </xf>
    <xf numFmtId="180" fontId="139" fillId="0" borderId="2" xfId="0" applyNumberFormat="1" applyFont="1" applyBorder="1">
      <alignment vertical="center"/>
    </xf>
    <xf numFmtId="0" fontId="139" fillId="0" borderId="2" xfId="0" applyFont="1" applyBorder="1">
      <alignment vertical="center"/>
    </xf>
    <xf numFmtId="10" fontId="173" fillId="0" borderId="37" xfId="0" applyNumberFormat="1" applyFont="1" applyBorder="1" applyAlignment="1">
      <alignment horizontal="right" vertical="center"/>
    </xf>
    <xf numFmtId="10" fontId="175" fillId="0" borderId="2" xfId="0" applyNumberFormat="1" applyFont="1" applyBorder="1" applyAlignment="1">
      <alignment horizontal="right" vertical="center"/>
    </xf>
    <xf numFmtId="10" fontId="173" fillId="0" borderId="2" xfId="0" applyNumberFormat="1" applyFont="1" applyBorder="1" applyAlignment="1">
      <alignment horizontal="right" vertical="center"/>
    </xf>
    <xf numFmtId="0" fontId="147" fillId="0" borderId="0" xfId="0" applyFont="1">
      <alignment vertical="center"/>
    </xf>
    <xf numFmtId="251" fontId="173" fillId="0" borderId="37" xfId="0" applyNumberFormat="1" applyFont="1" applyBorder="1" applyAlignment="1">
      <alignment horizontal="right" vertical="center"/>
    </xf>
    <xf numFmtId="251" fontId="173" fillId="0" borderId="2" xfId="0" applyNumberFormat="1" applyFont="1" applyBorder="1" applyAlignment="1">
      <alignment horizontal="right" vertical="center"/>
    </xf>
    <xf numFmtId="10" fontId="173" fillId="32" borderId="37" xfId="0" applyNumberFormat="1" applyFont="1" applyFill="1" applyBorder="1" applyAlignment="1">
      <alignment horizontal="right" vertical="center"/>
    </xf>
    <xf numFmtId="0" fontId="139" fillId="32" borderId="2" xfId="0" applyFont="1" applyFill="1" applyBorder="1">
      <alignment vertical="center"/>
    </xf>
    <xf numFmtId="10" fontId="173" fillId="32" borderId="2" xfId="0" applyNumberFormat="1" applyFont="1" applyFill="1" applyBorder="1" applyAlignment="1">
      <alignment horizontal="right" vertical="center"/>
    </xf>
    <xf numFmtId="0" fontId="2" fillId="32" borderId="2" xfId="0" applyFont="1" applyFill="1" applyBorder="1">
      <alignment vertical="center"/>
    </xf>
    <xf numFmtId="0" fontId="147" fillId="32" borderId="0" xfId="0" applyFont="1" applyFill="1">
      <alignment vertical="center"/>
    </xf>
    <xf numFmtId="0" fontId="2" fillId="32" borderId="0" xfId="0" applyFont="1" applyFill="1">
      <alignment vertical="center"/>
    </xf>
    <xf numFmtId="0" fontId="139" fillId="32" borderId="0" xfId="0" applyFont="1" applyFill="1">
      <alignment vertical="center"/>
    </xf>
    <xf numFmtId="0" fontId="2" fillId="0" borderId="2" xfId="0" applyFont="1" applyBorder="1">
      <alignment vertical="center"/>
    </xf>
    <xf numFmtId="0" fontId="147" fillId="0" borderId="2" xfId="0" applyFont="1" applyBorder="1">
      <alignment vertical="center"/>
    </xf>
    <xf numFmtId="0" fontId="175" fillId="0" borderId="0" xfId="0" applyFont="1">
      <alignment vertical="center"/>
    </xf>
    <xf numFmtId="180" fontId="139" fillId="0" borderId="0" xfId="0" applyNumberFormat="1" applyFont="1">
      <alignment vertical="center"/>
    </xf>
    <xf numFmtId="180" fontId="139" fillId="0" borderId="37" xfId="0" applyNumberFormat="1" applyFont="1" applyBorder="1" applyAlignment="1">
      <alignment horizontal="right" vertical="center"/>
    </xf>
    <xf numFmtId="180" fontId="139" fillId="0" borderId="2" xfId="0" applyNumberFormat="1" applyFont="1" applyBorder="1" applyAlignment="1">
      <alignment horizontal="right" vertical="center"/>
    </xf>
    <xf numFmtId="180" fontId="139" fillId="0" borderId="2" xfId="0" applyNumberFormat="1" applyFont="1" applyBorder="1" applyAlignment="1">
      <alignment horizontal="center" vertical="center"/>
    </xf>
    <xf numFmtId="0" fontId="173" fillId="0" borderId="2" xfId="0" applyFont="1" applyBorder="1">
      <alignment vertical="center"/>
    </xf>
    <xf numFmtId="10" fontId="139" fillId="0" borderId="2" xfId="0" applyNumberFormat="1" applyFont="1" applyBorder="1" applyAlignment="1">
      <alignment horizontal="right" vertical="center"/>
    </xf>
    <xf numFmtId="180" fontId="196" fillId="0" borderId="2" xfId="0" applyNumberFormat="1" applyFont="1" applyBorder="1" applyAlignment="1">
      <alignment horizontal="right" vertical="center"/>
    </xf>
    <xf numFmtId="256" fontId="139" fillId="0" borderId="0" xfId="0" applyNumberFormat="1" applyFont="1">
      <alignment vertical="center"/>
    </xf>
    <xf numFmtId="9" fontId="2" fillId="0" borderId="0" xfId="0" applyNumberFormat="1" applyFont="1">
      <alignment vertical="center"/>
    </xf>
    <xf numFmtId="0" fontId="139" fillId="0" borderId="2" xfId="0" applyFont="1" applyBorder="1" applyAlignment="1">
      <alignment horizontal="left" vertical="center"/>
    </xf>
    <xf numFmtId="0" fontId="139" fillId="0" borderId="36" xfId="0" applyFont="1" applyBorder="1">
      <alignment vertical="center"/>
    </xf>
    <xf numFmtId="0" fontId="139" fillId="0" borderId="37" xfId="0" applyFont="1" applyBorder="1">
      <alignment vertical="center"/>
    </xf>
    <xf numFmtId="180" fontId="139" fillId="0" borderId="2" xfId="0" quotePrefix="1" applyNumberFormat="1" applyFont="1" applyBorder="1" applyAlignment="1">
      <alignment horizontal="right" vertical="center"/>
    </xf>
    <xf numFmtId="180" fontId="157" fillId="0" borderId="0" xfId="0" applyNumberFormat="1" applyFont="1">
      <alignment vertical="center"/>
    </xf>
    <xf numFmtId="180" fontId="147" fillId="0" borderId="2" xfId="0" applyNumberFormat="1" applyFont="1" applyBorder="1">
      <alignment vertical="center"/>
    </xf>
    <xf numFmtId="180" fontId="173" fillId="0" borderId="0" xfId="0" applyNumberFormat="1" applyFont="1">
      <alignment vertical="center"/>
    </xf>
    <xf numFmtId="10" fontId="139" fillId="0" borderId="0" xfId="0" applyNumberFormat="1" applyFont="1">
      <alignment vertical="center"/>
    </xf>
    <xf numFmtId="41" fontId="2" fillId="0" borderId="0" xfId="1003" applyFont="1">
      <alignment vertical="center"/>
    </xf>
    <xf numFmtId="41" fontId="116" fillId="0" borderId="0" xfId="1003" applyFont="1">
      <alignment vertical="center"/>
    </xf>
    <xf numFmtId="257" fontId="197" fillId="0" borderId="0" xfId="0" applyNumberFormat="1" applyFont="1">
      <alignment vertical="center"/>
    </xf>
    <xf numFmtId="41" fontId="148" fillId="0" borderId="0" xfId="1003" applyFont="1" applyAlignment="1">
      <alignment horizontal="center" vertical="center" shrinkToFit="1"/>
    </xf>
    <xf numFmtId="0" fontId="115" fillId="0" borderId="0" xfId="2081" applyFont="1">
      <alignment vertical="center"/>
    </xf>
    <xf numFmtId="41" fontId="107" fillId="29" borderId="2" xfId="2111" applyFont="1" applyFill="1" applyBorder="1" applyAlignment="1">
      <alignment horizontal="center" vertical="center"/>
    </xf>
    <xf numFmtId="0" fontId="1" fillId="0" borderId="0" xfId="2081" applyFont="1">
      <alignment vertical="center"/>
    </xf>
    <xf numFmtId="41" fontId="107" fillId="0" borderId="2" xfId="2111" applyFont="1" applyFill="1" applyBorder="1" applyAlignment="1">
      <alignment vertical="center"/>
    </xf>
    <xf numFmtId="255" fontId="1" fillId="0" borderId="0" xfId="2081" applyNumberFormat="1" applyFont="1">
      <alignment vertical="center"/>
    </xf>
    <xf numFmtId="0" fontId="1" fillId="0" borderId="0" xfId="2081" applyFont="1" applyAlignment="1">
      <alignment horizontal="center" vertical="center"/>
    </xf>
    <xf numFmtId="0" fontId="116" fillId="0" borderId="0" xfId="2081" applyFont="1" applyAlignment="1">
      <alignment horizontal="center" vertical="center"/>
    </xf>
    <xf numFmtId="0" fontId="198" fillId="0" borderId="0" xfId="0" applyFont="1">
      <alignment vertical="center"/>
    </xf>
    <xf numFmtId="0" fontId="200" fillId="0" borderId="0" xfId="0" applyFont="1">
      <alignment vertical="center"/>
    </xf>
    <xf numFmtId="0" fontId="198" fillId="0" borderId="52" xfId="0" applyFont="1" applyBorder="1">
      <alignment vertical="center"/>
    </xf>
    <xf numFmtId="0" fontId="198" fillId="0" borderId="56" xfId="0" applyFont="1" applyBorder="1">
      <alignment vertical="center"/>
    </xf>
    <xf numFmtId="0" fontId="198" fillId="0" borderId="0" xfId="0" applyFont="1" applyAlignment="1">
      <alignment horizontal="right" vertical="center"/>
    </xf>
    <xf numFmtId="0" fontId="200" fillId="0" borderId="0" xfId="0" applyFont="1" applyAlignment="1">
      <alignment horizontal="left" vertical="center"/>
    </xf>
    <xf numFmtId="0" fontId="202" fillId="0" borderId="0" xfId="0" applyFont="1" applyAlignment="1">
      <alignment vertical="distributed"/>
    </xf>
    <xf numFmtId="0" fontId="198" fillId="0" borderId="57" xfId="0" applyFont="1" applyBorder="1">
      <alignment vertical="center"/>
    </xf>
    <xf numFmtId="0" fontId="198" fillId="0" borderId="8" xfId="0" applyFont="1" applyBorder="1">
      <alignment vertical="center"/>
    </xf>
    <xf numFmtId="0" fontId="198" fillId="0" borderId="58" xfId="0" applyFont="1" applyBorder="1">
      <alignment vertical="center"/>
    </xf>
    <xf numFmtId="0" fontId="203" fillId="0" borderId="0" xfId="2113"/>
    <xf numFmtId="3" fontId="205" fillId="0" borderId="66" xfId="2113" applyNumberFormat="1" applyFont="1" applyBorder="1" applyAlignment="1">
      <alignment horizontal="center" vertical="center"/>
    </xf>
    <xf numFmtId="3" fontId="205" fillId="0" borderId="109" xfId="2113" applyNumberFormat="1" applyFont="1" applyBorder="1" applyAlignment="1">
      <alignment horizontal="center" vertical="center"/>
    </xf>
    <xf numFmtId="3" fontId="205" fillId="0" borderId="67" xfId="2113" applyNumberFormat="1" applyFont="1" applyBorder="1" applyAlignment="1">
      <alignment horizontal="center" vertical="center"/>
    </xf>
    <xf numFmtId="3" fontId="205" fillId="0" borderId="37" xfId="2113" applyNumberFormat="1" applyFont="1" applyBorder="1" applyAlignment="1">
      <alignment horizontal="center" vertical="center"/>
    </xf>
    <xf numFmtId="3" fontId="205" fillId="0" borderId="107" xfId="2113" applyNumberFormat="1" applyFont="1" applyBorder="1" applyAlignment="1">
      <alignment horizontal="left" vertical="center"/>
    </xf>
    <xf numFmtId="3" fontId="205" fillId="0" borderId="110" xfId="2113" applyNumberFormat="1" applyFont="1" applyBorder="1" applyAlignment="1">
      <alignment horizontal="left" vertical="center"/>
    </xf>
    <xf numFmtId="3" fontId="206" fillId="0" borderId="18" xfId="2113" applyNumberFormat="1" applyFont="1" applyBorder="1" applyAlignment="1">
      <alignment vertical="center"/>
    </xf>
    <xf numFmtId="3" fontId="206" fillId="0" borderId="108" xfId="2113" applyNumberFormat="1" applyFont="1" applyBorder="1" applyAlignment="1">
      <alignment horizontal="right" vertical="center"/>
    </xf>
    <xf numFmtId="3" fontId="206" fillId="0" borderId="110" xfId="2113" applyNumberFormat="1" applyFont="1" applyBorder="1" applyAlignment="1">
      <alignment horizontal="right" vertical="center"/>
    </xf>
    <xf numFmtId="3" fontId="206" fillId="0" borderId="10" xfId="2113" applyNumberFormat="1" applyFont="1" applyBorder="1" applyAlignment="1">
      <alignment vertical="center"/>
    </xf>
    <xf numFmtId="3" fontId="206" fillId="0" borderId="107" xfId="2113" applyNumberFormat="1" applyFont="1" applyBorder="1" applyAlignment="1">
      <alignment horizontal="left" vertical="center"/>
    </xf>
    <xf numFmtId="3" fontId="206" fillId="0" borderId="110" xfId="2113" applyNumberFormat="1" applyFont="1" applyBorder="1" applyAlignment="1">
      <alignment horizontal="left" vertical="center"/>
    </xf>
    <xf numFmtId="259" fontId="206" fillId="0" borderId="110" xfId="2113" applyNumberFormat="1" applyFont="1" applyBorder="1" applyAlignment="1">
      <alignment vertical="center"/>
    </xf>
    <xf numFmtId="3" fontId="206" fillId="0" borderId="10" xfId="2113" applyNumberFormat="1" applyFont="1" applyBorder="1" applyAlignment="1">
      <alignment horizontal="left" vertical="center"/>
    </xf>
    <xf numFmtId="3" fontId="206" fillId="0" borderId="108" xfId="2113" applyNumberFormat="1" applyFont="1" applyBorder="1" applyAlignment="1">
      <alignment vertical="center"/>
    </xf>
    <xf numFmtId="3" fontId="206" fillId="0" borderId="110" xfId="2113" applyNumberFormat="1" applyFont="1" applyBorder="1" applyAlignment="1">
      <alignment vertical="center"/>
    </xf>
    <xf numFmtId="3" fontId="206" fillId="0" borderId="111" xfId="2113" applyNumberFormat="1" applyFont="1" applyBorder="1" applyAlignment="1">
      <alignment horizontal="left" vertical="center"/>
    </xf>
    <xf numFmtId="3" fontId="206" fillId="0" borderId="112" xfId="2113" applyNumberFormat="1" applyFont="1" applyBorder="1" applyAlignment="1">
      <alignment horizontal="left" vertical="center"/>
    </xf>
    <xf numFmtId="3" fontId="206" fillId="0" borderId="113" xfId="2113" applyNumberFormat="1" applyFont="1" applyBorder="1" applyAlignment="1">
      <alignment vertical="center"/>
    </xf>
    <xf numFmtId="3" fontId="206" fillId="0" borderId="114" xfId="2113" applyNumberFormat="1" applyFont="1" applyBorder="1" applyAlignment="1">
      <alignment vertical="center"/>
    </xf>
    <xf numFmtId="3" fontId="206" fillId="0" borderId="112" xfId="2113" applyNumberFormat="1" applyFont="1" applyBorder="1" applyAlignment="1">
      <alignment vertical="center"/>
    </xf>
    <xf numFmtId="3" fontId="206" fillId="0" borderId="98" xfId="2113" applyNumberFormat="1" applyFont="1" applyBorder="1" applyAlignment="1">
      <alignment horizontal="left" vertical="center"/>
    </xf>
    <xf numFmtId="0" fontId="203" fillId="0" borderId="0" xfId="2113" applyAlignment="1">
      <alignment vertical="center"/>
    </xf>
    <xf numFmtId="3" fontId="203" fillId="0" borderId="0" xfId="2113" applyNumberFormat="1"/>
    <xf numFmtId="260" fontId="205" fillId="0" borderId="67" xfId="2113" applyNumberFormat="1" applyFont="1" applyBorder="1" applyAlignment="1">
      <alignment horizontal="center" vertical="center"/>
    </xf>
    <xf numFmtId="260" fontId="205" fillId="0" borderId="68" xfId="2113" applyNumberFormat="1" applyFont="1" applyBorder="1" applyAlignment="1">
      <alignment horizontal="center" vertical="center"/>
    </xf>
    <xf numFmtId="260" fontId="205" fillId="0" borderId="3" xfId="2113" applyNumberFormat="1" applyFont="1" applyBorder="1" applyAlignment="1">
      <alignment horizontal="left" vertical="center"/>
    </xf>
    <xf numFmtId="3" fontId="205" fillId="0" borderId="115" xfId="2113" applyNumberFormat="1" applyFont="1" applyBorder="1" applyAlignment="1">
      <alignment horizontal="right" vertical="center"/>
    </xf>
    <xf numFmtId="3" fontId="205" fillId="0" borderId="116" xfId="2113" applyNumberFormat="1" applyFont="1" applyBorder="1" applyAlignment="1">
      <alignment horizontal="right" vertical="center"/>
    </xf>
    <xf numFmtId="0" fontId="203" fillId="0" borderId="0" xfId="2113" applyAlignment="1">
      <alignment horizontal="right" vertical="center"/>
    </xf>
    <xf numFmtId="260" fontId="206" fillId="0" borderId="3" xfId="2113" applyNumberFormat="1" applyFont="1" applyBorder="1" applyAlignment="1">
      <alignment vertical="center"/>
    </xf>
    <xf numFmtId="260" fontId="206" fillId="0" borderId="115" xfId="2113" applyNumberFormat="1" applyFont="1" applyBorder="1" applyAlignment="1">
      <alignment horizontal="right" vertical="center"/>
    </xf>
    <xf numFmtId="260" fontId="206" fillId="0" borderId="116" xfId="2113" applyNumberFormat="1" applyFont="1" applyBorder="1" applyAlignment="1">
      <alignment horizontal="right" vertical="center"/>
    </xf>
    <xf numFmtId="3" fontId="206" fillId="0" borderId="115" xfId="2113" applyNumberFormat="1" applyFont="1" applyBorder="1" applyAlignment="1">
      <alignment horizontal="right" vertical="center"/>
    </xf>
    <xf numFmtId="260" fontId="206" fillId="0" borderId="93" xfId="2113" applyNumberFormat="1" applyFont="1" applyBorder="1" applyAlignment="1">
      <alignment vertical="center"/>
    </xf>
    <xf numFmtId="260" fontId="206" fillId="0" borderId="114" xfId="2113" applyNumberFormat="1" applyFont="1" applyBorder="1" applyAlignment="1">
      <alignment horizontal="right" vertical="center"/>
    </xf>
    <xf numFmtId="260" fontId="206" fillId="0" borderId="117" xfId="2113" applyNumberFormat="1" applyFont="1" applyBorder="1" applyAlignment="1">
      <alignment horizontal="right" vertical="center"/>
    </xf>
    <xf numFmtId="0" fontId="203" fillId="0" borderId="0" xfId="2113" applyAlignment="1">
      <alignment horizontal="center"/>
    </xf>
    <xf numFmtId="0" fontId="203" fillId="0" borderId="28" xfId="2113" applyBorder="1"/>
    <xf numFmtId="0" fontId="203" fillId="0" borderId="29" xfId="2113" applyBorder="1"/>
    <xf numFmtId="0" fontId="203" fillId="0" borderId="30" xfId="2113" applyBorder="1"/>
    <xf numFmtId="0" fontId="203" fillId="0" borderId="3" xfId="2113" applyBorder="1"/>
    <xf numFmtId="0" fontId="203" fillId="0" borderId="25" xfId="2113" applyBorder="1"/>
    <xf numFmtId="0" fontId="203" fillId="0" borderId="118" xfId="2113" applyBorder="1" applyAlignment="1">
      <alignment horizontal="center" vertical="center"/>
    </xf>
    <xf numFmtId="0" fontId="203" fillId="0" borderId="119" xfId="2113" applyBorder="1"/>
    <xf numFmtId="0" fontId="203" fillId="0" borderId="116" xfId="2113" applyBorder="1"/>
    <xf numFmtId="0" fontId="203" fillId="0" borderId="118" xfId="2113" applyBorder="1" applyAlignment="1">
      <alignment horizontal="left" vertical="center"/>
    </xf>
    <xf numFmtId="261" fontId="203" fillId="0" borderId="118" xfId="2113" applyNumberFormat="1" applyBorder="1"/>
    <xf numFmtId="0" fontId="203" fillId="0" borderId="118" xfId="2113" applyBorder="1" applyAlignment="1">
      <alignment horizontal="center"/>
    </xf>
    <xf numFmtId="3" fontId="203" fillId="0" borderId="118" xfId="2113" applyNumberFormat="1" applyBorder="1" applyAlignment="1">
      <alignment horizontal="right"/>
    </xf>
    <xf numFmtId="0" fontId="203" fillId="0" borderId="118" xfId="2113" applyBorder="1"/>
    <xf numFmtId="0" fontId="203" fillId="0" borderId="38" xfId="2113" applyBorder="1"/>
    <xf numFmtId="0" fontId="203" fillId="0" borderId="38" xfId="2113" applyBorder="1" applyAlignment="1">
      <alignment horizontal="center" vertical="center"/>
    </xf>
    <xf numFmtId="0" fontId="203" fillId="0" borderId="120" xfId="2113" applyBorder="1" applyAlignment="1">
      <alignment horizontal="center" vertical="center"/>
    </xf>
    <xf numFmtId="0" fontId="203" fillId="0" borderId="119" xfId="2113" applyBorder="1" applyAlignment="1">
      <alignment horizontal="center" vertical="center"/>
    </xf>
    <xf numFmtId="0" fontId="203" fillId="0" borderId="0" xfId="2113" applyAlignment="1">
      <alignment horizontal="center" vertical="center"/>
    </xf>
    <xf numFmtId="0" fontId="203" fillId="0" borderId="121" xfId="2113" applyBorder="1" applyAlignment="1">
      <alignment horizontal="center" vertical="center"/>
    </xf>
    <xf numFmtId="3" fontId="203" fillId="0" borderId="118" xfId="2113" applyNumberFormat="1" applyBorder="1"/>
    <xf numFmtId="0" fontId="203" fillId="0" borderId="122" xfId="2113" applyBorder="1" applyAlignment="1">
      <alignment horizontal="center" vertical="center"/>
    </xf>
    <xf numFmtId="0" fontId="203" fillId="0" borderId="18" xfId="2113" applyBorder="1" applyAlignment="1">
      <alignment horizontal="center" vertical="center"/>
    </xf>
    <xf numFmtId="0" fontId="203" fillId="0" borderId="110" xfId="2113" applyBorder="1" applyAlignment="1">
      <alignment horizontal="center" vertical="center"/>
    </xf>
    <xf numFmtId="0" fontId="203" fillId="0" borderId="93" xfId="2113" applyBorder="1"/>
    <xf numFmtId="0" fontId="203" fillId="0" borderId="123" xfId="2113" applyBorder="1"/>
    <xf numFmtId="0" fontId="203" fillId="0" borderId="105" xfId="2113" applyBorder="1"/>
    <xf numFmtId="0" fontId="203" fillId="0" borderId="98" xfId="2113" applyBorder="1"/>
    <xf numFmtId="3" fontId="206" fillId="0" borderId="4" xfId="2113" applyNumberFormat="1" applyFont="1" applyBorder="1" applyAlignment="1">
      <alignment horizontal="center" vertical="center"/>
    </xf>
    <xf numFmtId="3" fontId="206" fillId="0" borderId="13" xfId="2113" applyNumberFormat="1" applyFont="1" applyBorder="1" applyAlignment="1">
      <alignment horizontal="left" vertical="center"/>
    </xf>
    <xf numFmtId="3" fontId="206" fillId="0" borderId="13" xfId="2113" applyNumberFormat="1" applyFont="1" applyBorder="1" applyAlignment="1">
      <alignment horizontal="center" vertical="center"/>
    </xf>
    <xf numFmtId="3" fontId="206" fillId="0" borderId="13" xfId="2113" applyNumberFormat="1" applyFont="1" applyBorder="1" applyAlignment="1">
      <alignment horizontal="right" vertical="center"/>
    </xf>
    <xf numFmtId="3" fontId="206" fillId="0" borderId="33" xfId="2113" applyNumberFormat="1" applyFont="1" applyBorder="1" applyAlignment="1">
      <alignment horizontal="left" vertical="center"/>
    </xf>
    <xf numFmtId="3" fontId="206" fillId="0" borderId="88" xfId="2113" applyNumberFormat="1" applyFont="1" applyBorder="1" applyAlignment="1">
      <alignment horizontal="center" vertical="center"/>
    </xf>
    <xf numFmtId="3" fontId="206" fillId="0" borderId="89" xfId="2113" applyNumberFormat="1" applyFont="1" applyBorder="1" applyAlignment="1">
      <alignment horizontal="left" vertical="center"/>
    </xf>
    <xf numFmtId="3" fontId="206" fillId="0" borderId="89" xfId="2113" applyNumberFormat="1" applyFont="1" applyBorder="1" applyAlignment="1">
      <alignment horizontal="center" vertical="center"/>
    </xf>
    <xf numFmtId="3" fontId="206" fillId="0" borderId="89" xfId="2113" applyNumberFormat="1" applyFont="1" applyBorder="1" applyAlignment="1">
      <alignment horizontal="right" vertical="center"/>
    </xf>
    <xf numFmtId="3" fontId="206" fillId="0" borderId="90" xfId="2113" applyNumberFormat="1" applyFont="1" applyBorder="1" applyAlignment="1">
      <alignment horizontal="left" vertical="center"/>
    </xf>
    <xf numFmtId="3" fontId="205" fillId="0" borderId="68" xfId="2113" applyNumberFormat="1" applyFont="1" applyBorder="1" applyAlignment="1">
      <alignment horizontal="center" vertical="center"/>
    </xf>
    <xf numFmtId="43" fontId="105" fillId="0" borderId="13" xfId="2089" applyNumberFormat="1" applyFont="1" applyBorder="1" applyAlignment="1">
      <alignment horizontal="center" vertical="center" shrinkToFit="1"/>
    </xf>
    <xf numFmtId="0" fontId="0" fillId="0" borderId="0" xfId="0" applyAlignment="1"/>
    <xf numFmtId="260" fontId="205" fillId="0" borderId="3" xfId="0" applyNumberFormat="1" applyFont="1" applyBorder="1" applyAlignment="1">
      <alignment horizontal="left" vertical="center"/>
    </xf>
    <xf numFmtId="3" fontId="205" fillId="0" borderId="115" xfId="0" applyNumberFormat="1" applyFont="1" applyBorder="1" applyAlignment="1">
      <alignment horizontal="right" vertical="center"/>
    </xf>
    <xf numFmtId="3" fontId="205" fillId="0" borderId="116" xfId="0" applyNumberFormat="1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260" fontId="206" fillId="0" borderId="3" xfId="0" applyNumberFormat="1" applyFont="1" applyBorder="1">
      <alignment vertical="center"/>
    </xf>
    <xf numFmtId="260" fontId="206" fillId="0" borderId="115" xfId="0" applyNumberFormat="1" applyFont="1" applyBorder="1" applyAlignment="1">
      <alignment horizontal="right" vertical="center"/>
    </xf>
    <xf numFmtId="260" fontId="206" fillId="0" borderId="116" xfId="0" applyNumberFormat="1" applyFont="1" applyBorder="1" applyAlignment="1">
      <alignment horizontal="right" vertical="center"/>
    </xf>
    <xf numFmtId="3" fontId="206" fillId="0" borderId="115" xfId="0" applyNumberFormat="1" applyFont="1" applyBorder="1" applyAlignment="1">
      <alignment horizontal="right" vertical="center"/>
    </xf>
    <xf numFmtId="260" fontId="206" fillId="0" borderId="93" xfId="0" applyNumberFormat="1" applyFont="1" applyBorder="1">
      <alignment vertical="center"/>
    </xf>
    <xf numFmtId="260" fontId="206" fillId="0" borderId="113" xfId="0" applyNumberFormat="1" applyFont="1" applyBorder="1">
      <alignment vertical="center"/>
    </xf>
    <xf numFmtId="260" fontId="206" fillId="0" borderId="114" xfId="0" applyNumberFormat="1" applyFont="1" applyBorder="1" applyAlignment="1">
      <alignment horizontal="right" vertical="center"/>
    </xf>
    <xf numFmtId="260" fontId="206" fillId="0" borderId="117" xfId="0" applyNumberFormat="1" applyFont="1" applyBorder="1" applyAlignment="1">
      <alignment horizontal="right" vertical="center"/>
    </xf>
    <xf numFmtId="260" fontId="206" fillId="0" borderId="0" xfId="2113" applyNumberFormat="1" applyFont="1" applyAlignment="1">
      <alignment vertical="center"/>
    </xf>
    <xf numFmtId="3" fontId="205" fillId="0" borderId="107" xfId="0" applyNumberFormat="1" applyFont="1" applyBorder="1" applyAlignment="1">
      <alignment horizontal="left" vertical="center"/>
    </xf>
    <xf numFmtId="3" fontId="205" fillId="0" borderId="110" xfId="0" applyNumberFormat="1" applyFont="1" applyBorder="1" applyAlignment="1">
      <alignment horizontal="left" vertical="center"/>
    </xf>
    <xf numFmtId="3" fontId="206" fillId="0" borderId="18" xfId="0" applyNumberFormat="1" applyFont="1" applyBorder="1">
      <alignment vertical="center"/>
    </xf>
    <xf numFmtId="3" fontId="206" fillId="0" borderId="108" xfId="0" applyNumberFormat="1" applyFont="1" applyBorder="1" applyAlignment="1">
      <alignment horizontal="right" vertical="center"/>
    </xf>
    <xf numFmtId="3" fontId="206" fillId="0" borderId="110" xfId="0" applyNumberFormat="1" applyFont="1" applyBorder="1" applyAlignment="1">
      <alignment horizontal="right" vertical="center"/>
    </xf>
    <xf numFmtId="3" fontId="206" fillId="0" borderId="10" xfId="0" applyNumberFormat="1" applyFont="1" applyBorder="1">
      <alignment vertical="center"/>
    </xf>
    <xf numFmtId="3" fontId="206" fillId="0" borderId="107" xfId="0" applyNumberFormat="1" applyFont="1" applyBorder="1" applyAlignment="1">
      <alignment horizontal="left" vertical="center"/>
    </xf>
    <xf numFmtId="3" fontId="206" fillId="0" borderId="110" xfId="0" applyNumberFormat="1" applyFont="1" applyBorder="1" applyAlignment="1">
      <alignment horizontal="left" vertical="center"/>
    </xf>
    <xf numFmtId="259" fontId="206" fillId="0" borderId="110" xfId="0" applyNumberFormat="1" applyFont="1" applyBorder="1">
      <alignment vertical="center"/>
    </xf>
    <xf numFmtId="3" fontId="206" fillId="0" borderId="10" xfId="0" applyNumberFormat="1" applyFont="1" applyBorder="1" applyAlignment="1">
      <alignment horizontal="left" vertical="center"/>
    </xf>
    <xf numFmtId="0" fontId="204" fillId="0" borderId="0" xfId="2113" applyFont="1" applyAlignment="1">
      <alignment vertical="center"/>
    </xf>
    <xf numFmtId="3" fontId="206" fillId="0" borderId="108" xfId="0" applyNumberFormat="1" applyFont="1" applyBorder="1">
      <alignment vertical="center"/>
    </xf>
    <xf numFmtId="3" fontId="206" fillId="0" borderId="110" xfId="0" applyNumberFormat="1" applyFont="1" applyBorder="1">
      <alignment vertical="center"/>
    </xf>
    <xf numFmtId="260" fontId="206" fillId="0" borderId="28" xfId="0" applyNumberFormat="1" applyFont="1" applyBorder="1">
      <alignment vertical="center"/>
    </xf>
    <xf numFmtId="260" fontId="206" fillId="0" borderId="29" xfId="0" applyNumberFormat="1" applyFont="1" applyBorder="1">
      <alignment vertical="center"/>
    </xf>
    <xf numFmtId="260" fontId="206" fillId="0" borderId="124" xfId="0" applyNumberFormat="1" applyFont="1" applyBorder="1" applyAlignment="1">
      <alignment horizontal="right" vertical="center"/>
    </xf>
    <xf numFmtId="260" fontId="206" fillId="0" borderId="125" xfId="0" applyNumberFormat="1" applyFont="1" applyBorder="1" applyAlignment="1">
      <alignment horizontal="right" vertical="center"/>
    </xf>
    <xf numFmtId="260" fontId="206" fillId="0" borderId="0" xfId="0" applyNumberFormat="1" applyFont="1">
      <alignment vertical="center"/>
    </xf>
    <xf numFmtId="260" fontId="206" fillId="0" borderId="113" xfId="2113" applyNumberFormat="1" applyFont="1" applyBorder="1" applyAlignment="1">
      <alignment vertical="center"/>
    </xf>
    <xf numFmtId="260" fontId="205" fillId="0" borderId="28" xfId="2113" applyNumberFormat="1" applyFont="1" applyBorder="1" applyAlignment="1">
      <alignment horizontal="left" vertical="center"/>
    </xf>
    <xf numFmtId="260" fontId="206" fillId="0" borderId="29" xfId="2113" applyNumberFormat="1" applyFont="1" applyBorder="1" applyAlignment="1">
      <alignment vertical="center"/>
    </xf>
    <xf numFmtId="3" fontId="205" fillId="0" borderId="124" xfId="2113" applyNumberFormat="1" applyFont="1" applyBorder="1" applyAlignment="1">
      <alignment horizontal="right" vertical="center"/>
    </xf>
    <xf numFmtId="260" fontId="206" fillId="0" borderId="125" xfId="2113" applyNumberFormat="1" applyFont="1" applyBorder="1" applyAlignment="1">
      <alignment horizontal="right" vertical="center"/>
    </xf>
    <xf numFmtId="3" fontId="205" fillId="0" borderId="125" xfId="2113" applyNumberFormat="1" applyFont="1" applyBorder="1" applyAlignment="1">
      <alignment horizontal="right" vertical="center"/>
    </xf>
    <xf numFmtId="3" fontId="206" fillId="0" borderId="86" xfId="2113" applyNumberFormat="1" applyFont="1" applyBorder="1" applyAlignment="1">
      <alignment horizontal="center" vertical="center"/>
    </xf>
    <xf numFmtId="3" fontId="206" fillId="0" borderId="87" xfId="2113" applyNumberFormat="1" applyFont="1" applyBorder="1" applyAlignment="1">
      <alignment horizontal="left" vertical="center"/>
    </xf>
    <xf numFmtId="3" fontId="206" fillId="0" borderId="87" xfId="2113" applyNumberFormat="1" applyFont="1" applyBorder="1" applyAlignment="1">
      <alignment horizontal="center" vertical="center"/>
    </xf>
    <xf numFmtId="3" fontId="206" fillId="0" borderId="87" xfId="2113" applyNumberFormat="1" applyFont="1" applyBorder="1" applyAlignment="1">
      <alignment horizontal="right" vertical="center"/>
    </xf>
    <xf numFmtId="3" fontId="206" fillId="0" borderId="32" xfId="2113" applyNumberFormat="1" applyFont="1" applyBorder="1" applyAlignment="1">
      <alignment horizontal="left" vertical="center"/>
    </xf>
    <xf numFmtId="3" fontId="206" fillId="0" borderId="4" xfId="0" applyNumberFormat="1" applyFont="1" applyBorder="1" applyAlignment="1">
      <alignment horizontal="center" vertical="center"/>
    </xf>
    <xf numFmtId="3" fontId="206" fillId="0" borderId="13" xfId="0" applyNumberFormat="1" applyFont="1" applyBorder="1" applyAlignment="1">
      <alignment horizontal="left" vertical="center"/>
    </xf>
    <xf numFmtId="3" fontId="206" fillId="0" borderId="13" xfId="0" applyNumberFormat="1" applyFont="1" applyBorder="1" applyAlignment="1">
      <alignment horizontal="center" vertical="center"/>
    </xf>
    <xf numFmtId="3" fontId="206" fillId="0" borderId="13" xfId="0" applyNumberFormat="1" applyFont="1" applyBorder="1" applyAlignment="1">
      <alignment horizontal="right" vertical="center"/>
    </xf>
    <xf numFmtId="3" fontId="206" fillId="0" borderId="33" xfId="0" applyNumberFormat="1" applyFont="1" applyBorder="1" applyAlignment="1">
      <alignment horizontal="left" vertical="center"/>
    </xf>
    <xf numFmtId="0" fontId="148" fillId="0" borderId="33" xfId="2094" applyFont="1" applyBorder="1" applyAlignment="1">
      <alignment horizontal="center" vertical="center" shrinkToFit="1"/>
    </xf>
    <xf numFmtId="0" fontId="143" fillId="0" borderId="90" xfId="2094" applyFont="1" applyBorder="1" applyAlignment="1">
      <alignment horizontal="center" vertical="center" shrinkToFit="1"/>
    </xf>
    <xf numFmtId="41" fontId="142" fillId="0" borderId="0" xfId="1003" applyFont="1" applyAlignment="1"/>
    <xf numFmtId="0" fontId="139" fillId="0" borderId="0" xfId="0" applyFont="1" applyAlignment="1">
      <alignment horizontal="distributed" vertical="center"/>
    </xf>
    <xf numFmtId="180" fontId="173" fillId="0" borderId="2" xfId="0" applyNumberFormat="1" applyFont="1" applyBorder="1">
      <alignment vertical="center"/>
    </xf>
    <xf numFmtId="180" fontId="175" fillId="0" borderId="2" xfId="0" applyNumberFormat="1" applyFont="1" applyBorder="1">
      <alignment vertical="center"/>
    </xf>
    <xf numFmtId="0" fontId="208" fillId="0" borderId="2" xfId="0" applyFont="1" applyBorder="1" applyAlignment="1">
      <alignment horizontal="center" vertical="center"/>
    </xf>
    <xf numFmtId="184" fontId="209" fillId="0" borderId="2" xfId="0" applyNumberFormat="1" applyFont="1" applyBorder="1">
      <alignment vertical="center"/>
    </xf>
    <xf numFmtId="184" fontId="210" fillId="0" borderId="2" xfId="0" applyNumberFormat="1" applyFont="1" applyBorder="1">
      <alignment vertical="center"/>
    </xf>
    <xf numFmtId="184" fontId="139" fillId="0" borderId="2" xfId="0" applyNumberFormat="1" applyFont="1" applyBorder="1">
      <alignment vertical="center"/>
    </xf>
    <xf numFmtId="41" fontId="139" fillId="0" borderId="0" xfId="1003" applyFont="1" applyFill="1" applyBorder="1" applyAlignment="1">
      <alignment vertical="center" shrinkToFit="1"/>
    </xf>
    <xf numFmtId="217" fontId="139" fillId="0" borderId="0" xfId="2094" applyNumberFormat="1" applyFont="1" applyAlignment="1">
      <alignment horizontal="center" vertical="center"/>
    </xf>
    <xf numFmtId="217" fontId="139" fillId="0" borderId="0" xfId="2094" applyNumberFormat="1" applyFont="1">
      <alignment vertical="center"/>
    </xf>
    <xf numFmtId="217" fontId="139" fillId="0" borderId="0" xfId="2094" applyNumberFormat="1" applyFont="1" applyAlignment="1">
      <alignment horizontal="center" vertical="center" shrinkToFit="1"/>
    </xf>
    <xf numFmtId="0" fontId="139" fillId="0" borderId="0" xfId="2094" applyFont="1" applyAlignment="1">
      <alignment horizontal="center" vertical="center" shrinkToFit="1"/>
    </xf>
    <xf numFmtId="217" fontId="107" fillId="29" borderId="89" xfId="2094" applyNumberFormat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3" fillId="0" borderId="33" xfId="0" applyFont="1" applyBorder="1" applyAlignment="1">
      <alignment horizontal="left" vertical="center"/>
    </xf>
    <xf numFmtId="0" fontId="105" fillId="0" borderId="0" xfId="2094" applyFont="1" applyAlignment="1">
      <alignment horizontal="center" vertical="center" shrinkToFit="1"/>
    </xf>
    <xf numFmtId="0" fontId="105" fillId="0" borderId="0" xfId="2094" applyFont="1">
      <alignment vertical="center"/>
    </xf>
    <xf numFmtId="41" fontId="105" fillId="0" borderId="13" xfId="1003" applyFont="1" applyFill="1" applyBorder="1" applyAlignment="1">
      <alignment horizontal="center" vertical="center" shrinkToFit="1"/>
    </xf>
    <xf numFmtId="180" fontId="105" fillId="0" borderId="13" xfId="2094" applyNumberFormat="1" applyFont="1" applyBorder="1" applyAlignment="1">
      <alignment vertical="center" shrinkToFit="1"/>
    </xf>
    <xf numFmtId="180" fontId="105" fillId="0" borderId="13" xfId="2094" applyNumberFormat="1" applyFont="1" applyBorder="1" applyAlignment="1">
      <alignment horizontal="right" vertical="center" shrinkToFit="1"/>
    </xf>
    <xf numFmtId="218" fontId="139" fillId="0" borderId="33" xfId="2094" applyNumberFormat="1" applyFont="1" applyBorder="1" applyAlignment="1">
      <alignment horizontal="center" vertical="center" shrinkToFit="1"/>
    </xf>
    <xf numFmtId="180" fontId="105" fillId="30" borderId="0" xfId="2094" applyNumberFormat="1" applyFont="1" applyFill="1" applyAlignment="1">
      <alignment horizontal="center" vertical="center" shrinkToFit="1"/>
    </xf>
    <xf numFmtId="180" fontId="105" fillId="30" borderId="0" xfId="2094" applyNumberFormat="1" applyFont="1" applyFill="1">
      <alignment vertical="center"/>
    </xf>
    <xf numFmtId="43" fontId="107" fillId="0" borderId="89" xfId="2089" applyNumberFormat="1" applyFont="1" applyBorder="1" applyAlignment="1">
      <alignment horizontal="center" vertical="center"/>
    </xf>
    <xf numFmtId="41" fontId="107" fillId="0" borderId="89" xfId="1003" applyFont="1" applyFill="1" applyBorder="1" applyAlignment="1">
      <alignment horizontal="center" vertical="center" shrinkToFit="1"/>
    </xf>
    <xf numFmtId="180" fontId="107" fillId="0" borderId="89" xfId="2094" applyNumberFormat="1" applyFont="1" applyBorder="1" applyAlignment="1">
      <alignment vertical="center" shrinkToFit="1"/>
    </xf>
    <xf numFmtId="180" fontId="107" fillId="0" borderId="89" xfId="2094" applyNumberFormat="1" applyFont="1" applyBorder="1" applyAlignment="1">
      <alignment horizontal="right" vertical="center" shrinkToFit="1"/>
    </xf>
    <xf numFmtId="218" fontId="107" fillId="0" borderId="90" xfId="2094" applyNumberFormat="1" applyFont="1" applyBorder="1" applyAlignment="1">
      <alignment horizontal="center" vertical="center" shrinkToFit="1"/>
    </xf>
    <xf numFmtId="0" fontId="3" fillId="0" borderId="87" xfId="0" applyFont="1" applyBorder="1" applyAlignment="1">
      <alignment horizontal="left" vertical="center"/>
    </xf>
    <xf numFmtId="0" fontId="3" fillId="0" borderId="32" xfId="0" applyFont="1" applyBorder="1" applyAlignment="1">
      <alignment horizontal="left" vertical="center"/>
    </xf>
    <xf numFmtId="43" fontId="105" fillId="0" borderId="88" xfId="2089" applyNumberFormat="1" applyFont="1" applyBorder="1" applyAlignment="1">
      <alignment horizontal="left" vertical="center" shrinkToFit="1"/>
    </xf>
    <xf numFmtId="43" fontId="105" fillId="0" borderId="89" xfId="2089" applyNumberFormat="1" applyFont="1" applyBorder="1" applyAlignment="1">
      <alignment horizontal="center" vertical="center" shrinkToFit="1"/>
    </xf>
    <xf numFmtId="43" fontId="105" fillId="0" borderId="89" xfId="2089" applyNumberFormat="1" applyFont="1" applyBorder="1" applyAlignment="1">
      <alignment horizontal="center" vertical="center"/>
    </xf>
    <xf numFmtId="180" fontId="105" fillId="0" borderId="89" xfId="2094" applyNumberFormat="1" applyFont="1" applyBorder="1" applyAlignment="1">
      <alignment vertical="center" shrinkToFit="1"/>
    </xf>
    <xf numFmtId="180" fontId="105" fillId="0" borderId="89" xfId="2094" applyNumberFormat="1" applyFont="1" applyBorder="1" applyAlignment="1">
      <alignment horizontal="right" vertical="center" shrinkToFit="1"/>
    </xf>
    <xf numFmtId="218" fontId="139" fillId="0" borderId="90" xfId="2094" applyNumberFormat="1" applyFont="1" applyBorder="1" applyAlignment="1">
      <alignment horizontal="center" vertical="center" shrinkToFit="1"/>
    </xf>
    <xf numFmtId="43" fontId="105" fillId="0" borderId="86" xfId="2089" applyNumberFormat="1" applyFont="1" applyBorder="1" applyAlignment="1">
      <alignment horizontal="left" vertical="center" shrinkToFit="1"/>
    </xf>
    <xf numFmtId="43" fontId="105" fillId="0" borderId="87" xfId="2089" applyNumberFormat="1" applyFont="1" applyBorder="1" applyAlignment="1">
      <alignment horizontal="center" vertical="center" shrinkToFit="1"/>
    </xf>
    <xf numFmtId="43" fontId="105" fillId="0" borderId="87" xfId="2089" applyNumberFormat="1" applyFont="1" applyBorder="1" applyAlignment="1">
      <alignment horizontal="center" vertical="center"/>
    </xf>
    <xf numFmtId="180" fontId="105" fillId="0" borderId="87" xfId="2094" applyNumberFormat="1" applyFont="1" applyBorder="1" applyAlignment="1">
      <alignment vertical="center" shrinkToFit="1"/>
    </xf>
    <xf numFmtId="180" fontId="105" fillId="0" borderId="87" xfId="2094" applyNumberFormat="1" applyFont="1" applyBorder="1" applyAlignment="1">
      <alignment horizontal="right" vertical="center" shrinkToFit="1"/>
    </xf>
    <xf numFmtId="218" fontId="139" fillId="0" borderId="32" xfId="2094" applyNumberFormat="1" applyFont="1" applyBorder="1" applyAlignment="1">
      <alignment horizontal="center" vertical="center" shrinkToFit="1"/>
    </xf>
    <xf numFmtId="0" fontId="139" fillId="0" borderId="0" xfId="2094" applyFont="1" applyAlignment="1">
      <alignment vertical="center" shrinkToFit="1"/>
    </xf>
    <xf numFmtId="41" fontId="139" fillId="0" borderId="0" xfId="1003" applyFont="1" applyFill="1" applyBorder="1" applyAlignment="1">
      <alignment shrinkToFit="1"/>
    </xf>
    <xf numFmtId="0" fontId="139" fillId="0" borderId="0" xfId="2094" applyFont="1" applyAlignment="1">
      <alignment horizontal="center" shrinkToFit="1"/>
    </xf>
    <xf numFmtId="41" fontId="105" fillId="0" borderId="87" xfId="1003" applyFont="1" applyFill="1" applyBorder="1" applyAlignment="1">
      <alignment horizontal="center" vertical="center" shrinkToFit="1"/>
    </xf>
    <xf numFmtId="41" fontId="105" fillId="0" borderId="89" xfId="1003" applyFont="1" applyFill="1" applyBorder="1" applyAlignment="1">
      <alignment horizontal="center" vertical="center" shrinkToFit="1"/>
    </xf>
    <xf numFmtId="41" fontId="107" fillId="29" borderId="2" xfId="1003" applyFont="1" applyFill="1" applyBorder="1" applyAlignment="1">
      <alignment horizontal="center" vertical="center"/>
    </xf>
    <xf numFmtId="41" fontId="107" fillId="0" borderId="2" xfId="1003" applyFont="1" applyFill="1" applyBorder="1" applyAlignment="1">
      <alignment vertical="center"/>
    </xf>
    <xf numFmtId="0" fontId="105" fillId="0" borderId="2" xfId="0" applyFont="1" applyBorder="1" applyAlignment="1">
      <alignment horizontal="center" vertical="center"/>
    </xf>
    <xf numFmtId="41" fontId="105" fillId="0" borderId="2" xfId="1003" applyFont="1" applyFill="1" applyBorder="1" applyAlignment="1">
      <alignment horizontal="center" vertical="center"/>
    </xf>
    <xf numFmtId="0" fontId="0" fillId="0" borderId="27" xfId="0" applyBorder="1">
      <alignment vertical="center"/>
    </xf>
    <xf numFmtId="180" fontId="107" fillId="0" borderId="86" xfId="2094" applyNumberFormat="1" applyFont="1" applyBorder="1" applyAlignment="1">
      <alignment horizontal="left" vertical="center" shrinkToFit="1"/>
    </xf>
    <xf numFmtId="217" fontId="168" fillId="0" borderId="88" xfId="2094" applyNumberFormat="1" applyFont="1" applyBorder="1" applyAlignment="1">
      <alignment horizontal="center" vertical="center"/>
    </xf>
    <xf numFmtId="217" fontId="168" fillId="0" borderId="89" xfId="2094" applyNumberFormat="1" applyFont="1" applyBorder="1" applyAlignment="1">
      <alignment horizontal="center" vertical="center"/>
    </xf>
    <xf numFmtId="0" fontId="0" fillId="0" borderId="87" xfId="0" applyBorder="1" applyAlignment="1">
      <alignment horizontal="left" vertical="center" shrinkToFit="1"/>
    </xf>
    <xf numFmtId="0" fontId="0" fillId="0" borderId="32" xfId="0" applyBorder="1" applyAlignment="1">
      <alignment horizontal="left" vertical="center" shrinkToFit="1"/>
    </xf>
    <xf numFmtId="0" fontId="143" fillId="0" borderId="27" xfId="2094" applyFont="1" applyBorder="1" applyAlignment="1">
      <alignment vertical="center" shrinkToFit="1"/>
    </xf>
    <xf numFmtId="217" fontId="143" fillId="29" borderId="86" xfId="2094" applyNumberFormat="1" applyFont="1" applyFill="1" applyBorder="1" applyAlignment="1">
      <alignment horizontal="center" vertical="center" shrinkToFit="1"/>
    </xf>
    <xf numFmtId="217" fontId="143" fillId="29" borderId="88" xfId="2094" applyNumberFormat="1" applyFont="1" applyFill="1" applyBorder="1" applyAlignment="1">
      <alignment horizontal="center" vertical="center" shrinkToFit="1"/>
    </xf>
    <xf numFmtId="41" fontId="143" fillId="29" borderId="87" xfId="1003" applyFont="1" applyFill="1" applyBorder="1" applyAlignment="1">
      <alignment horizontal="center" vertical="center" shrinkToFit="1"/>
    </xf>
    <xf numFmtId="41" fontId="143" fillId="29" borderId="89" xfId="1003" applyFont="1" applyFill="1" applyBorder="1" applyAlignment="1">
      <alignment horizontal="center" vertical="center" shrinkToFit="1"/>
    </xf>
    <xf numFmtId="217" fontId="143" fillId="29" borderId="87" xfId="2094" applyNumberFormat="1" applyFont="1" applyFill="1" applyBorder="1" applyAlignment="1">
      <alignment horizontal="center" vertical="center"/>
    </xf>
    <xf numFmtId="217" fontId="143" fillId="29" borderId="89" xfId="2094" applyNumberFormat="1" applyFont="1" applyFill="1" applyBorder="1" applyAlignment="1">
      <alignment horizontal="center" vertical="center"/>
    </xf>
    <xf numFmtId="217" fontId="160" fillId="29" borderId="32" xfId="2094" applyNumberFormat="1" applyFont="1" applyFill="1" applyBorder="1" applyAlignment="1">
      <alignment horizontal="center" vertical="center" shrinkToFit="1"/>
    </xf>
    <xf numFmtId="217" fontId="160" fillId="29" borderId="90" xfId="2094" applyNumberFormat="1" applyFont="1" applyFill="1" applyBorder="1" applyAlignment="1">
      <alignment horizontal="center" vertical="center" shrinkToFit="1"/>
    </xf>
    <xf numFmtId="0" fontId="141" fillId="0" borderId="0" xfId="0" applyFont="1" applyAlignment="1">
      <alignment horizontal="center" vertical="center" shrinkToFit="1"/>
    </xf>
    <xf numFmtId="0" fontId="198" fillId="0" borderId="106" xfId="0" applyFont="1" applyBorder="1" applyAlignment="1">
      <alignment horizontal="center" vertical="center"/>
    </xf>
    <xf numFmtId="0" fontId="198" fillId="0" borderId="55" xfId="0" applyFont="1" applyBorder="1" applyAlignment="1">
      <alignment horizontal="center" vertical="center"/>
    </xf>
    <xf numFmtId="0" fontId="198" fillId="0" borderId="59" xfId="0" applyFont="1" applyBorder="1" applyAlignment="1">
      <alignment horizontal="center" vertical="center"/>
    </xf>
    <xf numFmtId="0" fontId="198" fillId="0" borderId="106" xfId="0" applyFont="1" applyBorder="1" applyAlignment="1">
      <alignment horizontal="center" vertical="center" wrapText="1"/>
    </xf>
    <xf numFmtId="0" fontId="198" fillId="0" borderId="55" xfId="0" applyFont="1" applyBorder="1" applyAlignment="1">
      <alignment horizontal="center" vertical="center" wrapText="1"/>
    </xf>
    <xf numFmtId="0" fontId="198" fillId="0" borderId="0" xfId="0" applyFont="1" applyAlignment="1">
      <alignment horizontal="distributed" vertical="distributed"/>
    </xf>
    <xf numFmtId="0" fontId="202" fillId="0" borderId="0" xfId="0" applyFont="1" applyAlignment="1">
      <alignment horizontal="distributed" vertical="center" indent="1"/>
    </xf>
    <xf numFmtId="0" fontId="202" fillId="0" borderId="0" xfId="0" applyFont="1" applyAlignment="1">
      <alignment horizontal="left" vertical="center"/>
    </xf>
    <xf numFmtId="258" fontId="202" fillId="0" borderId="0" xfId="0" applyNumberFormat="1" applyFont="1" applyAlignment="1">
      <alignment horizontal="left" vertical="center"/>
    </xf>
    <xf numFmtId="0" fontId="198" fillId="0" borderId="53" xfId="0" applyFont="1" applyBorder="1" applyAlignment="1">
      <alignment horizontal="center" vertical="center" wrapText="1"/>
    </xf>
    <xf numFmtId="0" fontId="198" fillId="0" borderId="54" xfId="0" applyFont="1" applyBorder="1" applyAlignment="1">
      <alignment horizontal="center" vertical="center"/>
    </xf>
    <xf numFmtId="0" fontId="198" fillId="0" borderId="52" xfId="0" applyFont="1" applyBorder="1" applyAlignment="1">
      <alignment horizontal="center" vertical="center" wrapText="1"/>
    </xf>
    <xf numFmtId="0" fontId="198" fillId="0" borderId="56" xfId="0" applyFont="1" applyBorder="1" applyAlignment="1">
      <alignment horizontal="center" vertical="center"/>
    </xf>
    <xf numFmtId="0" fontId="198" fillId="0" borderId="52" xfId="0" applyFont="1" applyBorder="1" applyAlignment="1">
      <alignment horizontal="center" vertical="center"/>
    </xf>
    <xf numFmtId="0" fontId="198" fillId="0" borderId="57" xfId="0" applyFont="1" applyBorder="1" applyAlignment="1">
      <alignment horizontal="center" vertical="center"/>
    </xf>
    <xf numFmtId="0" fontId="198" fillId="0" borderId="58" xfId="0" applyFont="1" applyBorder="1" applyAlignment="1">
      <alignment horizontal="center" vertical="center"/>
    </xf>
    <xf numFmtId="0" fontId="202" fillId="0" borderId="0" xfId="0" applyFont="1" applyAlignment="1">
      <alignment horizontal="distributed" vertical="distributed"/>
    </xf>
    <xf numFmtId="0" fontId="198" fillId="0" borderId="53" xfId="0" applyFont="1" applyBorder="1" applyAlignment="1">
      <alignment horizontal="center" vertical="center" textRotation="255"/>
    </xf>
    <xf numFmtId="0" fontId="198" fillId="0" borderId="76" xfId="0" applyFont="1" applyBorder="1" applyAlignment="1">
      <alignment horizontal="center" vertical="center" textRotation="255"/>
    </xf>
    <xf numFmtId="0" fontId="198" fillId="0" borderId="54" xfId="0" applyFont="1" applyBorder="1" applyAlignment="1">
      <alignment horizontal="center" vertical="center" textRotation="255"/>
    </xf>
    <xf numFmtId="0" fontId="198" fillId="0" borderId="52" xfId="0" applyFont="1" applyBorder="1" applyAlignment="1">
      <alignment horizontal="center" vertical="center" textRotation="255"/>
    </xf>
    <xf numFmtId="0" fontId="198" fillId="0" borderId="0" xfId="0" applyFont="1" applyAlignment="1">
      <alignment horizontal="center" vertical="center" textRotation="255"/>
    </xf>
    <xf numFmtId="0" fontId="198" fillId="0" borderId="56" xfId="0" applyFont="1" applyBorder="1" applyAlignment="1">
      <alignment horizontal="center" vertical="center" textRotation="255"/>
    </xf>
    <xf numFmtId="0" fontId="198" fillId="0" borderId="57" xfId="0" applyFont="1" applyBorder="1" applyAlignment="1">
      <alignment horizontal="center" vertical="center" textRotation="255"/>
    </xf>
    <xf numFmtId="0" fontId="198" fillId="0" borderId="8" xfId="0" applyFont="1" applyBorder="1" applyAlignment="1">
      <alignment horizontal="center" vertical="center" textRotation="255"/>
    </xf>
    <xf numFmtId="0" fontId="198" fillId="0" borderId="58" xfId="0" applyFont="1" applyBorder="1" applyAlignment="1">
      <alignment horizontal="center" vertical="center" textRotation="255"/>
    </xf>
    <xf numFmtId="0" fontId="198" fillId="0" borderId="53" xfId="0" applyFont="1" applyBorder="1" applyAlignment="1">
      <alignment horizontal="center" vertical="center" textRotation="255" wrapText="1"/>
    </xf>
    <xf numFmtId="0" fontId="198" fillId="0" borderId="54" xfId="0" applyFont="1" applyBorder="1" applyAlignment="1">
      <alignment horizontal="center" vertical="center" textRotation="255" wrapText="1"/>
    </xf>
    <xf numFmtId="0" fontId="198" fillId="0" borderId="52" xfId="0" applyFont="1" applyBorder="1" applyAlignment="1">
      <alignment horizontal="center" vertical="center" textRotation="255" wrapText="1"/>
    </xf>
    <xf numFmtId="0" fontId="198" fillId="0" borderId="56" xfId="0" applyFont="1" applyBorder="1" applyAlignment="1">
      <alignment horizontal="center" vertical="center" textRotation="255" wrapText="1"/>
    </xf>
    <xf numFmtId="0" fontId="198" fillId="0" borderId="57" xfId="0" applyFont="1" applyBorder="1" applyAlignment="1">
      <alignment horizontal="center" vertical="center" textRotation="255" wrapText="1"/>
    </xf>
    <xf numFmtId="0" fontId="198" fillId="0" borderId="58" xfId="0" applyFont="1" applyBorder="1" applyAlignment="1">
      <alignment horizontal="center" vertical="center" textRotation="255" wrapText="1"/>
    </xf>
    <xf numFmtId="0" fontId="201" fillId="0" borderId="0" xfId="0" applyFont="1" applyAlignment="1">
      <alignment horizontal="center" vertical="center"/>
    </xf>
    <xf numFmtId="0" fontId="202" fillId="0" borderId="0" xfId="0" applyFont="1" applyAlignment="1">
      <alignment horizontal="center" vertical="distributed"/>
    </xf>
    <xf numFmtId="0" fontId="198" fillId="0" borderId="76" xfId="0" applyFont="1" applyBorder="1" applyAlignment="1">
      <alignment horizontal="center" vertical="center" wrapText="1"/>
    </xf>
    <xf numFmtId="0" fontId="198" fillId="0" borderId="54" xfId="0" applyFont="1" applyBorder="1" applyAlignment="1">
      <alignment horizontal="center" vertical="center" wrapText="1"/>
    </xf>
    <xf numFmtId="0" fontId="198" fillId="0" borderId="0" xfId="0" applyFont="1" applyAlignment="1">
      <alignment horizontal="center" vertical="center" wrapText="1"/>
    </xf>
    <xf numFmtId="0" fontId="198" fillId="0" borderId="56" xfId="0" applyFont="1" applyBorder="1" applyAlignment="1">
      <alignment horizontal="center" vertical="center" wrapText="1"/>
    </xf>
    <xf numFmtId="0" fontId="198" fillId="0" borderId="57" xfId="0" applyFont="1" applyBorder="1" applyAlignment="1">
      <alignment horizontal="center" vertical="center" wrapText="1"/>
    </xf>
    <xf numFmtId="0" fontId="198" fillId="0" borderId="8" xfId="0" applyFont="1" applyBorder="1" applyAlignment="1">
      <alignment horizontal="center" vertical="center" wrapText="1"/>
    </xf>
    <xf numFmtId="0" fontId="198" fillId="0" borderId="58" xfId="0" applyFont="1" applyBorder="1" applyAlignment="1">
      <alignment horizontal="center" vertical="center" wrapText="1"/>
    </xf>
    <xf numFmtId="0" fontId="195" fillId="0" borderId="0" xfId="0" applyFont="1" applyAlignment="1">
      <alignment horizontal="center" vertical="center"/>
    </xf>
    <xf numFmtId="0" fontId="107" fillId="0" borderId="2" xfId="0" applyFont="1" applyBorder="1" applyAlignment="1">
      <alignment horizontal="center" vertical="center"/>
    </xf>
    <xf numFmtId="0" fontId="116" fillId="0" borderId="2" xfId="0" applyFont="1" applyBorder="1" applyAlignment="1">
      <alignment horizontal="center" vertical="center"/>
    </xf>
    <xf numFmtId="0" fontId="139" fillId="0" borderId="2" xfId="0" applyFont="1" applyBorder="1" applyAlignment="1">
      <alignment horizontal="center" vertical="center" textRotation="255"/>
    </xf>
    <xf numFmtId="0" fontId="139" fillId="0" borderId="2" xfId="0" applyFont="1" applyBorder="1" applyAlignment="1">
      <alignment horizontal="center" vertical="center"/>
    </xf>
    <xf numFmtId="0" fontId="139" fillId="0" borderId="2" xfId="0" applyFont="1" applyBorder="1" applyAlignment="1">
      <alignment horizontal="distributed" vertical="center"/>
    </xf>
    <xf numFmtId="180" fontId="139" fillId="0" borderId="2" xfId="0" applyNumberFormat="1" applyFont="1" applyBorder="1" applyAlignment="1">
      <alignment horizontal="right" vertical="center"/>
    </xf>
    <xf numFmtId="0" fontId="147" fillId="0" borderId="2" xfId="0" applyFont="1" applyBorder="1" applyAlignment="1">
      <alignment horizontal="distributed" vertical="center"/>
    </xf>
    <xf numFmtId="0" fontId="139" fillId="0" borderId="0" xfId="0" applyFont="1" applyAlignment="1">
      <alignment horizontal="distributed" vertical="center"/>
    </xf>
    <xf numFmtId="0" fontId="120" fillId="0" borderId="0" xfId="0" applyFont="1" applyAlignment="1">
      <alignment horizontal="center" vertical="center"/>
    </xf>
    <xf numFmtId="180" fontId="173" fillId="0" borderId="2" xfId="0" applyNumberFormat="1" applyFont="1" applyBorder="1" applyAlignment="1">
      <alignment horizontal="right" vertical="center"/>
    </xf>
    <xf numFmtId="184" fontId="209" fillId="0" borderId="2" xfId="0" applyNumberFormat="1" applyFont="1" applyBorder="1" applyAlignment="1">
      <alignment horizontal="right" vertical="center"/>
    </xf>
    <xf numFmtId="0" fontId="143" fillId="0" borderId="27" xfId="2094" applyFont="1" applyBorder="1">
      <alignment vertical="center"/>
    </xf>
    <xf numFmtId="0" fontId="0" fillId="0" borderId="27" xfId="0" applyBorder="1">
      <alignment vertical="center"/>
    </xf>
    <xf numFmtId="217" fontId="168" fillId="0" borderId="88" xfId="2094" applyNumberFormat="1" applyFont="1" applyBorder="1" applyAlignment="1">
      <alignment horizontal="center" vertical="center"/>
    </xf>
    <xf numFmtId="217" fontId="168" fillId="0" borderId="89" xfId="2094" applyNumberFormat="1" applyFont="1" applyBorder="1" applyAlignment="1">
      <alignment horizontal="center" vertical="center"/>
    </xf>
    <xf numFmtId="41" fontId="139" fillId="0" borderId="0" xfId="1003" applyFont="1" applyAlignment="1">
      <alignment horizontal="center" vertical="center" shrinkToFit="1"/>
    </xf>
    <xf numFmtId="180" fontId="107" fillId="0" borderId="86" xfId="2094" applyNumberFormat="1" applyFont="1" applyBorder="1" applyAlignment="1">
      <alignment horizontal="left" vertical="center" shrinkToFit="1"/>
    </xf>
    <xf numFmtId="0" fontId="3" fillId="0" borderId="87" xfId="0" applyFont="1" applyBorder="1" applyAlignment="1">
      <alignment horizontal="left" vertical="center" shrinkToFit="1"/>
    </xf>
    <xf numFmtId="0" fontId="3" fillId="0" borderId="32" xfId="0" applyFont="1" applyBorder="1" applyAlignment="1">
      <alignment horizontal="left" vertical="center" shrinkToFit="1"/>
    </xf>
    <xf numFmtId="0" fontId="107" fillId="0" borderId="27" xfId="2094" applyFont="1" applyBorder="1" applyAlignment="1">
      <alignment vertical="center" shrinkToFit="1"/>
    </xf>
    <xf numFmtId="0" fontId="3" fillId="0" borderId="27" xfId="0" applyFont="1" applyBorder="1">
      <alignment vertical="center"/>
    </xf>
    <xf numFmtId="217" fontId="107" fillId="29" borderId="87" xfId="2094" applyNumberFormat="1" applyFont="1" applyFill="1" applyBorder="1" applyAlignment="1">
      <alignment horizontal="center" vertical="center"/>
    </xf>
    <xf numFmtId="217" fontId="107" fillId="29" borderId="32" xfId="2094" applyNumberFormat="1" applyFont="1" applyFill="1" applyBorder="1" applyAlignment="1">
      <alignment horizontal="center" vertical="center" shrinkToFit="1"/>
    </xf>
    <xf numFmtId="217" fontId="107" fillId="29" borderId="90" xfId="2094" applyNumberFormat="1" applyFont="1" applyFill="1" applyBorder="1" applyAlignment="1">
      <alignment horizontal="center" vertical="center" shrinkToFit="1"/>
    </xf>
    <xf numFmtId="217" fontId="107" fillId="29" borderId="89" xfId="2094" applyNumberFormat="1" applyFont="1" applyFill="1" applyBorder="1" applyAlignment="1">
      <alignment horizontal="center" vertical="center"/>
    </xf>
    <xf numFmtId="41" fontId="107" fillId="29" borderId="87" xfId="1003" applyFont="1" applyFill="1" applyBorder="1" applyAlignment="1">
      <alignment horizontal="center" vertical="center" shrinkToFit="1"/>
    </xf>
    <xf numFmtId="41" fontId="107" fillId="29" borderId="89" xfId="1003" applyFont="1" applyFill="1" applyBorder="1" applyAlignment="1">
      <alignment horizontal="center" vertical="center" shrinkToFit="1"/>
    </xf>
    <xf numFmtId="217" fontId="107" fillId="29" borderId="86" xfId="2094" applyNumberFormat="1" applyFont="1" applyFill="1" applyBorder="1" applyAlignment="1">
      <alignment horizontal="center" vertical="center" shrinkToFit="1"/>
    </xf>
    <xf numFmtId="217" fontId="107" fillId="29" borderId="88" xfId="2094" applyNumberFormat="1" applyFont="1" applyFill="1" applyBorder="1" applyAlignment="1">
      <alignment horizontal="center" vertical="center" shrinkToFit="1"/>
    </xf>
    <xf numFmtId="43" fontId="107" fillId="0" borderId="75" xfId="2089" applyNumberFormat="1" applyFont="1" applyBorder="1" applyAlignment="1">
      <alignment horizontal="center" vertical="center" shrinkToFit="1"/>
    </xf>
    <xf numFmtId="217" fontId="143" fillId="29" borderId="74" xfId="2094" applyNumberFormat="1" applyFont="1" applyFill="1" applyBorder="1" applyAlignment="1">
      <alignment horizontal="center" vertical="center"/>
    </xf>
    <xf numFmtId="217" fontId="143" fillId="29" borderId="75" xfId="2094" applyNumberFormat="1" applyFont="1" applyFill="1" applyBorder="1" applyAlignment="1">
      <alignment horizontal="center" vertical="center"/>
    </xf>
    <xf numFmtId="41" fontId="143" fillId="29" borderId="74" xfId="1003" applyFont="1" applyFill="1" applyBorder="1" applyAlignment="1">
      <alignment horizontal="center" vertical="center"/>
    </xf>
    <xf numFmtId="41" fontId="143" fillId="29" borderId="75" xfId="1003" applyFont="1" applyFill="1" applyBorder="1" applyAlignment="1">
      <alignment horizontal="center" vertical="center"/>
    </xf>
    <xf numFmtId="41" fontId="143" fillId="29" borderId="74" xfId="1003" applyFont="1" applyFill="1" applyBorder="1" applyAlignment="1">
      <alignment horizontal="center" vertical="center" shrinkToFit="1"/>
    </xf>
    <xf numFmtId="41" fontId="143" fillId="29" borderId="75" xfId="1003" applyFont="1" applyFill="1" applyBorder="1" applyAlignment="1">
      <alignment horizontal="center" vertical="center" shrinkToFit="1"/>
    </xf>
    <xf numFmtId="217" fontId="160" fillId="29" borderId="74" xfId="2094" applyNumberFormat="1" applyFont="1" applyFill="1" applyBorder="1" applyAlignment="1">
      <alignment horizontal="center" vertical="center" shrinkToFit="1"/>
    </xf>
    <xf numFmtId="217" fontId="160" fillId="29" borderId="75" xfId="2094" applyNumberFormat="1" applyFont="1" applyFill="1" applyBorder="1" applyAlignment="1">
      <alignment horizontal="center" vertical="center" shrinkToFit="1"/>
    </xf>
    <xf numFmtId="43" fontId="107" fillId="0" borderId="72" xfId="2089" applyNumberFormat="1" applyFont="1" applyBorder="1" applyAlignment="1">
      <alignment horizontal="center" vertical="center" shrinkToFit="1"/>
    </xf>
    <xf numFmtId="180" fontId="107" fillId="0" borderId="74" xfId="2094" applyNumberFormat="1" applyFont="1" applyBorder="1" applyAlignment="1">
      <alignment horizontal="left" vertical="center" shrinkToFit="1"/>
    </xf>
    <xf numFmtId="0" fontId="0" fillId="0" borderId="74" xfId="0" applyBorder="1" applyAlignment="1">
      <alignment horizontal="left" vertical="center" shrinkToFit="1"/>
    </xf>
    <xf numFmtId="217" fontId="168" fillId="0" borderId="75" xfId="2094" applyNumberFormat="1" applyFont="1" applyBorder="1" applyAlignment="1">
      <alignment horizontal="center" vertical="center"/>
    </xf>
    <xf numFmtId="217" fontId="143" fillId="29" borderId="2" xfId="2094" applyNumberFormat="1" applyFont="1" applyFill="1" applyBorder="1" applyAlignment="1">
      <alignment horizontal="center" vertical="center"/>
    </xf>
    <xf numFmtId="41" fontId="143" fillId="29" borderId="2" xfId="1003" applyFont="1" applyFill="1" applyBorder="1" applyAlignment="1">
      <alignment horizontal="center" vertical="center"/>
    </xf>
    <xf numFmtId="41" fontId="143" fillId="29" borderId="2" xfId="1003" applyFont="1" applyFill="1" applyBorder="1" applyAlignment="1">
      <alignment horizontal="center" vertical="center" shrinkToFit="1"/>
    </xf>
    <xf numFmtId="217" fontId="160" fillId="29" borderId="2" xfId="2094" applyNumberFormat="1" applyFont="1" applyFill="1" applyBorder="1" applyAlignment="1">
      <alignment horizontal="center" vertical="center" shrinkToFit="1"/>
    </xf>
    <xf numFmtId="0" fontId="174" fillId="29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191" fillId="0" borderId="27" xfId="2094" applyFont="1" applyBorder="1">
      <alignment vertical="center"/>
    </xf>
    <xf numFmtId="0" fontId="192" fillId="0" borderId="27" xfId="0" applyFont="1" applyBorder="1">
      <alignment vertical="center"/>
    </xf>
    <xf numFmtId="0" fontId="192" fillId="0" borderId="94" xfId="0" applyFont="1" applyBorder="1">
      <alignment vertical="center"/>
    </xf>
    <xf numFmtId="0" fontId="183" fillId="29" borderId="35" xfId="0" applyFont="1" applyFill="1" applyBorder="1" applyAlignment="1">
      <alignment horizontal="center" vertical="center" shrinkToFit="1"/>
    </xf>
    <xf numFmtId="0" fontId="183" fillId="29" borderId="92" xfId="0" applyFont="1" applyFill="1" applyBorder="1" applyAlignment="1">
      <alignment horizontal="center" vertical="center" shrinkToFit="1"/>
    </xf>
    <xf numFmtId="0" fontId="183" fillId="29" borderId="95" xfId="0" applyFont="1" applyFill="1" applyBorder="1" applyAlignment="1">
      <alignment horizontal="center" vertical="center" shrinkToFit="1"/>
    </xf>
    <xf numFmtId="0" fontId="183" fillId="29" borderId="96" xfId="0" applyFont="1" applyFill="1" applyBorder="1" applyAlignment="1">
      <alignment horizontal="center" vertical="center" shrinkToFit="1"/>
    </xf>
    <xf numFmtId="0" fontId="183" fillId="29" borderId="97" xfId="0" applyFont="1" applyFill="1" applyBorder="1" applyAlignment="1">
      <alignment horizontal="center" vertical="center" shrinkToFit="1"/>
    </xf>
    <xf numFmtId="0" fontId="183" fillId="29" borderId="74" xfId="0" applyFont="1" applyFill="1" applyBorder="1" applyAlignment="1">
      <alignment horizontal="center" vertical="center" shrinkToFit="1"/>
    </xf>
    <xf numFmtId="0" fontId="183" fillId="29" borderId="91" xfId="0" applyFont="1" applyFill="1" applyBorder="1" applyAlignment="1">
      <alignment horizontal="center" vertical="center" shrinkToFit="1"/>
    </xf>
    <xf numFmtId="0" fontId="167" fillId="0" borderId="72" xfId="0" applyFont="1" applyBorder="1" applyAlignment="1">
      <alignment horizontal="left" vertical="center" shrinkToFit="1"/>
    </xf>
    <xf numFmtId="0" fontId="167" fillId="0" borderId="72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159" fillId="29" borderId="74" xfId="0" applyFont="1" applyFill="1" applyBorder="1" applyAlignment="1">
      <alignment horizontal="center" vertical="center"/>
    </xf>
    <xf numFmtId="0" fontId="159" fillId="29" borderId="75" xfId="0" applyFont="1" applyFill="1" applyBorder="1" applyAlignment="1">
      <alignment horizontal="center" vertical="center"/>
    </xf>
    <xf numFmtId="0" fontId="116" fillId="29" borderId="74" xfId="0" applyFont="1" applyFill="1" applyBorder="1" applyAlignment="1">
      <alignment horizontal="center" vertical="center"/>
    </xf>
    <xf numFmtId="184" fontId="142" fillId="0" borderId="48" xfId="2095" applyNumberFormat="1" applyFont="1" applyBorder="1" applyAlignment="1">
      <alignment horizontal="center" vertical="center"/>
    </xf>
    <xf numFmtId="184" fontId="142" fillId="0" borderId="0" xfId="2095" applyNumberFormat="1" applyFont="1" applyAlignment="1">
      <alignment horizontal="center" vertical="center"/>
    </xf>
    <xf numFmtId="184" fontId="142" fillId="0" borderId="49" xfId="2095" applyNumberFormat="1" applyFont="1" applyBorder="1" applyAlignment="1">
      <alignment horizontal="center" vertical="center"/>
    </xf>
    <xf numFmtId="184" fontId="142" fillId="0" borderId="69" xfId="2095" applyNumberFormat="1" applyFont="1" applyBorder="1" applyAlignment="1">
      <alignment horizontal="center" vertical="center"/>
    </xf>
    <xf numFmtId="184" fontId="142" fillId="0" borderId="70" xfId="2095" applyNumberFormat="1" applyFont="1" applyBorder="1" applyAlignment="1">
      <alignment horizontal="center" vertical="center"/>
    </xf>
    <xf numFmtId="184" fontId="142" fillId="0" borderId="71" xfId="2095" applyNumberFormat="1" applyFont="1" applyBorder="1" applyAlignment="1">
      <alignment horizontal="center" vertical="center"/>
    </xf>
    <xf numFmtId="41" fontId="107" fillId="29" borderId="7" xfId="2095" applyNumberFormat="1" applyFont="1" applyFill="1" applyBorder="1" applyAlignment="1">
      <alignment horizontal="center" vertical="center"/>
    </xf>
    <xf numFmtId="0" fontId="107" fillId="29" borderId="7" xfId="2095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37" xfId="0" applyBorder="1">
      <alignment vertical="center"/>
    </xf>
    <xf numFmtId="0" fontId="142" fillId="0" borderId="0" xfId="2095" applyFont="1" applyAlignment="1">
      <alignment horizontal="center" vertical="center"/>
    </xf>
    <xf numFmtId="0" fontId="142" fillId="0" borderId="0" xfId="0" applyFont="1">
      <alignment vertical="center"/>
    </xf>
    <xf numFmtId="0" fontId="142" fillId="0" borderId="0" xfId="2095" applyFont="1" applyAlignment="1">
      <alignment horizontal="center"/>
    </xf>
    <xf numFmtId="184" fontId="142" fillId="0" borderId="61" xfId="2085" applyNumberFormat="1" applyFont="1" applyBorder="1" applyAlignment="1">
      <alignment horizontal="left" vertical="center" shrinkToFit="1"/>
    </xf>
    <xf numFmtId="0" fontId="142" fillId="0" borderId="65" xfId="0" applyFont="1" applyBorder="1">
      <alignment vertical="center"/>
    </xf>
    <xf numFmtId="0" fontId="142" fillId="0" borderId="64" xfId="0" applyFont="1" applyBorder="1">
      <alignment vertical="center"/>
    </xf>
    <xf numFmtId="184" fontId="142" fillId="0" borderId="25" xfId="2085" applyNumberFormat="1" applyFont="1" applyBorder="1" applyAlignment="1">
      <alignment horizontal="left" vertical="center" shrinkToFit="1"/>
    </xf>
    <xf numFmtId="184" fontId="105" fillId="0" borderId="69" xfId="2095" applyNumberFormat="1" applyFont="1" applyBorder="1" applyAlignment="1">
      <alignment horizontal="center" vertical="center"/>
    </xf>
    <xf numFmtId="184" fontId="105" fillId="0" borderId="71" xfId="2095" applyNumberFormat="1" applyFont="1" applyBorder="1" applyAlignment="1">
      <alignment horizontal="center" vertical="center"/>
    </xf>
    <xf numFmtId="184" fontId="105" fillId="0" borderId="48" xfId="2095" applyNumberFormat="1" applyFont="1" applyBorder="1" applyAlignment="1">
      <alignment horizontal="center" vertical="center"/>
    </xf>
    <xf numFmtId="184" fontId="105" fillId="0" borderId="0" xfId="2095" applyNumberFormat="1" applyFont="1" applyAlignment="1">
      <alignment horizontal="center" vertical="center"/>
    </xf>
    <xf numFmtId="184" fontId="105" fillId="0" borderId="49" xfId="2095" applyNumberFormat="1" applyFont="1" applyBorder="1" applyAlignment="1">
      <alignment horizontal="center" vertical="center"/>
    </xf>
    <xf numFmtId="184" fontId="105" fillId="0" borderId="70" xfId="2095" applyNumberFormat="1" applyFont="1" applyBorder="1" applyAlignment="1">
      <alignment horizontal="center" vertical="center"/>
    </xf>
    <xf numFmtId="0" fontId="105" fillId="29" borderId="7" xfId="0" applyFont="1" applyFill="1" applyBorder="1">
      <alignment vertical="center"/>
    </xf>
    <xf numFmtId="0" fontId="107" fillId="29" borderId="7" xfId="2095" applyFont="1" applyFill="1" applyBorder="1" applyAlignment="1">
      <alignment horizontal="center" vertical="center" shrinkToFit="1"/>
    </xf>
    <xf numFmtId="0" fontId="107" fillId="29" borderId="7" xfId="0" applyFont="1" applyFill="1" applyBorder="1" applyAlignment="1">
      <alignment horizontal="center" vertical="center" shrinkToFit="1"/>
    </xf>
    <xf numFmtId="0" fontId="105" fillId="0" borderId="0" xfId="2095" applyFont="1" applyAlignment="1">
      <alignment horizontal="center" vertical="center"/>
    </xf>
    <xf numFmtId="0" fontId="105" fillId="0" borderId="0" xfId="0" applyFont="1">
      <alignment vertical="center"/>
    </xf>
    <xf numFmtId="0" fontId="105" fillId="0" borderId="0" xfId="2095" applyFont="1" applyAlignment="1">
      <alignment horizontal="center"/>
    </xf>
    <xf numFmtId="184" fontId="105" fillId="0" borderId="61" xfId="2085" applyNumberFormat="1" applyFont="1" applyBorder="1" applyAlignment="1">
      <alignment horizontal="left" vertical="center" shrinkToFit="1"/>
    </xf>
    <xf numFmtId="0" fontId="105" fillId="0" borderId="65" xfId="0" applyFont="1" applyBorder="1">
      <alignment vertical="center"/>
    </xf>
    <xf numFmtId="0" fontId="105" fillId="0" borderId="64" xfId="0" applyFont="1" applyBorder="1">
      <alignment vertical="center"/>
    </xf>
    <xf numFmtId="184" fontId="105" fillId="0" borderId="25" xfId="2085" applyNumberFormat="1" applyFont="1" applyBorder="1" applyAlignment="1">
      <alignment horizontal="left" vertical="center" shrinkToFit="1"/>
    </xf>
    <xf numFmtId="0" fontId="142" fillId="0" borderId="70" xfId="2095" applyFont="1" applyBorder="1" applyAlignment="1">
      <alignment horizontal="center" vertical="center"/>
    </xf>
    <xf numFmtId="184" fontId="142" fillId="0" borderId="63" xfId="2085" applyNumberFormat="1" applyFont="1" applyBorder="1" applyAlignment="1">
      <alignment horizontal="left" vertical="center" shrinkToFit="1"/>
    </xf>
    <xf numFmtId="184" fontId="142" fillId="0" borderId="65" xfId="2085" applyNumberFormat="1" applyFont="1" applyBorder="1" applyAlignment="1">
      <alignment horizontal="left" vertical="center" shrinkToFit="1"/>
    </xf>
    <xf numFmtId="184" fontId="142" fillId="0" borderId="64" xfId="2085" applyNumberFormat="1" applyFont="1" applyBorder="1" applyAlignment="1">
      <alignment horizontal="left" vertical="center" shrinkToFit="1"/>
    </xf>
    <xf numFmtId="184" fontId="142" fillId="0" borderId="78" xfId="2085" applyNumberFormat="1" applyFont="1" applyBorder="1" applyAlignment="1">
      <alignment horizontal="left" vertical="center" shrinkToFit="1"/>
    </xf>
    <xf numFmtId="184" fontId="142" fillId="0" borderId="77" xfId="2085" applyNumberFormat="1" applyFont="1" applyBorder="1" applyAlignment="1">
      <alignment horizontal="left" vertical="center" shrinkToFit="1"/>
    </xf>
    <xf numFmtId="0" fontId="107" fillId="29" borderId="37" xfId="2095" applyFont="1" applyFill="1" applyBorder="1" applyAlignment="1">
      <alignment horizontal="center" vertical="center" shrinkToFit="1"/>
    </xf>
    <xf numFmtId="41" fontId="142" fillId="0" borderId="26" xfId="1003" applyFont="1" applyFill="1" applyBorder="1" applyAlignment="1">
      <alignment horizontal="center" vertical="center"/>
    </xf>
    <xf numFmtId="41" fontId="142" fillId="0" borderId="27" xfId="1003" applyFont="1" applyFill="1" applyBorder="1" applyAlignment="1">
      <alignment horizontal="center" vertical="center"/>
    </xf>
    <xf numFmtId="41" fontId="142" fillId="0" borderId="12" xfId="1003" applyFont="1" applyFill="1" applyBorder="1" applyAlignment="1">
      <alignment horizontal="center" vertical="center"/>
    </xf>
    <xf numFmtId="0" fontId="143" fillId="29" borderId="7" xfId="2095" applyFont="1" applyFill="1" applyBorder="1" applyAlignment="1">
      <alignment horizontal="center" vertical="center" shrinkToFit="1"/>
    </xf>
    <xf numFmtId="0" fontId="143" fillId="29" borderId="7" xfId="0" applyFont="1" applyFill="1" applyBorder="1" applyAlignment="1">
      <alignment horizontal="center" vertical="center" shrinkToFit="1"/>
    </xf>
    <xf numFmtId="0" fontId="0" fillId="0" borderId="7" xfId="0" applyBorder="1" applyAlignment="1">
      <alignment vertical="center" shrinkToFit="1"/>
    </xf>
    <xf numFmtId="0" fontId="0" fillId="0" borderId="37" xfId="0" applyBorder="1" applyAlignment="1">
      <alignment vertical="center" shrinkToFit="1"/>
    </xf>
    <xf numFmtId="0" fontId="143" fillId="29" borderId="7" xfId="2095" applyFont="1" applyFill="1" applyBorder="1" applyAlignment="1">
      <alignment horizontal="center" vertical="center"/>
    </xf>
    <xf numFmtId="0" fontId="142" fillId="29" borderId="7" xfId="0" applyFont="1" applyFill="1" applyBorder="1">
      <alignment vertical="center"/>
    </xf>
    <xf numFmtId="184" fontId="105" fillId="0" borderId="65" xfId="2085" applyNumberFormat="1" applyFont="1" applyBorder="1" applyAlignment="1">
      <alignment horizontal="left" vertical="center"/>
    </xf>
    <xf numFmtId="0" fontId="105" fillId="28" borderId="53" xfId="2095" applyFont="1" applyFill="1" applyBorder="1" applyAlignment="1">
      <alignment horizontal="center" vertical="center"/>
    </xf>
    <xf numFmtId="0" fontId="105" fillId="28" borderId="54" xfId="2095" applyFont="1" applyFill="1" applyBorder="1" applyAlignment="1">
      <alignment horizontal="center" vertical="center"/>
    </xf>
    <xf numFmtId="0" fontId="105" fillId="28" borderId="57" xfId="2095" applyFont="1" applyFill="1" applyBorder="1" applyAlignment="1">
      <alignment horizontal="center" vertical="center"/>
    </xf>
    <xf numFmtId="0" fontId="105" fillId="28" borderId="58" xfId="2095" applyFont="1" applyFill="1" applyBorder="1" applyAlignment="1">
      <alignment horizontal="center" vertical="center"/>
    </xf>
    <xf numFmtId="184" fontId="105" fillId="0" borderId="64" xfId="2085" applyNumberFormat="1" applyFont="1" applyBorder="1" applyAlignment="1">
      <alignment horizontal="left" vertical="center"/>
    </xf>
    <xf numFmtId="184" fontId="142" fillId="0" borderId="0" xfId="2085" applyNumberFormat="1" applyFont="1" applyAlignment="1">
      <alignment horizontal="left" vertical="center" shrinkToFit="1"/>
    </xf>
    <xf numFmtId="0" fontId="142" fillId="0" borderId="8" xfId="0" applyFont="1" applyBorder="1">
      <alignment vertical="center"/>
    </xf>
    <xf numFmtId="209" fontId="143" fillId="29" borderId="7" xfId="1388" applyNumberFormat="1" applyFont="1" applyFill="1" applyBorder="1" applyAlignment="1">
      <alignment horizontal="left" vertical="center" wrapText="1" shrinkToFit="1"/>
    </xf>
    <xf numFmtId="0" fontId="142" fillId="29" borderId="37" xfId="0" applyFont="1" applyFill="1" applyBorder="1">
      <alignment vertical="center"/>
    </xf>
    <xf numFmtId="0" fontId="143" fillId="29" borderId="7" xfId="0" applyFont="1" applyFill="1" applyBorder="1" applyAlignment="1">
      <alignment horizontal="center" vertical="center"/>
    </xf>
    <xf numFmtId="0" fontId="0" fillId="0" borderId="77" xfId="0" applyBorder="1" applyAlignment="1">
      <alignment vertical="center" shrinkToFit="1"/>
    </xf>
    <xf numFmtId="184" fontId="105" fillId="0" borderId="76" xfId="2095" applyNumberFormat="1" applyFont="1" applyBorder="1" applyAlignment="1">
      <alignment horizontal="center" vertical="center"/>
    </xf>
    <xf numFmtId="0" fontId="142" fillId="29" borderId="7" xfId="0" applyFont="1" applyFill="1" applyBorder="1" applyAlignment="1">
      <alignment vertical="center" shrinkToFit="1"/>
    </xf>
    <xf numFmtId="184" fontId="105" fillId="0" borderId="99" xfId="2095" applyNumberFormat="1" applyFont="1" applyBorder="1" applyAlignment="1">
      <alignment horizontal="center" vertical="center"/>
    </xf>
    <xf numFmtId="184" fontId="105" fillId="0" borderId="101" xfId="2095" applyNumberFormat="1" applyFont="1" applyBorder="1" applyAlignment="1">
      <alignment horizontal="center" vertical="center"/>
    </xf>
    <xf numFmtId="184" fontId="105" fillId="0" borderId="100" xfId="2095" applyNumberFormat="1" applyFont="1" applyBorder="1" applyAlignment="1">
      <alignment horizontal="center" vertical="center"/>
    </xf>
    <xf numFmtId="184" fontId="105" fillId="0" borderId="77" xfId="2085" applyNumberFormat="1" applyFont="1" applyBorder="1" applyAlignment="1">
      <alignment horizontal="left" vertical="center"/>
    </xf>
    <xf numFmtId="184" fontId="105" fillId="0" borderId="78" xfId="2085" applyNumberFormat="1" applyFont="1" applyBorder="1" applyAlignment="1">
      <alignment horizontal="left" vertical="center"/>
    </xf>
    <xf numFmtId="184" fontId="105" fillId="0" borderId="61" xfId="2085" applyNumberFormat="1" applyFont="1" applyBorder="1" applyAlignment="1">
      <alignment horizontal="left" vertical="center"/>
    </xf>
    <xf numFmtId="41" fontId="105" fillId="0" borderId="26" xfId="1003" applyFont="1" applyFill="1" applyBorder="1" applyAlignment="1">
      <alignment horizontal="center" vertical="center"/>
    </xf>
    <xf numFmtId="41" fontId="105" fillId="0" borderId="27" xfId="1003" applyFont="1" applyFill="1" applyBorder="1" applyAlignment="1">
      <alignment horizontal="center" vertical="center"/>
    </xf>
    <xf numFmtId="41" fontId="105" fillId="0" borderId="12" xfId="1003" applyFont="1" applyFill="1" applyBorder="1" applyAlignment="1">
      <alignment horizontal="center" vertical="center"/>
    </xf>
    <xf numFmtId="0" fontId="107" fillId="29" borderId="37" xfId="2095" applyFont="1" applyFill="1" applyBorder="1" applyAlignment="1">
      <alignment horizontal="center" vertical="center"/>
    </xf>
    <xf numFmtId="260" fontId="206" fillId="0" borderId="18" xfId="0" applyNumberFormat="1" applyFont="1" applyBorder="1">
      <alignment vertical="center"/>
    </xf>
    <xf numFmtId="3" fontId="206" fillId="0" borderId="18" xfId="0" applyNumberFormat="1" applyFont="1" applyBorder="1">
      <alignment vertical="center"/>
    </xf>
    <xf numFmtId="259" fontId="206" fillId="0" borderId="18" xfId="0" applyNumberFormat="1" applyFont="1" applyBorder="1">
      <alignment vertical="center"/>
    </xf>
    <xf numFmtId="3" fontId="206" fillId="0" borderId="18" xfId="2113" applyNumberFormat="1" applyFont="1" applyBorder="1" applyAlignment="1">
      <alignment vertical="center"/>
    </xf>
    <xf numFmtId="260" fontId="206" fillId="0" borderId="18" xfId="2113" applyNumberFormat="1" applyFont="1" applyBorder="1" applyAlignment="1">
      <alignment vertical="center"/>
    </xf>
    <xf numFmtId="259" fontId="206" fillId="0" borderId="18" xfId="2113" applyNumberFormat="1" applyFont="1" applyBorder="1" applyAlignment="1">
      <alignment vertical="center"/>
    </xf>
    <xf numFmtId="3" fontId="205" fillId="0" borderId="7" xfId="2113" applyNumberFormat="1" applyFont="1" applyBorder="1" applyAlignment="1">
      <alignment horizontal="center" vertical="center"/>
    </xf>
    <xf numFmtId="3" fontId="119" fillId="0" borderId="0" xfId="2091" applyNumberFormat="1" applyFont="1" applyAlignment="1">
      <alignment horizontal="center" vertical="center"/>
    </xf>
    <xf numFmtId="41" fontId="111" fillId="0" borderId="0" xfId="1009" applyFont="1" applyFill="1" applyBorder="1" applyAlignment="1">
      <alignment horizontal="center" vertical="center" shrinkToFit="1"/>
    </xf>
    <xf numFmtId="41" fontId="111" fillId="0" borderId="31" xfId="1009" applyFont="1" applyFill="1" applyBorder="1" applyAlignment="1">
      <alignment horizontal="center" vertical="center"/>
    </xf>
    <xf numFmtId="41" fontId="111" fillId="0" borderId="5" xfId="1009" applyFont="1" applyFill="1" applyBorder="1" applyAlignment="1">
      <alignment horizontal="center" vertical="center"/>
    </xf>
    <xf numFmtId="3" fontId="111" fillId="0" borderId="0" xfId="1009" applyNumberFormat="1" applyFont="1" applyFill="1" applyBorder="1" applyAlignment="1">
      <alignment horizontal="center" vertical="center"/>
    </xf>
    <xf numFmtId="0" fontId="105" fillId="0" borderId="0" xfId="2091" applyFont="1" applyAlignment="1">
      <alignment vertical="center" shrinkToFit="1"/>
    </xf>
    <xf numFmtId="0" fontId="0" fillId="0" borderId="0" xfId="0" applyAlignment="1">
      <alignment vertical="center" shrinkToFit="1"/>
    </xf>
    <xf numFmtId="0" fontId="111" fillId="0" borderId="0" xfId="2091" applyFont="1" applyAlignment="1">
      <alignment horizontal="center" vertical="center"/>
    </xf>
    <xf numFmtId="41" fontId="119" fillId="0" borderId="0" xfId="2091" applyNumberFormat="1" applyFont="1" applyAlignment="1">
      <alignment horizontal="center" vertical="center"/>
    </xf>
    <xf numFmtId="41" fontId="111" fillId="0" borderId="0" xfId="1009" applyFont="1" applyFill="1" applyBorder="1" applyAlignment="1">
      <alignment horizontal="center" vertical="center"/>
    </xf>
    <xf numFmtId="0" fontId="111" fillId="0" borderId="31" xfId="2091" applyFont="1" applyBorder="1" applyAlignment="1">
      <alignment horizontal="center" vertical="center"/>
    </xf>
    <xf numFmtId="0" fontId="115" fillId="29" borderId="36" xfId="2091" applyFont="1" applyFill="1" applyBorder="1" applyAlignment="1">
      <alignment horizontal="center" vertical="center"/>
    </xf>
    <xf numFmtId="0" fontId="109" fillId="29" borderId="7" xfId="0" applyFont="1" applyFill="1" applyBorder="1">
      <alignment vertical="center"/>
    </xf>
    <xf numFmtId="0" fontId="109" fillId="29" borderId="37" xfId="0" applyFont="1" applyFill="1" applyBorder="1">
      <alignment vertical="center"/>
    </xf>
    <xf numFmtId="41" fontId="119" fillId="0" borderId="29" xfId="1009" applyFont="1" applyFill="1" applyBorder="1" applyAlignment="1">
      <alignment horizontal="center" vertical="center"/>
    </xf>
    <xf numFmtId="41" fontId="119" fillId="0" borderId="31" xfId="1003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09" fillId="0" borderId="0" xfId="2090" applyFont="1" applyAlignment="1">
      <alignment horizontal="center" vertical="center" shrinkToFit="1"/>
    </xf>
    <xf numFmtId="41" fontId="119" fillId="0" borderId="31" xfId="1009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0" fontId="0" fillId="0" borderId="29" xfId="0" applyBorder="1" applyAlignment="1">
      <alignment horizontal="center" vertical="center"/>
    </xf>
    <xf numFmtId="3" fontId="119" fillId="0" borderId="31" xfId="2091" applyNumberFormat="1" applyFont="1" applyBorder="1" applyAlignment="1">
      <alignment horizontal="center" vertical="center" shrinkToFit="1"/>
    </xf>
    <xf numFmtId="41" fontId="119" fillId="0" borderId="0" xfId="1003" applyFont="1" applyFill="1" applyBorder="1" applyAlignment="1">
      <alignment horizontal="center" vertical="center"/>
    </xf>
    <xf numFmtId="41" fontId="105" fillId="0" borderId="31" xfId="1009" applyFont="1" applyFill="1" applyBorder="1" applyAlignment="1">
      <alignment horizontal="center" vertical="center"/>
    </xf>
    <xf numFmtId="41" fontId="105" fillId="0" borderId="5" xfId="1009" applyFont="1" applyFill="1" applyBorder="1" applyAlignment="1">
      <alignment horizontal="center" vertical="center"/>
    </xf>
    <xf numFmtId="0" fontId="106" fillId="29" borderId="7" xfId="0" applyFont="1" applyFill="1" applyBorder="1">
      <alignment vertical="center"/>
    </xf>
    <xf numFmtId="0" fontId="106" fillId="29" borderId="37" xfId="0" applyFont="1" applyFill="1" applyBorder="1">
      <alignment vertical="center"/>
    </xf>
    <xf numFmtId="0" fontId="105" fillId="0" borderId="0" xfId="2091" applyFont="1" applyAlignment="1">
      <alignment horizontal="center" vertical="center"/>
    </xf>
    <xf numFmtId="41" fontId="105" fillId="0" borderId="0" xfId="1009" applyFont="1" applyFill="1" applyBorder="1" applyAlignment="1">
      <alignment horizontal="center" vertical="center"/>
    </xf>
    <xf numFmtId="0" fontId="105" fillId="0" borderId="31" xfId="2091" applyFont="1" applyBorder="1" applyAlignment="1">
      <alignment horizontal="center" vertical="center"/>
    </xf>
    <xf numFmtId="3" fontId="119" fillId="0" borderId="0" xfId="2091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3" fontId="105" fillId="0" borderId="0" xfId="1009" applyNumberFormat="1" applyFont="1" applyFill="1" applyBorder="1" applyAlignment="1">
      <alignment horizontal="center" vertical="center"/>
    </xf>
    <xf numFmtId="41" fontId="105" fillId="0" borderId="0" xfId="1009" applyFont="1" applyFill="1" applyBorder="1" applyAlignment="1">
      <alignment horizontal="center" vertical="center" shrinkToFit="1"/>
    </xf>
    <xf numFmtId="0" fontId="106" fillId="0" borderId="0" xfId="2090" applyFont="1" applyAlignment="1">
      <alignment horizontal="center" vertical="center" shrinkToFit="1"/>
    </xf>
    <xf numFmtId="3" fontId="178" fillId="0" borderId="0" xfId="1009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158" fillId="0" borderId="0" xfId="2091" applyFont="1" applyAlignment="1">
      <alignment horizontal="center" vertical="center" shrinkToFit="1"/>
    </xf>
    <xf numFmtId="0" fontId="178" fillId="0" borderId="0" xfId="2091" applyFont="1" applyAlignment="1">
      <alignment vertical="center" shrinkToFit="1"/>
    </xf>
    <xf numFmtId="0" fontId="158" fillId="0" borderId="0" xfId="2091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115" fillId="29" borderId="36" xfId="2091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37" xfId="0" applyBorder="1" applyAlignment="1">
      <alignment horizontal="center" vertical="center" shrinkToFit="1"/>
    </xf>
    <xf numFmtId="241" fontId="158" fillId="0" borderId="0" xfId="2091" applyNumberFormat="1" applyFont="1" applyAlignment="1">
      <alignment horizontal="center" vertical="center" shrinkToFit="1"/>
    </xf>
    <xf numFmtId="241" fontId="4" fillId="0" borderId="0" xfId="0" applyNumberFormat="1" applyFont="1" applyAlignment="1">
      <alignment horizontal="center" vertical="center" shrinkToFit="1"/>
    </xf>
    <xf numFmtId="3" fontId="158" fillId="0" borderId="0" xfId="2091" applyNumberFormat="1" applyFont="1" applyAlignment="1">
      <alignment horizontal="center" vertical="center" shrinkToFit="1"/>
    </xf>
    <xf numFmtId="3" fontId="178" fillId="0" borderId="0" xfId="2091" applyNumberFormat="1" applyFont="1" applyAlignment="1">
      <alignment horizontal="center" vertical="center" shrinkToFit="1"/>
    </xf>
    <xf numFmtId="0" fontId="158" fillId="0" borderId="0" xfId="0" applyFont="1" applyAlignment="1">
      <alignment horizontal="center" vertical="center" shrinkToFit="1"/>
    </xf>
    <xf numFmtId="0" fontId="171" fillId="0" borderId="0" xfId="2091" applyFont="1" applyAlignment="1">
      <alignment horizontal="center" vertical="center" shrinkToFit="1"/>
    </xf>
    <xf numFmtId="0" fontId="177" fillId="0" borderId="0" xfId="0" applyFont="1" applyAlignment="1">
      <alignment horizontal="center" vertical="center" shrinkToFit="1"/>
    </xf>
    <xf numFmtId="0" fontId="171" fillId="0" borderId="0" xfId="2091" applyFont="1" applyAlignment="1">
      <alignment vertical="center" shrinkToFit="1"/>
    </xf>
    <xf numFmtId="0" fontId="177" fillId="0" borderId="0" xfId="0" applyFont="1" applyAlignment="1">
      <alignment vertical="center" shrinkToFit="1"/>
    </xf>
    <xf numFmtId="3" fontId="176" fillId="0" borderId="0" xfId="2091" applyNumberFormat="1" applyFont="1" applyAlignment="1">
      <alignment horizontal="center" vertical="center" shrinkToFit="1"/>
    </xf>
    <xf numFmtId="0" fontId="176" fillId="0" borderId="0" xfId="2091" applyFont="1" applyAlignment="1">
      <alignment horizontal="center" vertical="center" shrinkToFit="1"/>
    </xf>
    <xf numFmtId="41" fontId="178" fillId="0" borderId="0" xfId="2091" applyNumberFormat="1" applyFont="1" applyAlignment="1">
      <alignment horizontal="center" vertical="center" shrinkToFit="1"/>
    </xf>
    <xf numFmtId="0" fontId="178" fillId="0" borderId="25" xfId="2091" applyFont="1" applyBorder="1" applyAlignment="1">
      <alignment vertical="center" shrinkToFit="1"/>
    </xf>
    <xf numFmtId="41" fontId="158" fillId="0" borderId="0" xfId="2091" applyNumberFormat="1" applyFont="1" applyAlignment="1">
      <alignment horizontal="center" vertical="center" shrinkToFit="1"/>
    </xf>
    <xf numFmtId="233" fontId="158" fillId="0" borderId="0" xfId="2091" applyNumberFormat="1" applyFont="1" applyAlignment="1">
      <alignment horizontal="center" vertical="center" shrinkToFit="1"/>
    </xf>
    <xf numFmtId="233" fontId="4" fillId="0" borderId="0" xfId="0" applyNumberFormat="1" applyFont="1" applyAlignment="1">
      <alignment vertical="center" shrinkToFit="1"/>
    </xf>
    <xf numFmtId="0" fontId="107" fillId="29" borderId="36" xfId="2091" applyFont="1" applyFill="1" applyBorder="1" applyAlignment="1">
      <alignment horizontal="left" vertical="center" shrinkToFit="1"/>
    </xf>
    <xf numFmtId="0" fontId="141" fillId="29" borderId="7" xfId="0" applyFont="1" applyFill="1" applyBorder="1" applyAlignment="1">
      <alignment vertical="center" shrinkToFit="1"/>
    </xf>
    <xf numFmtId="0" fontId="141" fillId="29" borderId="37" xfId="0" applyFont="1" applyFill="1" applyBorder="1" applyAlignment="1">
      <alignment vertical="center" shrinkToFit="1"/>
    </xf>
    <xf numFmtId="0" fontId="144" fillId="0" borderId="0" xfId="2091" applyFont="1" applyAlignment="1">
      <alignment horizontal="center" vertical="center" shrinkToFit="1"/>
    </xf>
    <xf numFmtId="0" fontId="142" fillId="0" borderId="0" xfId="2091" applyFont="1" applyAlignment="1">
      <alignment horizontal="center" vertical="center" shrinkToFit="1"/>
    </xf>
    <xf numFmtId="3" fontId="154" fillId="0" borderId="0" xfId="1009" applyNumberFormat="1" applyFont="1" applyFill="1" applyBorder="1" applyAlignment="1">
      <alignment horizontal="center" vertical="center" shrinkToFit="1"/>
    </xf>
    <xf numFmtId="3" fontId="144" fillId="0" borderId="0" xfId="2091" applyNumberFormat="1" applyFont="1" applyAlignment="1">
      <alignment horizontal="center" vertical="center" shrinkToFit="1"/>
    </xf>
    <xf numFmtId="0" fontId="118" fillId="0" borderId="0" xfId="0" applyFont="1" applyAlignment="1">
      <alignment horizontal="center" vertical="center" shrinkToFit="1"/>
    </xf>
    <xf numFmtId="0" fontId="203" fillId="0" borderId="119" xfId="2113" applyBorder="1" applyAlignment="1">
      <alignment horizontal="center" vertical="center"/>
    </xf>
    <xf numFmtId="0" fontId="203" fillId="0" borderId="0" xfId="2113" applyAlignment="1">
      <alignment horizontal="center" vertical="center"/>
    </xf>
    <xf numFmtId="0" fontId="203" fillId="0" borderId="121" xfId="2113" applyBorder="1" applyAlignment="1">
      <alignment horizontal="center" vertical="center"/>
    </xf>
    <xf numFmtId="0" fontId="204" fillId="0" borderId="0" xfId="2113" applyFont="1" applyAlignment="1">
      <alignment horizontal="center" vertical="center"/>
    </xf>
    <xf numFmtId="0" fontId="203" fillId="0" borderId="0" xfId="2113"/>
    <xf numFmtId="0" fontId="207" fillId="0" borderId="0" xfId="2113" applyFont="1" applyAlignment="1">
      <alignment vertical="center"/>
    </xf>
    <xf numFmtId="238" fontId="206" fillId="0" borderId="0" xfId="0" applyNumberFormat="1" applyFont="1" applyAlignment="1">
      <alignment horizontal="left" vertical="center"/>
    </xf>
    <xf numFmtId="260" fontId="206" fillId="0" borderId="0" xfId="0" applyNumberFormat="1" applyFont="1" applyAlignment="1">
      <alignment horizontal="left" vertical="center"/>
    </xf>
    <xf numFmtId="260" fontId="206" fillId="0" borderId="0" xfId="0" applyNumberFormat="1" applyFont="1" applyAlignment="1">
      <alignment horizontal="center" vertical="center"/>
    </xf>
    <xf numFmtId="238" fontId="206" fillId="0" borderId="0" xfId="0" applyNumberFormat="1" applyFont="1" applyAlignment="1">
      <alignment horizontal="center" vertical="center"/>
    </xf>
    <xf numFmtId="184" fontId="206" fillId="0" borderId="0" xfId="2113" applyNumberFormat="1" applyFont="1" applyAlignment="1">
      <alignment horizontal="center" vertical="center"/>
    </xf>
    <xf numFmtId="260" fontId="205" fillId="0" borderId="36" xfId="2113" applyNumberFormat="1" applyFont="1" applyBorder="1" applyAlignment="1">
      <alignment horizontal="center" vertical="center"/>
    </xf>
    <xf numFmtId="260" fontId="205" fillId="0" borderId="7" xfId="2113" applyNumberFormat="1" applyFont="1" applyBorder="1" applyAlignment="1">
      <alignment horizontal="center" vertical="center"/>
    </xf>
    <xf numFmtId="260" fontId="206" fillId="0" borderId="0" xfId="2113" applyNumberFormat="1" applyFont="1" applyAlignment="1">
      <alignment horizontal="left" vertical="center"/>
    </xf>
    <xf numFmtId="0" fontId="105" fillId="0" borderId="0" xfId="2087" applyFont="1" applyAlignment="1">
      <alignment horizontal="left" vertical="center" shrinkToFit="1"/>
    </xf>
    <xf numFmtId="0" fontId="105" fillId="0" borderId="0" xfId="2087" applyFont="1" applyAlignment="1">
      <alignment horizontal="center" vertical="center"/>
    </xf>
    <xf numFmtId="177" fontId="105" fillId="0" borderId="0" xfId="2087" applyNumberFormat="1" applyFont="1" applyAlignment="1">
      <alignment horizontal="center" vertical="center"/>
    </xf>
    <xf numFmtId="179" fontId="105" fillId="0" borderId="0" xfId="2087" applyNumberFormat="1" applyFont="1" applyAlignment="1">
      <alignment horizontal="center" vertical="center"/>
    </xf>
    <xf numFmtId="0" fontId="142" fillId="0" borderId="0" xfId="2087" applyFont="1" applyAlignment="1">
      <alignment horizontal="center" vertical="center"/>
    </xf>
    <xf numFmtId="0" fontId="141" fillId="0" borderId="0" xfId="0" applyFont="1" applyAlignment="1">
      <alignment horizontal="center" vertical="center"/>
    </xf>
    <xf numFmtId="0" fontId="106" fillId="0" borderId="0" xfId="0" applyFont="1" applyAlignment="1">
      <alignment horizontal="center" vertical="center"/>
    </xf>
    <xf numFmtId="3" fontId="163" fillId="29" borderId="36" xfId="2087" applyNumberFormat="1" applyFont="1" applyFill="1" applyBorder="1" applyAlignment="1">
      <alignment horizontal="left" vertical="center"/>
    </xf>
    <xf numFmtId="0" fontId="154" fillId="29" borderId="7" xfId="0" applyFont="1" applyFill="1" applyBorder="1">
      <alignment vertical="center"/>
    </xf>
    <xf numFmtId="0" fontId="154" fillId="0" borderId="0" xfId="2087" applyFont="1" applyAlignment="1">
      <alignment horizontal="center" vertical="center"/>
    </xf>
    <xf numFmtId="3" fontId="163" fillId="29" borderId="36" xfId="2087" applyNumberFormat="1" applyFont="1" applyFill="1" applyBorder="1" applyAlignment="1">
      <alignment horizontal="left" vertical="center" shrinkToFit="1"/>
    </xf>
    <xf numFmtId="0" fontId="154" fillId="29" borderId="7" xfId="0" applyFont="1" applyFill="1" applyBorder="1" applyAlignment="1">
      <alignment vertical="center" shrinkToFit="1"/>
    </xf>
    <xf numFmtId="0" fontId="142" fillId="0" borderId="0" xfId="0" applyFont="1" applyAlignment="1">
      <alignment horizontal="center" vertical="center"/>
    </xf>
    <xf numFmtId="0" fontId="142" fillId="0" borderId="0" xfId="2087" applyFont="1" applyAlignment="1">
      <alignment horizontal="center" vertical="center" wrapText="1"/>
    </xf>
    <xf numFmtId="0" fontId="154" fillId="0" borderId="0" xfId="0" applyFont="1" applyAlignment="1">
      <alignment horizontal="center" vertical="center"/>
    </xf>
    <xf numFmtId="235" fontId="142" fillId="0" borderId="0" xfId="2087" applyNumberFormat="1" applyFont="1" applyAlignment="1">
      <alignment horizontal="center" vertical="center"/>
    </xf>
    <xf numFmtId="0" fontId="142" fillId="0" borderId="27" xfId="2090" applyFont="1" applyBorder="1" applyAlignment="1">
      <alignment horizontal="center" vertical="center"/>
    </xf>
    <xf numFmtId="0" fontId="142" fillId="0" borderId="27" xfId="0" applyFont="1" applyBorder="1" applyAlignment="1">
      <alignment horizontal="center" vertical="center"/>
    </xf>
    <xf numFmtId="235" fontId="154" fillId="0" borderId="0" xfId="2087" applyNumberFormat="1" applyFont="1" applyAlignment="1">
      <alignment horizontal="center" vertical="center"/>
    </xf>
    <xf numFmtId="0" fontId="142" fillId="0" borderId="27" xfId="2087" applyFont="1" applyBorder="1" applyAlignment="1">
      <alignment horizontal="center" vertical="center"/>
    </xf>
    <xf numFmtId="176" fontId="142" fillId="0" borderId="0" xfId="2087" quotePrefix="1" applyNumberFormat="1" applyFont="1" applyAlignment="1">
      <alignment horizontal="center" vertical="center"/>
    </xf>
    <xf numFmtId="0" fontId="142" fillId="0" borderId="0" xfId="2087" quotePrefix="1" applyFont="1" applyAlignment="1">
      <alignment vertical="center"/>
    </xf>
    <xf numFmtId="0" fontId="142" fillId="0" borderId="0" xfId="2090" applyFont="1" applyAlignment="1">
      <alignment horizontal="center" vertical="center"/>
    </xf>
    <xf numFmtId="176" fontId="142" fillId="0" borderId="27" xfId="2087" quotePrefix="1" applyNumberFormat="1" applyFont="1" applyBorder="1" applyAlignment="1">
      <alignment horizontal="center" vertical="center"/>
    </xf>
    <xf numFmtId="204" fontId="142" fillId="0" borderId="0" xfId="2087" applyNumberFormat="1" applyFont="1" applyAlignment="1">
      <alignment horizontal="center" vertical="center" shrinkToFit="1"/>
    </xf>
    <xf numFmtId="3" fontId="148" fillId="0" borderId="0" xfId="2098" applyNumberFormat="1" applyFont="1" applyAlignment="1">
      <alignment horizontal="center" vertical="center"/>
    </xf>
    <xf numFmtId="3" fontId="148" fillId="0" borderId="38" xfId="2098" applyNumberFormat="1" applyFont="1" applyBorder="1" applyAlignment="1">
      <alignment horizontal="center" vertical="center"/>
    </xf>
    <xf numFmtId="3" fontId="148" fillId="0" borderId="0" xfId="2098" applyNumberFormat="1" applyFont="1" applyAlignment="1">
      <alignment horizontal="center" vertical="center" shrinkToFit="1"/>
    </xf>
    <xf numFmtId="4" fontId="148" fillId="0" borderId="0" xfId="2098" applyNumberFormat="1" applyFont="1" applyAlignment="1">
      <alignment vertical="center" shrinkToFit="1"/>
    </xf>
    <xf numFmtId="4" fontId="141" fillId="0" borderId="0" xfId="0" applyNumberFormat="1" applyFont="1" applyAlignment="1">
      <alignment vertical="center" shrinkToFit="1"/>
    </xf>
    <xf numFmtId="3" fontId="148" fillId="0" borderId="38" xfId="2098" applyNumberFormat="1" applyFont="1" applyBorder="1" applyAlignment="1">
      <alignment horizontal="center" vertical="center" shrinkToFit="1"/>
    </xf>
    <xf numFmtId="3" fontId="147" fillId="31" borderId="0" xfId="2087" applyNumberFormat="1" applyFont="1" applyFill="1" applyAlignment="1">
      <alignment horizontal="left" vertical="center" shrinkToFit="1"/>
    </xf>
    <xf numFmtId="4" fontId="148" fillId="0" borderId="0" xfId="2098" applyNumberFormat="1" applyFont="1" applyAlignment="1">
      <alignment horizontal="center" vertical="center"/>
    </xf>
    <xf numFmtId="195" fontId="148" fillId="0" borderId="38" xfId="2098" applyNumberFormat="1" applyFont="1" applyBorder="1" applyAlignment="1">
      <alignment horizontal="center" vertical="center"/>
    </xf>
    <xf numFmtId="234" fontId="148" fillId="0" borderId="0" xfId="2098" applyNumberFormat="1" applyFont="1" applyAlignment="1">
      <alignment horizontal="center" vertical="center"/>
    </xf>
    <xf numFmtId="41" fontId="119" fillId="0" borderId="0" xfId="1003" applyFont="1" applyFill="1" applyBorder="1" applyAlignment="1">
      <alignment horizontal="center" vertical="center" shrinkToFit="1"/>
    </xf>
    <xf numFmtId="0" fontId="106" fillId="0" borderId="0" xfId="0" applyFont="1" applyAlignment="1">
      <alignment vertical="center" shrinkToFit="1"/>
    </xf>
    <xf numFmtId="3" fontId="148" fillId="0" borderId="0" xfId="1008" applyNumberFormat="1" applyFont="1" applyBorder="1" applyAlignment="1">
      <alignment horizontal="center" vertical="center"/>
    </xf>
    <xf numFmtId="3" fontId="147" fillId="31" borderId="0" xfId="2087" applyNumberFormat="1" applyFont="1" applyFill="1" applyAlignment="1">
      <alignment horizontal="left" vertical="center"/>
    </xf>
    <xf numFmtId="195" fontId="148" fillId="0" borderId="0" xfId="2098" applyNumberFormat="1" applyFont="1" applyAlignment="1">
      <alignment horizontal="right" vertical="center"/>
    </xf>
    <xf numFmtId="3" fontId="139" fillId="0" borderId="0" xfId="2098" applyNumberFormat="1" applyFont="1" applyAlignment="1">
      <alignment vertical="center" shrinkToFit="1"/>
    </xf>
    <xf numFmtId="0" fontId="141" fillId="0" borderId="0" xfId="0" applyFont="1" applyAlignment="1">
      <alignment vertical="center" shrinkToFit="1"/>
    </xf>
    <xf numFmtId="0" fontId="1" fillId="0" borderId="0" xfId="0" applyFont="1" applyAlignment="1">
      <alignment vertical="center" shrinkToFit="1"/>
    </xf>
    <xf numFmtId="3" fontId="139" fillId="0" borderId="0" xfId="2098" applyNumberFormat="1" applyFont="1" applyAlignment="1">
      <alignment horizontal="center" vertical="center" shrinkToFit="1"/>
    </xf>
    <xf numFmtId="4" fontId="148" fillId="0" borderId="38" xfId="2098" applyNumberFormat="1" applyFont="1" applyBorder="1" applyAlignment="1">
      <alignment horizontal="center" vertical="center"/>
    </xf>
    <xf numFmtId="195" fontId="148" fillId="0" borderId="0" xfId="2098" applyNumberFormat="1" applyFont="1" applyAlignment="1">
      <alignment horizontal="center" vertical="center"/>
    </xf>
    <xf numFmtId="0" fontId="174" fillId="0" borderId="36" xfId="2094" applyFont="1" applyBorder="1" applyAlignment="1">
      <alignment horizontal="center" vertical="center" shrinkToFit="1"/>
    </xf>
    <xf numFmtId="0" fontId="182" fillId="0" borderId="7" xfId="0" applyFont="1" applyBorder="1" applyAlignment="1">
      <alignment horizontal="center" vertical="center" shrinkToFit="1"/>
    </xf>
    <xf numFmtId="0" fontId="182" fillId="0" borderId="37" xfId="0" applyFont="1" applyBorder="1" applyAlignment="1">
      <alignment horizontal="center" vertical="center" shrinkToFit="1"/>
    </xf>
  </cellXfs>
  <cellStyles count="2115">
    <cellStyle name="&quot;" xfId="1" xr:uid="{00000000-0005-0000-0000-000000000000}"/>
    <cellStyle name="&quot;큰제목&quot;" xfId="2" xr:uid="{00000000-0005-0000-0000-000001000000}"/>
    <cellStyle name="#,##0" xfId="3" xr:uid="{00000000-0005-0000-0000-000002000000}"/>
    <cellStyle name="(△콤마)" xfId="4" xr:uid="{00000000-0005-0000-0000-000003000000}"/>
    <cellStyle name="(백분율)" xfId="5" xr:uid="{00000000-0005-0000-0000-000004000000}"/>
    <cellStyle name="(콤마)" xfId="6" xr:uid="{00000000-0005-0000-0000-000005000000}"/>
    <cellStyle name="??&amp;5_x0007_?._x0007_9_x0008_??_x0007__x0001__x0001_" xfId="7" xr:uid="{00000000-0005-0000-0000-000006000000}"/>
    <cellStyle name="??&amp;6_x0007_?/_x0007_9_x0008_??_x0007__x0001__x0001_" xfId="8" xr:uid="{00000000-0005-0000-0000-000007000000}"/>
    <cellStyle name="??&amp;O?&amp;H?_x0008__x000f__x0007_?_x0007__x0001__x0001_" xfId="9" xr:uid="{00000000-0005-0000-0000-000008000000}"/>
    <cellStyle name="??&amp;O?&amp;H?_x0008_??_x0007__x0001__x0001_" xfId="10" xr:uid="{00000000-0005-0000-0000-000009000000}"/>
    <cellStyle name="???_x0010_" xfId="11" xr:uid="{00000000-0005-0000-0000-00000A000000}"/>
    <cellStyle name="?W?_laroux" xfId="12" xr:uid="{00000000-0005-0000-0000-00000B000000}"/>
    <cellStyle name="_(01-14)광양항인건비" xfId="13" xr:uid="{00000000-0005-0000-0000-00000C000000}"/>
    <cellStyle name="_00 단가산출서 9호선,공항,공용" xfId="14" xr:uid="{00000000-0005-0000-0000-00000D000000}"/>
    <cellStyle name="_01~02 1-1A,1B 구간 공사용 임시전력공사 내역서" xfId="15" xr:uid="{00000000-0005-0000-0000-00000E000000}"/>
    <cellStyle name="_22043282000_이포대교 차량방호울타리설치-02" xfId="16" xr:uid="{00000000-0005-0000-0000-00000F000000}"/>
    <cellStyle name="_3-8.동력산출서" xfId="17" xr:uid="{00000000-0005-0000-0000-000010000000}"/>
    <cellStyle name="_Book1" xfId="18" xr:uid="{00000000-0005-0000-0000-000011000000}"/>
    <cellStyle name="_BOOK1 2" xfId="19" xr:uid="{00000000-0005-0000-0000-000012000000}"/>
    <cellStyle name="_BOOK1_경관조명 내역서" xfId="20" xr:uid="{00000000-0005-0000-0000-000013000000}"/>
    <cellStyle name="_BOOK1_미수동 해안변 수변 산책로 및 경관조명 설비공사 (전기)-금회공사(2009.08.17)" xfId="21" xr:uid="{00000000-0005-0000-0000-000014000000}"/>
    <cellStyle name="_NEW_부산 해운대 및 달맞이길 내역서" xfId="22" xr:uid="{00000000-0005-0000-0000-000015000000}"/>
    <cellStyle name="_가로등3차공사전체분" xfId="23" xr:uid="{00000000-0005-0000-0000-000016000000}"/>
    <cellStyle name="_가로등중량" xfId="24" xr:uid="{00000000-0005-0000-0000-000017000000}"/>
    <cellStyle name="_간접부대공+공통" xfId="25" xr:uid="{00000000-0005-0000-0000-000018000000}"/>
    <cellStyle name="_간접부대공+공통_견적 방문 제출시-SAMPLE" xfId="26" xr:uid="{00000000-0005-0000-0000-000019000000}"/>
    <cellStyle name="_간접부대공+공통_견적 방문 제출시-SAMPLE_신호등견적서" xfId="27" xr:uid="{00000000-0005-0000-0000-00001A000000}"/>
    <cellStyle name="_간접부대공+공통_신호등견적서" xfId="28" xr:uid="{00000000-0005-0000-0000-00001B000000}"/>
    <cellStyle name="_갑지(1221)" xfId="29" xr:uid="{00000000-0005-0000-0000-00001C000000}"/>
    <cellStyle name="_갑지(총)" xfId="30" xr:uid="{00000000-0005-0000-0000-00001D000000}"/>
    <cellStyle name="_강과장(Fronnix,설계가1126)" xfId="31" xr:uid="{00000000-0005-0000-0000-00001E000000}"/>
    <cellStyle name="_견적 방문 제출시-SAMPLE" xfId="32" xr:uid="{00000000-0005-0000-0000-00001F000000}"/>
    <cellStyle name="_견적 방문 제출시-SAMPLE_신호등견적서" xfId="33" xr:uid="{00000000-0005-0000-0000-000020000000}"/>
    <cellStyle name="_견적서(1014)" xfId="34" xr:uid="{00000000-0005-0000-0000-000021000000}"/>
    <cellStyle name="_견적서-0213-CACC" xfId="35" xr:uid="{00000000-0005-0000-0000-000022000000}"/>
    <cellStyle name="_견적서양식" xfId="36" xr:uid="{00000000-0005-0000-0000-000023000000}"/>
    <cellStyle name="_견적서-제출용0325-서울시" xfId="37" xr:uid="{00000000-0005-0000-0000-000024000000}"/>
    <cellStyle name="_경관조명" xfId="38" xr:uid="{00000000-0005-0000-0000-000025000000}"/>
    <cellStyle name="_계산서" xfId="39" xr:uid="{00000000-0005-0000-0000-000026000000}"/>
    <cellStyle name="_계산서(분전반2EA)" xfId="40" xr:uid="{00000000-0005-0000-0000-000027000000}"/>
    <cellStyle name="_계산서(서변대교)" xfId="41" xr:uid="{00000000-0005-0000-0000-000028000000}"/>
    <cellStyle name="_고가차도산출서" xfId="42" xr:uid="{00000000-0005-0000-0000-000029000000}"/>
    <cellStyle name="_고수대교내역서" xfId="43" xr:uid="{00000000-0005-0000-0000-00002A000000}"/>
    <cellStyle name="_공량단가산출서" xfId="44" xr:uid="{00000000-0005-0000-0000-00002B000000}"/>
    <cellStyle name="_공량단가산출서r1" xfId="45" xr:uid="{00000000-0005-0000-0000-00002C000000}"/>
    <cellStyle name="_광주천 설계예산서" xfId="46" xr:uid="{00000000-0005-0000-0000-00002D000000}"/>
    <cellStyle name="_광주천 설계예산서(갑지)" xfId="47" xr:uid="{00000000-0005-0000-0000-00002E000000}"/>
    <cellStyle name="_기초일위대가" xfId="48" xr:uid="{00000000-0005-0000-0000-00002F000000}"/>
    <cellStyle name="_김포ER(세종)" xfId="49" xr:uid="{00000000-0005-0000-0000-000030000000}"/>
    <cellStyle name="_남대천 야간 경관조명 내역서 (통합본)" xfId="50" xr:uid="{00000000-0005-0000-0000-000031000000}"/>
    <cellStyle name="_남지교(071108)" xfId="51" xr:uid="{00000000-0005-0000-0000-000032000000}"/>
    <cellStyle name="_내역(2_개방형)" xfId="52" xr:uid="{00000000-0005-0000-0000-000033000000}"/>
    <cellStyle name="_내역(2_개방형)_신정호-제작납품(설치포함)" xfId="53" xr:uid="{00000000-0005-0000-0000-000034000000}"/>
    <cellStyle name="_내역(2_개방형)_신정호-제작납품(설치포함)_Book1" xfId="54" xr:uid="{00000000-0005-0000-0000-000035000000}"/>
    <cellStyle name="_내역(2_개방형)_신정호-제작납품(설치포함)_보행3교 경관조형물 설계서" xfId="55" xr:uid="{00000000-0005-0000-0000-000036000000}"/>
    <cellStyle name="_내역(2_개방형)_신정호-제작납품(설치포함)_신천육교 경관조형물 설계서" xfId="56" xr:uid="{00000000-0005-0000-0000-000037000000}"/>
    <cellStyle name="_내역(2_개방형)_신정호-제작납품(설치포함)_신현제2교 리모델링 설계서" xfId="57" xr:uid="{00000000-0005-0000-0000-000038000000}"/>
    <cellStyle name="_내역(2_개방형)_신정호-제작납품(설치포함)_실행예산서9.6" xfId="58" xr:uid="{00000000-0005-0000-0000-000039000000}"/>
    <cellStyle name="_내역(5_개방형변형)" xfId="59" xr:uid="{00000000-0005-0000-0000-00003A000000}"/>
    <cellStyle name="_내역(5_개방형변형)_신정호-제작납품(설치포함)" xfId="60" xr:uid="{00000000-0005-0000-0000-00003B000000}"/>
    <cellStyle name="_내역(5_개방형변형)_신정호-제작납품(설치포함)_Book1" xfId="61" xr:uid="{00000000-0005-0000-0000-00003C000000}"/>
    <cellStyle name="_내역(5_개방형변형)_신정호-제작납품(설치포함)_보행3교 경관조형물 설계서" xfId="62" xr:uid="{00000000-0005-0000-0000-00003D000000}"/>
    <cellStyle name="_내역(5_개방형변형)_신정호-제작납품(설치포함)_신천육교 경관조형물 설계서" xfId="63" xr:uid="{00000000-0005-0000-0000-00003E000000}"/>
    <cellStyle name="_내역(5_개방형변형)_신정호-제작납품(설치포함)_신현제2교 리모델링 설계서" xfId="64" xr:uid="{00000000-0005-0000-0000-00003F000000}"/>
    <cellStyle name="_내역(5_개방형변형)_신정호-제작납품(설치포함)_실행예산서9.6" xfId="65" xr:uid="{00000000-0005-0000-0000-000040000000}"/>
    <cellStyle name="_내역서" xfId="66" xr:uid="{00000000-0005-0000-0000-000041000000}"/>
    <cellStyle name="_내역서(07.03.02)" xfId="67" xr:uid="{00000000-0005-0000-0000-000042000000}"/>
    <cellStyle name="_내역서2" xfId="68" xr:uid="{00000000-0005-0000-0000-000043000000}"/>
    <cellStyle name="_내역서및설계서" xfId="69" xr:uid="{00000000-0005-0000-0000-000044000000}"/>
    <cellStyle name="_논산탑정호" xfId="70" xr:uid="{00000000-0005-0000-0000-000045000000}"/>
    <cellStyle name="_단가비교표" xfId="71" xr:uid="{00000000-0005-0000-0000-000046000000}"/>
    <cellStyle name="_단가표" xfId="72" xr:uid="{00000000-0005-0000-0000-000047000000}"/>
    <cellStyle name="_단양내역서" xfId="73" xr:uid="{00000000-0005-0000-0000-000048000000}"/>
    <cellStyle name="_대성1111" xfId="74" xr:uid="{00000000-0005-0000-0000-000049000000}"/>
    <cellStyle name="_덕수궁 외2길 경관조명 내역서" xfId="75" xr:uid="{00000000-0005-0000-0000-00004A000000}"/>
    <cellStyle name="_등촌동 어린이집" xfId="76" xr:uid="{00000000-0005-0000-0000-00004B000000}"/>
    <cellStyle name="_명지지구 연결통행로 계산서" xfId="77" xr:uid="{00000000-0005-0000-0000-00004C000000}"/>
    <cellStyle name="_변경내역서" xfId="78" xr:uid="{00000000-0005-0000-0000-00004D000000}"/>
    <cellStyle name="_보행3교 경관조형물 설계서" xfId="79" xr:uid="{00000000-0005-0000-0000-00004E000000}"/>
    <cellStyle name="_복사본 (인천-캐노피(총괄))(04.10)" xfId="80" xr:uid="{00000000-0005-0000-0000-00004F000000}"/>
    <cellStyle name="_복사본 (인천-캐노피(총괄))(04.10)_신정호-제작납품(설치포함)" xfId="81" xr:uid="{00000000-0005-0000-0000-000050000000}"/>
    <cellStyle name="_복사본 (인천-캐노피(총괄))(04.10)_신정호-제작납품(설치포함)_Book1" xfId="82" xr:uid="{00000000-0005-0000-0000-000051000000}"/>
    <cellStyle name="_복사본 (인천-캐노피(총괄))(04.10)_신정호-제작납품(설치포함)_보행3교 경관조형물 설계서" xfId="83" xr:uid="{00000000-0005-0000-0000-000052000000}"/>
    <cellStyle name="_복사본 (인천-캐노피(총괄))(04.10)_신정호-제작납품(설치포함)_신천육교 경관조형물 설계서" xfId="84" xr:uid="{00000000-0005-0000-0000-000053000000}"/>
    <cellStyle name="_복사본 (인천-캐노피(총괄))(04.10)_신정호-제작납품(설치포함)_신현제2교 리모델링 설계서" xfId="85" xr:uid="{00000000-0005-0000-0000-000054000000}"/>
    <cellStyle name="_복사본 (인천-캐노피(총괄))(04.10)_신정호-제작납품(설치포함)_실행예산서9.6" xfId="86" xr:uid="{00000000-0005-0000-0000-000055000000}"/>
    <cellStyle name="_부산어린이공원 내역서_진짜" xfId="87" xr:uid="{00000000-0005-0000-0000-000056000000}"/>
    <cellStyle name="_부하계산서" xfId="88" xr:uid="{00000000-0005-0000-0000-000057000000}"/>
    <cellStyle name="_부하계산서(수정)" xfId="89" xr:uid="{00000000-0005-0000-0000-000058000000}"/>
    <cellStyle name="_부하계산서_1" xfId="90" xr:uid="{00000000-0005-0000-0000-000059000000}"/>
    <cellStyle name="_사본 - 계산서" xfId="91" xr:uid="{00000000-0005-0000-0000-00005A000000}"/>
    <cellStyle name="_사본 - 고가차도(전력)" xfId="92" xr:uid="{00000000-0005-0000-0000-00005B000000}"/>
    <cellStyle name="_산출내역서1" xfId="93" xr:uid="{00000000-0005-0000-0000-00005C000000}"/>
    <cellStyle name="_서울여대(20020516)" xfId="94" xr:uid="{00000000-0005-0000-0000-00005D000000}"/>
    <cellStyle name="_설계내역(전기)" xfId="95" xr:uid="{00000000-0005-0000-0000-00005E000000}"/>
    <cellStyle name="_설계내역서" xfId="96" xr:uid="{00000000-0005-0000-0000-00005F000000}"/>
    <cellStyle name="_설계내역서_신정호-제작납품(설치포함)" xfId="97" xr:uid="{00000000-0005-0000-0000-000060000000}"/>
    <cellStyle name="_설계내역서_신정호-제작납품(설치포함)_Book1" xfId="98" xr:uid="{00000000-0005-0000-0000-000061000000}"/>
    <cellStyle name="_설계내역서_신정호-제작납품(설치포함)_보행3교 경관조형물 설계서" xfId="99" xr:uid="{00000000-0005-0000-0000-000062000000}"/>
    <cellStyle name="_설계내역서_신정호-제작납품(설치포함)_신천육교 경관조형물 설계서" xfId="100" xr:uid="{00000000-0005-0000-0000-000063000000}"/>
    <cellStyle name="_설계내역서_신정호-제작납품(설치포함)_신현제2교 리모델링 설계서" xfId="101" xr:uid="{00000000-0005-0000-0000-000064000000}"/>
    <cellStyle name="_설계내역서_신정호-제작납품(설치포함)_실행예산서9.6" xfId="102" xr:uid="{00000000-0005-0000-0000-000065000000}"/>
    <cellStyle name="_설계원가 및 손익계산서(극장)" xfId="103" xr:uid="{00000000-0005-0000-0000-000066000000}"/>
    <cellStyle name="_설계원가 및 손익계산서(백화점)" xfId="104" xr:uid="{00000000-0005-0000-0000-000067000000}"/>
    <cellStyle name="_설계원가 및 손익계산서(이광환)" xfId="105" xr:uid="{00000000-0005-0000-0000-000068000000}"/>
    <cellStyle name="_설비(1218)" xfId="106" xr:uid="{00000000-0005-0000-0000-000069000000}"/>
    <cellStyle name="_순천역사(동경)" xfId="107" xr:uid="{00000000-0005-0000-0000-00006A000000}"/>
    <cellStyle name="_승강장-수정내역(05.07)" xfId="108" xr:uid="{00000000-0005-0000-0000-00006B000000}"/>
    <cellStyle name="_승강장-수정내역(05.07)_신정호-제작납품(설치포함)" xfId="109" xr:uid="{00000000-0005-0000-0000-00006C000000}"/>
    <cellStyle name="_승강장-수정내역(05.07)_신정호-제작납품(설치포함)_Book1" xfId="110" xr:uid="{00000000-0005-0000-0000-00006D000000}"/>
    <cellStyle name="_승강장-수정내역(05.07)_신정호-제작납품(설치포함)_보행3교 경관조형물 설계서" xfId="111" xr:uid="{00000000-0005-0000-0000-00006E000000}"/>
    <cellStyle name="_승강장-수정내역(05.07)_신정호-제작납품(설치포함)_신천육교 경관조형물 설계서" xfId="112" xr:uid="{00000000-0005-0000-0000-00006F000000}"/>
    <cellStyle name="_승강장-수정내역(05.07)_신정호-제작납품(설치포함)_신현제2교 리모델링 설계서" xfId="113" xr:uid="{00000000-0005-0000-0000-000070000000}"/>
    <cellStyle name="_승강장-수정내역(05.07)_신정호-제작납품(설치포함)_실행예산서9.6" xfId="114" xr:uid="{00000000-0005-0000-0000-000071000000}"/>
    <cellStyle name="_시공계획서(광주천)9.1" xfId="115" xr:uid="{00000000-0005-0000-0000-000072000000}"/>
    <cellStyle name="_시설 언더패스 견적-40202" xfId="116" xr:uid="{00000000-0005-0000-0000-000073000000}"/>
    <cellStyle name="_시설 언더패스 견적-40204" xfId="117" xr:uid="{00000000-0005-0000-0000-000074000000}"/>
    <cellStyle name="_신정호-제작납품" xfId="118" xr:uid="{00000000-0005-0000-0000-000075000000}"/>
    <cellStyle name="_신정호-제작납품_신정호-제작납품(설치포함)" xfId="119" xr:uid="{00000000-0005-0000-0000-000076000000}"/>
    <cellStyle name="_신정호-제작납품_신정호-제작납품(설치포함)_Book1" xfId="120" xr:uid="{00000000-0005-0000-0000-000077000000}"/>
    <cellStyle name="_신정호-제작납품_신정호-제작납품(설치포함)_보행3교 경관조형물 설계서" xfId="121" xr:uid="{00000000-0005-0000-0000-000078000000}"/>
    <cellStyle name="_신정호-제작납품_신정호-제작납품(설치포함)_신천육교 경관조형물 설계서" xfId="122" xr:uid="{00000000-0005-0000-0000-000079000000}"/>
    <cellStyle name="_신정호-제작납품_신정호-제작납품(설치포함)_신현제2교 리모델링 설계서" xfId="123" xr:uid="{00000000-0005-0000-0000-00007A000000}"/>
    <cellStyle name="_신정호-제작납품_신정호-제작납품(설치포함)_실행예산서9.6" xfId="124" xr:uid="{00000000-0005-0000-0000-00007B000000}"/>
    <cellStyle name="_신정호-토목+설치" xfId="125" xr:uid="{00000000-0005-0000-0000-00007C000000}"/>
    <cellStyle name="_신정호-토목+설치_신정호-제작납품(설치포함)" xfId="126" xr:uid="{00000000-0005-0000-0000-00007D000000}"/>
    <cellStyle name="_신정호-토목+설치_신정호-제작납품(설치포함)_Book1" xfId="127" xr:uid="{00000000-0005-0000-0000-00007E000000}"/>
    <cellStyle name="_신정호-토목+설치_신정호-제작납품(설치포함)_보행3교 경관조형물 설계서" xfId="128" xr:uid="{00000000-0005-0000-0000-00007F000000}"/>
    <cellStyle name="_신정호-토목+설치_신정호-제작납품(설치포함)_신천육교 경관조형물 설계서" xfId="129" xr:uid="{00000000-0005-0000-0000-000080000000}"/>
    <cellStyle name="_신정호-토목+설치_신정호-제작납품(설치포함)_신현제2교 리모델링 설계서" xfId="130" xr:uid="{00000000-0005-0000-0000-000081000000}"/>
    <cellStyle name="_신정호-토목+설치_신정호-제작납품(설치포함)_실행예산서9.6" xfId="131" xr:uid="{00000000-0005-0000-0000-000082000000}"/>
    <cellStyle name="_신천육교 경관조형물 설계서" xfId="132" xr:uid="{00000000-0005-0000-0000-000083000000}"/>
    <cellStyle name="_신현제2교 리모델링 설계서" xfId="133" xr:uid="{00000000-0005-0000-0000-000084000000}"/>
    <cellStyle name="_신호등견적서" xfId="134" xr:uid="{00000000-0005-0000-0000-000085000000}"/>
    <cellStyle name="_실행예산서9.6" xfId="135" xr:uid="{00000000-0005-0000-0000-000086000000}"/>
    <cellStyle name="_안산신도시2단계 미관광장 조명 제조구매설치" xfId="136" xr:uid="{00000000-0005-0000-0000-000087000000}"/>
    <cellStyle name="_예산내역서(해운대+달맞이)" xfId="137" xr:uid="{00000000-0005-0000-0000-000088000000}"/>
    <cellStyle name="_예산내역서(해운대+달맞이)-도급공사분일위대가수정(09.06)" xfId="138" xr:uid="{00000000-0005-0000-0000-000089000000}"/>
    <cellStyle name="_왕숙천 둔치내 조명시설 내역서" xfId="139" xr:uid="{00000000-0005-0000-0000-00008A000000}"/>
    <cellStyle name="_왕숙천 조명기구 구매설치" xfId="140" xr:uid="{00000000-0005-0000-0000-00008B000000}"/>
    <cellStyle name="_왕숙천내역서(선발주)" xfId="141" xr:uid="{00000000-0005-0000-0000-00008C000000}"/>
    <cellStyle name="_왕숙천내역서(선발주)-최종" xfId="142" xr:uid="{00000000-0005-0000-0000-00008D000000}"/>
    <cellStyle name="_왕숙천내역서수정(06.03.31)-3억-2" xfId="143" xr:uid="{00000000-0005-0000-0000-00008E000000}"/>
    <cellStyle name="_원가계산" xfId="144" xr:uid="{00000000-0005-0000-0000-00008F000000}"/>
    <cellStyle name="_원가분석(1217)" xfId="145" xr:uid="{00000000-0005-0000-0000-000090000000}"/>
    <cellStyle name="_원가분석(아이0208)" xfId="146" xr:uid="{00000000-0005-0000-0000-000091000000}"/>
    <cellStyle name="_인원계획표 " xfId="147" xr:uid="{00000000-0005-0000-0000-000092000000}"/>
    <cellStyle name="_인원계획표 _견적 방문 제출시-SAMPLE" xfId="148" xr:uid="{00000000-0005-0000-0000-000093000000}"/>
    <cellStyle name="_인원계획표 _견적 방문 제출시-SAMPLE_신호등견적서" xfId="149" xr:uid="{00000000-0005-0000-0000-000094000000}"/>
    <cellStyle name="_인원계획표 _신호등견적서" xfId="150" xr:uid="{00000000-0005-0000-0000-000095000000}"/>
    <cellStyle name="_인원계획표 _적격 " xfId="151" xr:uid="{00000000-0005-0000-0000-000096000000}"/>
    <cellStyle name="_인원계획표 _적격 _견적 방문 제출시-SAMPLE" xfId="152" xr:uid="{00000000-0005-0000-0000-000097000000}"/>
    <cellStyle name="_인원계획표 _적격 _견적 방문 제출시-SAMPLE_신호등견적서" xfId="153" xr:uid="{00000000-0005-0000-0000-000098000000}"/>
    <cellStyle name="_인원계획표 _적격 _신호등견적서" xfId="154" xr:uid="{00000000-0005-0000-0000-000099000000}"/>
    <cellStyle name="_인정전 내역서--" xfId="155" xr:uid="{00000000-0005-0000-0000-00009A000000}"/>
    <cellStyle name="_입찰표지 " xfId="156" xr:uid="{00000000-0005-0000-0000-00009B000000}"/>
    <cellStyle name="_입찰표지 _견적 방문 제출시-SAMPLE" xfId="157" xr:uid="{00000000-0005-0000-0000-00009C000000}"/>
    <cellStyle name="_입찰표지 _견적 방문 제출시-SAMPLE_신호등견적서" xfId="158" xr:uid="{00000000-0005-0000-0000-00009D000000}"/>
    <cellStyle name="_입찰표지 _신호등견적서" xfId="159" xr:uid="{00000000-0005-0000-0000-00009E000000}"/>
    <cellStyle name="_적격 " xfId="160" xr:uid="{00000000-0005-0000-0000-00009F000000}"/>
    <cellStyle name="_적격 _견적 방문 제출시-SAMPLE" xfId="161" xr:uid="{00000000-0005-0000-0000-0000A0000000}"/>
    <cellStyle name="_적격 _견적 방문 제출시-SAMPLE_신호등견적서" xfId="162" xr:uid="{00000000-0005-0000-0000-0000A1000000}"/>
    <cellStyle name="_적격 _신호등견적서" xfId="163" xr:uid="{00000000-0005-0000-0000-0000A2000000}"/>
    <cellStyle name="_적격 _집행갑지 " xfId="164" xr:uid="{00000000-0005-0000-0000-0000A3000000}"/>
    <cellStyle name="_적격 _집행갑지 _견적 방문 제출시-SAMPLE" xfId="165" xr:uid="{00000000-0005-0000-0000-0000A4000000}"/>
    <cellStyle name="_적격 _집행갑지 _견적 방문 제출시-SAMPLE_신호등견적서" xfId="166" xr:uid="{00000000-0005-0000-0000-0000A5000000}"/>
    <cellStyle name="_적격 _집행갑지 _신호등견적서" xfId="167" xr:uid="{00000000-0005-0000-0000-0000A6000000}"/>
    <cellStyle name="_적격(화산) " xfId="168" xr:uid="{00000000-0005-0000-0000-0000A7000000}"/>
    <cellStyle name="_적격(화산) _견적 방문 제출시-SAMPLE" xfId="169" xr:uid="{00000000-0005-0000-0000-0000A8000000}"/>
    <cellStyle name="_적격(화산) _견적 방문 제출시-SAMPLE_신호등견적서" xfId="170" xr:uid="{00000000-0005-0000-0000-0000A9000000}"/>
    <cellStyle name="_적격(화산) _신호등견적서" xfId="171" xr:uid="{00000000-0005-0000-0000-0000AA000000}"/>
    <cellStyle name="_전기계산서" xfId="172" xr:uid="{00000000-0005-0000-0000-0000AB000000}"/>
    <cellStyle name="_전압강하계산서 (판교)" xfId="173" xr:uid="{00000000-0005-0000-0000-0000AC000000}"/>
    <cellStyle name="_전압강하계산서 양식" xfId="174" xr:uid="{00000000-0005-0000-0000-0000AD000000}"/>
    <cellStyle name="_정문전기공사최종" xfId="175" xr:uid="{00000000-0005-0000-0000-0000AE000000}"/>
    <cellStyle name="_조양문외 2개소 경관조명 내역서" xfId="176" xr:uid="{00000000-0005-0000-0000-0000AF000000}"/>
    <cellStyle name="_집계표" xfId="177" xr:uid="{00000000-0005-0000-0000-0000B0000000}"/>
    <cellStyle name="_집행갑지 " xfId="178" xr:uid="{00000000-0005-0000-0000-0000B1000000}"/>
    <cellStyle name="_집행갑지 _견적 방문 제출시-SAMPLE" xfId="179" xr:uid="{00000000-0005-0000-0000-0000B2000000}"/>
    <cellStyle name="_집행갑지 _견적 방문 제출시-SAMPLE_신호등견적서" xfId="180" xr:uid="{00000000-0005-0000-0000-0000B3000000}"/>
    <cellStyle name="_집행갑지 _신호등견적서" xfId="181" xr:uid="{00000000-0005-0000-0000-0000B4000000}"/>
    <cellStyle name="_충장길 설계변경s" xfId="182" xr:uid="{00000000-0005-0000-0000-0000B5000000}"/>
    <cellStyle name="_침입감시 견적서" xfId="183" xr:uid="{00000000-0005-0000-0000-0000B6000000}"/>
    <cellStyle name="_통광 폐수처리장(2002.5.24)" xfId="184" xr:uid="{00000000-0005-0000-0000-0000B7000000}"/>
    <cellStyle name="_통광정문공사(2002.5.22)" xfId="185" xr:uid="{00000000-0005-0000-0000-0000B8000000}"/>
    <cellStyle name="_펌프장" xfId="186" xr:uid="{00000000-0005-0000-0000-0000B9000000}"/>
    <cellStyle name="_표준 견적서 2003년" xfId="187" xr:uid="{00000000-0005-0000-0000-0000BA000000}"/>
    <cellStyle name="_호수공원 내역서" xfId="188" xr:uid="{00000000-0005-0000-0000-0000BB000000}"/>
    <cellStyle name="´Þ·?" xfId="189" xr:uid="{00000000-0005-0000-0000-0000BC000000}"/>
    <cellStyle name="’E‰Y [0.00]_laroux" xfId="190" xr:uid="{00000000-0005-0000-0000-0000BD000000}"/>
    <cellStyle name="’E‰Y_laroux" xfId="191" xr:uid="{00000000-0005-0000-0000-0000BE000000}"/>
    <cellStyle name="¤@?e_TEST-1 " xfId="192" xr:uid="{00000000-0005-0000-0000-0000BF000000}"/>
    <cellStyle name="△백분율" xfId="193" xr:uid="{00000000-0005-0000-0000-0000C0000000}"/>
    <cellStyle name="△콤마" xfId="194" xr:uid="{00000000-0005-0000-0000-0000C1000000}"/>
    <cellStyle name="°iA¤¼O¼yA¡" xfId="195" xr:uid="{00000000-0005-0000-0000-0000C2000000}"/>
    <cellStyle name="°iA¤¼O¼yA¡ 2" xfId="196" xr:uid="{00000000-0005-0000-0000-0000C3000000}"/>
    <cellStyle name="°iA¤¼O¼yA¡ 2 2" xfId="197" xr:uid="{00000000-0005-0000-0000-0000C4000000}"/>
    <cellStyle name="°iA¤¼O¼yA¡ 2 2 2" xfId="198" xr:uid="{00000000-0005-0000-0000-0000C5000000}"/>
    <cellStyle name="°iA¤¼O¼yA¡ 2 3" xfId="199" xr:uid="{00000000-0005-0000-0000-0000C6000000}"/>
    <cellStyle name="°iA¤¼O¼yA¡ 3" xfId="200" xr:uid="{00000000-0005-0000-0000-0000C7000000}"/>
    <cellStyle name="°iA¤¼O¼yA¡ 3 2" xfId="201" xr:uid="{00000000-0005-0000-0000-0000C8000000}"/>
    <cellStyle name="°iA¤¼O¼yA¡ 4" xfId="202" xr:uid="{00000000-0005-0000-0000-0000C9000000}"/>
    <cellStyle name="°iA¤¼O¼yA¡ 4 2" xfId="203" xr:uid="{00000000-0005-0000-0000-0000CA000000}"/>
    <cellStyle name="°iA¤¼O¼yA¡ 5" xfId="204" xr:uid="{00000000-0005-0000-0000-0000CB000000}"/>
    <cellStyle name="°iA¤Aa·A1" xfId="205" xr:uid="{00000000-0005-0000-0000-0000CC000000}"/>
    <cellStyle name="°iA¤Aa·A2" xfId="206" xr:uid="{00000000-0005-0000-0000-0000CD000000}"/>
    <cellStyle name="0.0" xfId="207" xr:uid="{00000000-0005-0000-0000-0000CE000000}"/>
    <cellStyle name="0.00" xfId="208" xr:uid="{00000000-0005-0000-0000-0000CF000000}"/>
    <cellStyle name="0뾍R_x0005_?뾍b_x0005_" xfId="209" xr:uid="{00000000-0005-0000-0000-0000D0000000}"/>
    <cellStyle name="¼yAU(R)" xfId="210" xr:uid="{00000000-0005-0000-0000-0000D1000000}"/>
    <cellStyle name="¼yAU(R) 2" xfId="211" xr:uid="{00000000-0005-0000-0000-0000D2000000}"/>
    <cellStyle name="¼yAU(R) 3" xfId="212" xr:uid="{00000000-0005-0000-0000-0000D3000000}"/>
    <cellStyle name="¼yAU(R) 4" xfId="213" xr:uid="{00000000-0005-0000-0000-0000D4000000}"/>
    <cellStyle name="19990216" xfId="214" xr:uid="{00000000-0005-0000-0000-0000D5000000}"/>
    <cellStyle name="¹eº" xfId="215" xr:uid="{00000000-0005-0000-0000-0000D6000000}"/>
    <cellStyle name="¹eº 2" xfId="216" xr:uid="{00000000-0005-0000-0000-0000D7000000}"/>
    <cellStyle name="¹eº 3" xfId="217" xr:uid="{00000000-0005-0000-0000-0000D8000000}"/>
    <cellStyle name="¹eº 4" xfId="218" xr:uid="{00000000-0005-0000-0000-0000D9000000}"/>
    <cellStyle name="¹eº 5" xfId="219" xr:uid="{00000000-0005-0000-0000-0000DA000000}"/>
    <cellStyle name="¹eº_내역서" xfId="220" xr:uid="{00000000-0005-0000-0000-0000DB000000}"/>
    <cellStyle name="¹eºÐA² [0]" xfId="221" xr:uid="{00000000-0005-0000-0000-0000DC000000}"/>
    <cellStyle name="¹eºÐA² [2]" xfId="222" xr:uid="{00000000-0005-0000-0000-0000DD000000}"/>
    <cellStyle name="2" xfId="223" xr:uid="{00000000-0005-0000-0000-0000DE000000}"/>
    <cellStyle name="2)" xfId="224" xr:uid="{00000000-0005-0000-0000-0000DF000000}"/>
    <cellStyle name="20% - 강조색1 2" xfId="225" xr:uid="{00000000-0005-0000-0000-0000E0000000}"/>
    <cellStyle name="20% - 강조색2 2" xfId="226" xr:uid="{00000000-0005-0000-0000-0000E1000000}"/>
    <cellStyle name="20% - 강조색3 2" xfId="227" xr:uid="{00000000-0005-0000-0000-0000E2000000}"/>
    <cellStyle name="20% - 강조색4 2" xfId="228" xr:uid="{00000000-0005-0000-0000-0000E3000000}"/>
    <cellStyle name="20% - 강조색5 2" xfId="229" xr:uid="{00000000-0005-0000-0000-0000E4000000}"/>
    <cellStyle name="20% - 강조색6 2" xfId="230" xr:uid="{00000000-0005-0000-0000-0000E5000000}"/>
    <cellStyle name="³?A￥" xfId="231" xr:uid="{00000000-0005-0000-0000-0000E6000000}"/>
    <cellStyle name="40% - 강조색1 2" xfId="232" xr:uid="{00000000-0005-0000-0000-0000E7000000}"/>
    <cellStyle name="40% - 강조색2 2" xfId="233" xr:uid="{00000000-0005-0000-0000-0000E8000000}"/>
    <cellStyle name="40% - 강조색3 2" xfId="234" xr:uid="{00000000-0005-0000-0000-0000E9000000}"/>
    <cellStyle name="40% - 강조색4 2" xfId="235" xr:uid="{00000000-0005-0000-0000-0000EA000000}"/>
    <cellStyle name="40% - 강조색5 2" xfId="236" xr:uid="{00000000-0005-0000-0000-0000EB000000}"/>
    <cellStyle name="40% - 강조색6 2" xfId="237" xr:uid="{00000000-0005-0000-0000-0000EC000000}"/>
    <cellStyle name="60" xfId="238" xr:uid="{00000000-0005-0000-0000-0000ED000000}"/>
    <cellStyle name="60% - 강조색1 2" xfId="239" xr:uid="{00000000-0005-0000-0000-0000EE000000}"/>
    <cellStyle name="60% - 강조색2 2" xfId="240" xr:uid="{00000000-0005-0000-0000-0000EF000000}"/>
    <cellStyle name="60% - 강조색3 2" xfId="241" xr:uid="{00000000-0005-0000-0000-0000F0000000}"/>
    <cellStyle name="60% - 강조색4 2" xfId="242" xr:uid="{00000000-0005-0000-0000-0000F1000000}"/>
    <cellStyle name="60% - 강조색5 2" xfId="243" xr:uid="{00000000-0005-0000-0000-0000F2000000}"/>
    <cellStyle name="60% - 강조색6 2" xfId="244" xr:uid="{00000000-0005-0000-0000-0000F3000000}"/>
    <cellStyle name="a [0]_mud plant bolted" xfId="245" xr:uid="{00000000-0005-0000-0000-0000F4000000}"/>
    <cellStyle name="A¡§¡ⓒ¡E¡þ¡EO [0]_¡§uc¡§oA " xfId="246" xr:uid="{00000000-0005-0000-0000-0000F5000000}"/>
    <cellStyle name="A¡§¡ⓒ¡E¡þ¡EO_¡§uc¡§oA " xfId="247" xr:uid="{00000000-0005-0000-0000-0000F6000000}"/>
    <cellStyle name="A¨­￠￢￠O [0]_¡Æu￠￢RBS('98) " xfId="248" xr:uid="{00000000-0005-0000-0000-0000F7000000}"/>
    <cellStyle name="A¨­¢¬¢Ò [0]_¨úc¨öA " xfId="249" xr:uid="{00000000-0005-0000-0000-0000F8000000}"/>
    <cellStyle name="A¨­￠￢￠O [0]_3￠?u¨uoAⓒ÷ " xfId="250" xr:uid="{00000000-0005-0000-0000-0000F9000000}"/>
    <cellStyle name="A¨­¢¬¢Ò [0]_4PART " xfId="251" xr:uid="{00000000-0005-0000-0000-0000FA000000}"/>
    <cellStyle name="A¨­￠￢￠O [0]_A|A￠O1¨￢I1¡Æu CoEⓒ÷ " xfId="252" xr:uid="{00000000-0005-0000-0000-0000FB000000}"/>
    <cellStyle name="A¨­¢¬¢Ò [0]_C¡Æ¢¬n¨¬¡Æ " xfId="253" xr:uid="{00000000-0005-0000-0000-0000FC000000}"/>
    <cellStyle name="A¨­￠￢￠O [0]_ⓒoⓒ¡A¨o¨￢R " xfId="254" xr:uid="{00000000-0005-0000-0000-0000FD000000}"/>
    <cellStyle name="A¨­￠￢￠O_¡Æu￠￢RC¡¿￠￢n_¨u¡AA¨u¨￢¡Æ " xfId="255" xr:uid="{00000000-0005-0000-0000-0000FE000000}"/>
    <cellStyle name="A¨­¢¬¢Ò_¨úc¨öA " xfId="256" xr:uid="{00000000-0005-0000-0000-0000FF000000}"/>
    <cellStyle name="A¨­￠￢￠O_3￠?u¨uoAⓒ÷ " xfId="257" xr:uid="{00000000-0005-0000-0000-000000010000}"/>
    <cellStyle name="A¨­¢¬¢Ò_95©øaAN¡Æy¨ùo¡¤R " xfId="258" xr:uid="{00000000-0005-0000-0000-000001010000}"/>
    <cellStyle name="A¨­￠￢￠O_A|A￠O1¨￢I1¡Æu CoEⓒ÷ " xfId="259" xr:uid="{00000000-0005-0000-0000-000002010000}"/>
    <cellStyle name="A¨­¢¬¢Ò_C¡Æ¢¬n¨¬¡Æ " xfId="260" xr:uid="{00000000-0005-0000-0000-000003010000}"/>
    <cellStyle name="A¨­￠￢￠O_ⓒoⓒ¡A¨o¨￢R " xfId="261" xr:uid="{00000000-0005-0000-0000-000004010000}"/>
    <cellStyle name="ȂȃRMऌଃਁȋ⤭ࠀȄԂȂ(ȃRMऌଃਁȋ⤂Ā飰ˠ" xfId="262" xr:uid="{00000000-0005-0000-0000-000005010000}"/>
    <cellStyle name="Aⓒ" xfId="263" xr:uid="{00000000-0005-0000-0000-000006010000}"/>
    <cellStyle name="Aⓒ 2" xfId="264" xr:uid="{00000000-0005-0000-0000-000007010000}"/>
    <cellStyle name="Aⓒ 3" xfId="265" xr:uid="{00000000-0005-0000-0000-000008010000}"/>
    <cellStyle name="Aⓒ 4" xfId="266" xr:uid="{00000000-0005-0000-0000-000009010000}"/>
    <cellStyle name="Aⓒ 5" xfId="267" xr:uid="{00000000-0005-0000-0000-00000A010000}"/>
    <cellStyle name="Aⓒ_내역서" xfId="268" xr:uid="{00000000-0005-0000-0000-00000B010000}"/>
    <cellStyle name="Aⓒ­￠￢￠" xfId="269" xr:uid="{00000000-0005-0000-0000-00000C010000}"/>
    <cellStyle name="Aⓒ­￠￢￠ 2" xfId="270" xr:uid="{00000000-0005-0000-0000-00000D010000}"/>
    <cellStyle name="Aⓒ­￠￢￠ 3" xfId="271" xr:uid="{00000000-0005-0000-0000-00000E010000}"/>
    <cellStyle name="Aⓒ­￠￢￠ 4" xfId="272" xr:uid="{00000000-0005-0000-0000-00000F010000}"/>
    <cellStyle name="Aⓒ­￠￢￠ 5" xfId="273" xr:uid="{00000000-0005-0000-0000-000010010000}"/>
    <cellStyle name="Aⓒ­￠￢￠_내역서" xfId="274" xr:uid="{00000000-0005-0000-0000-000011010000}"/>
    <cellStyle name="Ae" xfId="275" xr:uid="{00000000-0005-0000-0000-000012010000}"/>
    <cellStyle name="Ae 2" xfId="276" xr:uid="{00000000-0005-0000-0000-000013010000}"/>
    <cellStyle name="Ae 3" xfId="277" xr:uid="{00000000-0005-0000-0000-000014010000}"/>
    <cellStyle name="Ae 4" xfId="278" xr:uid="{00000000-0005-0000-0000-000015010000}"/>
    <cellStyle name="Ae 5" xfId="279" xr:uid="{00000000-0005-0000-0000-000016010000}"/>
    <cellStyle name="Ae_내역서" xfId="280" xr:uid="{00000000-0005-0000-0000-000017010000}"/>
    <cellStyle name="Aee­ " xfId="281" xr:uid="{00000000-0005-0000-0000-000018010000}"/>
    <cellStyle name="Aee­ [" xfId="282" xr:uid="{00000000-0005-0000-0000-000019010000}"/>
    <cellStyle name="Aee­ [ 2" xfId="283" xr:uid="{00000000-0005-0000-0000-00001A010000}"/>
    <cellStyle name="Aee­ [ 3" xfId="284" xr:uid="{00000000-0005-0000-0000-00001B010000}"/>
    <cellStyle name="Aee­ [ 4" xfId="285" xr:uid="{00000000-0005-0000-0000-00001C010000}"/>
    <cellStyle name="Aee­ [ 5" xfId="286" xr:uid="{00000000-0005-0000-0000-00001D010000}"/>
    <cellStyle name="Aee­ [_내역서" xfId="287" xr:uid="{00000000-0005-0000-0000-00001E010000}"/>
    <cellStyle name="AeE­ [0]_(type)AN°y" xfId="288" xr:uid="{00000000-0005-0000-0000-00001F010000}"/>
    <cellStyle name="ÅëÈ­ [0]_»óºÎ¼ö·®Áý°è " xfId="289" xr:uid="{00000000-0005-0000-0000-000020010000}"/>
    <cellStyle name="AeE­ [0]_¼oAI¼º " xfId="290" xr:uid="{00000000-0005-0000-0000-000021010000}"/>
    <cellStyle name="ÅëÈ­ [0]_¾÷Á¾º° " xfId="291" xr:uid="{00000000-0005-0000-0000-000022010000}"/>
    <cellStyle name="AeE­ [0]_¾c½A " xfId="292" xr:uid="{00000000-0005-0000-0000-000023010000}"/>
    <cellStyle name="ÅëÈ­ [0]_¹æÀ½º® " xfId="293" xr:uid="{00000000-0005-0000-0000-000024010000}"/>
    <cellStyle name="AeE­ [0]_4PART " xfId="294" xr:uid="{00000000-0005-0000-0000-000025010000}"/>
    <cellStyle name="ÅëÈ­ [0]_Á¦Á¶1ºÎ1°ú ÇöÈ² " xfId="295" xr:uid="{00000000-0005-0000-0000-000026010000}"/>
    <cellStyle name="AeE­ [0]_A¾CO½A¼³ " xfId="296" xr:uid="{00000000-0005-0000-0000-000027010000}"/>
    <cellStyle name="ÅëÈ­ [0]_INQUIRY ¿µ¾÷ÃßÁø " xfId="297" xr:uid="{00000000-0005-0000-0000-000028010000}"/>
    <cellStyle name="AeE­ [0]_INQUIRY ¿μ¾÷AßAø " xfId="298" xr:uid="{00000000-0005-0000-0000-000029010000}"/>
    <cellStyle name="ÅëÈ­ [0]_º»¼± ±æ¾î±úºÎ ¼ö·® Áý°èÇ¥ " xfId="299" xr:uid="{00000000-0005-0000-0000-00002A010000}"/>
    <cellStyle name="AeE­ [0]_º≫¼± ±æ¾i±uºI ¼o·R Ay°eC￥ " xfId="300" xr:uid="{00000000-0005-0000-0000-00002B010000}"/>
    <cellStyle name="ÅëÈ­ [0]_ºÙÀÓ2-1 " xfId="301" xr:uid="{00000000-0005-0000-0000-00002C010000}"/>
    <cellStyle name="AeE­ [0]_PERSONAL" xfId="302" xr:uid="{00000000-0005-0000-0000-00002D010000}"/>
    <cellStyle name="Aee­ _견적 방문 제출시-SAMPLE" xfId="303" xr:uid="{00000000-0005-0000-0000-00002E010000}"/>
    <cellStyle name="AeE­_(type)AN°y" xfId="304" xr:uid="{00000000-0005-0000-0000-00002F010000}"/>
    <cellStyle name="ÅëÈ­_»óºÎ¼ö·®Áý°è " xfId="305" xr:uid="{00000000-0005-0000-0000-000030010000}"/>
    <cellStyle name="AeE­_¼oAI¼º " xfId="306" xr:uid="{00000000-0005-0000-0000-000031010000}"/>
    <cellStyle name="ÅëÈ­_¾÷Á¾º° " xfId="307" xr:uid="{00000000-0005-0000-0000-000032010000}"/>
    <cellStyle name="AeE­_¾c½A " xfId="308" xr:uid="{00000000-0005-0000-0000-000033010000}"/>
    <cellStyle name="ÅëÈ­_¹æÀ½º® " xfId="309" xr:uid="{00000000-0005-0000-0000-000034010000}"/>
    <cellStyle name="AeE­_4PART " xfId="310" xr:uid="{00000000-0005-0000-0000-000035010000}"/>
    <cellStyle name="ÅëÈ­_Á¦Á¶1ºÎ1°ú ÇöÈ² " xfId="311" xr:uid="{00000000-0005-0000-0000-000036010000}"/>
    <cellStyle name="AeE­_A¾CO½A¼³ " xfId="312" xr:uid="{00000000-0005-0000-0000-000037010000}"/>
    <cellStyle name="ÅëÈ­_INQUIRY ¿µ¾÷ÃßÁø " xfId="313" xr:uid="{00000000-0005-0000-0000-000038010000}"/>
    <cellStyle name="AeE­_INQUIRY ¿μ¾÷AßAø " xfId="314" xr:uid="{00000000-0005-0000-0000-000039010000}"/>
    <cellStyle name="ÅëÈ­_º»¼± ±æ¾î±úºÎ ¼ö·® Áý°èÇ¥ " xfId="315" xr:uid="{00000000-0005-0000-0000-00003A010000}"/>
    <cellStyle name="AeE­_º≫¼± ±æ¾i±uºI ¼o·R Ay°eC￥ " xfId="316" xr:uid="{00000000-0005-0000-0000-00003B010000}"/>
    <cellStyle name="ÅëÈ­_ºÙÀÓ2-1 " xfId="317" xr:uid="{00000000-0005-0000-0000-00003C010000}"/>
    <cellStyle name="AeE­_PERSONAL" xfId="318" xr:uid="{00000000-0005-0000-0000-00003D010000}"/>
    <cellStyle name="AeE¡© [0]_¨úc¨öA " xfId="319" xr:uid="{00000000-0005-0000-0000-00003E010000}"/>
    <cellStyle name="AeE¡©_¨úc¨öA " xfId="320" xr:uid="{00000000-0005-0000-0000-00003F010000}"/>
    <cellStyle name="Aee¡ⓒ " xfId="321" xr:uid="{00000000-0005-0000-0000-000040010000}"/>
    <cellStyle name="Aee¡ⓒ  2" xfId="322" xr:uid="{00000000-0005-0000-0000-000041010000}"/>
    <cellStyle name="Aee¡ⓒ  3" xfId="323" xr:uid="{00000000-0005-0000-0000-000042010000}"/>
    <cellStyle name="Aee¡ⓒ  4" xfId="324" xr:uid="{00000000-0005-0000-0000-000043010000}"/>
    <cellStyle name="Aee¡ⓒ  5" xfId="325" xr:uid="{00000000-0005-0000-0000-000044010000}"/>
    <cellStyle name="AeE¡ⓒ [0]_¡Æu￠￢RC¡¿￠￢n_¨u¡AA¨u¨￢¡Æ " xfId="326" xr:uid="{00000000-0005-0000-0000-000045010000}"/>
    <cellStyle name="Aee¡ⓒ _5공구 내역서" xfId="327" xr:uid="{00000000-0005-0000-0000-000046010000}"/>
    <cellStyle name="AeE¡ⓒ_¡Æu￠￢RC¡¿￠￢n_¨u¡AA¨u¨￢¡Æ " xfId="328" xr:uid="{00000000-0005-0000-0000-000047010000}"/>
    <cellStyle name="AeE￠R¨I [0]_¡§uc¡§oA " xfId="329" xr:uid="{00000000-0005-0000-0000-000048010000}"/>
    <cellStyle name="AeE￠R¨I_¡§uc¡§oA " xfId="330" xr:uid="{00000000-0005-0000-0000-000049010000}"/>
    <cellStyle name="ÆU¼¾ÆR" xfId="331" xr:uid="{00000000-0005-0000-0000-00004A010000}"/>
    <cellStyle name="ÆU¼¾ÆR 2" xfId="332" xr:uid="{00000000-0005-0000-0000-00004B010000}"/>
    <cellStyle name="ÆU¼¾ÆR 2 2" xfId="333" xr:uid="{00000000-0005-0000-0000-00004C010000}"/>
    <cellStyle name="ÆU¼¾ÆR 2 2 2" xfId="334" xr:uid="{00000000-0005-0000-0000-00004D010000}"/>
    <cellStyle name="ÆU¼¾ÆR 2 3" xfId="335" xr:uid="{00000000-0005-0000-0000-00004E010000}"/>
    <cellStyle name="ÆU¼¾ÆR 3" xfId="336" xr:uid="{00000000-0005-0000-0000-00004F010000}"/>
    <cellStyle name="ÆU¼¾ÆR 3 2" xfId="337" xr:uid="{00000000-0005-0000-0000-000050010000}"/>
    <cellStyle name="ÆU¼¾ÆR 4" xfId="338" xr:uid="{00000000-0005-0000-0000-000051010000}"/>
    <cellStyle name="ÆU¼¾ÆR 4 2" xfId="339" xr:uid="{00000000-0005-0000-0000-000052010000}"/>
    <cellStyle name="ÆU¼¾ÆR 5" xfId="340" xr:uid="{00000000-0005-0000-0000-000053010000}"/>
    <cellStyle name="ALIGNMENT" xfId="341" xr:uid="{00000000-0005-0000-0000-000054010000}"/>
    <cellStyle name="Aþ" xfId="342" xr:uid="{00000000-0005-0000-0000-000055010000}"/>
    <cellStyle name="Aþ 2" xfId="343" xr:uid="{00000000-0005-0000-0000-000056010000}"/>
    <cellStyle name="Aþ 3" xfId="344" xr:uid="{00000000-0005-0000-0000-000057010000}"/>
    <cellStyle name="Aþ 4" xfId="345" xr:uid="{00000000-0005-0000-0000-000058010000}"/>
    <cellStyle name="Aþ 5" xfId="346" xr:uid="{00000000-0005-0000-0000-000059010000}"/>
    <cellStyle name="Aþ_내역서" xfId="347" xr:uid="{00000000-0005-0000-0000-00005A010000}"/>
    <cellStyle name="Aþ¸¶ [" xfId="348" xr:uid="{00000000-0005-0000-0000-00005B010000}"/>
    <cellStyle name="Aþ¸¶ [ 2" xfId="349" xr:uid="{00000000-0005-0000-0000-00005C010000}"/>
    <cellStyle name="Aþ¸¶ [ 3" xfId="350" xr:uid="{00000000-0005-0000-0000-00005D010000}"/>
    <cellStyle name="Aþ¸¶ [ 4" xfId="351" xr:uid="{00000000-0005-0000-0000-00005E010000}"/>
    <cellStyle name="Aþ¸¶ [ 5" xfId="352" xr:uid="{00000000-0005-0000-0000-00005F010000}"/>
    <cellStyle name="Aþ¸¶ [_내역서" xfId="353" xr:uid="{00000000-0005-0000-0000-000060010000}"/>
    <cellStyle name="AÞ¸¶ [0]_(type)AN°y" xfId="354" xr:uid="{00000000-0005-0000-0000-000061010000}"/>
    <cellStyle name="ÄÞ¸¶ [0]_»óºÎ¼ö·®Áý°è " xfId="355" xr:uid="{00000000-0005-0000-0000-000062010000}"/>
    <cellStyle name="AÞ¸¶ [0]_°ßAu≫eAa" xfId="356" xr:uid="{00000000-0005-0000-0000-000063010000}"/>
    <cellStyle name="ÄÞ¸¶ [0]_°ü¸®BS('98) " xfId="357" xr:uid="{00000000-0005-0000-0000-000064010000}"/>
    <cellStyle name="AÞ¸¶ [0]_¼oAI¼º " xfId="358" xr:uid="{00000000-0005-0000-0000-000065010000}"/>
    <cellStyle name="ÄÞ¸¶ [0]_¾÷Á¾º° " xfId="359" xr:uid="{00000000-0005-0000-0000-000066010000}"/>
    <cellStyle name="AÞ¸¶ [0]_¾c½A " xfId="360" xr:uid="{00000000-0005-0000-0000-000067010000}"/>
    <cellStyle name="ÄÞ¸¶ [0]_¹æÀ½º® " xfId="361" xr:uid="{00000000-0005-0000-0000-000068010000}"/>
    <cellStyle name="AÞ¸¶ [0]_4PART " xfId="362" xr:uid="{00000000-0005-0000-0000-000069010000}"/>
    <cellStyle name="ÄÞ¸¶ [0]_Á¦Á¶1ºÎ1°ú ÇöÈ² " xfId="363" xr:uid="{00000000-0005-0000-0000-00006A010000}"/>
    <cellStyle name="AÞ¸¶ [0]_A¾CO½A¼³ " xfId="364" xr:uid="{00000000-0005-0000-0000-00006B010000}"/>
    <cellStyle name="ÄÞ¸¶ [0]_INQUIRY ¿µ¾÷ÃßÁø " xfId="365" xr:uid="{00000000-0005-0000-0000-00006C010000}"/>
    <cellStyle name="AÞ¸¶ [0]_INQUIRY ¿μ¾÷AßAø " xfId="366" xr:uid="{00000000-0005-0000-0000-00006D010000}"/>
    <cellStyle name="ÄÞ¸¶ [0]_º»¼± ±æ¾î±úºÎ ¼ö·® Áý°èÇ¥ " xfId="367" xr:uid="{00000000-0005-0000-0000-00006E010000}"/>
    <cellStyle name="AÞ¸¶ [0]_º≫¼± ±æ¾i±uºI ¼o·R Ay°eC￥ " xfId="368" xr:uid="{00000000-0005-0000-0000-00006F010000}"/>
    <cellStyle name="ÄÞ¸¶ [0]_ºÙÀÓ2-1 " xfId="369" xr:uid="{00000000-0005-0000-0000-000070010000}"/>
    <cellStyle name="AÞ¸¶ [2]" xfId="370" xr:uid="{00000000-0005-0000-0000-000071010000}"/>
    <cellStyle name="AÞ¸¶_(type)AN°y" xfId="371" xr:uid="{00000000-0005-0000-0000-000072010000}"/>
    <cellStyle name="ÄÞ¸¶_»óºÎ¼ö·®Áý°è " xfId="372" xr:uid="{00000000-0005-0000-0000-000073010000}"/>
    <cellStyle name="AÞ¸¶_°ßAu¿ø°¡C￥" xfId="373" xr:uid="{00000000-0005-0000-0000-000074010000}"/>
    <cellStyle name="ÄÞ¸¶_°ü¸®Ç×¸ñ_¾÷Á¾º° " xfId="374" xr:uid="{00000000-0005-0000-0000-000075010000}"/>
    <cellStyle name="AÞ¸¶_¼oAI¼º " xfId="375" xr:uid="{00000000-0005-0000-0000-000076010000}"/>
    <cellStyle name="ÄÞ¸¶_¾÷Á¾º° " xfId="376" xr:uid="{00000000-0005-0000-0000-000077010000}"/>
    <cellStyle name="AÞ¸¶_¾c½A " xfId="377" xr:uid="{00000000-0005-0000-0000-000078010000}"/>
    <cellStyle name="ÄÞ¸¶_¹æÀ½º® " xfId="378" xr:uid="{00000000-0005-0000-0000-000079010000}"/>
    <cellStyle name="AÞ¸¶_95³aAN°y¼o·R " xfId="379" xr:uid="{00000000-0005-0000-0000-00007A010000}"/>
    <cellStyle name="ÄÞ¸¶_Á¦Á¶1ºÎ1°ú ÇöÈ² " xfId="380" xr:uid="{00000000-0005-0000-0000-00007B010000}"/>
    <cellStyle name="AÞ¸¶_A¾CO½A¼³ " xfId="381" xr:uid="{00000000-0005-0000-0000-00007C010000}"/>
    <cellStyle name="ÄÞ¸¶_INQUIRY ¿µ¾÷ÃßÁø " xfId="382" xr:uid="{00000000-0005-0000-0000-00007D010000}"/>
    <cellStyle name="AÞ¸¶_INQUIRY ¿μ¾÷AßAø " xfId="383" xr:uid="{00000000-0005-0000-0000-00007E010000}"/>
    <cellStyle name="ÄÞ¸¶_º»¼± ±æ¾î±úºÎ ¼ö·® Áý°èÇ¥ " xfId="384" xr:uid="{00000000-0005-0000-0000-00007F010000}"/>
    <cellStyle name="AÞ¸¶_º≫¼± ±æ¾i±uºI ¼o·R Ay°eC￥ " xfId="385" xr:uid="{00000000-0005-0000-0000-000080010000}"/>
    <cellStyle name="ÄÞ¸¶_ºÙÀÓ2-1 " xfId="386" xr:uid="{00000000-0005-0000-0000-000081010000}"/>
    <cellStyle name="AU¸R¼o" xfId="387" xr:uid="{00000000-0005-0000-0000-000082010000}"/>
    <cellStyle name="AU¸R¼o0" xfId="388" xr:uid="{00000000-0005-0000-0000-000083010000}"/>
    <cellStyle name="AU¸R¼o0 2" xfId="389" xr:uid="{00000000-0005-0000-0000-000084010000}"/>
    <cellStyle name="AU¸R¼o0 2 2" xfId="390" xr:uid="{00000000-0005-0000-0000-000085010000}"/>
    <cellStyle name="AU¸R¼o0 2 2 2" xfId="391" xr:uid="{00000000-0005-0000-0000-000086010000}"/>
    <cellStyle name="AU¸R¼o0 2 3" xfId="392" xr:uid="{00000000-0005-0000-0000-000087010000}"/>
    <cellStyle name="AU¸R¼o0 3" xfId="393" xr:uid="{00000000-0005-0000-0000-000088010000}"/>
    <cellStyle name="AU¸R¼o0 3 2" xfId="394" xr:uid="{00000000-0005-0000-0000-000089010000}"/>
    <cellStyle name="AU¸R¼o0 4" xfId="395" xr:uid="{00000000-0005-0000-0000-00008A010000}"/>
    <cellStyle name="AU¸R¼o0 4 2" xfId="396" xr:uid="{00000000-0005-0000-0000-00008B010000}"/>
    <cellStyle name="AU¸R¼o0 5" xfId="397" xr:uid="{00000000-0005-0000-0000-00008C010000}"/>
    <cellStyle name="_x0001_b" xfId="398" xr:uid="{00000000-0005-0000-0000-00008D010000}"/>
    <cellStyle name="C¡" xfId="399" xr:uid="{00000000-0005-0000-0000-00008E010000}"/>
    <cellStyle name="C¡ 2" xfId="400" xr:uid="{00000000-0005-0000-0000-00008F010000}"/>
    <cellStyle name="C¡ 3" xfId="401" xr:uid="{00000000-0005-0000-0000-000090010000}"/>
    <cellStyle name="C¡ 4" xfId="402" xr:uid="{00000000-0005-0000-0000-000091010000}"/>
    <cellStyle name="C¡ 5" xfId="403" xr:uid="{00000000-0005-0000-0000-000092010000}"/>
    <cellStyle name="C¡_내역서" xfId="404" xr:uid="{00000000-0005-0000-0000-000093010000}"/>
    <cellStyle name="C¡ÍA¨ª_  FAB AIA¢´  " xfId="405" xr:uid="{00000000-0005-0000-0000-000094010000}"/>
    <cellStyle name="C¡IA¨ª_¡Æ¡IA¡E¨￢n_¡Æ¡IA¡E¨￢n " xfId="406" xr:uid="{00000000-0005-0000-0000-000095010000}"/>
    <cellStyle name="C¡ÍA¨ª_¡Æ©øAI OXIDE " xfId="407" xr:uid="{00000000-0005-0000-0000-000096010000}"/>
    <cellStyle name="C¡IA¨ª_¡Æu￠￢RBS('98) " xfId="408" xr:uid="{00000000-0005-0000-0000-000097010000}"/>
    <cellStyle name="C¡ÍA¨ª_¡íoE©÷¡¾a¡¤IAo " xfId="409" xr:uid="{00000000-0005-0000-0000-000098010000}"/>
    <cellStyle name="C¡IA¨ª_¡ioEⓒ÷¡¾a¡¤IAo " xfId="410" xr:uid="{00000000-0005-0000-0000-000099010000}"/>
    <cellStyle name="C¡ÍA¨ª_03 " xfId="411" xr:uid="{00000000-0005-0000-0000-00009A010000}"/>
    <cellStyle name="C¡IA¨ª_12￠?u " xfId="412" xr:uid="{00000000-0005-0000-0000-00009B010000}"/>
    <cellStyle name="C¡ÍA¨ª_12AO " xfId="413" xr:uid="{00000000-0005-0000-0000-00009C010000}"/>
    <cellStyle name="C¡IA¨ª_Ac¡Æi¡Æu￠￢R " xfId="414" xr:uid="{00000000-0005-0000-0000-00009D010000}"/>
    <cellStyle name="C¡ÍA¨ª_C¡ÍAo " xfId="415" xr:uid="{00000000-0005-0000-0000-00009E010000}"/>
    <cellStyle name="C¡IA¨ª_CD-ROM " xfId="416" xr:uid="{00000000-0005-0000-0000-00009F010000}"/>
    <cellStyle name="C¡ÍA¨ª_Sheet1_4PART " xfId="417" xr:uid="{00000000-0005-0000-0000-0000A0010000}"/>
    <cellStyle name="C￠RIA¡§¨￡_  FAB AIA¡E￠￥  " xfId="418" xr:uid="{00000000-0005-0000-0000-0000A1010000}"/>
    <cellStyle name="C￥" xfId="419" xr:uid="{00000000-0005-0000-0000-0000A2010000}"/>
    <cellStyle name="C￥ 2" xfId="420" xr:uid="{00000000-0005-0000-0000-0000A3010000}"/>
    <cellStyle name="C￥ 3" xfId="421" xr:uid="{00000000-0005-0000-0000-0000A4010000}"/>
    <cellStyle name="C￥ 4" xfId="422" xr:uid="{00000000-0005-0000-0000-0000A5010000}"/>
    <cellStyle name="C￥ 5" xfId="423" xr:uid="{00000000-0005-0000-0000-0000A6010000}"/>
    <cellStyle name="C￥_내역서" xfId="424" xr:uid="{00000000-0005-0000-0000-0000A7010000}"/>
    <cellStyle name="C￥AØ_  FAB AIA¤  " xfId="425" xr:uid="{00000000-0005-0000-0000-0000A8010000}"/>
    <cellStyle name="Ç¥ÁØ_¿µ¾÷ÇöÈ² " xfId="426" xr:uid="{00000000-0005-0000-0000-0000A9010000}"/>
    <cellStyle name="C￥AØ_¿ø°¡ºÐ¼R" xfId="427" xr:uid="{00000000-0005-0000-0000-0000AA010000}"/>
    <cellStyle name="Ç¥ÁØ_»ç¾÷ºÎº° ÃÑ°è " xfId="428" xr:uid="{00000000-0005-0000-0000-0000AB010000}"/>
    <cellStyle name="C￥AØ_≫c¾÷ºIº° AN°e " xfId="429" xr:uid="{00000000-0005-0000-0000-0000AC010000}"/>
    <cellStyle name="Ç¥ÁØ_°£Á¢ºñ_°£Á¢ºñ " xfId="430" xr:uid="{00000000-0005-0000-0000-0000AD010000}"/>
    <cellStyle name="C￥AØ_°³¹ßAIA¤  (2)_°³¹ßAIA¤ " xfId="431" xr:uid="{00000000-0005-0000-0000-0000AE010000}"/>
    <cellStyle name="Ç¥ÁØ_°³¹ßÀÏÁ¤  (2)_°³¹ßÀÏÁ¤ " xfId="432" xr:uid="{00000000-0005-0000-0000-0000AF010000}"/>
    <cellStyle name="C￥AØ_°³¹ßAIA¤  (2)_°³¹ßAIA¤  2" xfId="433" xr:uid="{00000000-0005-0000-0000-0000B0010000}"/>
    <cellStyle name="Ç¥ÁØ_°³¹ßÀÏÁ¤  (2)_°³¹ßÀÏÁ¤  2" xfId="434" xr:uid="{00000000-0005-0000-0000-0000B1010000}"/>
    <cellStyle name="C￥AØ_°³¹ßAIA¤  (2)_°³¹ßAIA¤  3" xfId="435" xr:uid="{00000000-0005-0000-0000-0000B2010000}"/>
    <cellStyle name="Ç¥ÁØ_°³¹ßÀÏÁ¤  (2)_°³¹ßÀÏÁ¤  3" xfId="436" xr:uid="{00000000-0005-0000-0000-0000B3010000}"/>
    <cellStyle name="C￥AØ_°³¹ßAIA¤  (2)_°³¹ßAIA¤  4" xfId="437" xr:uid="{00000000-0005-0000-0000-0000B4010000}"/>
    <cellStyle name="Ç¥ÁØ_°³¹ßÀÏÁ¤  (2)_°³¹ßÀÏÁ¤  4" xfId="438" xr:uid="{00000000-0005-0000-0000-0000B5010000}"/>
    <cellStyle name="C￥AØ_°³AI OXIDE " xfId="439" xr:uid="{00000000-0005-0000-0000-0000B6010000}"/>
    <cellStyle name="Ç¥ÁØ_°ü¸®BS('98) " xfId="440" xr:uid="{00000000-0005-0000-0000-0000B7010000}"/>
    <cellStyle name="C￥AØ_03 " xfId="441" xr:uid="{00000000-0005-0000-0000-0000B8010000}"/>
    <cellStyle name="Ç¥ÁØ_0N-HANDLING " xfId="442" xr:uid="{00000000-0005-0000-0000-0000B9010000}"/>
    <cellStyle name="C￥AØ_¾c½A " xfId="443" xr:uid="{00000000-0005-0000-0000-0000BA010000}"/>
    <cellStyle name="Ç¥ÁØ_¹æÀ½º® " xfId="444" xr:uid="{00000000-0005-0000-0000-0000BB010000}"/>
    <cellStyle name="C￥AØ_53AO " xfId="445" xr:uid="{00000000-0005-0000-0000-0000BC010000}"/>
    <cellStyle name="Ç¥ÁØ_Àç°í°ü¸® " xfId="446" xr:uid="{00000000-0005-0000-0000-0000BD010000}"/>
    <cellStyle name="C￥AØ_AI¿øCoE² " xfId="447" xr:uid="{00000000-0005-0000-0000-0000BE010000}"/>
    <cellStyle name="Ç¥ÁØ_Àü·Â¼ÕÀÍºÐ¼®" xfId="448" xr:uid="{00000000-0005-0000-0000-0000BF010000}"/>
    <cellStyle name="C￥AØ_Au·A¼OAIºÐ¼R" xfId="449" xr:uid="{00000000-0005-0000-0000-0000C0010000}"/>
    <cellStyle name="Ç¥ÁØ_Áý°èÇ¥(2¿ù) " xfId="450" xr:uid="{00000000-0005-0000-0000-0000C1010000}"/>
    <cellStyle name="C￥AØ_C￥Ao " xfId="451" xr:uid="{00000000-0005-0000-0000-0000C2010000}"/>
    <cellStyle name="Ç¥ÁØ_CD-ROM " xfId="452" xr:uid="{00000000-0005-0000-0000-0000C3010000}"/>
    <cellStyle name="C￥AØ_laroux_°³¹ßAIA¤  (2)_°³¹ßAIA¤ " xfId="453" xr:uid="{00000000-0005-0000-0000-0000C4010000}"/>
    <cellStyle name="Ç¥ÁØ_laroux_°³¹ßÀÏÁ¤  (2)_°³¹ßÀÏÁ¤ " xfId="454" xr:uid="{00000000-0005-0000-0000-0000C5010000}"/>
    <cellStyle name="C￥AØ_laroux_°³¹ßAIA¤  (2)_°³¹ßAIA¤  2" xfId="455" xr:uid="{00000000-0005-0000-0000-0000C6010000}"/>
    <cellStyle name="Ç¥ÁØ_laroux_°³¹ßÀÏÁ¤  (2)_°³¹ßÀÏÁ¤  2" xfId="456" xr:uid="{00000000-0005-0000-0000-0000C7010000}"/>
    <cellStyle name="C￥AØ_laroux_°³¹ßAIA¤  (2)_°³¹ßAIA¤  2 2" xfId="457" xr:uid="{00000000-0005-0000-0000-0000C8010000}"/>
    <cellStyle name="Ç¥ÁØ_laroux_°³¹ßÀÏÁ¤  (2)_°³¹ßÀÏÁ¤  2 2" xfId="458" xr:uid="{00000000-0005-0000-0000-0000C9010000}"/>
    <cellStyle name="C￥AØ_laroux_°³¹ßAIA¤  (2)_°³¹ßAIA¤  3" xfId="459" xr:uid="{00000000-0005-0000-0000-0000CA010000}"/>
    <cellStyle name="Ç¥ÁØ_laroux_°³¹ßÀÏÁ¤  (2)_°³¹ßÀÏÁ¤  3" xfId="460" xr:uid="{00000000-0005-0000-0000-0000CB010000}"/>
    <cellStyle name="C￥AØ_laroux_°³¹ßAIA¤  (2)_°³¹ßAIA¤  3 2" xfId="461" xr:uid="{00000000-0005-0000-0000-0000CC010000}"/>
    <cellStyle name="Ç¥ÁØ_laroux_°³¹ßÀÏÁ¤  (2)_°³¹ßÀÏÁ¤  3 2" xfId="462" xr:uid="{00000000-0005-0000-0000-0000CD010000}"/>
    <cellStyle name="C￥AØ_laroux_°³¹ßAIA¤  (2)_°³¹ßAIA¤  4" xfId="463" xr:uid="{00000000-0005-0000-0000-0000CE010000}"/>
    <cellStyle name="Ç¥ÁØ_laroux_°³¹ßÀÏÁ¤  (2)_°³¹ßÀÏÁ¤  4" xfId="464" xr:uid="{00000000-0005-0000-0000-0000CF010000}"/>
    <cellStyle name="C￥AØ_laroux_°³¹ßAIA¤  (2)_°³¹ßAIA¤  4 2" xfId="465" xr:uid="{00000000-0005-0000-0000-0000D0010000}"/>
    <cellStyle name="Ç¥ÁØ_laroux_°³¹ßÀÏÁ¤  (2)_°³¹ßÀÏÁ¤  4 2" xfId="466" xr:uid="{00000000-0005-0000-0000-0000D1010000}"/>
    <cellStyle name="C￥AØ_laroux_°³¹ßAIA¤  (2)_°³¹ßAIA¤  5" xfId="467" xr:uid="{00000000-0005-0000-0000-0000D2010000}"/>
    <cellStyle name="Ç¥ÁØ_laroux_°³¹ßÀÏÁ¤  (2)_°³¹ßÀÏÁ¤  5" xfId="468" xr:uid="{00000000-0005-0000-0000-0000D3010000}"/>
    <cellStyle name="C￥AØ_laroux_1_°³¹ßAIA¤ " xfId="469" xr:uid="{00000000-0005-0000-0000-0000D4010000}"/>
    <cellStyle name="Ç¥ÁØ_laroux_1_°³¹ßÀÏÁ¤ " xfId="470" xr:uid="{00000000-0005-0000-0000-0000D5010000}"/>
    <cellStyle name="C￥AØ_laroux_2_°³¹ßAIA¤ " xfId="471" xr:uid="{00000000-0005-0000-0000-0000D6010000}"/>
    <cellStyle name="Ç¥ÁØ_laroux_2_°³¹ßÀÏÁ¤ " xfId="472" xr:uid="{00000000-0005-0000-0000-0000D7010000}"/>
    <cellStyle name="C￥AØ_M105CDT " xfId="473" xr:uid="{00000000-0005-0000-0000-0000D8010000}"/>
    <cellStyle name="Calc Currency (0)" xfId="474" xr:uid="{00000000-0005-0000-0000-0000D9010000}"/>
    <cellStyle name="category" xfId="475" xr:uid="{00000000-0005-0000-0000-0000DA010000}"/>
    <cellStyle name="CIAIÆU¸μAⓒ" xfId="476" xr:uid="{00000000-0005-0000-0000-0000DB010000}"/>
    <cellStyle name="Cmma_을지 (2)_갑지 (2)_집계표 (2)_집계표 (3)_견적서 (2)" xfId="477" xr:uid="{00000000-0005-0000-0000-0000DC010000}"/>
    <cellStyle name="CO≫e" xfId="478" xr:uid="{00000000-0005-0000-0000-0000DD010000}"/>
    <cellStyle name="ⓒoe" xfId="479" xr:uid="{00000000-0005-0000-0000-0000DE010000}"/>
    <cellStyle name="ⓒoe 2" xfId="480" xr:uid="{00000000-0005-0000-0000-0000DF010000}"/>
    <cellStyle name="ⓒoe 3" xfId="481" xr:uid="{00000000-0005-0000-0000-0000E0010000}"/>
    <cellStyle name="ⓒoe 4" xfId="482" xr:uid="{00000000-0005-0000-0000-0000E1010000}"/>
    <cellStyle name="ⓒoe 5" xfId="483" xr:uid="{00000000-0005-0000-0000-0000E2010000}"/>
    <cellStyle name="ⓒoe_내역서" xfId="484" xr:uid="{00000000-0005-0000-0000-0000E3010000}"/>
    <cellStyle name="Comma" xfId="485" xr:uid="{00000000-0005-0000-0000-0000E4010000}"/>
    <cellStyle name="Comma [0]" xfId="486" xr:uid="{00000000-0005-0000-0000-0000E5010000}"/>
    <cellStyle name="Comma [0] 2" xfId="487" xr:uid="{00000000-0005-0000-0000-0000E6010000}"/>
    <cellStyle name="Comma [0]_ SG&amp;A Bridge " xfId="488" xr:uid="{00000000-0005-0000-0000-0000E7010000}"/>
    <cellStyle name="comma zerodec" xfId="489" xr:uid="{00000000-0005-0000-0000-0000E8010000}"/>
    <cellStyle name="Comma_ SG&amp;A Bridge " xfId="490" xr:uid="{00000000-0005-0000-0000-0000E9010000}"/>
    <cellStyle name="Comma0" xfId="491" xr:uid="{00000000-0005-0000-0000-0000EA010000}"/>
    <cellStyle name="Copied" xfId="492" xr:uid="{00000000-0005-0000-0000-0000EB010000}"/>
    <cellStyle name="Curren?_x0012_퐀_x0017_?" xfId="493" xr:uid="{00000000-0005-0000-0000-0000EC010000}"/>
    <cellStyle name="Currency" xfId="494" xr:uid="{00000000-0005-0000-0000-0000ED010000}"/>
    <cellStyle name="Currency [0]" xfId="495" xr:uid="{00000000-0005-0000-0000-0000EE010000}"/>
    <cellStyle name="Currency [0] 2" xfId="496" xr:uid="{00000000-0005-0000-0000-0000EF010000}"/>
    <cellStyle name="Currency [0]_ SG&amp;A Bridge " xfId="497" xr:uid="{00000000-0005-0000-0000-0000F0010000}"/>
    <cellStyle name="Currency_ SG&amp;A Bridge " xfId="498" xr:uid="{00000000-0005-0000-0000-0000F1010000}"/>
    <cellStyle name="Currency0" xfId="499" xr:uid="{00000000-0005-0000-0000-0000F2010000}"/>
    <cellStyle name="Currency1" xfId="500" xr:uid="{00000000-0005-0000-0000-0000F3010000}"/>
    <cellStyle name="Currency1 2" xfId="501" xr:uid="{00000000-0005-0000-0000-0000F4010000}"/>
    <cellStyle name="Date" xfId="502" xr:uid="{00000000-0005-0000-0000-0000F5010000}"/>
    <cellStyle name="Dezimal [0]_laroux" xfId="503" xr:uid="{00000000-0005-0000-0000-0000F6010000}"/>
    <cellStyle name="Dezimal_laroux" xfId="504" xr:uid="{00000000-0005-0000-0000-0000F7010000}"/>
    <cellStyle name="Dollar (zero dec)" xfId="505" xr:uid="{00000000-0005-0000-0000-0000F8010000}"/>
    <cellStyle name="EA" xfId="506" xr:uid="{00000000-0005-0000-0000-0000F9010000}"/>
    <cellStyle name="E­Æo±aE￡" xfId="507" xr:uid="{00000000-0005-0000-0000-0000FA010000}"/>
    <cellStyle name="E­Æo±aE￡ 2" xfId="508" xr:uid="{00000000-0005-0000-0000-0000FB010000}"/>
    <cellStyle name="E­Æo±aE￡ 2 2" xfId="509" xr:uid="{00000000-0005-0000-0000-0000FC010000}"/>
    <cellStyle name="E­Æo±aE￡ 2 2 2" xfId="510" xr:uid="{00000000-0005-0000-0000-0000FD010000}"/>
    <cellStyle name="E­Æo±aE￡ 2 3" xfId="511" xr:uid="{00000000-0005-0000-0000-0000FE010000}"/>
    <cellStyle name="E­Æo±aE￡ 3" xfId="512" xr:uid="{00000000-0005-0000-0000-0000FF010000}"/>
    <cellStyle name="E­Æo±aE￡ 3 2" xfId="513" xr:uid="{00000000-0005-0000-0000-000000020000}"/>
    <cellStyle name="E­Æo±aE￡ 4" xfId="514" xr:uid="{00000000-0005-0000-0000-000001020000}"/>
    <cellStyle name="E­Æo±aE￡ 4 2" xfId="515" xr:uid="{00000000-0005-0000-0000-000002020000}"/>
    <cellStyle name="E­Æo±aE￡ 5" xfId="516" xr:uid="{00000000-0005-0000-0000-000003020000}"/>
    <cellStyle name="E­Æo±aE￡0" xfId="517" xr:uid="{00000000-0005-0000-0000-000004020000}"/>
    <cellStyle name="E­Æo±aE￡0 2" xfId="518" xr:uid="{00000000-0005-0000-0000-000005020000}"/>
    <cellStyle name="E­Æo±aE￡0 2 2" xfId="519" xr:uid="{00000000-0005-0000-0000-000006020000}"/>
    <cellStyle name="E­Æo±aE￡0 2 2 2" xfId="520" xr:uid="{00000000-0005-0000-0000-000007020000}"/>
    <cellStyle name="E­Æo±aE￡0 2 3" xfId="521" xr:uid="{00000000-0005-0000-0000-000008020000}"/>
    <cellStyle name="E­Æo±aE￡0 3" xfId="522" xr:uid="{00000000-0005-0000-0000-000009020000}"/>
    <cellStyle name="E­Æo±aE￡0 3 2" xfId="523" xr:uid="{00000000-0005-0000-0000-00000A020000}"/>
    <cellStyle name="E­Æo±aE￡0 4" xfId="524" xr:uid="{00000000-0005-0000-0000-00000B020000}"/>
    <cellStyle name="E­Æo±aE￡0 4 2" xfId="525" xr:uid="{00000000-0005-0000-0000-00000C020000}"/>
    <cellStyle name="E­Æo±aE￡0 5" xfId="526" xr:uid="{00000000-0005-0000-0000-00000D020000}"/>
    <cellStyle name="Entered" xfId="527" xr:uid="{00000000-0005-0000-0000-00000E020000}"/>
    <cellStyle name="Euro" xfId="528" xr:uid="{00000000-0005-0000-0000-00000F020000}"/>
    <cellStyle name="F2" xfId="529" xr:uid="{00000000-0005-0000-0000-000010020000}"/>
    <cellStyle name="F3" xfId="530" xr:uid="{00000000-0005-0000-0000-000011020000}"/>
    <cellStyle name="F4" xfId="531" xr:uid="{00000000-0005-0000-0000-000012020000}"/>
    <cellStyle name="F5" xfId="532" xr:uid="{00000000-0005-0000-0000-000013020000}"/>
    <cellStyle name="F6" xfId="533" xr:uid="{00000000-0005-0000-0000-000014020000}"/>
    <cellStyle name="F7" xfId="534" xr:uid="{00000000-0005-0000-0000-000015020000}"/>
    <cellStyle name="F8" xfId="535" xr:uid="{00000000-0005-0000-0000-000016020000}"/>
    <cellStyle name="Fixed" xfId="536" xr:uid="{00000000-0005-0000-0000-000017020000}"/>
    <cellStyle name="Followed Hyperlink" xfId="537" xr:uid="{00000000-0005-0000-0000-000018020000}"/>
    <cellStyle name="Grey" xfId="538" xr:uid="{00000000-0005-0000-0000-000019020000}"/>
    <cellStyle name="HEADER" xfId="539" xr:uid="{00000000-0005-0000-0000-00001A020000}"/>
    <cellStyle name="Header1" xfId="540" xr:uid="{00000000-0005-0000-0000-00001B020000}"/>
    <cellStyle name="Header2" xfId="541" xr:uid="{00000000-0005-0000-0000-00001C020000}"/>
    <cellStyle name="Heading 1" xfId="542" xr:uid="{00000000-0005-0000-0000-00001D020000}"/>
    <cellStyle name="Heading 2" xfId="543" xr:uid="{00000000-0005-0000-0000-00001E020000}"/>
    <cellStyle name="Heading1" xfId="544" xr:uid="{00000000-0005-0000-0000-00001F020000}"/>
    <cellStyle name="Heading2" xfId="545" xr:uid="{00000000-0005-0000-0000-000020020000}"/>
    <cellStyle name="Helv8_PFD4.XLS" xfId="546" xr:uid="{00000000-0005-0000-0000-000021020000}"/>
    <cellStyle name="Hyperlink" xfId="547" xr:uid="{00000000-0005-0000-0000-000022020000}"/>
    <cellStyle name="iles|_x0005_h" xfId="548" xr:uid="{00000000-0005-0000-0000-000023020000}"/>
    <cellStyle name="Input [yellow]" xfId="549" xr:uid="{00000000-0005-0000-0000-000024020000}"/>
    <cellStyle name="L`" xfId="550" xr:uid="{00000000-0005-0000-0000-000025020000}"/>
    <cellStyle name="les" xfId="551" xr:uid="{00000000-0005-0000-0000-000026020000}"/>
    <cellStyle name="Midtitle" xfId="552" xr:uid="{00000000-0005-0000-0000-000027020000}"/>
    <cellStyle name="Miglia - Stile1" xfId="553" xr:uid="{00000000-0005-0000-0000-000028020000}"/>
    <cellStyle name="Miglia - Stile2" xfId="554" xr:uid="{00000000-0005-0000-0000-000029020000}"/>
    <cellStyle name="Miglia - Stile3" xfId="555" xr:uid="{00000000-0005-0000-0000-00002A020000}"/>
    <cellStyle name="Miglia - Stile4" xfId="556" xr:uid="{00000000-0005-0000-0000-00002B020000}"/>
    <cellStyle name="Miglia - Stile5" xfId="557" xr:uid="{00000000-0005-0000-0000-00002C020000}"/>
    <cellStyle name="Milliers [0]_Arabian Spec" xfId="558" xr:uid="{00000000-0005-0000-0000-00002D020000}"/>
    <cellStyle name="Milliers_Arabian Spec" xfId="559" xr:uid="{00000000-0005-0000-0000-00002E020000}"/>
    <cellStyle name="Model" xfId="560" xr:uid="{00000000-0005-0000-0000-00002F020000}"/>
    <cellStyle name="Mon?aire [0]_Arabian Spec" xfId="561" xr:uid="{00000000-0005-0000-0000-000030020000}"/>
    <cellStyle name="Mon?aire_Arabian Spec" xfId="562" xr:uid="{00000000-0005-0000-0000-000031020000}"/>
    <cellStyle name="no dec" xfId="563" xr:uid="{00000000-0005-0000-0000-000032020000}"/>
    <cellStyle name="Normal - Stile6" xfId="564" xr:uid="{00000000-0005-0000-0000-000033020000}"/>
    <cellStyle name="Normal - Stile7" xfId="565" xr:uid="{00000000-0005-0000-0000-000034020000}"/>
    <cellStyle name="Normal - Stile8" xfId="566" xr:uid="{00000000-0005-0000-0000-000035020000}"/>
    <cellStyle name="Normal - Style1" xfId="567" xr:uid="{00000000-0005-0000-0000-000036020000}"/>
    <cellStyle name="Normal - Style1 2" xfId="568" xr:uid="{00000000-0005-0000-0000-000037020000}"/>
    <cellStyle name="Normal - Style2" xfId="569" xr:uid="{00000000-0005-0000-0000-000038020000}"/>
    <cellStyle name="Normal - Style3" xfId="570" xr:uid="{00000000-0005-0000-0000-000039020000}"/>
    <cellStyle name="Normal - Style4" xfId="571" xr:uid="{00000000-0005-0000-0000-00003A020000}"/>
    <cellStyle name="Normal - Style5" xfId="572" xr:uid="{00000000-0005-0000-0000-00003B020000}"/>
    <cellStyle name="Normal - Style6" xfId="573" xr:uid="{00000000-0005-0000-0000-00003C020000}"/>
    <cellStyle name="Normal - Style7" xfId="574" xr:uid="{00000000-0005-0000-0000-00003D020000}"/>
    <cellStyle name="Normal - Style8" xfId="575" xr:uid="{00000000-0005-0000-0000-00003E020000}"/>
    <cellStyle name="Normal - 유형1" xfId="576" xr:uid="{00000000-0005-0000-0000-00003F020000}"/>
    <cellStyle name="Normal_ SG&amp;A Bridge " xfId="577" xr:uid="{00000000-0005-0000-0000-000040020000}"/>
    <cellStyle name="Normal忈OTD thru NOR " xfId="578" xr:uid="{00000000-0005-0000-0000-000041020000}"/>
    <cellStyle name="Percent" xfId="579" xr:uid="{00000000-0005-0000-0000-000042020000}"/>
    <cellStyle name="Percent [2]" xfId="580" xr:uid="{00000000-0005-0000-0000-000043020000}"/>
    <cellStyle name="Percent_(관리동)간선" xfId="581" xr:uid="{00000000-0005-0000-0000-000044020000}"/>
    <cellStyle name="PRICE2" xfId="582" xr:uid="{00000000-0005-0000-0000-000045020000}"/>
    <cellStyle name="R?" xfId="583" xr:uid="{00000000-0005-0000-0000-000046020000}"/>
    <cellStyle name="RevList" xfId="584" xr:uid="{00000000-0005-0000-0000-000047020000}"/>
    <cellStyle name="RevList 2" xfId="585" xr:uid="{00000000-0005-0000-0000-000048020000}"/>
    <cellStyle name="sche|_x0005_" xfId="586" xr:uid="{00000000-0005-0000-0000-000049020000}"/>
    <cellStyle name="STANDARD" xfId="587" xr:uid="{00000000-0005-0000-0000-00004A020000}"/>
    <cellStyle name="STD" xfId="588" xr:uid="{00000000-0005-0000-0000-00004B020000}"/>
    <cellStyle name="Sub" xfId="589" xr:uid="{00000000-0005-0000-0000-00004C020000}"/>
    <cellStyle name="subhead" xfId="590" xr:uid="{00000000-0005-0000-0000-00004D020000}"/>
    <cellStyle name="Subtotal" xfId="591" xr:uid="{00000000-0005-0000-0000-00004E020000}"/>
    <cellStyle name="testtitle" xfId="592" xr:uid="{00000000-0005-0000-0000-00004F020000}"/>
    <cellStyle name="þ_x001d_ð'&amp;Oy?Hy9_x0008__x000f__x0007_æ_x0007__x0007__x0001__x0001_" xfId="593" xr:uid="{00000000-0005-0000-0000-000050020000}"/>
    <cellStyle name="þ_x001d_ð'&amp;Oy?Hy9_x0008__x000f__x0007_æ_x0007__x0007__x0001__x0001_ 2" xfId="594" xr:uid="{00000000-0005-0000-0000-000051020000}"/>
    <cellStyle name="þ_x001d_ð'&amp;Oy?Hy9_x0008__x000f__x0007_æ_x0007__x0007__x0001__x0001_ 2 2" xfId="595" xr:uid="{00000000-0005-0000-0000-000052020000}"/>
    <cellStyle name="þ_x001d_ð'&amp;Oy?Hy9_x0008__x000f__x0007_æ_x0007__x0007__x0001__x0001_ 2 2 2" xfId="596" xr:uid="{00000000-0005-0000-0000-000053020000}"/>
    <cellStyle name="þ_x001d_ð'&amp;Oy?Hy9_x0008__x000f__x0007_æ_x0007__x0007__x0001__x0001_ 2 3" xfId="597" xr:uid="{00000000-0005-0000-0000-000054020000}"/>
    <cellStyle name="þ_x001d_ð'&amp;Oy?Hy9_x0008__x000f__x0007_æ_x0007__x0007__x0001__x0001_ 3" xfId="598" xr:uid="{00000000-0005-0000-0000-000055020000}"/>
    <cellStyle name="þ_x001d_ð'&amp;Oy?Hy9_x0008__x000f__x0007_æ_x0007__x0007__x0001__x0001_ 3 2" xfId="599" xr:uid="{00000000-0005-0000-0000-000056020000}"/>
    <cellStyle name="þ_x001d_ð'&amp;Oy?Hy9_x0008__x000f__x0007_æ_x0007__x0007__x0001__x0001_ 4" xfId="600" xr:uid="{00000000-0005-0000-0000-000057020000}"/>
    <cellStyle name="þ_x001d_ð'&amp;Oy?Hy9_x0008__x000f__x0007_æ_x0007__x0007__x0001__x0001_ 4 2" xfId="601" xr:uid="{00000000-0005-0000-0000-000058020000}"/>
    <cellStyle name="þ_x001d_ð'&amp;Oy?Hy9_x0008__x000f__x0007_æ_x0007__x0007__x0001__x0001_ 5" xfId="602" xr:uid="{00000000-0005-0000-0000-000059020000}"/>
    <cellStyle name="Title" xfId="603" xr:uid="{00000000-0005-0000-0000-00005A020000}"/>
    <cellStyle name="title [1]" xfId="604" xr:uid="{00000000-0005-0000-0000-00005B020000}"/>
    <cellStyle name="title [2]" xfId="605" xr:uid="{00000000-0005-0000-0000-00005C020000}"/>
    <cellStyle name="Title_용비교~행당여중간(신호등)" xfId="606" xr:uid="{00000000-0005-0000-0000-00005D020000}"/>
    <cellStyle name="Title2" xfId="607" xr:uid="{00000000-0005-0000-0000-00005E020000}"/>
    <cellStyle name="Total" xfId="608" xr:uid="{00000000-0005-0000-0000-00005F020000}"/>
    <cellStyle name="UM" xfId="609" xr:uid="{00000000-0005-0000-0000-000060020000}"/>
    <cellStyle name="W?rung [0]_laroux" xfId="610" xr:uid="{00000000-0005-0000-0000-000061020000}"/>
    <cellStyle name="W?rung_laroux" xfId="611" xr:uid="{00000000-0005-0000-0000-000062020000}"/>
    <cellStyle name="XLS'|_x0005_t" xfId="612" xr:uid="{00000000-0005-0000-0000-000063020000}"/>
    <cellStyle name="μU¿¡ ¿A´A CIAIÆU¸μAⓒ" xfId="613" xr:uid="{00000000-0005-0000-0000-000064020000}"/>
    <cellStyle name="ハイパーリンク" xfId="614" xr:uid="{00000000-0005-0000-0000-000065020000}"/>
    <cellStyle name="ଃਁȋ⤂Ā飰ˠ" xfId="615" xr:uid="{00000000-0005-0000-0000-000066020000}"/>
    <cellStyle name="|?ドE" xfId="616" xr:uid="{00000000-0005-0000-0000-000067020000}"/>
    <cellStyle name="강조색1 2" xfId="617" xr:uid="{00000000-0005-0000-0000-000068020000}"/>
    <cellStyle name="강조색2 2" xfId="618" xr:uid="{00000000-0005-0000-0000-000069020000}"/>
    <cellStyle name="강조색3 2" xfId="619" xr:uid="{00000000-0005-0000-0000-00006A020000}"/>
    <cellStyle name="강조색4 2" xfId="620" xr:uid="{00000000-0005-0000-0000-00006B020000}"/>
    <cellStyle name="강조색5 2" xfId="621" xr:uid="{00000000-0005-0000-0000-00006C020000}"/>
    <cellStyle name="강조색6 2" xfId="622" xr:uid="{00000000-0005-0000-0000-00006D020000}"/>
    <cellStyle name="경고문 2" xfId="623" xr:uid="{00000000-0005-0000-0000-00006E020000}"/>
    <cellStyle name="계산 2" xfId="624" xr:uid="{00000000-0005-0000-0000-00006F020000}"/>
    <cellStyle name="고정소숫점" xfId="625" xr:uid="{00000000-0005-0000-0000-000070020000}"/>
    <cellStyle name="고정소숫점 2" xfId="626" xr:uid="{00000000-0005-0000-0000-000071020000}"/>
    <cellStyle name="고정출력1" xfId="627" xr:uid="{00000000-0005-0000-0000-000072020000}"/>
    <cellStyle name="고정출력1 2" xfId="628" xr:uid="{00000000-0005-0000-0000-000073020000}"/>
    <cellStyle name="고정출력2" xfId="629" xr:uid="{00000000-0005-0000-0000-000074020000}"/>
    <cellStyle name="고정출력2 2" xfId="630" xr:uid="{00000000-0005-0000-0000-000075020000}"/>
    <cellStyle name="기계" xfId="631" xr:uid="{00000000-0005-0000-0000-000076020000}"/>
    <cellStyle name="끼_x0001_?" xfId="632" xr:uid="{00000000-0005-0000-0000-000077020000}"/>
    <cellStyle name="나쁨 2" xfId="633" xr:uid="{00000000-0005-0000-0000-000078020000}"/>
    <cellStyle name="날짜" xfId="634" xr:uid="{00000000-0005-0000-0000-000079020000}"/>
    <cellStyle name="날짜 2" xfId="635" xr:uid="{00000000-0005-0000-0000-00007A020000}"/>
    <cellStyle name="내역서" xfId="636" xr:uid="{00000000-0005-0000-0000-00007B020000}"/>
    <cellStyle name="내역서 2" xfId="637" xr:uid="{00000000-0005-0000-0000-00007C020000}"/>
    <cellStyle name="달러" xfId="638" xr:uid="{00000000-0005-0000-0000-00007D020000}"/>
    <cellStyle name="달러 2" xfId="639" xr:uid="{00000000-0005-0000-0000-00007E020000}"/>
    <cellStyle name="뒤에 오는 하이퍼링크" xfId="640" xr:uid="{00000000-0005-0000-0000-00007F020000}"/>
    <cellStyle name="똿뗦먛귟 [0.00]_laroux" xfId="641" xr:uid="{00000000-0005-0000-0000-000080020000}"/>
    <cellStyle name="똿뗦먛귟_laroux" xfId="642" xr:uid="{00000000-0005-0000-0000-000081020000}"/>
    <cellStyle name="메모 2" xfId="643" xr:uid="{00000000-0005-0000-0000-000082020000}"/>
    <cellStyle name="믅됞 [0.00]_laroux" xfId="644" xr:uid="{00000000-0005-0000-0000-000083020000}"/>
    <cellStyle name="믅됞_laroux" xfId="645" xr:uid="{00000000-0005-0000-0000-000084020000}"/>
    <cellStyle name="백" xfId="646" xr:uid="{00000000-0005-0000-0000-000085020000}"/>
    <cellStyle name="백_00년상반기현황분석(000512)-A.xls Chart 156" xfId="647" xr:uid="{00000000-0005-0000-0000-000086020000}"/>
    <cellStyle name="백_00년상반기현황분석(000512)-A.xls Chart 156_Book1" xfId="648" xr:uid="{00000000-0005-0000-0000-000087020000}"/>
    <cellStyle name="백_00년상반기현황분석(000512)-A.xls Chart 156_Book1_다대포 해수욕장-내역서" xfId="649" xr:uid="{00000000-0005-0000-0000-000088020000}"/>
    <cellStyle name="백_00년상반기현황분석(000512)-A.xls Chart 156_Book1_조형물 내역서(원본)" xfId="650" xr:uid="{00000000-0005-0000-0000-000089020000}"/>
    <cellStyle name="백_00년상반기현황분석(000512)-A.xls Chart 156_다대포 해수욕장-내역서" xfId="651" xr:uid="{00000000-0005-0000-0000-00008A020000}"/>
    <cellStyle name="백_00년상반기현황분석(000512)-A.xls Chart 156_사장님IQS개선회의(조립생기팀0816)" xfId="652" xr:uid="{00000000-0005-0000-0000-00008B020000}"/>
    <cellStyle name="백_00년상반기현황분석(000512)-A.xls Chart 156_사장님IQS개선회의(조립생기팀0816)_Book1" xfId="653" xr:uid="{00000000-0005-0000-0000-00008C020000}"/>
    <cellStyle name="백_00년상반기현황분석(000512)-A.xls Chart 156_사장님IQS개선회의(조립생기팀0816)_Book1_다대포 해수욕장-내역서" xfId="654" xr:uid="{00000000-0005-0000-0000-00008D020000}"/>
    <cellStyle name="백_00년상반기현황분석(000512)-A.xls Chart 156_사장님IQS개선회의(조립생기팀0816)_Book1_조형물 내역서(원본)" xfId="655" xr:uid="{00000000-0005-0000-0000-00008E020000}"/>
    <cellStyle name="백_00년상반기현황분석(000512)-A.xls Chart 156_사장님IQS개선회의(조립생기팀0816)_다대포 해수욕장-내역서" xfId="656" xr:uid="{00000000-0005-0000-0000-00008F020000}"/>
    <cellStyle name="백_00년상반기현황분석(000512)-A.xls Chart 156_사장님IQS개선회의(조립생기팀0816)_인상시부담액(임,단협(1).04.26수정)" xfId="657" xr:uid="{00000000-0005-0000-0000-000090020000}"/>
    <cellStyle name="백_00년상반기현황분석(000512)-A.xls Chart 156_사장님IQS개선회의(조립생기팀0816)_인상시부담액(임,단협(1).04.26수정)_다대포 해수욕장-내역서" xfId="658" xr:uid="{00000000-0005-0000-0000-000091020000}"/>
    <cellStyle name="백_00년상반기현황분석(000512)-A.xls Chart 156_사장님IQS개선회의(조립생기팀0816)_인상시부담액(임,단협(1).04.26수정)_조형물 내역서(원본)" xfId="659" xr:uid="{00000000-0005-0000-0000-000092020000}"/>
    <cellStyle name="백_00년상반기현황분석(000512)-A.xls Chart 156_사장님IQS개선회의(조립생기팀0816)_조형물 내역서(원본)" xfId="660" xr:uid="{00000000-0005-0000-0000-000093020000}"/>
    <cellStyle name="백_00년상반기현황분석(000512)-A.xls Chart 156_인상시부담액(임,단협(1).04.26수정)" xfId="661" xr:uid="{00000000-0005-0000-0000-000094020000}"/>
    <cellStyle name="백_00년상반기현황분석(000512)-A.xls Chart 156_인상시부담액(임,단협(1).04.26수정)_다대포 해수욕장-내역서" xfId="662" xr:uid="{00000000-0005-0000-0000-000095020000}"/>
    <cellStyle name="백_00년상반기현황분석(000512)-A.xls Chart 156_인상시부담액(임,단협(1).04.26수정)_조형물 내역서(원본)" xfId="663" xr:uid="{00000000-0005-0000-0000-000096020000}"/>
    <cellStyle name="백_00년상반기현황분석(000512)-A.xls Chart 156_정이사님보고0907" xfId="664" xr:uid="{00000000-0005-0000-0000-000097020000}"/>
    <cellStyle name="백_00년상반기현황분석(000512)-A.xls Chart 156_정이사님보고0907_Book1" xfId="665" xr:uid="{00000000-0005-0000-0000-000098020000}"/>
    <cellStyle name="백_00년상반기현황분석(000512)-A.xls Chart 156_정이사님보고0907_Book1_다대포 해수욕장-내역서" xfId="666" xr:uid="{00000000-0005-0000-0000-000099020000}"/>
    <cellStyle name="백_00년상반기현황분석(000512)-A.xls Chart 156_정이사님보고0907_Book1_조형물 내역서(원본)" xfId="667" xr:uid="{00000000-0005-0000-0000-00009A020000}"/>
    <cellStyle name="백_00년상반기현황분석(000512)-A.xls Chart 156_정이사님보고0907_다대포 해수욕장-내역서" xfId="668" xr:uid="{00000000-0005-0000-0000-00009B020000}"/>
    <cellStyle name="백_00년상반기현황분석(000512)-A.xls Chart 156_정이사님보고0907_인상시부담액(임,단협(1).04.26수정)" xfId="669" xr:uid="{00000000-0005-0000-0000-00009C020000}"/>
    <cellStyle name="백_00년상반기현황분석(000512)-A.xls Chart 156_정이사님보고0907_인상시부담액(임,단협(1).04.26수정)_다대포 해수욕장-내역서" xfId="670" xr:uid="{00000000-0005-0000-0000-00009D020000}"/>
    <cellStyle name="백_00년상반기현황분석(000512)-A.xls Chart 156_정이사님보고0907_인상시부담액(임,단협(1).04.26수정)_조형물 내역서(원본)" xfId="671" xr:uid="{00000000-0005-0000-0000-00009E020000}"/>
    <cellStyle name="백_00년상반기현황분석(000512)-A.xls Chart 156_정이사님보고0907_조형물 내역서(원본)" xfId="672" xr:uid="{00000000-0005-0000-0000-00009F020000}"/>
    <cellStyle name="백_00년상반기현황분석(000512)-A.xls Chart 156_조형물 내역서(원본)" xfId="673" xr:uid="{00000000-0005-0000-0000-0000A0020000}"/>
    <cellStyle name="백_00년상반기현황분석(000512)-A.xls Chart 157" xfId="674" xr:uid="{00000000-0005-0000-0000-0000A1020000}"/>
    <cellStyle name="백_00년상반기현황분석(000512)-A.xls Chart 157_Book1" xfId="675" xr:uid="{00000000-0005-0000-0000-0000A2020000}"/>
    <cellStyle name="백_00년상반기현황분석(000512)-A.xls Chart 157_Book1_다대포 해수욕장-내역서" xfId="676" xr:uid="{00000000-0005-0000-0000-0000A3020000}"/>
    <cellStyle name="백_00년상반기현황분석(000512)-A.xls Chart 157_Book1_조형물 내역서(원본)" xfId="677" xr:uid="{00000000-0005-0000-0000-0000A4020000}"/>
    <cellStyle name="백_00년상반기현황분석(000512)-A.xls Chart 157_다대포 해수욕장-내역서" xfId="678" xr:uid="{00000000-0005-0000-0000-0000A5020000}"/>
    <cellStyle name="백_00년상반기현황분석(000512)-A.xls Chart 157_사장님IQS개선회의(조립생기팀0816)" xfId="679" xr:uid="{00000000-0005-0000-0000-0000A6020000}"/>
    <cellStyle name="백_00년상반기현황분석(000512)-A.xls Chart 157_사장님IQS개선회의(조립생기팀0816)_Book1" xfId="680" xr:uid="{00000000-0005-0000-0000-0000A7020000}"/>
    <cellStyle name="백_00년상반기현황분석(000512)-A.xls Chart 157_사장님IQS개선회의(조립생기팀0816)_Book1_다대포 해수욕장-내역서" xfId="681" xr:uid="{00000000-0005-0000-0000-0000A8020000}"/>
    <cellStyle name="백_00년상반기현황분석(000512)-A.xls Chart 157_사장님IQS개선회의(조립생기팀0816)_Book1_조형물 내역서(원본)" xfId="682" xr:uid="{00000000-0005-0000-0000-0000A9020000}"/>
    <cellStyle name="백_00년상반기현황분석(000512)-A.xls Chart 157_사장님IQS개선회의(조립생기팀0816)_다대포 해수욕장-내역서" xfId="683" xr:uid="{00000000-0005-0000-0000-0000AA020000}"/>
    <cellStyle name="백_00년상반기현황분석(000512)-A.xls Chart 157_사장님IQS개선회의(조립생기팀0816)_인상시부담액(임,단협(1).04.26수정)" xfId="684" xr:uid="{00000000-0005-0000-0000-0000AB020000}"/>
    <cellStyle name="백_00년상반기현황분석(000512)-A.xls Chart 157_사장님IQS개선회의(조립생기팀0816)_인상시부담액(임,단협(1).04.26수정)_다대포 해수욕장-내역서" xfId="685" xr:uid="{00000000-0005-0000-0000-0000AC020000}"/>
    <cellStyle name="백_00년상반기현황분석(000512)-A.xls Chart 157_사장님IQS개선회의(조립생기팀0816)_인상시부담액(임,단협(1).04.26수정)_조형물 내역서(원본)" xfId="686" xr:uid="{00000000-0005-0000-0000-0000AD020000}"/>
    <cellStyle name="백_00년상반기현황분석(000512)-A.xls Chart 157_사장님IQS개선회의(조립생기팀0816)_조형물 내역서(원본)" xfId="687" xr:uid="{00000000-0005-0000-0000-0000AE020000}"/>
    <cellStyle name="백_00년상반기현황분석(000512)-A.xls Chart 157_인상시부담액(임,단협(1).04.26수정)" xfId="688" xr:uid="{00000000-0005-0000-0000-0000AF020000}"/>
    <cellStyle name="백_00년상반기현황분석(000512)-A.xls Chart 157_인상시부담액(임,단협(1).04.26수정)_다대포 해수욕장-내역서" xfId="689" xr:uid="{00000000-0005-0000-0000-0000B0020000}"/>
    <cellStyle name="백_00년상반기현황분석(000512)-A.xls Chart 157_인상시부담액(임,단협(1).04.26수정)_조형물 내역서(원본)" xfId="690" xr:uid="{00000000-0005-0000-0000-0000B1020000}"/>
    <cellStyle name="백_00년상반기현황분석(000512)-A.xls Chart 157_정이사님보고0907" xfId="691" xr:uid="{00000000-0005-0000-0000-0000B2020000}"/>
    <cellStyle name="백_00년상반기현황분석(000512)-A.xls Chart 157_정이사님보고0907_Book1" xfId="692" xr:uid="{00000000-0005-0000-0000-0000B3020000}"/>
    <cellStyle name="백_00년상반기현황분석(000512)-A.xls Chart 157_정이사님보고0907_Book1_다대포 해수욕장-내역서" xfId="693" xr:uid="{00000000-0005-0000-0000-0000B4020000}"/>
    <cellStyle name="백_00년상반기현황분석(000512)-A.xls Chart 157_정이사님보고0907_Book1_조형물 내역서(원본)" xfId="694" xr:uid="{00000000-0005-0000-0000-0000B5020000}"/>
    <cellStyle name="백_00년상반기현황분석(000512)-A.xls Chart 157_정이사님보고0907_다대포 해수욕장-내역서" xfId="695" xr:uid="{00000000-0005-0000-0000-0000B6020000}"/>
    <cellStyle name="백_00년상반기현황분석(000512)-A.xls Chart 157_정이사님보고0907_인상시부담액(임,단협(1).04.26수정)" xfId="696" xr:uid="{00000000-0005-0000-0000-0000B7020000}"/>
    <cellStyle name="백_00년상반기현황분석(000512)-A.xls Chart 157_정이사님보고0907_인상시부담액(임,단협(1).04.26수정)_다대포 해수욕장-내역서" xfId="697" xr:uid="{00000000-0005-0000-0000-0000B8020000}"/>
    <cellStyle name="백_00년상반기현황분석(000512)-A.xls Chart 157_정이사님보고0907_인상시부담액(임,단협(1).04.26수정)_조형물 내역서(원본)" xfId="698" xr:uid="{00000000-0005-0000-0000-0000B9020000}"/>
    <cellStyle name="백_00년상반기현황분석(000512)-A.xls Chart 157_정이사님보고0907_조형물 내역서(원본)" xfId="699" xr:uid="{00000000-0005-0000-0000-0000BA020000}"/>
    <cellStyle name="백_00년상반기현황분석(000512)-A.xls Chart 157_조형물 내역서(원본)" xfId="700" xr:uid="{00000000-0005-0000-0000-0000BB020000}"/>
    <cellStyle name="백_00년상반기현황분석(000512)-A.xls Chart 158" xfId="701" xr:uid="{00000000-0005-0000-0000-0000BC020000}"/>
    <cellStyle name="백_00년상반기현황분석(000512)-A.xls Chart 158_Book1" xfId="702" xr:uid="{00000000-0005-0000-0000-0000BD020000}"/>
    <cellStyle name="백_00년상반기현황분석(000512)-A.xls Chart 158_Book1_다대포 해수욕장-내역서" xfId="703" xr:uid="{00000000-0005-0000-0000-0000BE020000}"/>
    <cellStyle name="백_00년상반기현황분석(000512)-A.xls Chart 158_Book1_조형물 내역서(원본)" xfId="704" xr:uid="{00000000-0005-0000-0000-0000BF020000}"/>
    <cellStyle name="백_00년상반기현황분석(000512)-A.xls Chart 158_다대포 해수욕장-내역서" xfId="705" xr:uid="{00000000-0005-0000-0000-0000C0020000}"/>
    <cellStyle name="백_00년상반기현황분석(000512)-A.xls Chart 158_사장님IQS개선회의(조립생기팀0816)" xfId="706" xr:uid="{00000000-0005-0000-0000-0000C1020000}"/>
    <cellStyle name="백_00년상반기현황분석(000512)-A.xls Chart 158_사장님IQS개선회의(조립생기팀0816)_Book1" xfId="707" xr:uid="{00000000-0005-0000-0000-0000C2020000}"/>
    <cellStyle name="백_00년상반기현황분석(000512)-A.xls Chart 158_사장님IQS개선회의(조립생기팀0816)_Book1_다대포 해수욕장-내역서" xfId="708" xr:uid="{00000000-0005-0000-0000-0000C3020000}"/>
    <cellStyle name="백_00년상반기현황분석(000512)-A.xls Chart 158_사장님IQS개선회의(조립생기팀0816)_Book1_조형물 내역서(원본)" xfId="709" xr:uid="{00000000-0005-0000-0000-0000C4020000}"/>
    <cellStyle name="백_00년상반기현황분석(000512)-A.xls Chart 158_사장님IQS개선회의(조립생기팀0816)_다대포 해수욕장-내역서" xfId="710" xr:uid="{00000000-0005-0000-0000-0000C5020000}"/>
    <cellStyle name="백_00년상반기현황분석(000512)-A.xls Chart 158_사장님IQS개선회의(조립생기팀0816)_인상시부담액(임,단협(1).04.26수정)" xfId="711" xr:uid="{00000000-0005-0000-0000-0000C6020000}"/>
    <cellStyle name="백_00년상반기현황분석(000512)-A.xls Chart 158_사장님IQS개선회의(조립생기팀0816)_인상시부담액(임,단협(1).04.26수정)_다대포 해수욕장-내역서" xfId="712" xr:uid="{00000000-0005-0000-0000-0000C7020000}"/>
    <cellStyle name="백_00년상반기현황분석(000512)-A.xls Chart 158_사장님IQS개선회의(조립생기팀0816)_인상시부담액(임,단협(1).04.26수정)_조형물 내역서(원본)" xfId="713" xr:uid="{00000000-0005-0000-0000-0000C8020000}"/>
    <cellStyle name="백_00년상반기현황분석(000512)-A.xls Chart 158_사장님IQS개선회의(조립생기팀0816)_조형물 내역서(원본)" xfId="714" xr:uid="{00000000-0005-0000-0000-0000C9020000}"/>
    <cellStyle name="백_00년상반기현황분석(000512)-A.xls Chart 158_인상시부담액(임,단협(1).04.26수정)" xfId="715" xr:uid="{00000000-0005-0000-0000-0000CA020000}"/>
    <cellStyle name="백_00년상반기현황분석(000512)-A.xls Chart 158_인상시부담액(임,단협(1).04.26수정)_다대포 해수욕장-내역서" xfId="716" xr:uid="{00000000-0005-0000-0000-0000CB020000}"/>
    <cellStyle name="백_00년상반기현황분석(000512)-A.xls Chart 158_인상시부담액(임,단협(1).04.26수정)_조형물 내역서(원본)" xfId="717" xr:uid="{00000000-0005-0000-0000-0000CC020000}"/>
    <cellStyle name="백_00년상반기현황분석(000512)-A.xls Chart 158_정이사님보고0907" xfId="718" xr:uid="{00000000-0005-0000-0000-0000CD020000}"/>
    <cellStyle name="백_00년상반기현황분석(000512)-A.xls Chart 158_정이사님보고0907_Book1" xfId="719" xr:uid="{00000000-0005-0000-0000-0000CE020000}"/>
    <cellStyle name="백_00년상반기현황분석(000512)-A.xls Chart 158_정이사님보고0907_Book1_다대포 해수욕장-내역서" xfId="720" xr:uid="{00000000-0005-0000-0000-0000CF020000}"/>
    <cellStyle name="백_00년상반기현황분석(000512)-A.xls Chart 158_정이사님보고0907_Book1_조형물 내역서(원본)" xfId="721" xr:uid="{00000000-0005-0000-0000-0000D0020000}"/>
    <cellStyle name="백_00년상반기현황분석(000512)-A.xls Chart 158_정이사님보고0907_다대포 해수욕장-내역서" xfId="722" xr:uid="{00000000-0005-0000-0000-0000D1020000}"/>
    <cellStyle name="백_00년상반기현황분석(000512)-A.xls Chart 158_정이사님보고0907_인상시부담액(임,단협(1).04.26수정)" xfId="723" xr:uid="{00000000-0005-0000-0000-0000D2020000}"/>
    <cellStyle name="백_00년상반기현황분석(000512)-A.xls Chart 158_정이사님보고0907_인상시부담액(임,단협(1).04.26수정)_다대포 해수욕장-내역서" xfId="724" xr:uid="{00000000-0005-0000-0000-0000D3020000}"/>
    <cellStyle name="백_00년상반기현황분석(000512)-A.xls Chart 158_정이사님보고0907_인상시부담액(임,단협(1).04.26수정)_조형물 내역서(원본)" xfId="725" xr:uid="{00000000-0005-0000-0000-0000D4020000}"/>
    <cellStyle name="백_00년상반기현황분석(000512)-A.xls Chart 158_정이사님보고0907_조형물 내역서(원본)" xfId="726" xr:uid="{00000000-0005-0000-0000-0000D5020000}"/>
    <cellStyle name="백_00년상반기현황분석(000512)-A.xls Chart 158_조형물 내역서(원본)" xfId="727" xr:uid="{00000000-0005-0000-0000-0000D6020000}"/>
    <cellStyle name="백_00년상반기현황분석(000512)-A.xls Chart 160" xfId="728" xr:uid="{00000000-0005-0000-0000-0000D7020000}"/>
    <cellStyle name="백_00년상반기현황분석(000512)-A.xls Chart 160_Book1" xfId="729" xr:uid="{00000000-0005-0000-0000-0000D8020000}"/>
    <cellStyle name="백_00년상반기현황분석(000512)-A.xls Chart 160_Book1_다대포 해수욕장-내역서" xfId="730" xr:uid="{00000000-0005-0000-0000-0000D9020000}"/>
    <cellStyle name="백_00년상반기현황분석(000512)-A.xls Chart 160_Book1_조형물 내역서(원본)" xfId="731" xr:uid="{00000000-0005-0000-0000-0000DA020000}"/>
    <cellStyle name="백_00년상반기현황분석(000512)-A.xls Chart 160_다대포 해수욕장-내역서" xfId="732" xr:uid="{00000000-0005-0000-0000-0000DB020000}"/>
    <cellStyle name="백_00년상반기현황분석(000512)-A.xls Chart 160_사장님IQS개선회의(조립생기팀0816)" xfId="733" xr:uid="{00000000-0005-0000-0000-0000DC020000}"/>
    <cellStyle name="백_00년상반기현황분석(000512)-A.xls Chart 160_사장님IQS개선회의(조립생기팀0816)_Book1" xfId="734" xr:uid="{00000000-0005-0000-0000-0000DD020000}"/>
    <cellStyle name="백_00년상반기현황분석(000512)-A.xls Chart 160_사장님IQS개선회의(조립생기팀0816)_Book1_다대포 해수욕장-내역서" xfId="735" xr:uid="{00000000-0005-0000-0000-0000DE020000}"/>
    <cellStyle name="백_00년상반기현황분석(000512)-A.xls Chart 160_사장님IQS개선회의(조립생기팀0816)_Book1_조형물 내역서(원본)" xfId="736" xr:uid="{00000000-0005-0000-0000-0000DF020000}"/>
    <cellStyle name="백_00년상반기현황분석(000512)-A.xls Chart 160_사장님IQS개선회의(조립생기팀0816)_다대포 해수욕장-내역서" xfId="737" xr:uid="{00000000-0005-0000-0000-0000E0020000}"/>
    <cellStyle name="백_00년상반기현황분석(000512)-A.xls Chart 160_사장님IQS개선회의(조립생기팀0816)_인상시부담액(임,단협(1).04.26수정)" xfId="738" xr:uid="{00000000-0005-0000-0000-0000E1020000}"/>
    <cellStyle name="백_00년상반기현황분석(000512)-A.xls Chart 160_사장님IQS개선회의(조립생기팀0816)_인상시부담액(임,단협(1).04.26수정)_다대포 해수욕장-내역서" xfId="739" xr:uid="{00000000-0005-0000-0000-0000E2020000}"/>
    <cellStyle name="백_00년상반기현황분석(000512)-A.xls Chart 160_사장님IQS개선회의(조립생기팀0816)_인상시부담액(임,단협(1).04.26수정)_조형물 내역서(원본)" xfId="740" xr:uid="{00000000-0005-0000-0000-0000E3020000}"/>
    <cellStyle name="백_00년상반기현황분석(000512)-A.xls Chart 160_사장님IQS개선회의(조립생기팀0816)_조형물 내역서(원본)" xfId="741" xr:uid="{00000000-0005-0000-0000-0000E4020000}"/>
    <cellStyle name="백_00년상반기현황분석(000512)-A.xls Chart 160_인상시부담액(임,단협(1).04.26수정)" xfId="742" xr:uid="{00000000-0005-0000-0000-0000E5020000}"/>
    <cellStyle name="백_00년상반기현황분석(000512)-A.xls Chart 160_인상시부담액(임,단협(1).04.26수정)_다대포 해수욕장-내역서" xfId="743" xr:uid="{00000000-0005-0000-0000-0000E6020000}"/>
    <cellStyle name="백_00년상반기현황분석(000512)-A.xls Chart 160_인상시부담액(임,단협(1).04.26수정)_조형물 내역서(원본)" xfId="744" xr:uid="{00000000-0005-0000-0000-0000E7020000}"/>
    <cellStyle name="백_00년상반기현황분석(000512)-A.xls Chart 160_정이사님보고0907" xfId="745" xr:uid="{00000000-0005-0000-0000-0000E8020000}"/>
    <cellStyle name="백_00년상반기현황분석(000512)-A.xls Chart 160_정이사님보고0907_Book1" xfId="746" xr:uid="{00000000-0005-0000-0000-0000E9020000}"/>
    <cellStyle name="백_00년상반기현황분석(000512)-A.xls Chart 160_정이사님보고0907_Book1_다대포 해수욕장-내역서" xfId="747" xr:uid="{00000000-0005-0000-0000-0000EA020000}"/>
    <cellStyle name="백_00년상반기현황분석(000512)-A.xls Chart 160_정이사님보고0907_Book1_조형물 내역서(원본)" xfId="748" xr:uid="{00000000-0005-0000-0000-0000EB020000}"/>
    <cellStyle name="백_00년상반기현황분석(000512)-A.xls Chart 160_정이사님보고0907_다대포 해수욕장-내역서" xfId="749" xr:uid="{00000000-0005-0000-0000-0000EC020000}"/>
    <cellStyle name="백_00년상반기현황분석(000512)-A.xls Chart 160_정이사님보고0907_인상시부담액(임,단협(1).04.26수정)" xfId="750" xr:uid="{00000000-0005-0000-0000-0000ED020000}"/>
    <cellStyle name="백_00년상반기현황분석(000512)-A.xls Chart 160_정이사님보고0907_인상시부담액(임,단협(1).04.26수정)_다대포 해수욕장-내역서" xfId="751" xr:uid="{00000000-0005-0000-0000-0000EE020000}"/>
    <cellStyle name="백_00년상반기현황분석(000512)-A.xls Chart 160_정이사님보고0907_인상시부담액(임,단협(1).04.26수정)_조형물 내역서(원본)" xfId="752" xr:uid="{00000000-0005-0000-0000-0000EF020000}"/>
    <cellStyle name="백_00년상반기현황분석(000512)-A.xls Chart 160_정이사님보고0907_조형물 내역서(원본)" xfId="753" xr:uid="{00000000-0005-0000-0000-0000F0020000}"/>
    <cellStyle name="백_00년상반기현황분석(000512)-A.xls Chart 160_조형물 내역서(원본)" xfId="754" xr:uid="{00000000-0005-0000-0000-0000F1020000}"/>
    <cellStyle name="백_00년상반기현황분석(000512)-A.xls Chart 161" xfId="755" xr:uid="{00000000-0005-0000-0000-0000F2020000}"/>
    <cellStyle name="백_00년상반기현황분석(000512)-A.xls Chart 161_Book1" xfId="756" xr:uid="{00000000-0005-0000-0000-0000F3020000}"/>
    <cellStyle name="백_00년상반기현황분석(000512)-A.xls Chart 161_Book1_다대포 해수욕장-내역서" xfId="757" xr:uid="{00000000-0005-0000-0000-0000F4020000}"/>
    <cellStyle name="백_00년상반기현황분석(000512)-A.xls Chart 161_Book1_조형물 내역서(원본)" xfId="758" xr:uid="{00000000-0005-0000-0000-0000F5020000}"/>
    <cellStyle name="백_00년상반기현황분석(000512)-A.xls Chart 161_다대포 해수욕장-내역서" xfId="759" xr:uid="{00000000-0005-0000-0000-0000F6020000}"/>
    <cellStyle name="백_00년상반기현황분석(000512)-A.xls Chart 161_사장님IQS개선회의(조립생기팀0816)" xfId="760" xr:uid="{00000000-0005-0000-0000-0000F7020000}"/>
    <cellStyle name="백_00년상반기현황분석(000512)-A.xls Chart 161_사장님IQS개선회의(조립생기팀0816)_Book1" xfId="761" xr:uid="{00000000-0005-0000-0000-0000F8020000}"/>
    <cellStyle name="백_00년상반기현황분석(000512)-A.xls Chart 161_사장님IQS개선회의(조립생기팀0816)_Book1_다대포 해수욕장-내역서" xfId="762" xr:uid="{00000000-0005-0000-0000-0000F9020000}"/>
    <cellStyle name="백_00년상반기현황분석(000512)-A.xls Chart 161_사장님IQS개선회의(조립생기팀0816)_Book1_조형물 내역서(원본)" xfId="763" xr:uid="{00000000-0005-0000-0000-0000FA020000}"/>
    <cellStyle name="백_00년상반기현황분석(000512)-A.xls Chart 161_사장님IQS개선회의(조립생기팀0816)_다대포 해수욕장-내역서" xfId="764" xr:uid="{00000000-0005-0000-0000-0000FB020000}"/>
    <cellStyle name="백_00년상반기현황분석(000512)-A.xls Chart 161_사장님IQS개선회의(조립생기팀0816)_인상시부담액(임,단협(1).04.26수정)" xfId="765" xr:uid="{00000000-0005-0000-0000-0000FC020000}"/>
    <cellStyle name="백_00년상반기현황분석(000512)-A.xls Chart 161_사장님IQS개선회의(조립생기팀0816)_인상시부담액(임,단협(1).04.26수정)_다대포 해수욕장-내역서" xfId="766" xr:uid="{00000000-0005-0000-0000-0000FD020000}"/>
    <cellStyle name="백_00년상반기현황분석(000512)-A.xls Chart 161_사장님IQS개선회의(조립생기팀0816)_인상시부담액(임,단협(1).04.26수정)_조형물 내역서(원본)" xfId="767" xr:uid="{00000000-0005-0000-0000-0000FE020000}"/>
    <cellStyle name="백_00년상반기현황분석(000512)-A.xls Chart 161_사장님IQS개선회의(조립생기팀0816)_조형물 내역서(원본)" xfId="768" xr:uid="{00000000-0005-0000-0000-0000FF020000}"/>
    <cellStyle name="백_00년상반기현황분석(000512)-A.xls Chart 161_인상시부담액(임,단협(1).04.26수정)" xfId="769" xr:uid="{00000000-0005-0000-0000-000000030000}"/>
    <cellStyle name="백_00년상반기현황분석(000512)-A.xls Chart 161_인상시부담액(임,단협(1).04.26수정)_다대포 해수욕장-내역서" xfId="770" xr:uid="{00000000-0005-0000-0000-000001030000}"/>
    <cellStyle name="백_00년상반기현황분석(000512)-A.xls Chart 161_인상시부담액(임,단협(1).04.26수정)_조형물 내역서(원본)" xfId="771" xr:uid="{00000000-0005-0000-0000-000002030000}"/>
    <cellStyle name="백_00년상반기현황분석(000512)-A.xls Chart 161_정이사님보고0907" xfId="772" xr:uid="{00000000-0005-0000-0000-000003030000}"/>
    <cellStyle name="백_00년상반기현황분석(000512)-A.xls Chart 161_정이사님보고0907_Book1" xfId="773" xr:uid="{00000000-0005-0000-0000-000004030000}"/>
    <cellStyle name="백_00년상반기현황분석(000512)-A.xls Chart 161_정이사님보고0907_Book1_다대포 해수욕장-내역서" xfId="774" xr:uid="{00000000-0005-0000-0000-000005030000}"/>
    <cellStyle name="백_00년상반기현황분석(000512)-A.xls Chart 161_정이사님보고0907_Book1_조형물 내역서(원본)" xfId="775" xr:uid="{00000000-0005-0000-0000-000006030000}"/>
    <cellStyle name="백_00년상반기현황분석(000512)-A.xls Chart 161_정이사님보고0907_다대포 해수욕장-내역서" xfId="776" xr:uid="{00000000-0005-0000-0000-000007030000}"/>
    <cellStyle name="백_00년상반기현황분석(000512)-A.xls Chart 161_정이사님보고0907_인상시부담액(임,단협(1).04.26수정)" xfId="777" xr:uid="{00000000-0005-0000-0000-000008030000}"/>
    <cellStyle name="백_00년상반기현황분석(000512)-A.xls Chart 161_정이사님보고0907_인상시부담액(임,단협(1).04.26수정)_다대포 해수욕장-내역서" xfId="778" xr:uid="{00000000-0005-0000-0000-000009030000}"/>
    <cellStyle name="백_00년상반기현황분석(000512)-A.xls Chart 161_정이사님보고0907_인상시부담액(임,단협(1).04.26수정)_조형물 내역서(원본)" xfId="779" xr:uid="{00000000-0005-0000-0000-00000A030000}"/>
    <cellStyle name="백_00년상반기현황분석(000512)-A.xls Chart 161_정이사님보고0907_조형물 내역서(원본)" xfId="780" xr:uid="{00000000-0005-0000-0000-00000B030000}"/>
    <cellStyle name="백_00년상반기현황분석(000512)-A.xls Chart 161_조형물 내역서(원본)" xfId="781" xr:uid="{00000000-0005-0000-0000-00000C030000}"/>
    <cellStyle name="백_IQS00년 상반기보고000520(소장)-1" xfId="782" xr:uid="{00000000-0005-0000-0000-00000D030000}"/>
    <cellStyle name="백_IQS00년 상반기보고000520(소장)-1.xls Chart 156" xfId="783" xr:uid="{00000000-0005-0000-0000-00000E030000}"/>
    <cellStyle name="백_IQS00년 상반기보고000520(소장)-1.xls Chart 156_Book1" xfId="784" xr:uid="{00000000-0005-0000-0000-00000F030000}"/>
    <cellStyle name="백_IQS00년 상반기보고000520(소장)-1.xls Chart 156_Book1_다대포 해수욕장-내역서" xfId="785" xr:uid="{00000000-0005-0000-0000-000010030000}"/>
    <cellStyle name="백_IQS00년 상반기보고000520(소장)-1.xls Chart 156_Book1_조형물 내역서(원본)" xfId="786" xr:uid="{00000000-0005-0000-0000-000011030000}"/>
    <cellStyle name="백_IQS00년 상반기보고000520(소장)-1.xls Chart 156_다대포 해수욕장-내역서" xfId="787" xr:uid="{00000000-0005-0000-0000-000012030000}"/>
    <cellStyle name="백_IQS00년 상반기보고000520(소장)-1.xls Chart 156_사장님IQS개선회의(조립생기팀0816)" xfId="788" xr:uid="{00000000-0005-0000-0000-000013030000}"/>
    <cellStyle name="백_IQS00년 상반기보고000520(소장)-1.xls Chart 156_사장님IQS개선회의(조립생기팀0816)_Book1" xfId="789" xr:uid="{00000000-0005-0000-0000-000014030000}"/>
    <cellStyle name="백_IQS00년 상반기보고000520(소장)-1.xls Chart 156_사장님IQS개선회의(조립생기팀0816)_Book1_다대포 해수욕장-내역서" xfId="790" xr:uid="{00000000-0005-0000-0000-000015030000}"/>
    <cellStyle name="백_IQS00년 상반기보고000520(소장)-1.xls Chart 156_사장님IQS개선회의(조립생기팀0816)_Book1_조형물 내역서(원본)" xfId="791" xr:uid="{00000000-0005-0000-0000-000016030000}"/>
    <cellStyle name="백_IQS00년 상반기보고000520(소장)-1.xls Chart 156_사장님IQS개선회의(조립생기팀0816)_다대포 해수욕장-내역서" xfId="792" xr:uid="{00000000-0005-0000-0000-000017030000}"/>
    <cellStyle name="백_IQS00년 상반기보고000520(소장)-1.xls Chart 156_사장님IQS개선회의(조립생기팀0816)_인상시부담액(임,단협(1).04.26수정)" xfId="793" xr:uid="{00000000-0005-0000-0000-000018030000}"/>
    <cellStyle name="백_IQS00년 상반기보고000520(소장)-1.xls Chart 156_사장님IQS개선회의(조립생기팀0816)_인상시부담액(임,단협(1).04.26수정)_다대포 해수욕장-내역서" xfId="794" xr:uid="{00000000-0005-0000-0000-000019030000}"/>
    <cellStyle name="백_IQS00년 상반기보고000520(소장)-1.xls Chart 156_사장님IQS개선회의(조립생기팀0816)_인상시부담액(임,단협(1).04.26수정)_조형물 내역서(원본)" xfId="795" xr:uid="{00000000-0005-0000-0000-00001A030000}"/>
    <cellStyle name="백_IQS00년 상반기보고000520(소장)-1.xls Chart 156_사장님IQS개선회의(조립생기팀0816)_조형물 내역서(원본)" xfId="796" xr:uid="{00000000-0005-0000-0000-00001B030000}"/>
    <cellStyle name="백_IQS00년 상반기보고000520(소장)-1.xls Chart 156_인상시부담액(임,단협(1).04.26수정)" xfId="797" xr:uid="{00000000-0005-0000-0000-00001C030000}"/>
    <cellStyle name="백_IQS00년 상반기보고000520(소장)-1.xls Chart 156_인상시부담액(임,단협(1).04.26수정)_다대포 해수욕장-내역서" xfId="798" xr:uid="{00000000-0005-0000-0000-00001D030000}"/>
    <cellStyle name="백_IQS00년 상반기보고000520(소장)-1.xls Chart 156_인상시부담액(임,단협(1).04.26수정)_조형물 내역서(원본)" xfId="799" xr:uid="{00000000-0005-0000-0000-00001E030000}"/>
    <cellStyle name="백_IQS00년 상반기보고000520(소장)-1.xls Chart 156_정이사님보고0907" xfId="800" xr:uid="{00000000-0005-0000-0000-00001F030000}"/>
    <cellStyle name="백_IQS00년 상반기보고000520(소장)-1.xls Chart 156_정이사님보고0907_Book1" xfId="801" xr:uid="{00000000-0005-0000-0000-000020030000}"/>
    <cellStyle name="백_IQS00년 상반기보고000520(소장)-1.xls Chart 156_정이사님보고0907_Book1_다대포 해수욕장-내역서" xfId="802" xr:uid="{00000000-0005-0000-0000-000021030000}"/>
    <cellStyle name="백_IQS00년 상반기보고000520(소장)-1.xls Chart 156_정이사님보고0907_Book1_조형물 내역서(원본)" xfId="803" xr:uid="{00000000-0005-0000-0000-000022030000}"/>
    <cellStyle name="백_IQS00년 상반기보고000520(소장)-1.xls Chart 156_정이사님보고0907_다대포 해수욕장-내역서" xfId="804" xr:uid="{00000000-0005-0000-0000-000023030000}"/>
    <cellStyle name="백_IQS00년 상반기보고000520(소장)-1.xls Chart 156_정이사님보고0907_인상시부담액(임,단협(1).04.26수정)" xfId="805" xr:uid="{00000000-0005-0000-0000-000024030000}"/>
    <cellStyle name="백_IQS00년 상반기보고000520(소장)-1.xls Chart 156_정이사님보고0907_인상시부담액(임,단협(1).04.26수정)_다대포 해수욕장-내역서" xfId="806" xr:uid="{00000000-0005-0000-0000-000025030000}"/>
    <cellStyle name="백_IQS00년 상반기보고000520(소장)-1.xls Chart 156_정이사님보고0907_인상시부담액(임,단협(1).04.26수정)_조형물 내역서(원본)" xfId="807" xr:uid="{00000000-0005-0000-0000-000026030000}"/>
    <cellStyle name="백_IQS00년 상반기보고000520(소장)-1.xls Chart 156_정이사님보고0907_조형물 내역서(원본)" xfId="808" xr:uid="{00000000-0005-0000-0000-000027030000}"/>
    <cellStyle name="백_IQS00년 상반기보고000520(소장)-1.xls Chart 156_조형물 내역서(원본)" xfId="809" xr:uid="{00000000-0005-0000-0000-000028030000}"/>
    <cellStyle name="백_IQS00년 상반기보고000520(소장)-1.xls Chart 157" xfId="810" xr:uid="{00000000-0005-0000-0000-000029030000}"/>
    <cellStyle name="백_IQS00년 상반기보고000520(소장)-1.xls Chart 157_Book1" xfId="811" xr:uid="{00000000-0005-0000-0000-00002A030000}"/>
    <cellStyle name="백_IQS00년 상반기보고000520(소장)-1.xls Chart 157_Book1_다대포 해수욕장-내역서" xfId="812" xr:uid="{00000000-0005-0000-0000-00002B030000}"/>
    <cellStyle name="백_IQS00년 상반기보고000520(소장)-1.xls Chart 157_Book1_조형물 내역서(원본)" xfId="813" xr:uid="{00000000-0005-0000-0000-00002C030000}"/>
    <cellStyle name="백_IQS00년 상반기보고000520(소장)-1.xls Chart 157_다대포 해수욕장-내역서" xfId="814" xr:uid="{00000000-0005-0000-0000-00002D030000}"/>
    <cellStyle name="백_IQS00년 상반기보고000520(소장)-1.xls Chart 157_사장님IQS개선회의(조립생기팀0816)" xfId="815" xr:uid="{00000000-0005-0000-0000-00002E030000}"/>
    <cellStyle name="백_IQS00년 상반기보고000520(소장)-1.xls Chart 157_사장님IQS개선회의(조립생기팀0816)_Book1" xfId="816" xr:uid="{00000000-0005-0000-0000-00002F030000}"/>
    <cellStyle name="백_IQS00년 상반기보고000520(소장)-1.xls Chart 157_사장님IQS개선회의(조립생기팀0816)_Book1_다대포 해수욕장-내역서" xfId="817" xr:uid="{00000000-0005-0000-0000-000030030000}"/>
    <cellStyle name="백_IQS00년 상반기보고000520(소장)-1.xls Chart 157_사장님IQS개선회의(조립생기팀0816)_Book1_조형물 내역서(원본)" xfId="818" xr:uid="{00000000-0005-0000-0000-000031030000}"/>
    <cellStyle name="백_IQS00년 상반기보고000520(소장)-1.xls Chart 157_사장님IQS개선회의(조립생기팀0816)_다대포 해수욕장-내역서" xfId="819" xr:uid="{00000000-0005-0000-0000-000032030000}"/>
    <cellStyle name="백_IQS00년 상반기보고000520(소장)-1.xls Chart 157_사장님IQS개선회의(조립생기팀0816)_인상시부담액(임,단협(1).04.26수정)" xfId="820" xr:uid="{00000000-0005-0000-0000-000033030000}"/>
    <cellStyle name="백_IQS00년 상반기보고000520(소장)-1.xls Chart 157_사장님IQS개선회의(조립생기팀0816)_인상시부담액(임,단협(1).04.26수정)_다대포 해수욕장-내역서" xfId="821" xr:uid="{00000000-0005-0000-0000-000034030000}"/>
    <cellStyle name="백_IQS00년 상반기보고000520(소장)-1.xls Chart 157_사장님IQS개선회의(조립생기팀0816)_인상시부담액(임,단협(1).04.26수정)_조형물 내역서(원본)" xfId="822" xr:uid="{00000000-0005-0000-0000-000035030000}"/>
    <cellStyle name="백_IQS00년 상반기보고000520(소장)-1.xls Chart 157_사장님IQS개선회의(조립생기팀0816)_조형물 내역서(원본)" xfId="823" xr:uid="{00000000-0005-0000-0000-000036030000}"/>
    <cellStyle name="백_IQS00년 상반기보고000520(소장)-1.xls Chart 157_인상시부담액(임,단협(1).04.26수정)" xfId="824" xr:uid="{00000000-0005-0000-0000-000037030000}"/>
    <cellStyle name="백_IQS00년 상반기보고000520(소장)-1.xls Chart 157_인상시부담액(임,단협(1).04.26수정)_다대포 해수욕장-내역서" xfId="825" xr:uid="{00000000-0005-0000-0000-000038030000}"/>
    <cellStyle name="백_IQS00년 상반기보고000520(소장)-1.xls Chart 157_인상시부담액(임,단협(1).04.26수정)_조형물 내역서(원본)" xfId="826" xr:uid="{00000000-0005-0000-0000-000039030000}"/>
    <cellStyle name="백_IQS00년 상반기보고000520(소장)-1.xls Chart 157_정이사님보고0907" xfId="827" xr:uid="{00000000-0005-0000-0000-00003A030000}"/>
    <cellStyle name="백_IQS00년 상반기보고000520(소장)-1.xls Chart 157_정이사님보고0907_Book1" xfId="828" xr:uid="{00000000-0005-0000-0000-00003B030000}"/>
    <cellStyle name="백_IQS00년 상반기보고000520(소장)-1.xls Chart 157_정이사님보고0907_Book1_다대포 해수욕장-내역서" xfId="829" xr:uid="{00000000-0005-0000-0000-00003C030000}"/>
    <cellStyle name="백_IQS00년 상반기보고000520(소장)-1.xls Chart 157_정이사님보고0907_Book1_조형물 내역서(원본)" xfId="830" xr:uid="{00000000-0005-0000-0000-00003D030000}"/>
    <cellStyle name="백_IQS00년 상반기보고000520(소장)-1.xls Chart 157_정이사님보고0907_다대포 해수욕장-내역서" xfId="831" xr:uid="{00000000-0005-0000-0000-00003E030000}"/>
    <cellStyle name="백_IQS00년 상반기보고000520(소장)-1.xls Chart 157_정이사님보고0907_인상시부담액(임,단협(1).04.26수정)" xfId="832" xr:uid="{00000000-0005-0000-0000-00003F030000}"/>
    <cellStyle name="백_IQS00년 상반기보고000520(소장)-1.xls Chart 157_정이사님보고0907_인상시부담액(임,단협(1).04.26수정)_다대포 해수욕장-내역서" xfId="833" xr:uid="{00000000-0005-0000-0000-000040030000}"/>
    <cellStyle name="백_IQS00년 상반기보고000520(소장)-1.xls Chart 157_정이사님보고0907_인상시부담액(임,단협(1).04.26수정)_조형물 내역서(원본)" xfId="834" xr:uid="{00000000-0005-0000-0000-000041030000}"/>
    <cellStyle name="백_IQS00년 상반기보고000520(소장)-1.xls Chart 157_정이사님보고0907_조형물 내역서(원본)" xfId="835" xr:uid="{00000000-0005-0000-0000-000042030000}"/>
    <cellStyle name="백_IQS00년 상반기보고000520(소장)-1.xls Chart 157_조형물 내역서(원본)" xfId="836" xr:uid="{00000000-0005-0000-0000-000043030000}"/>
    <cellStyle name="백_IQS00년 상반기보고000520(소장)-1.xls Chart 158" xfId="837" xr:uid="{00000000-0005-0000-0000-000044030000}"/>
    <cellStyle name="백_IQS00년 상반기보고000520(소장)-1.xls Chart 158_Book1" xfId="838" xr:uid="{00000000-0005-0000-0000-000045030000}"/>
    <cellStyle name="백_IQS00년 상반기보고000520(소장)-1.xls Chart 158_Book1_다대포 해수욕장-내역서" xfId="839" xr:uid="{00000000-0005-0000-0000-000046030000}"/>
    <cellStyle name="백_IQS00년 상반기보고000520(소장)-1.xls Chart 158_Book1_조형물 내역서(원본)" xfId="840" xr:uid="{00000000-0005-0000-0000-000047030000}"/>
    <cellStyle name="백_IQS00년 상반기보고000520(소장)-1.xls Chart 158_다대포 해수욕장-내역서" xfId="841" xr:uid="{00000000-0005-0000-0000-000048030000}"/>
    <cellStyle name="백_IQS00년 상반기보고000520(소장)-1.xls Chart 158_사장님IQS개선회의(조립생기팀0816)" xfId="842" xr:uid="{00000000-0005-0000-0000-000049030000}"/>
    <cellStyle name="백_IQS00년 상반기보고000520(소장)-1.xls Chart 158_사장님IQS개선회의(조립생기팀0816)_Book1" xfId="843" xr:uid="{00000000-0005-0000-0000-00004A030000}"/>
    <cellStyle name="백_IQS00년 상반기보고000520(소장)-1.xls Chart 158_사장님IQS개선회의(조립생기팀0816)_Book1_다대포 해수욕장-내역서" xfId="844" xr:uid="{00000000-0005-0000-0000-00004B030000}"/>
    <cellStyle name="백_IQS00년 상반기보고000520(소장)-1.xls Chart 158_사장님IQS개선회의(조립생기팀0816)_Book1_조형물 내역서(원본)" xfId="845" xr:uid="{00000000-0005-0000-0000-00004C030000}"/>
    <cellStyle name="백_IQS00년 상반기보고000520(소장)-1.xls Chart 158_사장님IQS개선회의(조립생기팀0816)_다대포 해수욕장-내역서" xfId="846" xr:uid="{00000000-0005-0000-0000-00004D030000}"/>
    <cellStyle name="백_IQS00년 상반기보고000520(소장)-1.xls Chart 158_사장님IQS개선회의(조립생기팀0816)_인상시부담액(임,단협(1).04.26수정)" xfId="847" xr:uid="{00000000-0005-0000-0000-00004E030000}"/>
    <cellStyle name="백_IQS00년 상반기보고000520(소장)-1.xls Chart 158_사장님IQS개선회의(조립생기팀0816)_인상시부담액(임,단협(1).04.26수정)_다대포 해수욕장-내역서" xfId="848" xr:uid="{00000000-0005-0000-0000-00004F030000}"/>
    <cellStyle name="백_IQS00년 상반기보고000520(소장)-1.xls Chart 158_사장님IQS개선회의(조립생기팀0816)_인상시부담액(임,단협(1).04.26수정)_조형물 내역서(원본)" xfId="849" xr:uid="{00000000-0005-0000-0000-000050030000}"/>
    <cellStyle name="백_IQS00년 상반기보고000520(소장)-1.xls Chart 158_사장님IQS개선회의(조립생기팀0816)_조형물 내역서(원본)" xfId="850" xr:uid="{00000000-0005-0000-0000-000051030000}"/>
    <cellStyle name="백_IQS00년 상반기보고000520(소장)-1.xls Chart 158_인상시부담액(임,단협(1).04.26수정)" xfId="851" xr:uid="{00000000-0005-0000-0000-000052030000}"/>
    <cellStyle name="백_IQS00년 상반기보고000520(소장)-1.xls Chart 158_인상시부담액(임,단협(1).04.26수정)_다대포 해수욕장-내역서" xfId="852" xr:uid="{00000000-0005-0000-0000-000053030000}"/>
    <cellStyle name="백_IQS00년 상반기보고000520(소장)-1.xls Chart 158_인상시부담액(임,단협(1).04.26수정)_조형물 내역서(원본)" xfId="853" xr:uid="{00000000-0005-0000-0000-000054030000}"/>
    <cellStyle name="백_IQS00년 상반기보고000520(소장)-1.xls Chart 158_정이사님보고0907" xfId="854" xr:uid="{00000000-0005-0000-0000-000055030000}"/>
    <cellStyle name="백_IQS00년 상반기보고000520(소장)-1.xls Chart 158_정이사님보고0907_Book1" xfId="855" xr:uid="{00000000-0005-0000-0000-000056030000}"/>
    <cellStyle name="백_IQS00년 상반기보고000520(소장)-1.xls Chart 158_정이사님보고0907_Book1_다대포 해수욕장-내역서" xfId="856" xr:uid="{00000000-0005-0000-0000-000057030000}"/>
    <cellStyle name="백_IQS00년 상반기보고000520(소장)-1.xls Chart 158_정이사님보고0907_Book1_조형물 내역서(원본)" xfId="857" xr:uid="{00000000-0005-0000-0000-000058030000}"/>
    <cellStyle name="백_IQS00년 상반기보고000520(소장)-1.xls Chart 158_정이사님보고0907_다대포 해수욕장-내역서" xfId="858" xr:uid="{00000000-0005-0000-0000-000059030000}"/>
    <cellStyle name="백_IQS00년 상반기보고000520(소장)-1.xls Chart 158_정이사님보고0907_인상시부담액(임,단협(1).04.26수정)" xfId="859" xr:uid="{00000000-0005-0000-0000-00005A030000}"/>
    <cellStyle name="백_IQS00년 상반기보고000520(소장)-1.xls Chart 158_정이사님보고0907_인상시부담액(임,단협(1).04.26수정)_다대포 해수욕장-내역서" xfId="860" xr:uid="{00000000-0005-0000-0000-00005B030000}"/>
    <cellStyle name="백_IQS00년 상반기보고000520(소장)-1.xls Chart 158_정이사님보고0907_인상시부담액(임,단협(1).04.26수정)_조형물 내역서(원본)" xfId="861" xr:uid="{00000000-0005-0000-0000-00005C030000}"/>
    <cellStyle name="백_IQS00년 상반기보고000520(소장)-1.xls Chart 158_정이사님보고0907_조형물 내역서(원본)" xfId="862" xr:uid="{00000000-0005-0000-0000-00005D030000}"/>
    <cellStyle name="백_IQS00년 상반기보고000520(소장)-1.xls Chart 158_조형물 내역서(원본)" xfId="863" xr:uid="{00000000-0005-0000-0000-00005E030000}"/>
    <cellStyle name="백_IQS00년 상반기보고000520(소장)-1.xls Chart 160" xfId="864" xr:uid="{00000000-0005-0000-0000-00005F030000}"/>
    <cellStyle name="백_IQS00년 상반기보고000520(소장)-1.xls Chart 160_Book1" xfId="865" xr:uid="{00000000-0005-0000-0000-000060030000}"/>
    <cellStyle name="백_IQS00년 상반기보고000520(소장)-1.xls Chart 160_Book1_다대포 해수욕장-내역서" xfId="866" xr:uid="{00000000-0005-0000-0000-000061030000}"/>
    <cellStyle name="백_IQS00년 상반기보고000520(소장)-1.xls Chart 160_Book1_조형물 내역서(원본)" xfId="867" xr:uid="{00000000-0005-0000-0000-000062030000}"/>
    <cellStyle name="백_IQS00년 상반기보고000520(소장)-1.xls Chart 160_다대포 해수욕장-내역서" xfId="868" xr:uid="{00000000-0005-0000-0000-000063030000}"/>
    <cellStyle name="백_IQS00년 상반기보고000520(소장)-1.xls Chart 160_사장님IQS개선회의(조립생기팀0816)" xfId="869" xr:uid="{00000000-0005-0000-0000-000064030000}"/>
    <cellStyle name="백_IQS00년 상반기보고000520(소장)-1.xls Chart 160_사장님IQS개선회의(조립생기팀0816)_Book1" xfId="870" xr:uid="{00000000-0005-0000-0000-000065030000}"/>
    <cellStyle name="백_IQS00년 상반기보고000520(소장)-1.xls Chart 160_사장님IQS개선회의(조립생기팀0816)_Book1_다대포 해수욕장-내역서" xfId="871" xr:uid="{00000000-0005-0000-0000-000066030000}"/>
    <cellStyle name="백_IQS00년 상반기보고000520(소장)-1.xls Chart 160_사장님IQS개선회의(조립생기팀0816)_Book1_조형물 내역서(원본)" xfId="872" xr:uid="{00000000-0005-0000-0000-000067030000}"/>
    <cellStyle name="백_IQS00년 상반기보고000520(소장)-1.xls Chart 160_사장님IQS개선회의(조립생기팀0816)_다대포 해수욕장-내역서" xfId="873" xr:uid="{00000000-0005-0000-0000-000068030000}"/>
    <cellStyle name="백_IQS00년 상반기보고000520(소장)-1.xls Chart 160_사장님IQS개선회의(조립생기팀0816)_인상시부담액(임,단협(1).04.26수정)" xfId="874" xr:uid="{00000000-0005-0000-0000-000069030000}"/>
    <cellStyle name="백_IQS00년 상반기보고000520(소장)-1.xls Chart 160_사장님IQS개선회의(조립생기팀0816)_인상시부담액(임,단협(1).04.26수정)_다대포 해수욕장-내역서" xfId="875" xr:uid="{00000000-0005-0000-0000-00006A030000}"/>
    <cellStyle name="백_IQS00년 상반기보고000520(소장)-1.xls Chart 160_사장님IQS개선회의(조립생기팀0816)_인상시부담액(임,단협(1).04.26수정)_조형물 내역서(원본)" xfId="876" xr:uid="{00000000-0005-0000-0000-00006B030000}"/>
    <cellStyle name="백_IQS00년 상반기보고000520(소장)-1.xls Chart 160_사장님IQS개선회의(조립생기팀0816)_조형물 내역서(원본)" xfId="877" xr:uid="{00000000-0005-0000-0000-00006C030000}"/>
    <cellStyle name="백_IQS00년 상반기보고000520(소장)-1.xls Chart 160_인상시부담액(임,단협(1).04.26수정)" xfId="878" xr:uid="{00000000-0005-0000-0000-00006D030000}"/>
    <cellStyle name="백_IQS00년 상반기보고000520(소장)-1.xls Chart 160_인상시부담액(임,단협(1).04.26수정)_다대포 해수욕장-내역서" xfId="879" xr:uid="{00000000-0005-0000-0000-00006E030000}"/>
    <cellStyle name="백_IQS00년 상반기보고000520(소장)-1.xls Chart 160_인상시부담액(임,단협(1).04.26수정)_조형물 내역서(원본)" xfId="880" xr:uid="{00000000-0005-0000-0000-00006F030000}"/>
    <cellStyle name="백_IQS00년 상반기보고000520(소장)-1.xls Chart 160_정이사님보고0907" xfId="881" xr:uid="{00000000-0005-0000-0000-000070030000}"/>
    <cellStyle name="백_IQS00년 상반기보고000520(소장)-1.xls Chart 160_정이사님보고0907_Book1" xfId="882" xr:uid="{00000000-0005-0000-0000-000071030000}"/>
    <cellStyle name="백_IQS00년 상반기보고000520(소장)-1.xls Chart 160_정이사님보고0907_Book1_다대포 해수욕장-내역서" xfId="883" xr:uid="{00000000-0005-0000-0000-000072030000}"/>
    <cellStyle name="백_IQS00년 상반기보고000520(소장)-1.xls Chart 160_정이사님보고0907_Book1_조형물 내역서(원본)" xfId="884" xr:uid="{00000000-0005-0000-0000-000073030000}"/>
    <cellStyle name="백_IQS00년 상반기보고000520(소장)-1.xls Chart 160_정이사님보고0907_다대포 해수욕장-내역서" xfId="885" xr:uid="{00000000-0005-0000-0000-000074030000}"/>
    <cellStyle name="백_IQS00년 상반기보고000520(소장)-1.xls Chart 160_정이사님보고0907_인상시부담액(임,단협(1).04.26수정)" xfId="886" xr:uid="{00000000-0005-0000-0000-000075030000}"/>
    <cellStyle name="백_IQS00년 상반기보고000520(소장)-1.xls Chart 160_정이사님보고0907_인상시부담액(임,단협(1).04.26수정)_다대포 해수욕장-내역서" xfId="887" xr:uid="{00000000-0005-0000-0000-000076030000}"/>
    <cellStyle name="백_IQS00년 상반기보고000520(소장)-1.xls Chart 160_정이사님보고0907_인상시부담액(임,단협(1).04.26수정)_조형물 내역서(원본)" xfId="888" xr:uid="{00000000-0005-0000-0000-000077030000}"/>
    <cellStyle name="백_IQS00년 상반기보고000520(소장)-1.xls Chart 160_정이사님보고0907_조형물 내역서(원본)" xfId="889" xr:uid="{00000000-0005-0000-0000-000078030000}"/>
    <cellStyle name="백_IQS00년 상반기보고000520(소장)-1.xls Chart 160_조형물 내역서(원본)" xfId="890" xr:uid="{00000000-0005-0000-0000-000079030000}"/>
    <cellStyle name="백_IQS00년 상반기보고000520(소장)-1.xls Chart 161" xfId="891" xr:uid="{00000000-0005-0000-0000-00007A030000}"/>
    <cellStyle name="백_IQS00년 상반기보고000520(소장)-1.xls Chart 161_Book1" xfId="892" xr:uid="{00000000-0005-0000-0000-00007B030000}"/>
    <cellStyle name="백_IQS00년 상반기보고000520(소장)-1.xls Chart 161_Book1_다대포 해수욕장-내역서" xfId="893" xr:uid="{00000000-0005-0000-0000-00007C030000}"/>
    <cellStyle name="백_IQS00년 상반기보고000520(소장)-1.xls Chart 161_Book1_조형물 내역서(원본)" xfId="894" xr:uid="{00000000-0005-0000-0000-00007D030000}"/>
    <cellStyle name="백_IQS00년 상반기보고000520(소장)-1.xls Chart 161_다대포 해수욕장-내역서" xfId="895" xr:uid="{00000000-0005-0000-0000-00007E030000}"/>
    <cellStyle name="백_IQS00년 상반기보고000520(소장)-1.xls Chart 161_사장님IQS개선회의(조립생기팀0816)" xfId="896" xr:uid="{00000000-0005-0000-0000-00007F030000}"/>
    <cellStyle name="백_IQS00년 상반기보고000520(소장)-1.xls Chart 161_사장님IQS개선회의(조립생기팀0816)_Book1" xfId="897" xr:uid="{00000000-0005-0000-0000-000080030000}"/>
    <cellStyle name="백_IQS00년 상반기보고000520(소장)-1.xls Chart 161_사장님IQS개선회의(조립생기팀0816)_Book1_다대포 해수욕장-내역서" xfId="898" xr:uid="{00000000-0005-0000-0000-000081030000}"/>
    <cellStyle name="백_IQS00년 상반기보고000520(소장)-1.xls Chart 161_사장님IQS개선회의(조립생기팀0816)_Book1_조형물 내역서(원본)" xfId="899" xr:uid="{00000000-0005-0000-0000-000082030000}"/>
    <cellStyle name="백_IQS00년 상반기보고000520(소장)-1.xls Chart 161_사장님IQS개선회의(조립생기팀0816)_다대포 해수욕장-내역서" xfId="900" xr:uid="{00000000-0005-0000-0000-000083030000}"/>
    <cellStyle name="백_IQS00년 상반기보고000520(소장)-1.xls Chart 161_사장님IQS개선회의(조립생기팀0816)_인상시부담액(임,단협(1).04.26수정)" xfId="901" xr:uid="{00000000-0005-0000-0000-000084030000}"/>
    <cellStyle name="백_IQS00년 상반기보고000520(소장)-1.xls Chart 161_사장님IQS개선회의(조립생기팀0816)_인상시부담액(임,단협(1).04.26수정)_다대포 해수욕장-내역서" xfId="902" xr:uid="{00000000-0005-0000-0000-000085030000}"/>
    <cellStyle name="백_IQS00년 상반기보고000520(소장)-1.xls Chart 161_사장님IQS개선회의(조립생기팀0816)_인상시부담액(임,단협(1).04.26수정)_조형물 내역서(원본)" xfId="903" xr:uid="{00000000-0005-0000-0000-000086030000}"/>
    <cellStyle name="백_IQS00년 상반기보고000520(소장)-1.xls Chart 161_사장님IQS개선회의(조립생기팀0816)_조형물 내역서(원본)" xfId="904" xr:uid="{00000000-0005-0000-0000-000087030000}"/>
    <cellStyle name="백_IQS00년 상반기보고000520(소장)-1.xls Chart 161_인상시부담액(임,단협(1).04.26수정)" xfId="905" xr:uid="{00000000-0005-0000-0000-000088030000}"/>
    <cellStyle name="백_IQS00년 상반기보고000520(소장)-1.xls Chart 161_인상시부담액(임,단협(1).04.26수정)_다대포 해수욕장-내역서" xfId="906" xr:uid="{00000000-0005-0000-0000-000089030000}"/>
    <cellStyle name="백_IQS00년 상반기보고000520(소장)-1.xls Chart 161_인상시부담액(임,단협(1).04.26수정)_조형물 내역서(원본)" xfId="907" xr:uid="{00000000-0005-0000-0000-00008A030000}"/>
    <cellStyle name="백_IQS00년 상반기보고000520(소장)-1.xls Chart 161_정이사님보고0907" xfId="908" xr:uid="{00000000-0005-0000-0000-00008B030000}"/>
    <cellStyle name="백_IQS00년 상반기보고000520(소장)-1.xls Chart 161_정이사님보고0907_Book1" xfId="909" xr:uid="{00000000-0005-0000-0000-00008C030000}"/>
    <cellStyle name="백_IQS00년 상반기보고000520(소장)-1.xls Chart 161_정이사님보고0907_Book1_다대포 해수욕장-내역서" xfId="910" xr:uid="{00000000-0005-0000-0000-00008D030000}"/>
    <cellStyle name="백_IQS00년 상반기보고000520(소장)-1.xls Chart 161_정이사님보고0907_Book1_조형물 내역서(원본)" xfId="911" xr:uid="{00000000-0005-0000-0000-00008E030000}"/>
    <cellStyle name="백_IQS00년 상반기보고000520(소장)-1.xls Chart 161_정이사님보고0907_다대포 해수욕장-내역서" xfId="912" xr:uid="{00000000-0005-0000-0000-00008F030000}"/>
    <cellStyle name="백_IQS00년 상반기보고000520(소장)-1.xls Chart 161_정이사님보고0907_인상시부담액(임,단협(1).04.26수정)" xfId="913" xr:uid="{00000000-0005-0000-0000-000090030000}"/>
    <cellStyle name="백_IQS00년 상반기보고000520(소장)-1.xls Chart 161_정이사님보고0907_인상시부담액(임,단협(1).04.26수정)_다대포 해수욕장-내역서" xfId="914" xr:uid="{00000000-0005-0000-0000-000091030000}"/>
    <cellStyle name="백_IQS00년 상반기보고000520(소장)-1.xls Chart 161_정이사님보고0907_인상시부담액(임,단협(1).04.26수정)_조형물 내역서(원본)" xfId="915" xr:uid="{00000000-0005-0000-0000-000092030000}"/>
    <cellStyle name="백_IQS00년 상반기보고000520(소장)-1.xls Chart 161_정이사님보고0907_조형물 내역서(원본)" xfId="916" xr:uid="{00000000-0005-0000-0000-000093030000}"/>
    <cellStyle name="백_IQS00년 상반기보고000520(소장)-1.xls Chart 161_조형물 내역서(원본)" xfId="917" xr:uid="{00000000-0005-0000-0000-000094030000}"/>
    <cellStyle name="백_IQS00년 상반기보고000520(소장)-1_Book1" xfId="918" xr:uid="{00000000-0005-0000-0000-000095030000}"/>
    <cellStyle name="백_IQS00년 상반기보고000520(소장)-1_Book1_다대포 해수욕장-내역서" xfId="919" xr:uid="{00000000-0005-0000-0000-000096030000}"/>
    <cellStyle name="백_IQS00년 상반기보고000520(소장)-1_Book1_조형물 내역서(원본)" xfId="920" xr:uid="{00000000-0005-0000-0000-000097030000}"/>
    <cellStyle name="백_IQS00년 상반기보고000520(소장)-1_다대포 해수욕장-내역서" xfId="921" xr:uid="{00000000-0005-0000-0000-000098030000}"/>
    <cellStyle name="백_IQS00년 상반기보고000520(소장)-1_사장님IQS개선회의(조립생기팀0816)" xfId="922" xr:uid="{00000000-0005-0000-0000-000099030000}"/>
    <cellStyle name="백_IQS00년 상반기보고000520(소장)-1_사장님IQS개선회의(조립생기팀0816)_Book1" xfId="923" xr:uid="{00000000-0005-0000-0000-00009A030000}"/>
    <cellStyle name="백_IQS00년 상반기보고000520(소장)-1_사장님IQS개선회의(조립생기팀0816)_Book1_다대포 해수욕장-내역서" xfId="924" xr:uid="{00000000-0005-0000-0000-00009B030000}"/>
    <cellStyle name="백_IQS00년 상반기보고000520(소장)-1_사장님IQS개선회의(조립생기팀0816)_Book1_조형물 내역서(원본)" xfId="925" xr:uid="{00000000-0005-0000-0000-00009C030000}"/>
    <cellStyle name="백_IQS00년 상반기보고000520(소장)-1_사장님IQS개선회의(조립생기팀0816)_다대포 해수욕장-내역서" xfId="926" xr:uid="{00000000-0005-0000-0000-00009D030000}"/>
    <cellStyle name="백_IQS00년 상반기보고000520(소장)-1_사장님IQS개선회의(조립생기팀0816)_인상시부담액(임,단협(1).04.26수정)" xfId="927" xr:uid="{00000000-0005-0000-0000-00009E030000}"/>
    <cellStyle name="백_IQS00년 상반기보고000520(소장)-1_사장님IQS개선회의(조립생기팀0816)_인상시부담액(임,단협(1).04.26수정)_다대포 해수욕장-내역서" xfId="928" xr:uid="{00000000-0005-0000-0000-00009F030000}"/>
    <cellStyle name="백_IQS00년 상반기보고000520(소장)-1_사장님IQS개선회의(조립생기팀0816)_인상시부담액(임,단협(1).04.26수정)_조형물 내역서(원본)" xfId="929" xr:uid="{00000000-0005-0000-0000-0000A0030000}"/>
    <cellStyle name="백_IQS00년 상반기보고000520(소장)-1_사장님IQS개선회의(조립생기팀0816)_조형물 내역서(원본)" xfId="930" xr:uid="{00000000-0005-0000-0000-0000A1030000}"/>
    <cellStyle name="백_IQS00년 상반기보고000520(소장)-1_인상시부담액(임,단협(1).04.26수정)" xfId="931" xr:uid="{00000000-0005-0000-0000-0000A2030000}"/>
    <cellStyle name="백_IQS00년 상반기보고000520(소장)-1_인상시부담액(임,단협(1).04.26수정)_다대포 해수욕장-내역서" xfId="932" xr:uid="{00000000-0005-0000-0000-0000A3030000}"/>
    <cellStyle name="백_IQS00년 상반기보고000520(소장)-1_인상시부담액(임,단협(1).04.26수정)_조형물 내역서(원본)" xfId="933" xr:uid="{00000000-0005-0000-0000-0000A4030000}"/>
    <cellStyle name="백_IQS00년 상반기보고000520(소장)-1_정이사님보고0907" xfId="934" xr:uid="{00000000-0005-0000-0000-0000A5030000}"/>
    <cellStyle name="백_IQS00년 상반기보고000520(소장)-1_정이사님보고0907_Book1" xfId="935" xr:uid="{00000000-0005-0000-0000-0000A6030000}"/>
    <cellStyle name="백_IQS00년 상반기보고000520(소장)-1_정이사님보고0907_Book1_다대포 해수욕장-내역서" xfId="936" xr:uid="{00000000-0005-0000-0000-0000A7030000}"/>
    <cellStyle name="백_IQS00년 상반기보고000520(소장)-1_정이사님보고0907_Book1_조형물 내역서(원본)" xfId="937" xr:uid="{00000000-0005-0000-0000-0000A8030000}"/>
    <cellStyle name="백_IQS00년 상반기보고000520(소장)-1_정이사님보고0907_다대포 해수욕장-내역서" xfId="938" xr:uid="{00000000-0005-0000-0000-0000A9030000}"/>
    <cellStyle name="백_IQS00년 상반기보고000520(소장)-1_정이사님보고0907_인상시부담액(임,단협(1).04.26수정)" xfId="939" xr:uid="{00000000-0005-0000-0000-0000AA030000}"/>
    <cellStyle name="백_IQS00년 상반기보고000520(소장)-1_정이사님보고0907_인상시부담액(임,단협(1).04.26수정)_다대포 해수욕장-내역서" xfId="940" xr:uid="{00000000-0005-0000-0000-0000AB030000}"/>
    <cellStyle name="백_IQS00년 상반기보고000520(소장)-1_정이사님보고0907_인상시부담액(임,단협(1).04.26수정)_조형물 내역서(원본)" xfId="941" xr:uid="{00000000-0005-0000-0000-0000AC030000}"/>
    <cellStyle name="백_IQS00년 상반기보고000520(소장)-1_정이사님보고0907_조형물 내역서(원본)" xfId="942" xr:uid="{00000000-0005-0000-0000-0000AD030000}"/>
    <cellStyle name="백_IQS00년 상반기보고000520(소장)-1_조형물 내역서(원본)" xfId="943" xr:uid="{00000000-0005-0000-0000-0000AE030000}"/>
    <cellStyle name="백_다대포 해수욕장-내역서" xfId="944" xr:uid="{00000000-0005-0000-0000-0000AF030000}"/>
    <cellStyle name="백_다대포 해수욕장-내역서 2" xfId="945" xr:uid="{00000000-0005-0000-0000-0000B0030000}"/>
    <cellStyle name="백_다대포 해수욕장-내역서 3" xfId="946" xr:uid="{00000000-0005-0000-0000-0000B1030000}"/>
    <cellStyle name="백_다대포 해수욕장-내역서 4" xfId="947" xr:uid="{00000000-0005-0000-0000-0000B2030000}"/>
    <cellStyle name="백_다대포 해수욕장-내역서 5" xfId="948" xr:uid="{00000000-0005-0000-0000-0000B3030000}"/>
    <cellStyle name="백_다대포 해수욕장-내역서_5공구 내역서" xfId="949" xr:uid="{00000000-0005-0000-0000-0000B4030000}"/>
    <cellStyle name="백_다대포 해수욕장-내역서_5공구 내역서1" xfId="950" xr:uid="{00000000-0005-0000-0000-0000B5030000}"/>
    <cellStyle name="백_다대포 해수욕장-내역서_경관조명-내역서(20100423)" xfId="951" xr:uid="{00000000-0005-0000-0000-0000B6030000}"/>
    <cellStyle name="백_다대포 해수욕장-내역서_경관조명-내역서(20100726)" xfId="952" xr:uid="{00000000-0005-0000-0000-0000B7030000}"/>
    <cellStyle name="백_다대포 해수욕장-내역서_경관조명-내역서(20100803)" xfId="953" xr:uid="{00000000-0005-0000-0000-0000B8030000}"/>
    <cellStyle name="백_다대포 해수욕장-내역서_남한강내역서" xfId="954" xr:uid="{00000000-0005-0000-0000-0000B9030000}"/>
    <cellStyle name="백_다대포 해수욕장-내역서_내역서" xfId="955" xr:uid="{00000000-0005-0000-0000-0000BA030000}"/>
    <cellStyle name="백_다대포 해수욕장-내역서_내역서(용훈작업)" xfId="956" xr:uid="{00000000-0005-0000-0000-0000BB030000}"/>
    <cellStyle name="백_다대포 해수욕장-내역서_단가비교표" xfId="957" xr:uid="{00000000-0005-0000-0000-0000BC030000}"/>
    <cellStyle name="백_다대포 해수욕장-내역서_보도블럭-1" xfId="958" xr:uid="{00000000-0005-0000-0000-0000BD030000}"/>
    <cellStyle name="백_다대포 해수욕장-내역서_위천천 내역서" xfId="959" xr:uid="{00000000-0005-0000-0000-0000BE030000}"/>
    <cellStyle name="백_다대포 해수욕장-내역서_전호대교-내역서(교량)-수정" xfId="960" xr:uid="{00000000-0005-0000-0000-0000BF030000}"/>
    <cellStyle name="백_다대포 해수욕장-내역서_하늘도시" xfId="961" xr:uid="{00000000-0005-0000-0000-0000C0030000}"/>
    <cellStyle name="백_다대포 해수욕장-내역서_하천 내역서" xfId="962" xr:uid="{00000000-0005-0000-0000-0000C1030000}"/>
    <cellStyle name="백_사본 - 계산서" xfId="963" xr:uid="{00000000-0005-0000-0000-0000C2030000}"/>
    <cellStyle name="백_석촌동꽃마을빌딩" xfId="964" xr:uid="{00000000-0005-0000-0000-0000C3030000}"/>
    <cellStyle name="백_성산아파트" xfId="965" xr:uid="{00000000-0005-0000-0000-0000C4030000}"/>
    <cellStyle name="백_신성교회" xfId="966" xr:uid="{00000000-0005-0000-0000-0000C5030000}"/>
    <cellStyle name="백_조형물 내역서(원본)" xfId="967" xr:uid="{00000000-0005-0000-0000-0000C6030000}"/>
    <cellStyle name="백_조형물 내역서(원본) 2" xfId="968" xr:uid="{00000000-0005-0000-0000-0000C7030000}"/>
    <cellStyle name="백_조형물 내역서(원본) 3" xfId="969" xr:uid="{00000000-0005-0000-0000-0000C8030000}"/>
    <cellStyle name="백_조형물 내역서(원본) 4" xfId="970" xr:uid="{00000000-0005-0000-0000-0000C9030000}"/>
    <cellStyle name="백_조형물 내역서(원본) 5" xfId="971" xr:uid="{00000000-0005-0000-0000-0000CA030000}"/>
    <cellStyle name="백_조형물 내역서(원본)_5공구 내역서" xfId="972" xr:uid="{00000000-0005-0000-0000-0000CB030000}"/>
    <cellStyle name="백_조형물 내역서(원본)_5공구 내역서1" xfId="973" xr:uid="{00000000-0005-0000-0000-0000CC030000}"/>
    <cellStyle name="백_조형물 내역서(원본)_경관조명-내역서(20100423)" xfId="974" xr:uid="{00000000-0005-0000-0000-0000CD030000}"/>
    <cellStyle name="백_조형물 내역서(원본)_경관조명-내역서(20100726)" xfId="975" xr:uid="{00000000-0005-0000-0000-0000CE030000}"/>
    <cellStyle name="백_조형물 내역서(원본)_경관조명-내역서(20100803)" xfId="976" xr:uid="{00000000-0005-0000-0000-0000CF030000}"/>
    <cellStyle name="백_조형물 내역서(원본)_남한강내역서" xfId="977" xr:uid="{00000000-0005-0000-0000-0000D0030000}"/>
    <cellStyle name="백_조형물 내역서(원본)_내역서" xfId="978" xr:uid="{00000000-0005-0000-0000-0000D1030000}"/>
    <cellStyle name="백_조형물 내역서(원본)_내역서(용훈작업)" xfId="979" xr:uid="{00000000-0005-0000-0000-0000D2030000}"/>
    <cellStyle name="백_조형물 내역서(원본)_단가비교표" xfId="980" xr:uid="{00000000-0005-0000-0000-0000D3030000}"/>
    <cellStyle name="백_조형물 내역서(원본)_보도블럭-1" xfId="981" xr:uid="{00000000-0005-0000-0000-0000D4030000}"/>
    <cellStyle name="백_조형물 내역서(원본)_위천천 내역서" xfId="982" xr:uid="{00000000-0005-0000-0000-0000D5030000}"/>
    <cellStyle name="백_조형물 내역서(원본)_전호대교-내역서(교량)-수정" xfId="983" xr:uid="{00000000-0005-0000-0000-0000D6030000}"/>
    <cellStyle name="백_조형물 내역서(원본)_하늘도시" xfId="984" xr:uid="{00000000-0005-0000-0000-0000D7030000}"/>
    <cellStyle name="백_조형물 내역서(원본)_하천 내역서" xfId="985" xr:uid="{00000000-0005-0000-0000-0000D8030000}"/>
    <cellStyle name="백분율 [0]" xfId="986" xr:uid="{00000000-0005-0000-0000-0000D9030000}"/>
    <cellStyle name="백분율 [2]" xfId="987" xr:uid="{00000000-0005-0000-0000-0000DA030000}"/>
    <cellStyle name="보통 2" xfId="988" xr:uid="{00000000-0005-0000-0000-0000DB030000}"/>
    <cellStyle name="분수" xfId="989" xr:uid="{00000000-0005-0000-0000-0000DC030000}"/>
    <cellStyle name="뷭?" xfId="990" xr:uid="{00000000-0005-0000-0000-0000DD030000}"/>
    <cellStyle name="설계서" xfId="991" xr:uid="{00000000-0005-0000-0000-0000DE030000}"/>
    <cellStyle name="설계서-내용" xfId="992" xr:uid="{00000000-0005-0000-0000-0000DF030000}"/>
    <cellStyle name="설계서-내용-소수점" xfId="993" xr:uid="{00000000-0005-0000-0000-0000E0030000}"/>
    <cellStyle name="설계서-내용-우" xfId="994" xr:uid="{00000000-0005-0000-0000-0000E1030000}"/>
    <cellStyle name="설계서-내용-좌" xfId="995" xr:uid="{00000000-0005-0000-0000-0000E2030000}"/>
    <cellStyle name="설계서-소제목" xfId="996" xr:uid="{00000000-0005-0000-0000-0000E3030000}"/>
    <cellStyle name="설계서-타이틀" xfId="997" xr:uid="{00000000-0005-0000-0000-0000E4030000}"/>
    <cellStyle name="설계서-항목" xfId="998" xr:uid="{00000000-0005-0000-0000-0000E5030000}"/>
    <cellStyle name="설명 텍스트 2" xfId="999" xr:uid="{00000000-0005-0000-0000-0000E6030000}"/>
    <cellStyle name="셀 확인 2" xfId="1000" xr:uid="{00000000-0005-0000-0000-0000E7030000}"/>
    <cellStyle name="셈迷?XLS!check_filesche|_x0005_" xfId="1001" xr:uid="{00000000-0005-0000-0000-0000E8030000}"/>
    <cellStyle name="숫자(R)" xfId="1002" xr:uid="{00000000-0005-0000-0000-0000E9030000}"/>
    <cellStyle name="쉼표 [0]" xfId="1003" builtinId="6"/>
    <cellStyle name="쉼표 [0] 2" xfId="1004" xr:uid="{00000000-0005-0000-0000-0000EB030000}"/>
    <cellStyle name="쉼표 [0] 2 2" xfId="1005" xr:uid="{00000000-0005-0000-0000-0000EC030000}"/>
    <cellStyle name="쉼표 [0] 2 2 2" xfId="2111" xr:uid="{00000000-0005-0000-0000-0000ED030000}"/>
    <cellStyle name="쉼표 [0] 2 3" xfId="1006" xr:uid="{00000000-0005-0000-0000-0000EE030000}"/>
    <cellStyle name="쉼표 [0] 3" xfId="1007" xr:uid="{00000000-0005-0000-0000-0000EF030000}"/>
    <cellStyle name="쉼표 [0] 4" xfId="2109" xr:uid="{00000000-0005-0000-0000-0000F0030000}"/>
    <cellStyle name="쉼표 [0]_굴포단위수량" xfId="1008" xr:uid="{00000000-0005-0000-0000-0000F1030000}"/>
    <cellStyle name="쉼표 [0]_단가산출서(ASP헤체및복구)" xfId="1009" xr:uid="{00000000-0005-0000-0000-0000F2030000}"/>
    <cellStyle name="스타일 1" xfId="1010" xr:uid="{00000000-0005-0000-0000-0000F4030000}"/>
    <cellStyle name="스타일 1 2" xfId="1011" xr:uid="{00000000-0005-0000-0000-0000F5030000}"/>
    <cellStyle name="스타일 10" xfId="1012" xr:uid="{00000000-0005-0000-0000-0000F6030000}"/>
    <cellStyle name="스타일 11" xfId="1013" xr:uid="{00000000-0005-0000-0000-0000F7030000}"/>
    <cellStyle name="스타일 12" xfId="1014" xr:uid="{00000000-0005-0000-0000-0000F8030000}"/>
    <cellStyle name="스타일 13" xfId="1015" xr:uid="{00000000-0005-0000-0000-0000F9030000}"/>
    <cellStyle name="스타일 2" xfId="1016" xr:uid="{00000000-0005-0000-0000-0000FA030000}"/>
    <cellStyle name="스타일 3" xfId="1017" xr:uid="{00000000-0005-0000-0000-0000FB030000}"/>
    <cellStyle name="스타일 4" xfId="1018" xr:uid="{00000000-0005-0000-0000-0000FC030000}"/>
    <cellStyle name="스타일 5" xfId="1019" xr:uid="{00000000-0005-0000-0000-0000FD030000}"/>
    <cellStyle name="스타일 6" xfId="1020" xr:uid="{00000000-0005-0000-0000-0000FE030000}"/>
    <cellStyle name="스타일 7" xfId="1021" xr:uid="{00000000-0005-0000-0000-0000FF030000}"/>
    <cellStyle name="스타일 8" xfId="1022" xr:uid="{00000000-0005-0000-0000-000000040000}"/>
    <cellStyle name="스타일 9" xfId="1023" xr:uid="{00000000-0005-0000-0000-000001040000}"/>
    <cellStyle name="안건회계법인" xfId="1024" xr:uid="{00000000-0005-0000-0000-000002040000}"/>
    <cellStyle name="연결된 셀 2" xfId="1025" xr:uid="{00000000-0005-0000-0000-000003040000}"/>
    <cellStyle name="요약 2" xfId="1026" xr:uid="{00000000-0005-0000-0000-000004040000}"/>
    <cellStyle name="유영" xfId="1027" xr:uid="{00000000-0005-0000-0000-000005040000}"/>
    <cellStyle name="음수서식" xfId="1028" xr:uid="{00000000-0005-0000-0000-000006040000}"/>
    <cellStyle name="일위대가" xfId="1029" xr:uid="{00000000-0005-0000-0000-000007040000}"/>
    <cellStyle name="입력 2" xfId="1030" xr:uid="{00000000-0005-0000-0000-000008040000}"/>
    <cellStyle name="자리수" xfId="1031" xr:uid="{00000000-0005-0000-0000-000009040000}"/>
    <cellStyle name="자리수 2" xfId="1032" xr:uid="{00000000-0005-0000-0000-00000A040000}"/>
    <cellStyle name="자리수0" xfId="1033" xr:uid="{00000000-0005-0000-0000-00000B040000}"/>
    <cellStyle name="자리수0 2" xfId="1034" xr:uid="{00000000-0005-0000-0000-00000C040000}"/>
    <cellStyle name="정비" xfId="1035" xr:uid="{00000000-0005-0000-0000-00000D040000}"/>
    <cellStyle name="제목" xfId="1036" builtinId="15" customBuiltin="1"/>
    <cellStyle name="제목 1 2" xfId="1037" xr:uid="{00000000-0005-0000-0000-00000F040000}"/>
    <cellStyle name="제목 2 2" xfId="1038" xr:uid="{00000000-0005-0000-0000-000010040000}"/>
    <cellStyle name="제목 3 2" xfId="1039" xr:uid="{00000000-0005-0000-0000-000011040000}"/>
    <cellStyle name="제목 4 2" xfId="1040" xr:uid="{00000000-0005-0000-0000-000012040000}"/>
    <cellStyle name="좋음 2" xfId="1041" xr:uid="{00000000-0005-0000-0000-000013040000}"/>
    <cellStyle name="지정되지 않음" xfId="1042" xr:uid="{00000000-0005-0000-0000-000014040000}"/>
    <cellStyle name="출력 2" xfId="1043" xr:uid="{00000000-0005-0000-0000-000015040000}"/>
    <cellStyle name="콤" xfId="1044" xr:uid="{00000000-0005-0000-0000-000016040000}"/>
    <cellStyle name="콤_00년상반기현황분석(000512)-A.xls Chart 156" xfId="1045" xr:uid="{00000000-0005-0000-0000-000017040000}"/>
    <cellStyle name="콤_00년상반기현황분석(000512)-A.xls Chart 156_Book1" xfId="1046" xr:uid="{00000000-0005-0000-0000-000018040000}"/>
    <cellStyle name="콤_00년상반기현황분석(000512)-A.xls Chart 156_Book1_다대포 해수욕장-내역서" xfId="1047" xr:uid="{00000000-0005-0000-0000-000019040000}"/>
    <cellStyle name="콤_00년상반기현황분석(000512)-A.xls Chart 156_Book1_조형물 내역서(원본)" xfId="1048" xr:uid="{00000000-0005-0000-0000-00001A040000}"/>
    <cellStyle name="콤_00년상반기현황분석(000512)-A.xls Chart 156_다대포 해수욕장-내역서" xfId="1049" xr:uid="{00000000-0005-0000-0000-00001B040000}"/>
    <cellStyle name="콤_00년상반기현황분석(000512)-A.xls Chart 156_사장님IQS개선회의(조립생기팀0816)" xfId="1050" xr:uid="{00000000-0005-0000-0000-00001C040000}"/>
    <cellStyle name="콤_00년상반기현황분석(000512)-A.xls Chart 156_사장님IQS개선회의(조립생기팀0816)_Book1" xfId="1051" xr:uid="{00000000-0005-0000-0000-00001D040000}"/>
    <cellStyle name="콤_00년상반기현황분석(000512)-A.xls Chart 156_사장님IQS개선회의(조립생기팀0816)_Book1_다대포 해수욕장-내역서" xfId="1052" xr:uid="{00000000-0005-0000-0000-00001E040000}"/>
    <cellStyle name="콤_00년상반기현황분석(000512)-A.xls Chart 156_사장님IQS개선회의(조립생기팀0816)_Book1_조형물 내역서(원본)" xfId="1053" xr:uid="{00000000-0005-0000-0000-00001F040000}"/>
    <cellStyle name="콤_00년상반기현황분석(000512)-A.xls Chart 156_사장님IQS개선회의(조립생기팀0816)_다대포 해수욕장-내역서" xfId="1054" xr:uid="{00000000-0005-0000-0000-000020040000}"/>
    <cellStyle name="콤_00년상반기현황분석(000512)-A.xls Chart 156_사장님IQS개선회의(조립생기팀0816)_인상시부담액(임,단협(1).04.26수정)" xfId="1055" xr:uid="{00000000-0005-0000-0000-000021040000}"/>
    <cellStyle name="콤_00년상반기현황분석(000512)-A.xls Chart 156_사장님IQS개선회의(조립생기팀0816)_인상시부담액(임,단협(1).04.26수정)_다대포 해수욕장-내역서" xfId="1056" xr:uid="{00000000-0005-0000-0000-000022040000}"/>
    <cellStyle name="콤_00년상반기현황분석(000512)-A.xls Chart 156_사장님IQS개선회의(조립생기팀0816)_인상시부담액(임,단협(1).04.26수정)_조형물 내역서(원본)" xfId="1057" xr:uid="{00000000-0005-0000-0000-000023040000}"/>
    <cellStyle name="콤_00년상반기현황분석(000512)-A.xls Chart 156_사장님IQS개선회의(조립생기팀0816)_조형물 내역서(원본)" xfId="1058" xr:uid="{00000000-0005-0000-0000-000024040000}"/>
    <cellStyle name="콤_00년상반기현황분석(000512)-A.xls Chart 156_인상시부담액(임,단협(1).04.26수정)" xfId="1059" xr:uid="{00000000-0005-0000-0000-000025040000}"/>
    <cellStyle name="콤_00년상반기현황분석(000512)-A.xls Chart 156_인상시부담액(임,단협(1).04.26수정)_다대포 해수욕장-내역서" xfId="1060" xr:uid="{00000000-0005-0000-0000-000026040000}"/>
    <cellStyle name="콤_00년상반기현황분석(000512)-A.xls Chart 156_인상시부담액(임,단협(1).04.26수정)_조형물 내역서(원본)" xfId="1061" xr:uid="{00000000-0005-0000-0000-000027040000}"/>
    <cellStyle name="콤_00년상반기현황분석(000512)-A.xls Chart 156_정이사님보고0907" xfId="1062" xr:uid="{00000000-0005-0000-0000-000028040000}"/>
    <cellStyle name="콤_00년상반기현황분석(000512)-A.xls Chart 156_정이사님보고0907_Book1" xfId="1063" xr:uid="{00000000-0005-0000-0000-000029040000}"/>
    <cellStyle name="콤_00년상반기현황분석(000512)-A.xls Chart 156_정이사님보고0907_Book1_다대포 해수욕장-내역서" xfId="1064" xr:uid="{00000000-0005-0000-0000-00002A040000}"/>
    <cellStyle name="콤_00년상반기현황분석(000512)-A.xls Chart 156_정이사님보고0907_Book1_조형물 내역서(원본)" xfId="1065" xr:uid="{00000000-0005-0000-0000-00002B040000}"/>
    <cellStyle name="콤_00년상반기현황분석(000512)-A.xls Chart 156_정이사님보고0907_다대포 해수욕장-내역서" xfId="1066" xr:uid="{00000000-0005-0000-0000-00002C040000}"/>
    <cellStyle name="콤_00년상반기현황분석(000512)-A.xls Chart 156_정이사님보고0907_인상시부담액(임,단협(1).04.26수정)" xfId="1067" xr:uid="{00000000-0005-0000-0000-00002D040000}"/>
    <cellStyle name="콤_00년상반기현황분석(000512)-A.xls Chart 156_정이사님보고0907_인상시부담액(임,단협(1).04.26수정)_다대포 해수욕장-내역서" xfId="1068" xr:uid="{00000000-0005-0000-0000-00002E040000}"/>
    <cellStyle name="콤_00년상반기현황분석(000512)-A.xls Chart 156_정이사님보고0907_인상시부담액(임,단협(1).04.26수정)_조형물 내역서(원본)" xfId="1069" xr:uid="{00000000-0005-0000-0000-00002F040000}"/>
    <cellStyle name="콤_00년상반기현황분석(000512)-A.xls Chart 156_정이사님보고0907_조형물 내역서(원본)" xfId="1070" xr:uid="{00000000-0005-0000-0000-000030040000}"/>
    <cellStyle name="콤_00년상반기현황분석(000512)-A.xls Chart 156_조형물 내역서(원본)" xfId="1071" xr:uid="{00000000-0005-0000-0000-000031040000}"/>
    <cellStyle name="콤_00년상반기현황분석(000512)-A.xls Chart 157" xfId="1072" xr:uid="{00000000-0005-0000-0000-000032040000}"/>
    <cellStyle name="콤_00년상반기현황분석(000512)-A.xls Chart 157_Book1" xfId="1073" xr:uid="{00000000-0005-0000-0000-000033040000}"/>
    <cellStyle name="콤_00년상반기현황분석(000512)-A.xls Chart 157_Book1_다대포 해수욕장-내역서" xfId="1074" xr:uid="{00000000-0005-0000-0000-000034040000}"/>
    <cellStyle name="콤_00년상반기현황분석(000512)-A.xls Chart 157_Book1_조형물 내역서(원본)" xfId="1075" xr:uid="{00000000-0005-0000-0000-000035040000}"/>
    <cellStyle name="콤_00년상반기현황분석(000512)-A.xls Chart 157_다대포 해수욕장-내역서" xfId="1076" xr:uid="{00000000-0005-0000-0000-000036040000}"/>
    <cellStyle name="콤_00년상반기현황분석(000512)-A.xls Chart 157_사장님IQS개선회의(조립생기팀0816)" xfId="1077" xr:uid="{00000000-0005-0000-0000-000037040000}"/>
    <cellStyle name="콤_00년상반기현황분석(000512)-A.xls Chart 157_사장님IQS개선회의(조립생기팀0816)_Book1" xfId="1078" xr:uid="{00000000-0005-0000-0000-000038040000}"/>
    <cellStyle name="콤_00년상반기현황분석(000512)-A.xls Chart 157_사장님IQS개선회의(조립생기팀0816)_Book1_다대포 해수욕장-내역서" xfId="1079" xr:uid="{00000000-0005-0000-0000-000039040000}"/>
    <cellStyle name="콤_00년상반기현황분석(000512)-A.xls Chart 157_사장님IQS개선회의(조립생기팀0816)_Book1_조형물 내역서(원본)" xfId="1080" xr:uid="{00000000-0005-0000-0000-00003A040000}"/>
    <cellStyle name="콤_00년상반기현황분석(000512)-A.xls Chart 157_사장님IQS개선회의(조립생기팀0816)_다대포 해수욕장-내역서" xfId="1081" xr:uid="{00000000-0005-0000-0000-00003B040000}"/>
    <cellStyle name="콤_00년상반기현황분석(000512)-A.xls Chart 157_사장님IQS개선회의(조립생기팀0816)_인상시부담액(임,단협(1).04.26수정)" xfId="1082" xr:uid="{00000000-0005-0000-0000-00003C040000}"/>
    <cellStyle name="콤_00년상반기현황분석(000512)-A.xls Chart 157_사장님IQS개선회의(조립생기팀0816)_인상시부담액(임,단협(1).04.26수정)_다대포 해수욕장-내역서" xfId="1083" xr:uid="{00000000-0005-0000-0000-00003D040000}"/>
    <cellStyle name="콤_00년상반기현황분석(000512)-A.xls Chart 157_사장님IQS개선회의(조립생기팀0816)_인상시부담액(임,단협(1).04.26수정)_조형물 내역서(원본)" xfId="1084" xr:uid="{00000000-0005-0000-0000-00003E040000}"/>
    <cellStyle name="콤_00년상반기현황분석(000512)-A.xls Chart 157_사장님IQS개선회의(조립생기팀0816)_조형물 내역서(원본)" xfId="1085" xr:uid="{00000000-0005-0000-0000-00003F040000}"/>
    <cellStyle name="콤_00년상반기현황분석(000512)-A.xls Chart 157_인상시부담액(임,단협(1).04.26수정)" xfId="1086" xr:uid="{00000000-0005-0000-0000-000040040000}"/>
    <cellStyle name="콤_00년상반기현황분석(000512)-A.xls Chart 157_인상시부담액(임,단협(1).04.26수정)_다대포 해수욕장-내역서" xfId="1087" xr:uid="{00000000-0005-0000-0000-000041040000}"/>
    <cellStyle name="콤_00년상반기현황분석(000512)-A.xls Chart 157_인상시부담액(임,단협(1).04.26수정)_조형물 내역서(원본)" xfId="1088" xr:uid="{00000000-0005-0000-0000-000042040000}"/>
    <cellStyle name="콤_00년상반기현황분석(000512)-A.xls Chart 157_정이사님보고0907" xfId="1089" xr:uid="{00000000-0005-0000-0000-000043040000}"/>
    <cellStyle name="콤_00년상반기현황분석(000512)-A.xls Chart 157_정이사님보고0907_Book1" xfId="1090" xr:uid="{00000000-0005-0000-0000-000044040000}"/>
    <cellStyle name="콤_00년상반기현황분석(000512)-A.xls Chart 157_정이사님보고0907_Book1_다대포 해수욕장-내역서" xfId="1091" xr:uid="{00000000-0005-0000-0000-000045040000}"/>
    <cellStyle name="콤_00년상반기현황분석(000512)-A.xls Chart 157_정이사님보고0907_Book1_조형물 내역서(원본)" xfId="1092" xr:uid="{00000000-0005-0000-0000-000046040000}"/>
    <cellStyle name="콤_00년상반기현황분석(000512)-A.xls Chart 157_정이사님보고0907_다대포 해수욕장-내역서" xfId="1093" xr:uid="{00000000-0005-0000-0000-000047040000}"/>
    <cellStyle name="콤_00년상반기현황분석(000512)-A.xls Chart 157_정이사님보고0907_인상시부담액(임,단협(1).04.26수정)" xfId="1094" xr:uid="{00000000-0005-0000-0000-000048040000}"/>
    <cellStyle name="콤_00년상반기현황분석(000512)-A.xls Chart 157_정이사님보고0907_인상시부담액(임,단협(1).04.26수정)_다대포 해수욕장-내역서" xfId="1095" xr:uid="{00000000-0005-0000-0000-000049040000}"/>
    <cellStyle name="콤_00년상반기현황분석(000512)-A.xls Chart 157_정이사님보고0907_인상시부담액(임,단협(1).04.26수정)_조형물 내역서(원본)" xfId="1096" xr:uid="{00000000-0005-0000-0000-00004A040000}"/>
    <cellStyle name="콤_00년상반기현황분석(000512)-A.xls Chart 157_정이사님보고0907_조형물 내역서(원본)" xfId="1097" xr:uid="{00000000-0005-0000-0000-00004B040000}"/>
    <cellStyle name="콤_00년상반기현황분석(000512)-A.xls Chart 157_조형물 내역서(원본)" xfId="1098" xr:uid="{00000000-0005-0000-0000-00004C040000}"/>
    <cellStyle name="콤_00년상반기현황분석(000512)-A.xls Chart 158" xfId="1099" xr:uid="{00000000-0005-0000-0000-00004D040000}"/>
    <cellStyle name="콤_00년상반기현황분석(000512)-A.xls Chart 158_Book1" xfId="1100" xr:uid="{00000000-0005-0000-0000-00004E040000}"/>
    <cellStyle name="콤_00년상반기현황분석(000512)-A.xls Chart 158_Book1_다대포 해수욕장-내역서" xfId="1101" xr:uid="{00000000-0005-0000-0000-00004F040000}"/>
    <cellStyle name="콤_00년상반기현황분석(000512)-A.xls Chart 158_Book1_조형물 내역서(원본)" xfId="1102" xr:uid="{00000000-0005-0000-0000-000050040000}"/>
    <cellStyle name="콤_00년상반기현황분석(000512)-A.xls Chart 158_다대포 해수욕장-내역서" xfId="1103" xr:uid="{00000000-0005-0000-0000-000051040000}"/>
    <cellStyle name="콤_00년상반기현황분석(000512)-A.xls Chart 158_사장님IQS개선회의(조립생기팀0816)" xfId="1104" xr:uid="{00000000-0005-0000-0000-000052040000}"/>
    <cellStyle name="콤_00년상반기현황분석(000512)-A.xls Chart 158_사장님IQS개선회의(조립생기팀0816)_Book1" xfId="1105" xr:uid="{00000000-0005-0000-0000-000053040000}"/>
    <cellStyle name="콤_00년상반기현황분석(000512)-A.xls Chart 158_사장님IQS개선회의(조립생기팀0816)_Book1_다대포 해수욕장-내역서" xfId="1106" xr:uid="{00000000-0005-0000-0000-000054040000}"/>
    <cellStyle name="콤_00년상반기현황분석(000512)-A.xls Chart 158_사장님IQS개선회의(조립생기팀0816)_Book1_조형물 내역서(원본)" xfId="1107" xr:uid="{00000000-0005-0000-0000-000055040000}"/>
    <cellStyle name="콤_00년상반기현황분석(000512)-A.xls Chart 158_사장님IQS개선회의(조립생기팀0816)_다대포 해수욕장-내역서" xfId="1108" xr:uid="{00000000-0005-0000-0000-000056040000}"/>
    <cellStyle name="콤_00년상반기현황분석(000512)-A.xls Chart 158_사장님IQS개선회의(조립생기팀0816)_인상시부담액(임,단협(1).04.26수정)" xfId="1109" xr:uid="{00000000-0005-0000-0000-000057040000}"/>
    <cellStyle name="콤_00년상반기현황분석(000512)-A.xls Chart 158_사장님IQS개선회의(조립생기팀0816)_인상시부담액(임,단협(1).04.26수정)_다대포 해수욕장-내역서" xfId="1110" xr:uid="{00000000-0005-0000-0000-000058040000}"/>
    <cellStyle name="콤_00년상반기현황분석(000512)-A.xls Chart 158_사장님IQS개선회의(조립생기팀0816)_인상시부담액(임,단협(1).04.26수정)_조형물 내역서(원본)" xfId="1111" xr:uid="{00000000-0005-0000-0000-000059040000}"/>
    <cellStyle name="콤_00년상반기현황분석(000512)-A.xls Chart 158_사장님IQS개선회의(조립생기팀0816)_조형물 내역서(원본)" xfId="1112" xr:uid="{00000000-0005-0000-0000-00005A040000}"/>
    <cellStyle name="콤_00년상반기현황분석(000512)-A.xls Chart 158_인상시부담액(임,단협(1).04.26수정)" xfId="1113" xr:uid="{00000000-0005-0000-0000-00005B040000}"/>
    <cellStyle name="콤_00년상반기현황분석(000512)-A.xls Chart 158_인상시부담액(임,단협(1).04.26수정)_다대포 해수욕장-내역서" xfId="1114" xr:uid="{00000000-0005-0000-0000-00005C040000}"/>
    <cellStyle name="콤_00년상반기현황분석(000512)-A.xls Chart 158_인상시부담액(임,단협(1).04.26수정)_조형물 내역서(원본)" xfId="1115" xr:uid="{00000000-0005-0000-0000-00005D040000}"/>
    <cellStyle name="콤_00년상반기현황분석(000512)-A.xls Chart 158_정이사님보고0907" xfId="1116" xr:uid="{00000000-0005-0000-0000-00005E040000}"/>
    <cellStyle name="콤_00년상반기현황분석(000512)-A.xls Chart 158_정이사님보고0907_Book1" xfId="1117" xr:uid="{00000000-0005-0000-0000-00005F040000}"/>
    <cellStyle name="콤_00년상반기현황분석(000512)-A.xls Chart 158_정이사님보고0907_Book1_다대포 해수욕장-내역서" xfId="1118" xr:uid="{00000000-0005-0000-0000-000060040000}"/>
    <cellStyle name="콤_00년상반기현황분석(000512)-A.xls Chart 158_정이사님보고0907_Book1_조형물 내역서(원본)" xfId="1119" xr:uid="{00000000-0005-0000-0000-000061040000}"/>
    <cellStyle name="콤_00년상반기현황분석(000512)-A.xls Chart 158_정이사님보고0907_다대포 해수욕장-내역서" xfId="1120" xr:uid="{00000000-0005-0000-0000-000062040000}"/>
    <cellStyle name="콤_00년상반기현황분석(000512)-A.xls Chart 158_정이사님보고0907_인상시부담액(임,단협(1).04.26수정)" xfId="1121" xr:uid="{00000000-0005-0000-0000-000063040000}"/>
    <cellStyle name="콤_00년상반기현황분석(000512)-A.xls Chart 158_정이사님보고0907_인상시부담액(임,단협(1).04.26수정)_다대포 해수욕장-내역서" xfId="1122" xr:uid="{00000000-0005-0000-0000-000064040000}"/>
    <cellStyle name="콤_00년상반기현황분석(000512)-A.xls Chart 158_정이사님보고0907_인상시부담액(임,단협(1).04.26수정)_조형물 내역서(원본)" xfId="1123" xr:uid="{00000000-0005-0000-0000-000065040000}"/>
    <cellStyle name="콤_00년상반기현황분석(000512)-A.xls Chart 158_정이사님보고0907_조형물 내역서(원본)" xfId="1124" xr:uid="{00000000-0005-0000-0000-000066040000}"/>
    <cellStyle name="콤_00년상반기현황분석(000512)-A.xls Chart 158_조형물 내역서(원본)" xfId="1125" xr:uid="{00000000-0005-0000-0000-000067040000}"/>
    <cellStyle name="콤_00년상반기현황분석(000512)-A.xls Chart 160" xfId="1126" xr:uid="{00000000-0005-0000-0000-000068040000}"/>
    <cellStyle name="콤_00년상반기현황분석(000512)-A.xls Chart 160_Book1" xfId="1127" xr:uid="{00000000-0005-0000-0000-000069040000}"/>
    <cellStyle name="콤_00년상반기현황분석(000512)-A.xls Chart 160_Book1_다대포 해수욕장-내역서" xfId="1128" xr:uid="{00000000-0005-0000-0000-00006A040000}"/>
    <cellStyle name="콤_00년상반기현황분석(000512)-A.xls Chart 160_Book1_조형물 내역서(원본)" xfId="1129" xr:uid="{00000000-0005-0000-0000-00006B040000}"/>
    <cellStyle name="콤_00년상반기현황분석(000512)-A.xls Chart 160_다대포 해수욕장-내역서" xfId="1130" xr:uid="{00000000-0005-0000-0000-00006C040000}"/>
    <cellStyle name="콤_00년상반기현황분석(000512)-A.xls Chart 160_사장님IQS개선회의(조립생기팀0816)" xfId="1131" xr:uid="{00000000-0005-0000-0000-00006D040000}"/>
    <cellStyle name="콤_00년상반기현황분석(000512)-A.xls Chart 160_사장님IQS개선회의(조립생기팀0816)_Book1" xfId="1132" xr:uid="{00000000-0005-0000-0000-00006E040000}"/>
    <cellStyle name="콤_00년상반기현황분석(000512)-A.xls Chart 160_사장님IQS개선회의(조립생기팀0816)_Book1_다대포 해수욕장-내역서" xfId="1133" xr:uid="{00000000-0005-0000-0000-00006F040000}"/>
    <cellStyle name="콤_00년상반기현황분석(000512)-A.xls Chart 160_사장님IQS개선회의(조립생기팀0816)_Book1_조형물 내역서(원본)" xfId="1134" xr:uid="{00000000-0005-0000-0000-000070040000}"/>
    <cellStyle name="콤_00년상반기현황분석(000512)-A.xls Chart 160_사장님IQS개선회의(조립생기팀0816)_다대포 해수욕장-내역서" xfId="1135" xr:uid="{00000000-0005-0000-0000-000071040000}"/>
    <cellStyle name="콤_00년상반기현황분석(000512)-A.xls Chart 160_사장님IQS개선회의(조립생기팀0816)_인상시부담액(임,단협(1).04.26수정)" xfId="1136" xr:uid="{00000000-0005-0000-0000-000072040000}"/>
    <cellStyle name="콤_00년상반기현황분석(000512)-A.xls Chart 160_사장님IQS개선회의(조립생기팀0816)_인상시부담액(임,단협(1).04.26수정)_다대포 해수욕장-내역서" xfId="1137" xr:uid="{00000000-0005-0000-0000-000073040000}"/>
    <cellStyle name="콤_00년상반기현황분석(000512)-A.xls Chart 160_사장님IQS개선회의(조립생기팀0816)_인상시부담액(임,단협(1).04.26수정)_조형물 내역서(원본)" xfId="1138" xr:uid="{00000000-0005-0000-0000-000074040000}"/>
    <cellStyle name="콤_00년상반기현황분석(000512)-A.xls Chart 160_사장님IQS개선회의(조립생기팀0816)_조형물 내역서(원본)" xfId="1139" xr:uid="{00000000-0005-0000-0000-000075040000}"/>
    <cellStyle name="콤_00년상반기현황분석(000512)-A.xls Chart 160_인상시부담액(임,단협(1).04.26수정)" xfId="1140" xr:uid="{00000000-0005-0000-0000-000076040000}"/>
    <cellStyle name="콤_00년상반기현황분석(000512)-A.xls Chart 160_인상시부담액(임,단협(1).04.26수정)_다대포 해수욕장-내역서" xfId="1141" xr:uid="{00000000-0005-0000-0000-000077040000}"/>
    <cellStyle name="콤_00년상반기현황분석(000512)-A.xls Chart 160_인상시부담액(임,단협(1).04.26수정)_조형물 내역서(원본)" xfId="1142" xr:uid="{00000000-0005-0000-0000-000078040000}"/>
    <cellStyle name="콤_00년상반기현황분석(000512)-A.xls Chart 160_정이사님보고0907" xfId="1143" xr:uid="{00000000-0005-0000-0000-000079040000}"/>
    <cellStyle name="콤_00년상반기현황분석(000512)-A.xls Chart 160_정이사님보고0907_Book1" xfId="1144" xr:uid="{00000000-0005-0000-0000-00007A040000}"/>
    <cellStyle name="콤_00년상반기현황분석(000512)-A.xls Chart 160_정이사님보고0907_Book1_다대포 해수욕장-내역서" xfId="1145" xr:uid="{00000000-0005-0000-0000-00007B040000}"/>
    <cellStyle name="콤_00년상반기현황분석(000512)-A.xls Chart 160_정이사님보고0907_Book1_조형물 내역서(원본)" xfId="1146" xr:uid="{00000000-0005-0000-0000-00007C040000}"/>
    <cellStyle name="콤_00년상반기현황분석(000512)-A.xls Chart 160_정이사님보고0907_다대포 해수욕장-내역서" xfId="1147" xr:uid="{00000000-0005-0000-0000-00007D040000}"/>
    <cellStyle name="콤_00년상반기현황분석(000512)-A.xls Chart 160_정이사님보고0907_인상시부담액(임,단협(1).04.26수정)" xfId="1148" xr:uid="{00000000-0005-0000-0000-00007E040000}"/>
    <cellStyle name="콤_00년상반기현황분석(000512)-A.xls Chart 160_정이사님보고0907_인상시부담액(임,단협(1).04.26수정)_다대포 해수욕장-내역서" xfId="1149" xr:uid="{00000000-0005-0000-0000-00007F040000}"/>
    <cellStyle name="콤_00년상반기현황분석(000512)-A.xls Chart 160_정이사님보고0907_인상시부담액(임,단협(1).04.26수정)_조형물 내역서(원본)" xfId="1150" xr:uid="{00000000-0005-0000-0000-000080040000}"/>
    <cellStyle name="콤_00년상반기현황분석(000512)-A.xls Chart 160_정이사님보고0907_조형물 내역서(원본)" xfId="1151" xr:uid="{00000000-0005-0000-0000-000081040000}"/>
    <cellStyle name="콤_00년상반기현황분석(000512)-A.xls Chart 160_조형물 내역서(원본)" xfId="1152" xr:uid="{00000000-0005-0000-0000-000082040000}"/>
    <cellStyle name="콤_00년상반기현황분석(000512)-A.xls Chart 161" xfId="1153" xr:uid="{00000000-0005-0000-0000-000083040000}"/>
    <cellStyle name="콤_00년상반기현황분석(000512)-A.xls Chart 161_Book1" xfId="1154" xr:uid="{00000000-0005-0000-0000-000084040000}"/>
    <cellStyle name="콤_00년상반기현황분석(000512)-A.xls Chart 161_Book1_다대포 해수욕장-내역서" xfId="1155" xr:uid="{00000000-0005-0000-0000-000085040000}"/>
    <cellStyle name="콤_00년상반기현황분석(000512)-A.xls Chart 161_Book1_조형물 내역서(원본)" xfId="1156" xr:uid="{00000000-0005-0000-0000-000086040000}"/>
    <cellStyle name="콤_00년상반기현황분석(000512)-A.xls Chart 161_다대포 해수욕장-내역서" xfId="1157" xr:uid="{00000000-0005-0000-0000-000087040000}"/>
    <cellStyle name="콤_00년상반기현황분석(000512)-A.xls Chart 161_사장님IQS개선회의(조립생기팀0816)" xfId="1158" xr:uid="{00000000-0005-0000-0000-000088040000}"/>
    <cellStyle name="콤_00년상반기현황분석(000512)-A.xls Chart 161_사장님IQS개선회의(조립생기팀0816)_Book1" xfId="1159" xr:uid="{00000000-0005-0000-0000-000089040000}"/>
    <cellStyle name="콤_00년상반기현황분석(000512)-A.xls Chart 161_사장님IQS개선회의(조립생기팀0816)_Book1_다대포 해수욕장-내역서" xfId="1160" xr:uid="{00000000-0005-0000-0000-00008A040000}"/>
    <cellStyle name="콤_00년상반기현황분석(000512)-A.xls Chart 161_사장님IQS개선회의(조립생기팀0816)_Book1_조형물 내역서(원본)" xfId="1161" xr:uid="{00000000-0005-0000-0000-00008B040000}"/>
    <cellStyle name="콤_00년상반기현황분석(000512)-A.xls Chart 161_사장님IQS개선회의(조립생기팀0816)_다대포 해수욕장-내역서" xfId="1162" xr:uid="{00000000-0005-0000-0000-00008C040000}"/>
    <cellStyle name="콤_00년상반기현황분석(000512)-A.xls Chart 161_사장님IQS개선회의(조립생기팀0816)_인상시부담액(임,단협(1).04.26수정)" xfId="1163" xr:uid="{00000000-0005-0000-0000-00008D040000}"/>
    <cellStyle name="콤_00년상반기현황분석(000512)-A.xls Chart 161_사장님IQS개선회의(조립생기팀0816)_인상시부담액(임,단협(1).04.26수정)_다대포 해수욕장-내역서" xfId="1164" xr:uid="{00000000-0005-0000-0000-00008E040000}"/>
    <cellStyle name="콤_00년상반기현황분석(000512)-A.xls Chart 161_사장님IQS개선회의(조립생기팀0816)_인상시부담액(임,단협(1).04.26수정)_조형물 내역서(원본)" xfId="1165" xr:uid="{00000000-0005-0000-0000-00008F040000}"/>
    <cellStyle name="콤_00년상반기현황분석(000512)-A.xls Chart 161_사장님IQS개선회의(조립생기팀0816)_조형물 내역서(원본)" xfId="1166" xr:uid="{00000000-0005-0000-0000-000090040000}"/>
    <cellStyle name="콤_00년상반기현황분석(000512)-A.xls Chart 161_인상시부담액(임,단협(1).04.26수정)" xfId="1167" xr:uid="{00000000-0005-0000-0000-000091040000}"/>
    <cellStyle name="콤_00년상반기현황분석(000512)-A.xls Chart 161_인상시부담액(임,단협(1).04.26수정)_다대포 해수욕장-내역서" xfId="1168" xr:uid="{00000000-0005-0000-0000-000092040000}"/>
    <cellStyle name="콤_00년상반기현황분석(000512)-A.xls Chart 161_인상시부담액(임,단협(1).04.26수정)_조형물 내역서(원본)" xfId="1169" xr:uid="{00000000-0005-0000-0000-000093040000}"/>
    <cellStyle name="콤_00년상반기현황분석(000512)-A.xls Chart 161_정이사님보고0907" xfId="1170" xr:uid="{00000000-0005-0000-0000-000094040000}"/>
    <cellStyle name="콤_00년상반기현황분석(000512)-A.xls Chart 161_정이사님보고0907_Book1" xfId="1171" xr:uid="{00000000-0005-0000-0000-000095040000}"/>
    <cellStyle name="콤_00년상반기현황분석(000512)-A.xls Chart 161_정이사님보고0907_Book1_다대포 해수욕장-내역서" xfId="1172" xr:uid="{00000000-0005-0000-0000-000096040000}"/>
    <cellStyle name="콤_00년상반기현황분석(000512)-A.xls Chart 161_정이사님보고0907_Book1_조형물 내역서(원본)" xfId="1173" xr:uid="{00000000-0005-0000-0000-000097040000}"/>
    <cellStyle name="콤_00년상반기현황분석(000512)-A.xls Chart 161_정이사님보고0907_다대포 해수욕장-내역서" xfId="1174" xr:uid="{00000000-0005-0000-0000-000098040000}"/>
    <cellStyle name="콤_00년상반기현황분석(000512)-A.xls Chart 161_정이사님보고0907_인상시부담액(임,단협(1).04.26수정)" xfId="1175" xr:uid="{00000000-0005-0000-0000-000099040000}"/>
    <cellStyle name="콤_00년상반기현황분석(000512)-A.xls Chart 161_정이사님보고0907_인상시부담액(임,단협(1).04.26수정)_다대포 해수욕장-내역서" xfId="1176" xr:uid="{00000000-0005-0000-0000-00009A040000}"/>
    <cellStyle name="콤_00년상반기현황분석(000512)-A.xls Chart 161_정이사님보고0907_인상시부담액(임,단협(1).04.26수정)_조형물 내역서(원본)" xfId="1177" xr:uid="{00000000-0005-0000-0000-00009B040000}"/>
    <cellStyle name="콤_00년상반기현황분석(000512)-A.xls Chart 161_정이사님보고0907_조형물 내역서(원본)" xfId="1178" xr:uid="{00000000-0005-0000-0000-00009C040000}"/>
    <cellStyle name="콤_00년상반기현황분석(000512)-A.xls Chart 161_조형물 내역서(원본)" xfId="1179" xr:uid="{00000000-0005-0000-0000-00009D040000}"/>
    <cellStyle name="콤_IQS00년 상반기보고000520(소장)-1" xfId="1180" xr:uid="{00000000-0005-0000-0000-00009E040000}"/>
    <cellStyle name="콤_IQS00년 상반기보고000520(소장)-1.xls Chart 156" xfId="1181" xr:uid="{00000000-0005-0000-0000-00009F040000}"/>
    <cellStyle name="콤_IQS00년 상반기보고000520(소장)-1.xls Chart 156_Book1" xfId="1182" xr:uid="{00000000-0005-0000-0000-0000A0040000}"/>
    <cellStyle name="콤_IQS00년 상반기보고000520(소장)-1.xls Chart 156_Book1_다대포 해수욕장-내역서" xfId="1183" xr:uid="{00000000-0005-0000-0000-0000A1040000}"/>
    <cellStyle name="콤_IQS00년 상반기보고000520(소장)-1.xls Chart 156_Book1_조형물 내역서(원본)" xfId="1184" xr:uid="{00000000-0005-0000-0000-0000A2040000}"/>
    <cellStyle name="콤_IQS00년 상반기보고000520(소장)-1.xls Chart 156_다대포 해수욕장-내역서" xfId="1185" xr:uid="{00000000-0005-0000-0000-0000A3040000}"/>
    <cellStyle name="콤_IQS00년 상반기보고000520(소장)-1.xls Chart 156_사장님IQS개선회의(조립생기팀0816)" xfId="1186" xr:uid="{00000000-0005-0000-0000-0000A4040000}"/>
    <cellStyle name="콤_IQS00년 상반기보고000520(소장)-1.xls Chart 156_사장님IQS개선회의(조립생기팀0816)_Book1" xfId="1187" xr:uid="{00000000-0005-0000-0000-0000A5040000}"/>
    <cellStyle name="콤_IQS00년 상반기보고000520(소장)-1.xls Chart 156_사장님IQS개선회의(조립생기팀0816)_Book1_다대포 해수욕장-내역서" xfId="1188" xr:uid="{00000000-0005-0000-0000-0000A6040000}"/>
    <cellStyle name="콤_IQS00년 상반기보고000520(소장)-1.xls Chart 156_사장님IQS개선회의(조립생기팀0816)_Book1_조형물 내역서(원본)" xfId="1189" xr:uid="{00000000-0005-0000-0000-0000A7040000}"/>
    <cellStyle name="콤_IQS00년 상반기보고000520(소장)-1.xls Chart 156_사장님IQS개선회의(조립생기팀0816)_다대포 해수욕장-내역서" xfId="1190" xr:uid="{00000000-0005-0000-0000-0000A8040000}"/>
    <cellStyle name="콤_IQS00년 상반기보고000520(소장)-1.xls Chart 156_사장님IQS개선회의(조립생기팀0816)_인상시부담액(임,단협(1).04.26수정)" xfId="1191" xr:uid="{00000000-0005-0000-0000-0000A9040000}"/>
    <cellStyle name="콤_IQS00년 상반기보고000520(소장)-1.xls Chart 156_사장님IQS개선회의(조립생기팀0816)_인상시부담액(임,단협(1).04.26수정)_다대포 해수욕장-내역서" xfId="1192" xr:uid="{00000000-0005-0000-0000-0000AA040000}"/>
    <cellStyle name="콤_IQS00년 상반기보고000520(소장)-1.xls Chart 156_사장님IQS개선회의(조립생기팀0816)_인상시부담액(임,단협(1).04.26수정)_조형물 내역서(원본)" xfId="1193" xr:uid="{00000000-0005-0000-0000-0000AB040000}"/>
    <cellStyle name="콤_IQS00년 상반기보고000520(소장)-1.xls Chart 156_사장님IQS개선회의(조립생기팀0816)_조형물 내역서(원본)" xfId="1194" xr:uid="{00000000-0005-0000-0000-0000AC040000}"/>
    <cellStyle name="콤_IQS00년 상반기보고000520(소장)-1.xls Chart 156_인상시부담액(임,단협(1).04.26수정)" xfId="1195" xr:uid="{00000000-0005-0000-0000-0000AD040000}"/>
    <cellStyle name="콤_IQS00년 상반기보고000520(소장)-1.xls Chart 156_인상시부담액(임,단협(1).04.26수정)_다대포 해수욕장-내역서" xfId="1196" xr:uid="{00000000-0005-0000-0000-0000AE040000}"/>
    <cellStyle name="콤_IQS00년 상반기보고000520(소장)-1.xls Chart 156_인상시부담액(임,단협(1).04.26수정)_조형물 내역서(원본)" xfId="1197" xr:uid="{00000000-0005-0000-0000-0000AF040000}"/>
    <cellStyle name="콤_IQS00년 상반기보고000520(소장)-1.xls Chart 156_정이사님보고0907" xfId="1198" xr:uid="{00000000-0005-0000-0000-0000B0040000}"/>
    <cellStyle name="콤_IQS00년 상반기보고000520(소장)-1.xls Chart 156_정이사님보고0907_Book1" xfId="1199" xr:uid="{00000000-0005-0000-0000-0000B1040000}"/>
    <cellStyle name="콤_IQS00년 상반기보고000520(소장)-1.xls Chart 156_정이사님보고0907_Book1_다대포 해수욕장-내역서" xfId="1200" xr:uid="{00000000-0005-0000-0000-0000B2040000}"/>
    <cellStyle name="콤_IQS00년 상반기보고000520(소장)-1.xls Chart 156_정이사님보고0907_Book1_조형물 내역서(원본)" xfId="1201" xr:uid="{00000000-0005-0000-0000-0000B3040000}"/>
    <cellStyle name="콤_IQS00년 상반기보고000520(소장)-1.xls Chart 156_정이사님보고0907_다대포 해수욕장-내역서" xfId="1202" xr:uid="{00000000-0005-0000-0000-0000B4040000}"/>
    <cellStyle name="콤_IQS00년 상반기보고000520(소장)-1.xls Chart 156_정이사님보고0907_인상시부담액(임,단협(1).04.26수정)" xfId="1203" xr:uid="{00000000-0005-0000-0000-0000B5040000}"/>
    <cellStyle name="콤_IQS00년 상반기보고000520(소장)-1.xls Chart 156_정이사님보고0907_인상시부담액(임,단협(1).04.26수정)_다대포 해수욕장-내역서" xfId="1204" xr:uid="{00000000-0005-0000-0000-0000B6040000}"/>
    <cellStyle name="콤_IQS00년 상반기보고000520(소장)-1.xls Chart 156_정이사님보고0907_인상시부담액(임,단협(1).04.26수정)_조형물 내역서(원본)" xfId="1205" xr:uid="{00000000-0005-0000-0000-0000B7040000}"/>
    <cellStyle name="콤_IQS00년 상반기보고000520(소장)-1.xls Chart 156_정이사님보고0907_조형물 내역서(원본)" xfId="1206" xr:uid="{00000000-0005-0000-0000-0000B8040000}"/>
    <cellStyle name="콤_IQS00년 상반기보고000520(소장)-1.xls Chart 156_조형물 내역서(원본)" xfId="1207" xr:uid="{00000000-0005-0000-0000-0000B9040000}"/>
    <cellStyle name="콤_IQS00년 상반기보고000520(소장)-1.xls Chart 157" xfId="1208" xr:uid="{00000000-0005-0000-0000-0000BA040000}"/>
    <cellStyle name="콤_IQS00년 상반기보고000520(소장)-1.xls Chart 157_Book1" xfId="1209" xr:uid="{00000000-0005-0000-0000-0000BB040000}"/>
    <cellStyle name="콤_IQS00년 상반기보고000520(소장)-1.xls Chart 157_Book1_다대포 해수욕장-내역서" xfId="1210" xr:uid="{00000000-0005-0000-0000-0000BC040000}"/>
    <cellStyle name="콤_IQS00년 상반기보고000520(소장)-1.xls Chart 157_Book1_조형물 내역서(원본)" xfId="1211" xr:uid="{00000000-0005-0000-0000-0000BD040000}"/>
    <cellStyle name="콤_IQS00년 상반기보고000520(소장)-1.xls Chart 157_다대포 해수욕장-내역서" xfId="1212" xr:uid="{00000000-0005-0000-0000-0000BE040000}"/>
    <cellStyle name="콤_IQS00년 상반기보고000520(소장)-1.xls Chart 157_사장님IQS개선회의(조립생기팀0816)" xfId="1213" xr:uid="{00000000-0005-0000-0000-0000BF040000}"/>
    <cellStyle name="콤_IQS00년 상반기보고000520(소장)-1.xls Chart 157_사장님IQS개선회의(조립생기팀0816)_Book1" xfId="1214" xr:uid="{00000000-0005-0000-0000-0000C0040000}"/>
    <cellStyle name="콤_IQS00년 상반기보고000520(소장)-1.xls Chart 157_사장님IQS개선회의(조립생기팀0816)_Book1_다대포 해수욕장-내역서" xfId="1215" xr:uid="{00000000-0005-0000-0000-0000C1040000}"/>
    <cellStyle name="콤_IQS00년 상반기보고000520(소장)-1.xls Chart 157_사장님IQS개선회의(조립생기팀0816)_Book1_조형물 내역서(원본)" xfId="1216" xr:uid="{00000000-0005-0000-0000-0000C2040000}"/>
    <cellStyle name="콤_IQS00년 상반기보고000520(소장)-1.xls Chart 157_사장님IQS개선회의(조립생기팀0816)_다대포 해수욕장-내역서" xfId="1217" xr:uid="{00000000-0005-0000-0000-0000C3040000}"/>
    <cellStyle name="콤_IQS00년 상반기보고000520(소장)-1.xls Chart 157_사장님IQS개선회의(조립생기팀0816)_인상시부담액(임,단협(1).04.26수정)" xfId="1218" xr:uid="{00000000-0005-0000-0000-0000C4040000}"/>
    <cellStyle name="콤_IQS00년 상반기보고000520(소장)-1.xls Chart 157_사장님IQS개선회의(조립생기팀0816)_인상시부담액(임,단협(1).04.26수정)_다대포 해수욕장-내역서" xfId="1219" xr:uid="{00000000-0005-0000-0000-0000C5040000}"/>
    <cellStyle name="콤_IQS00년 상반기보고000520(소장)-1.xls Chart 157_사장님IQS개선회의(조립생기팀0816)_인상시부담액(임,단협(1).04.26수정)_조형물 내역서(원본)" xfId="1220" xr:uid="{00000000-0005-0000-0000-0000C6040000}"/>
    <cellStyle name="콤_IQS00년 상반기보고000520(소장)-1.xls Chart 157_사장님IQS개선회의(조립생기팀0816)_조형물 내역서(원본)" xfId="1221" xr:uid="{00000000-0005-0000-0000-0000C7040000}"/>
    <cellStyle name="콤_IQS00년 상반기보고000520(소장)-1.xls Chart 157_인상시부담액(임,단협(1).04.26수정)" xfId="1222" xr:uid="{00000000-0005-0000-0000-0000C8040000}"/>
    <cellStyle name="콤_IQS00년 상반기보고000520(소장)-1.xls Chart 157_인상시부담액(임,단협(1).04.26수정)_다대포 해수욕장-내역서" xfId="1223" xr:uid="{00000000-0005-0000-0000-0000C9040000}"/>
    <cellStyle name="콤_IQS00년 상반기보고000520(소장)-1.xls Chart 157_인상시부담액(임,단협(1).04.26수정)_조형물 내역서(원본)" xfId="1224" xr:uid="{00000000-0005-0000-0000-0000CA040000}"/>
    <cellStyle name="콤_IQS00년 상반기보고000520(소장)-1.xls Chart 157_정이사님보고0907" xfId="1225" xr:uid="{00000000-0005-0000-0000-0000CB040000}"/>
    <cellStyle name="콤_IQS00년 상반기보고000520(소장)-1.xls Chart 157_정이사님보고0907_Book1" xfId="1226" xr:uid="{00000000-0005-0000-0000-0000CC040000}"/>
    <cellStyle name="콤_IQS00년 상반기보고000520(소장)-1.xls Chart 157_정이사님보고0907_Book1_다대포 해수욕장-내역서" xfId="1227" xr:uid="{00000000-0005-0000-0000-0000CD040000}"/>
    <cellStyle name="콤_IQS00년 상반기보고000520(소장)-1.xls Chart 157_정이사님보고0907_Book1_조형물 내역서(원본)" xfId="1228" xr:uid="{00000000-0005-0000-0000-0000CE040000}"/>
    <cellStyle name="콤_IQS00년 상반기보고000520(소장)-1.xls Chart 157_정이사님보고0907_다대포 해수욕장-내역서" xfId="1229" xr:uid="{00000000-0005-0000-0000-0000CF040000}"/>
    <cellStyle name="콤_IQS00년 상반기보고000520(소장)-1.xls Chart 157_정이사님보고0907_인상시부담액(임,단협(1).04.26수정)" xfId="1230" xr:uid="{00000000-0005-0000-0000-0000D0040000}"/>
    <cellStyle name="콤_IQS00년 상반기보고000520(소장)-1.xls Chart 157_정이사님보고0907_인상시부담액(임,단협(1).04.26수정)_다대포 해수욕장-내역서" xfId="1231" xr:uid="{00000000-0005-0000-0000-0000D1040000}"/>
    <cellStyle name="콤_IQS00년 상반기보고000520(소장)-1.xls Chart 157_정이사님보고0907_인상시부담액(임,단협(1).04.26수정)_조형물 내역서(원본)" xfId="1232" xr:uid="{00000000-0005-0000-0000-0000D2040000}"/>
    <cellStyle name="콤_IQS00년 상반기보고000520(소장)-1.xls Chart 157_정이사님보고0907_조형물 내역서(원본)" xfId="1233" xr:uid="{00000000-0005-0000-0000-0000D3040000}"/>
    <cellStyle name="콤_IQS00년 상반기보고000520(소장)-1.xls Chart 157_조형물 내역서(원본)" xfId="1234" xr:uid="{00000000-0005-0000-0000-0000D4040000}"/>
    <cellStyle name="콤_IQS00년 상반기보고000520(소장)-1.xls Chart 158" xfId="1235" xr:uid="{00000000-0005-0000-0000-0000D5040000}"/>
    <cellStyle name="콤_IQS00년 상반기보고000520(소장)-1.xls Chart 158_Book1" xfId="1236" xr:uid="{00000000-0005-0000-0000-0000D6040000}"/>
    <cellStyle name="콤_IQS00년 상반기보고000520(소장)-1.xls Chart 158_Book1_다대포 해수욕장-내역서" xfId="1237" xr:uid="{00000000-0005-0000-0000-0000D7040000}"/>
    <cellStyle name="콤_IQS00년 상반기보고000520(소장)-1.xls Chart 158_Book1_조형물 내역서(원본)" xfId="1238" xr:uid="{00000000-0005-0000-0000-0000D8040000}"/>
    <cellStyle name="콤_IQS00년 상반기보고000520(소장)-1.xls Chart 158_다대포 해수욕장-내역서" xfId="1239" xr:uid="{00000000-0005-0000-0000-0000D9040000}"/>
    <cellStyle name="콤_IQS00년 상반기보고000520(소장)-1.xls Chart 158_사장님IQS개선회의(조립생기팀0816)" xfId="1240" xr:uid="{00000000-0005-0000-0000-0000DA040000}"/>
    <cellStyle name="콤_IQS00년 상반기보고000520(소장)-1.xls Chart 158_사장님IQS개선회의(조립생기팀0816)_Book1" xfId="1241" xr:uid="{00000000-0005-0000-0000-0000DB040000}"/>
    <cellStyle name="콤_IQS00년 상반기보고000520(소장)-1.xls Chart 158_사장님IQS개선회의(조립생기팀0816)_Book1_다대포 해수욕장-내역서" xfId="1242" xr:uid="{00000000-0005-0000-0000-0000DC040000}"/>
    <cellStyle name="콤_IQS00년 상반기보고000520(소장)-1.xls Chart 158_사장님IQS개선회의(조립생기팀0816)_Book1_조형물 내역서(원본)" xfId="1243" xr:uid="{00000000-0005-0000-0000-0000DD040000}"/>
    <cellStyle name="콤_IQS00년 상반기보고000520(소장)-1.xls Chart 158_사장님IQS개선회의(조립생기팀0816)_다대포 해수욕장-내역서" xfId="1244" xr:uid="{00000000-0005-0000-0000-0000DE040000}"/>
    <cellStyle name="콤_IQS00년 상반기보고000520(소장)-1.xls Chart 158_사장님IQS개선회의(조립생기팀0816)_인상시부담액(임,단협(1).04.26수정)" xfId="1245" xr:uid="{00000000-0005-0000-0000-0000DF040000}"/>
    <cellStyle name="콤_IQS00년 상반기보고000520(소장)-1.xls Chart 158_사장님IQS개선회의(조립생기팀0816)_인상시부담액(임,단협(1).04.26수정)_다대포 해수욕장-내역서" xfId="1246" xr:uid="{00000000-0005-0000-0000-0000E0040000}"/>
    <cellStyle name="콤_IQS00년 상반기보고000520(소장)-1.xls Chart 158_사장님IQS개선회의(조립생기팀0816)_인상시부담액(임,단협(1).04.26수정)_조형물 내역서(원본)" xfId="1247" xr:uid="{00000000-0005-0000-0000-0000E1040000}"/>
    <cellStyle name="콤_IQS00년 상반기보고000520(소장)-1.xls Chart 158_사장님IQS개선회의(조립생기팀0816)_조형물 내역서(원본)" xfId="1248" xr:uid="{00000000-0005-0000-0000-0000E2040000}"/>
    <cellStyle name="콤_IQS00년 상반기보고000520(소장)-1.xls Chart 158_인상시부담액(임,단협(1).04.26수정)" xfId="1249" xr:uid="{00000000-0005-0000-0000-0000E3040000}"/>
    <cellStyle name="콤_IQS00년 상반기보고000520(소장)-1.xls Chart 158_인상시부담액(임,단협(1).04.26수정)_다대포 해수욕장-내역서" xfId="1250" xr:uid="{00000000-0005-0000-0000-0000E4040000}"/>
    <cellStyle name="콤_IQS00년 상반기보고000520(소장)-1.xls Chart 158_인상시부담액(임,단협(1).04.26수정)_조형물 내역서(원본)" xfId="1251" xr:uid="{00000000-0005-0000-0000-0000E5040000}"/>
    <cellStyle name="콤_IQS00년 상반기보고000520(소장)-1.xls Chart 158_정이사님보고0907" xfId="1252" xr:uid="{00000000-0005-0000-0000-0000E6040000}"/>
    <cellStyle name="콤_IQS00년 상반기보고000520(소장)-1.xls Chart 158_정이사님보고0907_Book1" xfId="1253" xr:uid="{00000000-0005-0000-0000-0000E7040000}"/>
    <cellStyle name="콤_IQS00년 상반기보고000520(소장)-1.xls Chart 158_정이사님보고0907_Book1_다대포 해수욕장-내역서" xfId="1254" xr:uid="{00000000-0005-0000-0000-0000E8040000}"/>
    <cellStyle name="콤_IQS00년 상반기보고000520(소장)-1.xls Chart 158_정이사님보고0907_Book1_조형물 내역서(원본)" xfId="1255" xr:uid="{00000000-0005-0000-0000-0000E9040000}"/>
    <cellStyle name="콤_IQS00년 상반기보고000520(소장)-1.xls Chart 158_정이사님보고0907_다대포 해수욕장-내역서" xfId="1256" xr:uid="{00000000-0005-0000-0000-0000EA040000}"/>
    <cellStyle name="콤_IQS00년 상반기보고000520(소장)-1.xls Chart 158_정이사님보고0907_인상시부담액(임,단협(1).04.26수정)" xfId="1257" xr:uid="{00000000-0005-0000-0000-0000EB040000}"/>
    <cellStyle name="콤_IQS00년 상반기보고000520(소장)-1.xls Chart 158_정이사님보고0907_인상시부담액(임,단협(1).04.26수정)_다대포 해수욕장-내역서" xfId="1258" xr:uid="{00000000-0005-0000-0000-0000EC040000}"/>
    <cellStyle name="콤_IQS00년 상반기보고000520(소장)-1.xls Chart 158_정이사님보고0907_인상시부담액(임,단협(1).04.26수정)_조형물 내역서(원본)" xfId="1259" xr:uid="{00000000-0005-0000-0000-0000ED040000}"/>
    <cellStyle name="콤_IQS00년 상반기보고000520(소장)-1.xls Chart 158_정이사님보고0907_조형물 내역서(원본)" xfId="1260" xr:uid="{00000000-0005-0000-0000-0000EE040000}"/>
    <cellStyle name="콤_IQS00년 상반기보고000520(소장)-1.xls Chart 158_조형물 내역서(원본)" xfId="1261" xr:uid="{00000000-0005-0000-0000-0000EF040000}"/>
    <cellStyle name="콤_IQS00년 상반기보고000520(소장)-1.xls Chart 160" xfId="1262" xr:uid="{00000000-0005-0000-0000-0000F0040000}"/>
    <cellStyle name="콤_IQS00년 상반기보고000520(소장)-1.xls Chart 160_Book1" xfId="1263" xr:uid="{00000000-0005-0000-0000-0000F1040000}"/>
    <cellStyle name="콤_IQS00년 상반기보고000520(소장)-1.xls Chart 160_Book1_다대포 해수욕장-내역서" xfId="1264" xr:uid="{00000000-0005-0000-0000-0000F2040000}"/>
    <cellStyle name="콤_IQS00년 상반기보고000520(소장)-1.xls Chart 160_Book1_조형물 내역서(원본)" xfId="1265" xr:uid="{00000000-0005-0000-0000-0000F3040000}"/>
    <cellStyle name="콤_IQS00년 상반기보고000520(소장)-1.xls Chart 160_다대포 해수욕장-내역서" xfId="1266" xr:uid="{00000000-0005-0000-0000-0000F4040000}"/>
    <cellStyle name="콤_IQS00년 상반기보고000520(소장)-1.xls Chart 160_사장님IQS개선회의(조립생기팀0816)" xfId="1267" xr:uid="{00000000-0005-0000-0000-0000F5040000}"/>
    <cellStyle name="콤_IQS00년 상반기보고000520(소장)-1.xls Chart 160_사장님IQS개선회의(조립생기팀0816)_Book1" xfId="1268" xr:uid="{00000000-0005-0000-0000-0000F6040000}"/>
    <cellStyle name="콤_IQS00년 상반기보고000520(소장)-1.xls Chart 160_사장님IQS개선회의(조립생기팀0816)_Book1_다대포 해수욕장-내역서" xfId="1269" xr:uid="{00000000-0005-0000-0000-0000F7040000}"/>
    <cellStyle name="콤_IQS00년 상반기보고000520(소장)-1.xls Chart 160_사장님IQS개선회의(조립생기팀0816)_Book1_조형물 내역서(원본)" xfId="1270" xr:uid="{00000000-0005-0000-0000-0000F8040000}"/>
    <cellStyle name="콤_IQS00년 상반기보고000520(소장)-1.xls Chart 160_사장님IQS개선회의(조립생기팀0816)_다대포 해수욕장-내역서" xfId="1271" xr:uid="{00000000-0005-0000-0000-0000F9040000}"/>
    <cellStyle name="콤_IQS00년 상반기보고000520(소장)-1.xls Chart 160_사장님IQS개선회의(조립생기팀0816)_인상시부담액(임,단협(1).04.26수정)" xfId="1272" xr:uid="{00000000-0005-0000-0000-0000FA040000}"/>
    <cellStyle name="콤_IQS00년 상반기보고000520(소장)-1.xls Chart 160_사장님IQS개선회의(조립생기팀0816)_인상시부담액(임,단협(1).04.26수정)_다대포 해수욕장-내역서" xfId="1273" xr:uid="{00000000-0005-0000-0000-0000FB040000}"/>
    <cellStyle name="콤_IQS00년 상반기보고000520(소장)-1.xls Chart 160_사장님IQS개선회의(조립생기팀0816)_인상시부담액(임,단협(1).04.26수정)_조형물 내역서(원본)" xfId="1274" xr:uid="{00000000-0005-0000-0000-0000FC040000}"/>
    <cellStyle name="콤_IQS00년 상반기보고000520(소장)-1.xls Chart 160_사장님IQS개선회의(조립생기팀0816)_조형물 내역서(원본)" xfId="1275" xr:uid="{00000000-0005-0000-0000-0000FD040000}"/>
    <cellStyle name="콤_IQS00년 상반기보고000520(소장)-1.xls Chart 160_인상시부담액(임,단협(1).04.26수정)" xfId="1276" xr:uid="{00000000-0005-0000-0000-0000FE040000}"/>
    <cellStyle name="콤_IQS00년 상반기보고000520(소장)-1.xls Chart 160_인상시부담액(임,단협(1).04.26수정)_다대포 해수욕장-내역서" xfId="1277" xr:uid="{00000000-0005-0000-0000-0000FF040000}"/>
    <cellStyle name="콤_IQS00년 상반기보고000520(소장)-1.xls Chart 160_인상시부담액(임,단협(1).04.26수정)_조형물 내역서(원본)" xfId="1278" xr:uid="{00000000-0005-0000-0000-000000050000}"/>
    <cellStyle name="콤_IQS00년 상반기보고000520(소장)-1.xls Chart 160_정이사님보고0907" xfId="1279" xr:uid="{00000000-0005-0000-0000-000001050000}"/>
    <cellStyle name="콤_IQS00년 상반기보고000520(소장)-1.xls Chart 160_정이사님보고0907_Book1" xfId="1280" xr:uid="{00000000-0005-0000-0000-000002050000}"/>
    <cellStyle name="콤_IQS00년 상반기보고000520(소장)-1.xls Chart 160_정이사님보고0907_Book1_다대포 해수욕장-내역서" xfId="1281" xr:uid="{00000000-0005-0000-0000-000003050000}"/>
    <cellStyle name="콤_IQS00년 상반기보고000520(소장)-1.xls Chart 160_정이사님보고0907_Book1_조형물 내역서(원본)" xfId="1282" xr:uid="{00000000-0005-0000-0000-000004050000}"/>
    <cellStyle name="콤_IQS00년 상반기보고000520(소장)-1.xls Chart 160_정이사님보고0907_다대포 해수욕장-내역서" xfId="1283" xr:uid="{00000000-0005-0000-0000-000005050000}"/>
    <cellStyle name="콤_IQS00년 상반기보고000520(소장)-1.xls Chart 160_정이사님보고0907_인상시부담액(임,단협(1).04.26수정)" xfId="1284" xr:uid="{00000000-0005-0000-0000-000006050000}"/>
    <cellStyle name="콤_IQS00년 상반기보고000520(소장)-1.xls Chart 160_정이사님보고0907_인상시부담액(임,단협(1).04.26수정)_다대포 해수욕장-내역서" xfId="1285" xr:uid="{00000000-0005-0000-0000-000007050000}"/>
    <cellStyle name="콤_IQS00년 상반기보고000520(소장)-1.xls Chart 160_정이사님보고0907_인상시부담액(임,단협(1).04.26수정)_조형물 내역서(원본)" xfId="1286" xr:uid="{00000000-0005-0000-0000-000008050000}"/>
    <cellStyle name="콤_IQS00년 상반기보고000520(소장)-1.xls Chart 160_정이사님보고0907_조형물 내역서(원본)" xfId="1287" xr:uid="{00000000-0005-0000-0000-000009050000}"/>
    <cellStyle name="콤_IQS00년 상반기보고000520(소장)-1.xls Chart 160_조형물 내역서(원본)" xfId="1288" xr:uid="{00000000-0005-0000-0000-00000A050000}"/>
    <cellStyle name="콤_IQS00년 상반기보고000520(소장)-1.xls Chart 161" xfId="1289" xr:uid="{00000000-0005-0000-0000-00000B050000}"/>
    <cellStyle name="콤_IQS00년 상반기보고000520(소장)-1.xls Chart 161_Book1" xfId="1290" xr:uid="{00000000-0005-0000-0000-00000C050000}"/>
    <cellStyle name="콤_IQS00년 상반기보고000520(소장)-1.xls Chart 161_Book1_다대포 해수욕장-내역서" xfId="1291" xr:uid="{00000000-0005-0000-0000-00000D050000}"/>
    <cellStyle name="콤_IQS00년 상반기보고000520(소장)-1.xls Chart 161_Book1_조형물 내역서(원본)" xfId="1292" xr:uid="{00000000-0005-0000-0000-00000E050000}"/>
    <cellStyle name="콤_IQS00년 상반기보고000520(소장)-1.xls Chart 161_다대포 해수욕장-내역서" xfId="1293" xr:uid="{00000000-0005-0000-0000-00000F050000}"/>
    <cellStyle name="콤_IQS00년 상반기보고000520(소장)-1.xls Chart 161_사장님IQS개선회의(조립생기팀0816)" xfId="1294" xr:uid="{00000000-0005-0000-0000-000010050000}"/>
    <cellStyle name="콤_IQS00년 상반기보고000520(소장)-1.xls Chart 161_사장님IQS개선회의(조립생기팀0816)_Book1" xfId="1295" xr:uid="{00000000-0005-0000-0000-000011050000}"/>
    <cellStyle name="콤_IQS00년 상반기보고000520(소장)-1.xls Chart 161_사장님IQS개선회의(조립생기팀0816)_Book1_다대포 해수욕장-내역서" xfId="1296" xr:uid="{00000000-0005-0000-0000-000012050000}"/>
    <cellStyle name="콤_IQS00년 상반기보고000520(소장)-1.xls Chart 161_사장님IQS개선회의(조립생기팀0816)_Book1_조형물 내역서(원본)" xfId="1297" xr:uid="{00000000-0005-0000-0000-000013050000}"/>
    <cellStyle name="콤_IQS00년 상반기보고000520(소장)-1.xls Chart 161_사장님IQS개선회의(조립생기팀0816)_다대포 해수욕장-내역서" xfId="1298" xr:uid="{00000000-0005-0000-0000-000014050000}"/>
    <cellStyle name="콤_IQS00년 상반기보고000520(소장)-1.xls Chart 161_사장님IQS개선회의(조립생기팀0816)_인상시부담액(임,단협(1).04.26수정)" xfId="1299" xr:uid="{00000000-0005-0000-0000-000015050000}"/>
    <cellStyle name="콤_IQS00년 상반기보고000520(소장)-1.xls Chart 161_사장님IQS개선회의(조립생기팀0816)_인상시부담액(임,단협(1).04.26수정)_다대포 해수욕장-내역서" xfId="1300" xr:uid="{00000000-0005-0000-0000-000016050000}"/>
    <cellStyle name="콤_IQS00년 상반기보고000520(소장)-1.xls Chart 161_사장님IQS개선회의(조립생기팀0816)_인상시부담액(임,단협(1).04.26수정)_조형물 내역서(원본)" xfId="1301" xr:uid="{00000000-0005-0000-0000-000017050000}"/>
    <cellStyle name="콤_IQS00년 상반기보고000520(소장)-1.xls Chart 161_사장님IQS개선회의(조립생기팀0816)_조형물 내역서(원본)" xfId="1302" xr:uid="{00000000-0005-0000-0000-000018050000}"/>
    <cellStyle name="콤_IQS00년 상반기보고000520(소장)-1.xls Chart 161_인상시부담액(임,단협(1).04.26수정)" xfId="1303" xr:uid="{00000000-0005-0000-0000-000019050000}"/>
    <cellStyle name="콤_IQS00년 상반기보고000520(소장)-1.xls Chart 161_인상시부담액(임,단협(1).04.26수정)_다대포 해수욕장-내역서" xfId="1304" xr:uid="{00000000-0005-0000-0000-00001A050000}"/>
    <cellStyle name="콤_IQS00년 상반기보고000520(소장)-1.xls Chart 161_인상시부담액(임,단협(1).04.26수정)_조형물 내역서(원본)" xfId="1305" xr:uid="{00000000-0005-0000-0000-00001B050000}"/>
    <cellStyle name="콤_IQS00년 상반기보고000520(소장)-1.xls Chart 161_정이사님보고0907" xfId="1306" xr:uid="{00000000-0005-0000-0000-00001C050000}"/>
    <cellStyle name="콤_IQS00년 상반기보고000520(소장)-1.xls Chart 161_정이사님보고0907_Book1" xfId="1307" xr:uid="{00000000-0005-0000-0000-00001D050000}"/>
    <cellStyle name="콤_IQS00년 상반기보고000520(소장)-1.xls Chart 161_정이사님보고0907_Book1_다대포 해수욕장-내역서" xfId="1308" xr:uid="{00000000-0005-0000-0000-00001E050000}"/>
    <cellStyle name="콤_IQS00년 상반기보고000520(소장)-1.xls Chart 161_정이사님보고0907_Book1_조형물 내역서(원본)" xfId="1309" xr:uid="{00000000-0005-0000-0000-00001F050000}"/>
    <cellStyle name="콤_IQS00년 상반기보고000520(소장)-1.xls Chart 161_정이사님보고0907_다대포 해수욕장-내역서" xfId="1310" xr:uid="{00000000-0005-0000-0000-000020050000}"/>
    <cellStyle name="콤_IQS00년 상반기보고000520(소장)-1.xls Chart 161_정이사님보고0907_인상시부담액(임,단협(1).04.26수정)" xfId="1311" xr:uid="{00000000-0005-0000-0000-000021050000}"/>
    <cellStyle name="콤_IQS00년 상반기보고000520(소장)-1.xls Chart 161_정이사님보고0907_인상시부담액(임,단협(1).04.26수정)_다대포 해수욕장-내역서" xfId="1312" xr:uid="{00000000-0005-0000-0000-000022050000}"/>
    <cellStyle name="콤_IQS00년 상반기보고000520(소장)-1.xls Chart 161_정이사님보고0907_인상시부담액(임,단협(1).04.26수정)_조형물 내역서(원본)" xfId="1313" xr:uid="{00000000-0005-0000-0000-000023050000}"/>
    <cellStyle name="콤_IQS00년 상반기보고000520(소장)-1.xls Chart 161_정이사님보고0907_조형물 내역서(원본)" xfId="1314" xr:uid="{00000000-0005-0000-0000-000024050000}"/>
    <cellStyle name="콤_IQS00년 상반기보고000520(소장)-1.xls Chart 161_조형물 내역서(원본)" xfId="1315" xr:uid="{00000000-0005-0000-0000-000025050000}"/>
    <cellStyle name="콤_IQS00년 상반기보고000520(소장)-1_Book1" xfId="1316" xr:uid="{00000000-0005-0000-0000-000026050000}"/>
    <cellStyle name="콤_IQS00년 상반기보고000520(소장)-1_Book1_다대포 해수욕장-내역서" xfId="1317" xr:uid="{00000000-0005-0000-0000-000027050000}"/>
    <cellStyle name="콤_IQS00년 상반기보고000520(소장)-1_Book1_조형물 내역서(원본)" xfId="1318" xr:uid="{00000000-0005-0000-0000-000028050000}"/>
    <cellStyle name="콤_IQS00년 상반기보고000520(소장)-1_다대포 해수욕장-내역서" xfId="1319" xr:uid="{00000000-0005-0000-0000-000029050000}"/>
    <cellStyle name="콤_IQS00년 상반기보고000520(소장)-1_사장님IQS개선회의(조립생기팀0816)" xfId="1320" xr:uid="{00000000-0005-0000-0000-00002A050000}"/>
    <cellStyle name="콤_IQS00년 상반기보고000520(소장)-1_사장님IQS개선회의(조립생기팀0816)_Book1" xfId="1321" xr:uid="{00000000-0005-0000-0000-00002B050000}"/>
    <cellStyle name="콤_IQS00년 상반기보고000520(소장)-1_사장님IQS개선회의(조립생기팀0816)_Book1_다대포 해수욕장-내역서" xfId="1322" xr:uid="{00000000-0005-0000-0000-00002C050000}"/>
    <cellStyle name="콤_IQS00년 상반기보고000520(소장)-1_사장님IQS개선회의(조립생기팀0816)_Book1_조형물 내역서(원본)" xfId="1323" xr:uid="{00000000-0005-0000-0000-00002D050000}"/>
    <cellStyle name="콤_IQS00년 상반기보고000520(소장)-1_사장님IQS개선회의(조립생기팀0816)_다대포 해수욕장-내역서" xfId="1324" xr:uid="{00000000-0005-0000-0000-00002E050000}"/>
    <cellStyle name="콤_IQS00년 상반기보고000520(소장)-1_사장님IQS개선회의(조립생기팀0816)_인상시부담액(임,단협(1).04.26수정)" xfId="1325" xr:uid="{00000000-0005-0000-0000-00002F050000}"/>
    <cellStyle name="콤_IQS00년 상반기보고000520(소장)-1_사장님IQS개선회의(조립생기팀0816)_인상시부담액(임,단협(1).04.26수정)_다대포 해수욕장-내역서" xfId="1326" xr:uid="{00000000-0005-0000-0000-000030050000}"/>
    <cellStyle name="콤_IQS00년 상반기보고000520(소장)-1_사장님IQS개선회의(조립생기팀0816)_인상시부담액(임,단협(1).04.26수정)_조형물 내역서(원본)" xfId="1327" xr:uid="{00000000-0005-0000-0000-000031050000}"/>
    <cellStyle name="콤_IQS00년 상반기보고000520(소장)-1_사장님IQS개선회의(조립생기팀0816)_조형물 내역서(원본)" xfId="1328" xr:uid="{00000000-0005-0000-0000-000032050000}"/>
    <cellStyle name="콤_IQS00년 상반기보고000520(소장)-1_인상시부담액(임,단협(1).04.26수정)" xfId="1329" xr:uid="{00000000-0005-0000-0000-000033050000}"/>
    <cellStyle name="콤_IQS00년 상반기보고000520(소장)-1_인상시부담액(임,단협(1).04.26수정)_다대포 해수욕장-내역서" xfId="1330" xr:uid="{00000000-0005-0000-0000-000034050000}"/>
    <cellStyle name="콤_IQS00년 상반기보고000520(소장)-1_인상시부담액(임,단협(1).04.26수정)_조형물 내역서(원본)" xfId="1331" xr:uid="{00000000-0005-0000-0000-000035050000}"/>
    <cellStyle name="콤_IQS00년 상반기보고000520(소장)-1_정이사님보고0907" xfId="1332" xr:uid="{00000000-0005-0000-0000-000036050000}"/>
    <cellStyle name="콤_IQS00년 상반기보고000520(소장)-1_정이사님보고0907_Book1" xfId="1333" xr:uid="{00000000-0005-0000-0000-000037050000}"/>
    <cellStyle name="콤_IQS00년 상반기보고000520(소장)-1_정이사님보고0907_Book1_다대포 해수욕장-내역서" xfId="1334" xr:uid="{00000000-0005-0000-0000-000038050000}"/>
    <cellStyle name="콤_IQS00년 상반기보고000520(소장)-1_정이사님보고0907_Book1_조형물 내역서(원본)" xfId="1335" xr:uid="{00000000-0005-0000-0000-000039050000}"/>
    <cellStyle name="콤_IQS00년 상반기보고000520(소장)-1_정이사님보고0907_다대포 해수욕장-내역서" xfId="1336" xr:uid="{00000000-0005-0000-0000-00003A050000}"/>
    <cellStyle name="콤_IQS00년 상반기보고000520(소장)-1_정이사님보고0907_인상시부담액(임,단협(1).04.26수정)" xfId="1337" xr:uid="{00000000-0005-0000-0000-00003B050000}"/>
    <cellStyle name="콤_IQS00년 상반기보고000520(소장)-1_정이사님보고0907_인상시부담액(임,단협(1).04.26수정)_다대포 해수욕장-내역서" xfId="1338" xr:uid="{00000000-0005-0000-0000-00003C050000}"/>
    <cellStyle name="콤_IQS00년 상반기보고000520(소장)-1_정이사님보고0907_인상시부담액(임,단협(1).04.26수정)_조형물 내역서(원본)" xfId="1339" xr:uid="{00000000-0005-0000-0000-00003D050000}"/>
    <cellStyle name="콤_IQS00년 상반기보고000520(소장)-1_정이사님보고0907_조형물 내역서(원본)" xfId="1340" xr:uid="{00000000-0005-0000-0000-00003E050000}"/>
    <cellStyle name="콤_IQS00년 상반기보고000520(소장)-1_조형물 내역서(원본)" xfId="1341" xr:uid="{00000000-0005-0000-0000-00003F050000}"/>
    <cellStyle name="콤_다대포 해수욕장-내역서" xfId="1342" xr:uid="{00000000-0005-0000-0000-000040050000}"/>
    <cellStyle name="콤_다대포 해수욕장-내역서 2" xfId="1343" xr:uid="{00000000-0005-0000-0000-000041050000}"/>
    <cellStyle name="콤_다대포 해수욕장-내역서 3" xfId="1344" xr:uid="{00000000-0005-0000-0000-000042050000}"/>
    <cellStyle name="콤_다대포 해수욕장-내역서 4" xfId="1345" xr:uid="{00000000-0005-0000-0000-000043050000}"/>
    <cellStyle name="콤_다대포 해수욕장-내역서 5" xfId="1346" xr:uid="{00000000-0005-0000-0000-000044050000}"/>
    <cellStyle name="콤_다대포 해수욕장-내역서_5공구 내역서" xfId="1347" xr:uid="{00000000-0005-0000-0000-000045050000}"/>
    <cellStyle name="콤_다대포 해수욕장-내역서_5공구 내역서1" xfId="1348" xr:uid="{00000000-0005-0000-0000-000046050000}"/>
    <cellStyle name="콤_다대포 해수욕장-내역서_경관조명-내역서(20100423)" xfId="1349" xr:uid="{00000000-0005-0000-0000-000047050000}"/>
    <cellStyle name="콤_다대포 해수욕장-내역서_경관조명-내역서(20100726)" xfId="1350" xr:uid="{00000000-0005-0000-0000-000048050000}"/>
    <cellStyle name="콤_다대포 해수욕장-내역서_경관조명-내역서(20100803)" xfId="1351" xr:uid="{00000000-0005-0000-0000-000049050000}"/>
    <cellStyle name="콤_다대포 해수욕장-내역서_남한강내역서" xfId="1352" xr:uid="{00000000-0005-0000-0000-00004A050000}"/>
    <cellStyle name="콤_다대포 해수욕장-내역서_내역서" xfId="1353" xr:uid="{00000000-0005-0000-0000-00004B050000}"/>
    <cellStyle name="콤_다대포 해수욕장-내역서_내역서(용훈작업)" xfId="1354" xr:uid="{00000000-0005-0000-0000-00004C050000}"/>
    <cellStyle name="콤_다대포 해수욕장-내역서_단가비교표" xfId="1355" xr:uid="{00000000-0005-0000-0000-00004D050000}"/>
    <cellStyle name="콤_다대포 해수욕장-내역서_보도블럭-1" xfId="1356" xr:uid="{00000000-0005-0000-0000-00004E050000}"/>
    <cellStyle name="콤_다대포 해수욕장-내역서_위천천 내역서" xfId="1357" xr:uid="{00000000-0005-0000-0000-00004F050000}"/>
    <cellStyle name="콤_다대포 해수욕장-내역서_전호대교-내역서(교량)-수정" xfId="1358" xr:uid="{00000000-0005-0000-0000-000050050000}"/>
    <cellStyle name="콤_다대포 해수욕장-내역서_하늘도시" xfId="1359" xr:uid="{00000000-0005-0000-0000-000051050000}"/>
    <cellStyle name="콤_다대포 해수욕장-내역서_하천 내역서" xfId="1360" xr:uid="{00000000-0005-0000-0000-000052050000}"/>
    <cellStyle name="콤_사본 - 계산서" xfId="1361" xr:uid="{00000000-0005-0000-0000-000053050000}"/>
    <cellStyle name="콤_석촌동꽃마을빌딩" xfId="1362" xr:uid="{00000000-0005-0000-0000-000054050000}"/>
    <cellStyle name="콤_성산아파트" xfId="1363" xr:uid="{00000000-0005-0000-0000-000055050000}"/>
    <cellStyle name="콤_신성교회" xfId="1364" xr:uid="{00000000-0005-0000-0000-000056050000}"/>
    <cellStyle name="콤_조형물 내역서(원본)" xfId="1365" xr:uid="{00000000-0005-0000-0000-000057050000}"/>
    <cellStyle name="콤_조형물 내역서(원본) 2" xfId="1366" xr:uid="{00000000-0005-0000-0000-000058050000}"/>
    <cellStyle name="콤_조형물 내역서(원본) 3" xfId="1367" xr:uid="{00000000-0005-0000-0000-000059050000}"/>
    <cellStyle name="콤_조형물 내역서(원본) 4" xfId="1368" xr:uid="{00000000-0005-0000-0000-00005A050000}"/>
    <cellStyle name="콤_조형물 내역서(원본) 5" xfId="1369" xr:uid="{00000000-0005-0000-0000-00005B050000}"/>
    <cellStyle name="콤_조형물 내역서(원본)_5공구 내역서" xfId="1370" xr:uid="{00000000-0005-0000-0000-00005C050000}"/>
    <cellStyle name="콤_조형물 내역서(원본)_5공구 내역서1" xfId="1371" xr:uid="{00000000-0005-0000-0000-00005D050000}"/>
    <cellStyle name="콤_조형물 내역서(원본)_경관조명-내역서(20100423)" xfId="1372" xr:uid="{00000000-0005-0000-0000-00005E050000}"/>
    <cellStyle name="콤_조형물 내역서(원본)_경관조명-내역서(20100726)" xfId="1373" xr:uid="{00000000-0005-0000-0000-00005F050000}"/>
    <cellStyle name="콤_조형물 내역서(원본)_경관조명-내역서(20100803)" xfId="1374" xr:uid="{00000000-0005-0000-0000-000060050000}"/>
    <cellStyle name="콤_조형물 내역서(원본)_남한강내역서" xfId="1375" xr:uid="{00000000-0005-0000-0000-000061050000}"/>
    <cellStyle name="콤_조형물 내역서(원본)_내역서" xfId="1376" xr:uid="{00000000-0005-0000-0000-000062050000}"/>
    <cellStyle name="콤_조형물 내역서(원본)_내역서(용훈작업)" xfId="1377" xr:uid="{00000000-0005-0000-0000-000063050000}"/>
    <cellStyle name="콤_조형물 내역서(원본)_단가비교표" xfId="1378" xr:uid="{00000000-0005-0000-0000-000064050000}"/>
    <cellStyle name="콤_조형물 내역서(원본)_보도블럭-1" xfId="1379" xr:uid="{00000000-0005-0000-0000-000065050000}"/>
    <cellStyle name="콤_조형물 내역서(원본)_위천천 내역서" xfId="1380" xr:uid="{00000000-0005-0000-0000-000066050000}"/>
    <cellStyle name="콤_조형물 내역서(원본)_전호대교-내역서(교량)-수정" xfId="1381" xr:uid="{00000000-0005-0000-0000-000067050000}"/>
    <cellStyle name="콤_조형물 내역서(원본)_하늘도시" xfId="1382" xr:uid="{00000000-0005-0000-0000-000068050000}"/>
    <cellStyle name="콤_조형물 내역서(원본)_하천 내역서" xfId="1383" xr:uid="{00000000-0005-0000-0000-000069050000}"/>
    <cellStyle name="콤마 [" xfId="1384" xr:uid="{00000000-0005-0000-0000-00006A050000}"/>
    <cellStyle name="콤마 []" xfId="1385" xr:uid="{00000000-0005-0000-0000-00006B050000}"/>
    <cellStyle name="콤마 [_다대포 해수욕장-내역서" xfId="1386" xr:uid="{00000000-0005-0000-0000-00006C050000}"/>
    <cellStyle name="콤마 [0]_ " xfId="1387" xr:uid="{00000000-0005-0000-0000-00006D050000}"/>
    <cellStyle name="콤마 [0]_일위대가산출근거" xfId="1388" xr:uid="{00000000-0005-0000-0000-00006E050000}"/>
    <cellStyle name="콤마 [2]" xfId="1389" xr:uid="{00000000-0005-0000-0000-00006F050000}"/>
    <cellStyle name="콤마,_x0005__x0014_" xfId="1390" xr:uid="{00000000-0005-0000-0000-000070050000}"/>
    <cellStyle name="콤마[,]" xfId="1391" xr:uid="{00000000-0005-0000-0000-000071050000}"/>
    <cellStyle name="콤마[0]" xfId="1392" xr:uid="{00000000-0005-0000-0000-000072050000}"/>
    <cellStyle name="콤마_ " xfId="1393" xr:uid="{00000000-0005-0000-0000-000073050000}"/>
    <cellStyle name="콤막 [0]_수출실적 _양식98" xfId="1394" xr:uid="{00000000-0005-0000-0000-000074050000}"/>
    <cellStyle name="통" xfId="1395" xr:uid="{00000000-0005-0000-0000-000075050000}"/>
    <cellStyle name="통_00년상반기현황분석(000512)-A.xls Chart 156" xfId="1396" xr:uid="{00000000-0005-0000-0000-000076050000}"/>
    <cellStyle name="통_00년상반기현황분석(000512)-A.xls Chart 156_Book1" xfId="1397" xr:uid="{00000000-0005-0000-0000-000077050000}"/>
    <cellStyle name="통_00년상반기현황분석(000512)-A.xls Chart 156_Book1_다대포 해수욕장-내역서" xfId="1398" xr:uid="{00000000-0005-0000-0000-000078050000}"/>
    <cellStyle name="통_00년상반기현황분석(000512)-A.xls Chart 156_Book1_조형물 내역서(원본)" xfId="1399" xr:uid="{00000000-0005-0000-0000-000079050000}"/>
    <cellStyle name="통_00년상반기현황분석(000512)-A.xls Chart 156_다대포 해수욕장-내역서" xfId="1400" xr:uid="{00000000-0005-0000-0000-00007A050000}"/>
    <cellStyle name="통_00년상반기현황분석(000512)-A.xls Chart 156_사장님IQS개선회의(조립생기팀0816)" xfId="1401" xr:uid="{00000000-0005-0000-0000-00007B050000}"/>
    <cellStyle name="통_00년상반기현황분석(000512)-A.xls Chart 156_사장님IQS개선회의(조립생기팀0816)_Book1" xfId="1402" xr:uid="{00000000-0005-0000-0000-00007C050000}"/>
    <cellStyle name="통_00년상반기현황분석(000512)-A.xls Chart 156_사장님IQS개선회의(조립생기팀0816)_Book1_다대포 해수욕장-내역서" xfId="1403" xr:uid="{00000000-0005-0000-0000-00007D050000}"/>
    <cellStyle name="통_00년상반기현황분석(000512)-A.xls Chart 156_사장님IQS개선회의(조립생기팀0816)_Book1_조형물 내역서(원본)" xfId="1404" xr:uid="{00000000-0005-0000-0000-00007E050000}"/>
    <cellStyle name="통_00년상반기현황분석(000512)-A.xls Chart 156_사장님IQS개선회의(조립생기팀0816)_다대포 해수욕장-내역서" xfId="1405" xr:uid="{00000000-0005-0000-0000-00007F050000}"/>
    <cellStyle name="통_00년상반기현황분석(000512)-A.xls Chart 156_사장님IQS개선회의(조립생기팀0816)_인상시부담액(임,단협(1).04.26수정)" xfId="1406" xr:uid="{00000000-0005-0000-0000-000080050000}"/>
    <cellStyle name="통_00년상반기현황분석(000512)-A.xls Chart 156_사장님IQS개선회의(조립생기팀0816)_인상시부담액(임,단협(1).04.26수정)_다대포 해수욕장-내역서" xfId="1407" xr:uid="{00000000-0005-0000-0000-000081050000}"/>
    <cellStyle name="통_00년상반기현황분석(000512)-A.xls Chart 156_사장님IQS개선회의(조립생기팀0816)_인상시부담액(임,단협(1).04.26수정)_조형물 내역서(원본)" xfId="1408" xr:uid="{00000000-0005-0000-0000-000082050000}"/>
    <cellStyle name="통_00년상반기현황분석(000512)-A.xls Chart 156_사장님IQS개선회의(조립생기팀0816)_조형물 내역서(원본)" xfId="1409" xr:uid="{00000000-0005-0000-0000-000083050000}"/>
    <cellStyle name="통_00년상반기현황분석(000512)-A.xls Chart 156_인상시부담액(임,단협(1).04.26수정)" xfId="1410" xr:uid="{00000000-0005-0000-0000-000084050000}"/>
    <cellStyle name="통_00년상반기현황분석(000512)-A.xls Chart 156_인상시부담액(임,단협(1).04.26수정)_다대포 해수욕장-내역서" xfId="1411" xr:uid="{00000000-0005-0000-0000-000085050000}"/>
    <cellStyle name="통_00년상반기현황분석(000512)-A.xls Chart 156_인상시부담액(임,단협(1).04.26수정)_조형물 내역서(원본)" xfId="1412" xr:uid="{00000000-0005-0000-0000-000086050000}"/>
    <cellStyle name="통_00년상반기현황분석(000512)-A.xls Chart 156_정이사님보고0907" xfId="1413" xr:uid="{00000000-0005-0000-0000-000087050000}"/>
    <cellStyle name="통_00년상반기현황분석(000512)-A.xls Chart 156_정이사님보고0907_Book1" xfId="1414" xr:uid="{00000000-0005-0000-0000-000088050000}"/>
    <cellStyle name="통_00년상반기현황분석(000512)-A.xls Chart 156_정이사님보고0907_Book1_다대포 해수욕장-내역서" xfId="1415" xr:uid="{00000000-0005-0000-0000-000089050000}"/>
    <cellStyle name="통_00년상반기현황분석(000512)-A.xls Chart 156_정이사님보고0907_Book1_조형물 내역서(원본)" xfId="1416" xr:uid="{00000000-0005-0000-0000-00008A050000}"/>
    <cellStyle name="통_00년상반기현황분석(000512)-A.xls Chart 156_정이사님보고0907_다대포 해수욕장-내역서" xfId="1417" xr:uid="{00000000-0005-0000-0000-00008B050000}"/>
    <cellStyle name="통_00년상반기현황분석(000512)-A.xls Chart 156_정이사님보고0907_인상시부담액(임,단협(1).04.26수정)" xfId="1418" xr:uid="{00000000-0005-0000-0000-00008C050000}"/>
    <cellStyle name="통_00년상반기현황분석(000512)-A.xls Chart 156_정이사님보고0907_인상시부담액(임,단협(1).04.26수정)_다대포 해수욕장-내역서" xfId="1419" xr:uid="{00000000-0005-0000-0000-00008D050000}"/>
    <cellStyle name="통_00년상반기현황분석(000512)-A.xls Chart 156_정이사님보고0907_인상시부담액(임,단협(1).04.26수정)_조형물 내역서(원본)" xfId="1420" xr:uid="{00000000-0005-0000-0000-00008E050000}"/>
    <cellStyle name="통_00년상반기현황분석(000512)-A.xls Chart 156_정이사님보고0907_조형물 내역서(원본)" xfId="1421" xr:uid="{00000000-0005-0000-0000-00008F050000}"/>
    <cellStyle name="통_00년상반기현황분석(000512)-A.xls Chart 156_조형물 내역서(원본)" xfId="1422" xr:uid="{00000000-0005-0000-0000-000090050000}"/>
    <cellStyle name="통_00년상반기현황분석(000512)-A.xls Chart 157" xfId="1423" xr:uid="{00000000-0005-0000-0000-000091050000}"/>
    <cellStyle name="통_00년상반기현황분석(000512)-A.xls Chart 157_Book1" xfId="1424" xr:uid="{00000000-0005-0000-0000-000092050000}"/>
    <cellStyle name="통_00년상반기현황분석(000512)-A.xls Chart 157_Book1_다대포 해수욕장-내역서" xfId="1425" xr:uid="{00000000-0005-0000-0000-000093050000}"/>
    <cellStyle name="통_00년상반기현황분석(000512)-A.xls Chart 157_Book1_조형물 내역서(원본)" xfId="1426" xr:uid="{00000000-0005-0000-0000-000094050000}"/>
    <cellStyle name="통_00년상반기현황분석(000512)-A.xls Chart 157_다대포 해수욕장-내역서" xfId="1427" xr:uid="{00000000-0005-0000-0000-000095050000}"/>
    <cellStyle name="통_00년상반기현황분석(000512)-A.xls Chart 157_사장님IQS개선회의(조립생기팀0816)" xfId="1428" xr:uid="{00000000-0005-0000-0000-000096050000}"/>
    <cellStyle name="통_00년상반기현황분석(000512)-A.xls Chart 157_사장님IQS개선회의(조립생기팀0816)_Book1" xfId="1429" xr:uid="{00000000-0005-0000-0000-000097050000}"/>
    <cellStyle name="통_00년상반기현황분석(000512)-A.xls Chart 157_사장님IQS개선회의(조립생기팀0816)_Book1_다대포 해수욕장-내역서" xfId="1430" xr:uid="{00000000-0005-0000-0000-000098050000}"/>
    <cellStyle name="통_00년상반기현황분석(000512)-A.xls Chart 157_사장님IQS개선회의(조립생기팀0816)_Book1_조형물 내역서(원본)" xfId="1431" xr:uid="{00000000-0005-0000-0000-000099050000}"/>
    <cellStyle name="통_00년상반기현황분석(000512)-A.xls Chart 157_사장님IQS개선회의(조립생기팀0816)_다대포 해수욕장-내역서" xfId="1432" xr:uid="{00000000-0005-0000-0000-00009A050000}"/>
    <cellStyle name="통_00년상반기현황분석(000512)-A.xls Chart 157_사장님IQS개선회의(조립생기팀0816)_인상시부담액(임,단협(1).04.26수정)" xfId="1433" xr:uid="{00000000-0005-0000-0000-00009B050000}"/>
    <cellStyle name="통_00년상반기현황분석(000512)-A.xls Chart 157_사장님IQS개선회의(조립생기팀0816)_인상시부담액(임,단협(1).04.26수정)_다대포 해수욕장-내역서" xfId="1434" xr:uid="{00000000-0005-0000-0000-00009C050000}"/>
    <cellStyle name="통_00년상반기현황분석(000512)-A.xls Chart 157_사장님IQS개선회의(조립생기팀0816)_인상시부담액(임,단협(1).04.26수정)_조형물 내역서(원본)" xfId="1435" xr:uid="{00000000-0005-0000-0000-00009D050000}"/>
    <cellStyle name="통_00년상반기현황분석(000512)-A.xls Chart 157_사장님IQS개선회의(조립생기팀0816)_조형물 내역서(원본)" xfId="1436" xr:uid="{00000000-0005-0000-0000-00009E050000}"/>
    <cellStyle name="통_00년상반기현황분석(000512)-A.xls Chart 157_인상시부담액(임,단협(1).04.26수정)" xfId="1437" xr:uid="{00000000-0005-0000-0000-00009F050000}"/>
    <cellStyle name="통_00년상반기현황분석(000512)-A.xls Chart 157_인상시부담액(임,단협(1).04.26수정)_다대포 해수욕장-내역서" xfId="1438" xr:uid="{00000000-0005-0000-0000-0000A0050000}"/>
    <cellStyle name="통_00년상반기현황분석(000512)-A.xls Chart 157_인상시부담액(임,단협(1).04.26수정)_조형물 내역서(원본)" xfId="1439" xr:uid="{00000000-0005-0000-0000-0000A1050000}"/>
    <cellStyle name="통_00년상반기현황분석(000512)-A.xls Chart 157_정이사님보고0907" xfId="1440" xr:uid="{00000000-0005-0000-0000-0000A2050000}"/>
    <cellStyle name="통_00년상반기현황분석(000512)-A.xls Chart 157_정이사님보고0907_Book1" xfId="1441" xr:uid="{00000000-0005-0000-0000-0000A3050000}"/>
    <cellStyle name="통_00년상반기현황분석(000512)-A.xls Chart 157_정이사님보고0907_Book1_다대포 해수욕장-내역서" xfId="1442" xr:uid="{00000000-0005-0000-0000-0000A4050000}"/>
    <cellStyle name="통_00년상반기현황분석(000512)-A.xls Chart 157_정이사님보고0907_Book1_조형물 내역서(원본)" xfId="1443" xr:uid="{00000000-0005-0000-0000-0000A5050000}"/>
    <cellStyle name="통_00년상반기현황분석(000512)-A.xls Chart 157_정이사님보고0907_다대포 해수욕장-내역서" xfId="1444" xr:uid="{00000000-0005-0000-0000-0000A6050000}"/>
    <cellStyle name="통_00년상반기현황분석(000512)-A.xls Chart 157_정이사님보고0907_인상시부담액(임,단협(1).04.26수정)" xfId="1445" xr:uid="{00000000-0005-0000-0000-0000A7050000}"/>
    <cellStyle name="통_00년상반기현황분석(000512)-A.xls Chart 157_정이사님보고0907_인상시부담액(임,단협(1).04.26수정)_다대포 해수욕장-내역서" xfId="1446" xr:uid="{00000000-0005-0000-0000-0000A8050000}"/>
    <cellStyle name="통_00년상반기현황분석(000512)-A.xls Chart 157_정이사님보고0907_인상시부담액(임,단협(1).04.26수정)_조형물 내역서(원본)" xfId="1447" xr:uid="{00000000-0005-0000-0000-0000A9050000}"/>
    <cellStyle name="통_00년상반기현황분석(000512)-A.xls Chart 157_정이사님보고0907_조형물 내역서(원본)" xfId="1448" xr:uid="{00000000-0005-0000-0000-0000AA050000}"/>
    <cellStyle name="통_00년상반기현황분석(000512)-A.xls Chart 157_조형물 내역서(원본)" xfId="1449" xr:uid="{00000000-0005-0000-0000-0000AB050000}"/>
    <cellStyle name="통_00년상반기현황분석(000512)-A.xls Chart 158" xfId="1450" xr:uid="{00000000-0005-0000-0000-0000AC050000}"/>
    <cellStyle name="통_00년상반기현황분석(000512)-A.xls Chart 158_Book1" xfId="1451" xr:uid="{00000000-0005-0000-0000-0000AD050000}"/>
    <cellStyle name="통_00년상반기현황분석(000512)-A.xls Chart 158_Book1_다대포 해수욕장-내역서" xfId="1452" xr:uid="{00000000-0005-0000-0000-0000AE050000}"/>
    <cellStyle name="통_00년상반기현황분석(000512)-A.xls Chart 158_Book1_조형물 내역서(원본)" xfId="1453" xr:uid="{00000000-0005-0000-0000-0000AF050000}"/>
    <cellStyle name="통_00년상반기현황분석(000512)-A.xls Chart 158_다대포 해수욕장-내역서" xfId="1454" xr:uid="{00000000-0005-0000-0000-0000B0050000}"/>
    <cellStyle name="통_00년상반기현황분석(000512)-A.xls Chart 158_사장님IQS개선회의(조립생기팀0816)" xfId="1455" xr:uid="{00000000-0005-0000-0000-0000B1050000}"/>
    <cellStyle name="통_00년상반기현황분석(000512)-A.xls Chart 158_사장님IQS개선회의(조립생기팀0816)_Book1" xfId="1456" xr:uid="{00000000-0005-0000-0000-0000B2050000}"/>
    <cellStyle name="통_00년상반기현황분석(000512)-A.xls Chart 158_사장님IQS개선회의(조립생기팀0816)_Book1_다대포 해수욕장-내역서" xfId="1457" xr:uid="{00000000-0005-0000-0000-0000B3050000}"/>
    <cellStyle name="통_00년상반기현황분석(000512)-A.xls Chart 158_사장님IQS개선회의(조립생기팀0816)_Book1_조형물 내역서(원본)" xfId="1458" xr:uid="{00000000-0005-0000-0000-0000B4050000}"/>
    <cellStyle name="통_00년상반기현황분석(000512)-A.xls Chart 158_사장님IQS개선회의(조립생기팀0816)_다대포 해수욕장-내역서" xfId="1459" xr:uid="{00000000-0005-0000-0000-0000B5050000}"/>
    <cellStyle name="통_00년상반기현황분석(000512)-A.xls Chart 158_사장님IQS개선회의(조립생기팀0816)_인상시부담액(임,단협(1).04.26수정)" xfId="1460" xr:uid="{00000000-0005-0000-0000-0000B6050000}"/>
    <cellStyle name="통_00년상반기현황분석(000512)-A.xls Chart 158_사장님IQS개선회의(조립생기팀0816)_인상시부담액(임,단협(1).04.26수정)_다대포 해수욕장-내역서" xfId="1461" xr:uid="{00000000-0005-0000-0000-0000B7050000}"/>
    <cellStyle name="통_00년상반기현황분석(000512)-A.xls Chart 158_사장님IQS개선회의(조립생기팀0816)_인상시부담액(임,단협(1).04.26수정)_조형물 내역서(원본)" xfId="1462" xr:uid="{00000000-0005-0000-0000-0000B8050000}"/>
    <cellStyle name="통_00년상반기현황분석(000512)-A.xls Chart 158_사장님IQS개선회의(조립생기팀0816)_조형물 내역서(원본)" xfId="1463" xr:uid="{00000000-0005-0000-0000-0000B9050000}"/>
    <cellStyle name="통_00년상반기현황분석(000512)-A.xls Chart 158_인상시부담액(임,단협(1).04.26수정)" xfId="1464" xr:uid="{00000000-0005-0000-0000-0000BA050000}"/>
    <cellStyle name="통_00년상반기현황분석(000512)-A.xls Chart 158_인상시부담액(임,단협(1).04.26수정)_다대포 해수욕장-내역서" xfId="1465" xr:uid="{00000000-0005-0000-0000-0000BB050000}"/>
    <cellStyle name="통_00년상반기현황분석(000512)-A.xls Chart 158_인상시부담액(임,단협(1).04.26수정)_조형물 내역서(원본)" xfId="1466" xr:uid="{00000000-0005-0000-0000-0000BC050000}"/>
    <cellStyle name="통_00년상반기현황분석(000512)-A.xls Chart 158_정이사님보고0907" xfId="1467" xr:uid="{00000000-0005-0000-0000-0000BD050000}"/>
    <cellStyle name="통_00년상반기현황분석(000512)-A.xls Chart 158_정이사님보고0907_Book1" xfId="1468" xr:uid="{00000000-0005-0000-0000-0000BE050000}"/>
    <cellStyle name="통_00년상반기현황분석(000512)-A.xls Chart 158_정이사님보고0907_Book1_다대포 해수욕장-내역서" xfId="1469" xr:uid="{00000000-0005-0000-0000-0000BF050000}"/>
    <cellStyle name="통_00년상반기현황분석(000512)-A.xls Chart 158_정이사님보고0907_Book1_조형물 내역서(원본)" xfId="1470" xr:uid="{00000000-0005-0000-0000-0000C0050000}"/>
    <cellStyle name="통_00년상반기현황분석(000512)-A.xls Chart 158_정이사님보고0907_다대포 해수욕장-내역서" xfId="1471" xr:uid="{00000000-0005-0000-0000-0000C1050000}"/>
    <cellStyle name="통_00년상반기현황분석(000512)-A.xls Chart 158_정이사님보고0907_인상시부담액(임,단협(1).04.26수정)" xfId="1472" xr:uid="{00000000-0005-0000-0000-0000C2050000}"/>
    <cellStyle name="통_00년상반기현황분석(000512)-A.xls Chart 158_정이사님보고0907_인상시부담액(임,단협(1).04.26수정)_다대포 해수욕장-내역서" xfId="1473" xr:uid="{00000000-0005-0000-0000-0000C3050000}"/>
    <cellStyle name="통_00년상반기현황분석(000512)-A.xls Chart 158_정이사님보고0907_인상시부담액(임,단협(1).04.26수정)_조형물 내역서(원본)" xfId="1474" xr:uid="{00000000-0005-0000-0000-0000C4050000}"/>
    <cellStyle name="통_00년상반기현황분석(000512)-A.xls Chart 158_정이사님보고0907_조형물 내역서(원본)" xfId="1475" xr:uid="{00000000-0005-0000-0000-0000C5050000}"/>
    <cellStyle name="통_00년상반기현황분석(000512)-A.xls Chart 158_조형물 내역서(원본)" xfId="1476" xr:uid="{00000000-0005-0000-0000-0000C6050000}"/>
    <cellStyle name="통_00년상반기현황분석(000512)-A.xls Chart 160" xfId="1477" xr:uid="{00000000-0005-0000-0000-0000C7050000}"/>
    <cellStyle name="통_00년상반기현황분석(000512)-A.xls Chart 160_Book1" xfId="1478" xr:uid="{00000000-0005-0000-0000-0000C8050000}"/>
    <cellStyle name="통_00년상반기현황분석(000512)-A.xls Chart 160_Book1_다대포 해수욕장-내역서" xfId="1479" xr:uid="{00000000-0005-0000-0000-0000C9050000}"/>
    <cellStyle name="통_00년상반기현황분석(000512)-A.xls Chart 160_Book1_조형물 내역서(원본)" xfId="1480" xr:uid="{00000000-0005-0000-0000-0000CA050000}"/>
    <cellStyle name="통_00년상반기현황분석(000512)-A.xls Chart 160_다대포 해수욕장-내역서" xfId="1481" xr:uid="{00000000-0005-0000-0000-0000CB050000}"/>
    <cellStyle name="통_00년상반기현황분석(000512)-A.xls Chart 160_사장님IQS개선회의(조립생기팀0816)" xfId="1482" xr:uid="{00000000-0005-0000-0000-0000CC050000}"/>
    <cellStyle name="통_00년상반기현황분석(000512)-A.xls Chart 160_사장님IQS개선회의(조립생기팀0816)_Book1" xfId="1483" xr:uid="{00000000-0005-0000-0000-0000CD050000}"/>
    <cellStyle name="통_00년상반기현황분석(000512)-A.xls Chart 160_사장님IQS개선회의(조립생기팀0816)_Book1_다대포 해수욕장-내역서" xfId="1484" xr:uid="{00000000-0005-0000-0000-0000CE050000}"/>
    <cellStyle name="통_00년상반기현황분석(000512)-A.xls Chart 160_사장님IQS개선회의(조립생기팀0816)_Book1_조형물 내역서(원본)" xfId="1485" xr:uid="{00000000-0005-0000-0000-0000CF050000}"/>
    <cellStyle name="통_00년상반기현황분석(000512)-A.xls Chart 160_사장님IQS개선회의(조립생기팀0816)_다대포 해수욕장-내역서" xfId="1486" xr:uid="{00000000-0005-0000-0000-0000D0050000}"/>
    <cellStyle name="통_00년상반기현황분석(000512)-A.xls Chart 160_사장님IQS개선회의(조립생기팀0816)_인상시부담액(임,단협(1).04.26수정)" xfId="1487" xr:uid="{00000000-0005-0000-0000-0000D1050000}"/>
    <cellStyle name="통_00년상반기현황분석(000512)-A.xls Chart 160_사장님IQS개선회의(조립생기팀0816)_인상시부담액(임,단협(1).04.26수정)_다대포 해수욕장-내역서" xfId="1488" xr:uid="{00000000-0005-0000-0000-0000D2050000}"/>
    <cellStyle name="통_00년상반기현황분석(000512)-A.xls Chart 160_사장님IQS개선회의(조립생기팀0816)_인상시부담액(임,단협(1).04.26수정)_조형물 내역서(원본)" xfId="1489" xr:uid="{00000000-0005-0000-0000-0000D3050000}"/>
    <cellStyle name="통_00년상반기현황분석(000512)-A.xls Chart 160_사장님IQS개선회의(조립생기팀0816)_조형물 내역서(원본)" xfId="1490" xr:uid="{00000000-0005-0000-0000-0000D4050000}"/>
    <cellStyle name="통_00년상반기현황분석(000512)-A.xls Chart 160_인상시부담액(임,단협(1).04.26수정)" xfId="1491" xr:uid="{00000000-0005-0000-0000-0000D5050000}"/>
    <cellStyle name="통_00년상반기현황분석(000512)-A.xls Chart 160_인상시부담액(임,단협(1).04.26수정)_다대포 해수욕장-내역서" xfId="1492" xr:uid="{00000000-0005-0000-0000-0000D6050000}"/>
    <cellStyle name="통_00년상반기현황분석(000512)-A.xls Chart 160_인상시부담액(임,단협(1).04.26수정)_조형물 내역서(원본)" xfId="1493" xr:uid="{00000000-0005-0000-0000-0000D7050000}"/>
    <cellStyle name="통_00년상반기현황분석(000512)-A.xls Chart 160_정이사님보고0907" xfId="1494" xr:uid="{00000000-0005-0000-0000-0000D8050000}"/>
    <cellStyle name="통_00년상반기현황분석(000512)-A.xls Chart 160_정이사님보고0907_Book1" xfId="1495" xr:uid="{00000000-0005-0000-0000-0000D9050000}"/>
    <cellStyle name="통_00년상반기현황분석(000512)-A.xls Chart 160_정이사님보고0907_Book1_다대포 해수욕장-내역서" xfId="1496" xr:uid="{00000000-0005-0000-0000-0000DA050000}"/>
    <cellStyle name="통_00년상반기현황분석(000512)-A.xls Chart 160_정이사님보고0907_Book1_조형물 내역서(원본)" xfId="1497" xr:uid="{00000000-0005-0000-0000-0000DB050000}"/>
    <cellStyle name="통_00년상반기현황분석(000512)-A.xls Chart 160_정이사님보고0907_다대포 해수욕장-내역서" xfId="1498" xr:uid="{00000000-0005-0000-0000-0000DC050000}"/>
    <cellStyle name="통_00년상반기현황분석(000512)-A.xls Chart 160_정이사님보고0907_인상시부담액(임,단협(1).04.26수정)" xfId="1499" xr:uid="{00000000-0005-0000-0000-0000DD050000}"/>
    <cellStyle name="통_00년상반기현황분석(000512)-A.xls Chart 160_정이사님보고0907_인상시부담액(임,단협(1).04.26수정)_다대포 해수욕장-내역서" xfId="1500" xr:uid="{00000000-0005-0000-0000-0000DE050000}"/>
    <cellStyle name="통_00년상반기현황분석(000512)-A.xls Chart 160_정이사님보고0907_인상시부담액(임,단협(1).04.26수정)_조형물 내역서(원본)" xfId="1501" xr:uid="{00000000-0005-0000-0000-0000DF050000}"/>
    <cellStyle name="통_00년상반기현황분석(000512)-A.xls Chart 160_정이사님보고0907_조형물 내역서(원본)" xfId="1502" xr:uid="{00000000-0005-0000-0000-0000E0050000}"/>
    <cellStyle name="통_00년상반기현황분석(000512)-A.xls Chart 160_조형물 내역서(원본)" xfId="1503" xr:uid="{00000000-0005-0000-0000-0000E1050000}"/>
    <cellStyle name="통_00년상반기현황분석(000512)-A.xls Chart 161" xfId="1504" xr:uid="{00000000-0005-0000-0000-0000E2050000}"/>
    <cellStyle name="통_00년상반기현황분석(000512)-A.xls Chart 161_Book1" xfId="1505" xr:uid="{00000000-0005-0000-0000-0000E3050000}"/>
    <cellStyle name="통_00년상반기현황분석(000512)-A.xls Chart 161_Book1_다대포 해수욕장-내역서" xfId="1506" xr:uid="{00000000-0005-0000-0000-0000E4050000}"/>
    <cellStyle name="통_00년상반기현황분석(000512)-A.xls Chart 161_Book1_조형물 내역서(원본)" xfId="1507" xr:uid="{00000000-0005-0000-0000-0000E5050000}"/>
    <cellStyle name="통_00년상반기현황분석(000512)-A.xls Chart 161_다대포 해수욕장-내역서" xfId="1508" xr:uid="{00000000-0005-0000-0000-0000E6050000}"/>
    <cellStyle name="통_00년상반기현황분석(000512)-A.xls Chart 161_사장님IQS개선회의(조립생기팀0816)" xfId="1509" xr:uid="{00000000-0005-0000-0000-0000E7050000}"/>
    <cellStyle name="통_00년상반기현황분석(000512)-A.xls Chart 161_사장님IQS개선회의(조립생기팀0816)_Book1" xfId="1510" xr:uid="{00000000-0005-0000-0000-0000E8050000}"/>
    <cellStyle name="통_00년상반기현황분석(000512)-A.xls Chart 161_사장님IQS개선회의(조립생기팀0816)_Book1_다대포 해수욕장-내역서" xfId="1511" xr:uid="{00000000-0005-0000-0000-0000E9050000}"/>
    <cellStyle name="통_00년상반기현황분석(000512)-A.xls Chart 161_사장님IQS개선회의(조립생기팀0816)_Book1_조형물 내역서(원본)" xfId="1512" xr:uid="{00000000-0005-0000-0000-0000EA050000}"/>
    <cellStyle name="통_00년상반기현황분석(000512)-A.xls Chart 161_사장님IQS개선회의(조립생기팀0816)_다대포 해수욕장-내역서" xfId="1513" xr:uid="{00000000-0005-0000-0000-0000EB050000}"/>
    <cellStyle name="통_00년상반기현황분석(000512)-A.xls Chart 161_사장님IQS개선회의(조립생기팀0816)_인상시부담액(임,단협(1).04.26수정)" xfId="1514" xr:uid="{00000000-0005-0000-0000-0000EC050000}"/>
    <cellStyle name="통_00년상반기현황분석(000512)-A.xls Chart 161_사장님IQS개선회의(조립생기팀0816)_인상시부담액(임,단협(1).04.26수정)_다대포 해수욕장-내역서" xfId="1515" xr:uid="{00000000-0005-0000-0000-0000ED050000}"/>
    <cellStyle name="통_00년상반기현황분석(000512)-A.xls Chart 161_사장님IQS개선회의(조립생기팀0816)_인상시부담액(임,단협(1).04.26수정)_조형물 내역서(원본)" xfId="1516" xr:uid="{00000000-0005-0000-0000-0000EE050000}"/>
    <cellStyle name="통_00년상반기현황분석(000512)-A.xls Chart 161_사장님IQS개선회의(조립생기팀0816)_조형물 내역서(원본)" xfId="1517" xr:uid="{00000000-0005-0000-0000-0000EF050000}"/>
    <cellStyle name="통_00년상반기현황분석(000512)-A.xls Chart 161_인상시부담액(임,단협(1).04.26수정)" xfId="1518" xr:uid="{00000000-0005-0000-0000-0000F0050000}"/>
    <cellStyle name="통_00년상반기현황분석(000512)-A.xls Chart 161_인상시부담액(임,단협(1).04.26수정)_다대포 해수욕장-내역서" xfId="1519" xr:uid="{00000000-0005-0000-0000-0000F1050000}"/>
    <cellStyle name="통_00년상반기현황분석(000512)-A.xls Chart 161_인상시부담액(임,단협(1).04.26수정)_조형물 내역서(원본)" xfId="1520" xr:uid="{00000000-0005-0000-0000-0000F2050000}"/>
    <cellStyle name="통_00년상반기현황분석(000512)-A.xls Chart 161_정이사님보고0907" xfId="1521" xr:uid="{00000000-0005-0000-0000-0000F3050000}"/>
    <cellStyle name="통_00년상반기현황분석(000512)-A.xls Chart 161_정이사님보고0907_Book1" xfId="1522" xr:uid="{00000000-0005-0000-0000-0000F4050000}"/>
    <cellStyle name="통_00년상반기현황분석(000512)-A.xls Chart 161_정이사님보고0907_Book1_다대포 해수욕장-내역서" xfId="1523" xr:uid="{00000000-0005-0000-0000-0000F5050000}"/>
    <cellStyle name="통_00년상반기현황분석(000512)-A.xls Chart 161_정이사님보고0907_Book1_조형물 내역서(원본)" xfId="1524" xr:uid="{00000000-0005-0000-0000-0000F6050000}"/>
    <cellStyle name="통_00년상반기현황분석(000512)-A.xls Chart 161_정이사님보고0907_다대포 해수욕장-내역서" xfId="1525" xr:uid="{00000000-0005-0000-0000-0000F7050000}"/>
    <cellStyle name="통_00년상반기현황분석(000512)-A.xls Chart 161_정이사님보고0907_인상시부담액(임,단협(1).04.26수정)" xfId="1526" xr:uid="{00000000-0005-0000-0000-0000F8050000}"/>
    <cellStyle name="통_00년상반기현황분석(000512)-A.xls Chart 161_정이사님보고0907_인상시부담액(임,단협(1).04.26수정)_다대포 해수욕장-내역서" xfId="1527" xr:uid="{00000000-0005-0000-0000-0000F9050000}"/>
    <cellStyle name="통_00년상반기현황분석(000512)-A.xls Chart 161_정이사님보고0907_인상시부담액(임,단협(1).04.26수정)_조형물 내역서(원본)" xfId="1528" xr:uid="{00000000-0005-0000-0000-0000FA050000}"/>
    <cellStyle name="통_00년상반기현황분석(000512)-A.xls Chart 161_정이사님보고0907_조형물 내역서(원본)" xfId="1529" xr:uid="{00000000-0005-0000-0000-0000FB050000}"/>
    <cellStyle name="통_00년상반기현황분석(000512)-A.xls Chart 161_조형물 내역서(원본)" xfId="1530" xr:uid="{00000000-0005-0000-0000-0000FC050000}"/>
    <cellStyle name="통_IQS00년 상반기보고000520(소장)-1" xfId="1531" xr:uid="{00000000-0005-0000-0000-0000FD050000}"/>
    <cellStyle name="통_IQS00년 상반기보고000520(소장)-1.xls Chart 156" xfId="1532" xr:uid="{00000000-0005-0000-0000-0000FE050000}"/>
    <cellStyle name="통_IQS00년 상반기보고000520(소장)-1.xls Chart 156_Book1" xfId="1533" xr:uid="{00000000-0005-0000-0000-0000FF050000}"/>
    <cellStyle name="통_IQS00년 상반기보고000520(소장)-1.xls Chart 156_Book1_다대포 해수욕장-내역서" xfId="1534" xr:uid="{00000000-0005-0000-0000-000000060000}"/>
    <cellStyle name="통_IQS00년 상반기보고000520(소장)-1.xls Chart 156_Book1_조형물 내역서(원본)" xfId="1535" xr:uid="{00000000-0005-0000-0000-000001060000}"/>
    <cellStyle name="통_IQS00년 상반기보고000520(소장)-1.xls Chart 156_다대포 해수욕장-내역서" xfId="1536" xr:uid="{00000000-0005-0000-0000-000002060000}"/>
    <cellStyle name="통_IQS00년 상반기보고000520(소장)-1.xls Chart 156_사장님IQS개선회의(조립생기팀0816)" xfId="1537" xr:uid="{00000000-0005-0000-0000-000003060000}"/>
    <cellStyle name="통_IQS00년 상반기보고000520(소장)-1.xls Chart 156_사장님IQS개선회의(조립생기팀0816)_Book1" xfId="1538" xr:uid="{00000000-0005-0000-0000-000004060000}"/>
    <cellStyle name="통_IQS00년 상반기보고000520(소장)-1.xls Chart 156_사장님IQS개선회의(조립생기팀0816)_Book1_다대포 해수욕장-내역서" xfId="1539" xr:uid="{00000000-0005-0000-0000-000005060000}"/>
    <cellStyle name="통_IQS00년 상반기보고000520(소장)-1.xls Chart 156_사장님IQS개선회의(조립생기팀0816)_Book1_조형물 내역서(원본)" xfId="1540" xr:uid="{00000000-0005-0000-0000-000006060000}"/>
    <cellStyle name="통_IQS00년 상반기보고000520(소장)-1.xls Chart 156_사장님IQS개선회의(조립생기팀0816)_다대포 해수욕장-내역서" xfId="1541" xr:uid="{00000000-0005-0000-0000-000007060000}"/>
    <cellStyle name="통_IQS00년 상반기보고000520(소장)-1.xls Chart 156_사장님IQS개선회의(조립생기팀0816)_인상시부담액(임,단협(1).04.26수정)" xfId="1542" xr:uid="{00000000-0005-0000-0000-000008060000}"/>
    <cellStyle name="통_IQS00년 상반기보고000520(소장)-1.xls Chart 156_사장님IQS개선회의(조립생기팀0816)_인상시부담액(임,단협(1).04.26수정)_다대포 해수욕장-내역서" xfId="1543" xr:uid="{00000000-0005-0000-0000-000009060000}"/>
    <cellStyle name="통_IQS00년 상반기보고000520(소장)-1.xls Chart 156_사장님IQS개선회의(조립생기팀0816)_인상시부담액(임,단협(1).04.26수정)_조형물 내역서(원본)" xfId="1544" xr:uid="{00000000-0005-0000-0000-00000A060000}"/>
    <cellStyle name="통_IQS00년 상반기보고000520(소장)-1.xls Chart 156_사장님IQS개선회의(조립생기팀0816)_조형물 내역서(원본)" xfId="1545" xr:uid="{00000000-0005-0000-0000-00000B060000}"/>
    <cellStyle name="통_IQS00년 상반기보고000520(소장)-1.xls Chart 156_인상시부담액(임,단협(1).04.26수정)" xfId="1546" xr:uid="{00000000-0005-0000-0000-00000C060000}"/>
    <cellStyle name="통_IQS00년 상반기보고000520(소장)-1.xls Chart 156_인상시부담액(임,단협(1).04.26수정)_다대포 해수욕장-내역서" xfId="1547" xr:uid="{00000000-0005-0000-0000-00000D060000}"/>
    <cellStyle name="통_IQS00년 상반기보고000520(소장)-1.xls Chart 156_인상시부담액(임,단협(1).04.26수정)_조형물 내역서(원본)" xfId="1548" xr:uid="{00000000-0005-0000-0000-00000E060000}"/>
    <cellStyle name="통_IQS00년 상반기보고000520(소장)-1.xls Chart 156_정이사님보고0907" xfId="1549" xr:uid="{00000000-0005-0000-0000-00000F060000}"/>
    <cellStyle name="통_IQS00년 상반기보고000520(소장)-1.xls Chart 156_정이사님보고0907_Book1" xfId="1550" xr:uid="{00000000-0005-0000-0000-000010060000}"/>
    <cellStyle name="통_IQS00년 상반기보고000520(소장)-1.xls Chart 156_정이사님보고0907_Book1_다대포 해수욕장-내역서" xfId="1551" xr:uid="{00000000-0005-0000-0000-000011060000}"/>
    <cellStyle name="통_IQS00년 상반기보고000520(소장)-1.xls Chart 156_정이사님보고0907_Book1_조형물 내역서(원본)" xfId="1552" xr:uid="{00000000-0005-0000-0000-000012060000}"/>
    <cellStyle name="통_IQS00년 상반기보고000520(소장)-1.xls Chart 156_정이사님보고0907_다대포 해수욕장-내역서" xfId="1553" xr:uid="{00000000-0005-0000-0000-000013060000}"/>
    <cellStyle name="통_IQS00년 상반기보고000520(소장)-1.xls Chart 156_정이사님보고0907_인상시부담액(임,단협(1).04.26수정)" xfId="1554" xr:uid="{00000000-0005-0000-0000-000014060000}"/>
    <cellStyle name="통_IQS00년 상반기보고000520(소장)-1.xls Chart 156_정이사님보고0907_인상시부담액(임,단협(1).04.26수정)_다대포 해수욕장-내역서" xfId="1555" xr:uid="{00000000-0005-0000-0000-000015060000}"/>
    <cellStyle name="통_IQS00년 상반기보고000520(소장)-1.xls Chart 156_정이사님보고0907_인상시부담액(임,단협(1).04.26수정)_조형물 내역서(원본)" xfId="1556" xr:uid="{00000000-0005-0000-0000-000016060000}"/>
    <cellStyle name="통_IQS00년 상반기보고000520(소장)-1.xls Chart 156_정이사님보고0907_조형물 내역서(원본)" xfId="1557" xr:uid="{00000000-0005-0000-0000-000017060000}"/>
    <cellStyle name="통_IQS00년 상반기보고000520(소장)-1.xls Chart 156_조형물 내역서(원본)" xfId="1558" xr:uid="{00000000-0005-0000-0000-000018060000}"/>
    <cellStyle name="통_IQS00년 상반기보고000520(소장)-1.xls Chart 157" xfId="1559" xr:uid="{00000000-0005-0000-0000-000019060000}"/>
    <cellStyle name="통_IQS00년 상반기보고000520(소장)-1.xls Chart 157_Book1" xfId="1560" xr:uid="{00000000-0005-0000-0000-00001A060000}"/>
    <cellStyle name="통_IQS00년 상반기보고000520(소장)-1.xls Chart 157_Book1_다대포 해수욕장-내역서" xfId="1561" xr:uid="{00000000-0005-0000-0000-00001B060000}"/>
    <cellStyle name="통_IQS00년 상반기보고000520(소장)-1.xls Chart 157_Book1_조형물 내역서(원본)" xfId="1562" xr:uid="{00000000-0005-0000-0000-00001C060000}"/>
    <cellStyle name="통_IQS00년 상반기보고000520(소장)-1.xls Chart 157_다대포 해수욕장-내역서" xfId="1563" xr:uid="{00000000-0005-0000-0000-00001D060000}"/>
    <cellStyle name="통_IQS00년 상반기보고000520(소장)-1.xls Chart 157_사장님IQS개선회의(조립생기팀0816)" xfId="1564" xr:uid="{00000000-0005-0000-0000-00001E060000}"/>
    <cellStyle name="통_IQS00년 상반기보고000520(소장)-1.xls Chart 157_사장님IQS개선회의(조립생기팀0816)_Book1" xfId="1565" xr:uid="{00000000-0005-0000-0000-00001F060000}"/>
    <cellStyle name="통_IQS00년 상반기보고000520(소장)-1.xls Chart 157_사장님IQS개선회의(조립생기팀0816)_Book1_다대포 해수욕장-내역서" xfId="1566" xr:uid="{00000000-0005-0000-0000-000020060000}"/>
    <cellStyle name="통_IQS00년 상반기보고000520(소장)-1.xls Chart 157_사장님IQS개선회의(조립생기팀0816)_Book1_조형물 내역서(원본)" xfId="1567" xr:uid="{00000000-0005-0000-0000-000021060000}"/>
    <cellStyle name="통_IQS00년 상반기보고000520(소장)-1.xls Chart 157_사장님IQS개선회의(조립생기팀0816)_다대포 해수욕장-내역서" xfId="1568" xr:uid="{00000000-0005-0000-0000-000022060000}"/>
    <cellStyle name="통_IQS00년 상반기보고000520(소장)-1.xls Chart 157_사장님IQS개선회의(조립생기팀0816)_인상시부담액(임,단협(1).04.26수정)" xfId="1569" xr:uid="{00000000-0005-0000-0000-000023060000}"/>
    <cellStyle name="통_IQS00년 상반기보고000520(소장)-1.xls Chart 157_사장님IQS개선회의(조립생기팀0816)_인상시부담액(임,단협(1).04.26수정)_다대포 해수욕장-내역서" xfId="1570" xr:uid="{00000000-0005-0000-0000-000024060000}"/>
    <cellStyle name="통_IQS00년 상반기보고000520(소장)-1.xls Chart 157_사장님IQS개선회의(조립생기팀0816)_인상시부담액(임,단협(1).04.26수정)_조형물 내역서(원본)" xfId="1571" xr:uid="{00000000-0005-0000-0000-000025060000}"/>
    <cellStyle name="통_IQS00년 상반기보고000520(소장)-1.xls Chart 157_사장님IQS개선회의(조립생기팀0816)_조형물 내역서(원본)" xfId="1572" xr:uid="{00000000-0005-0000-0000-000026060000}"/>
    <cellStyle name="통_IQS00년 상반기보고000520(소장)-1.xls Chart 157_인상시부담액(임,단협(1).04.26수정)" xfId="1573" xr:uid="{00000000-0005-0000-0000-000027060000}"/>
    <cellStyle name="통_IQS00년 상반기보고000520(소장)-1.xls Chart 157_인상시부담액(임,단협(1).04.26수정)_다대포 해수욕장-내역서" xfId="1574" xr:uid="{00000000-0005-0000-0000-000028060000}"/>
    <cellStyle name="통_IQS00년 상반기보고000520(소장)-1.xls Chart 157_인상시부담액(임,단협(1).04.26수정)_조형물 내역서(원본)" xfId="1575" xr:uid="{00000000-0005-0000-0000-000029060000}"/>
    <cellStyle name="통_IQS00년 상반기보고000520(소장)-1.xls Chart 157_정이사님보고0907" xfId="1576" xr:uid="{00000000-0005-0000-0000-00002A060000}"/>
    <cellStyle name="통_IQS00년 상반기보고000520(소장)-1.xls Chart 157_정이사님보고0907_Book1" xfId="1577" xr:uid="{00000000-0005-0000-0000-00002B060000}"/>
    <cellStyle name="통_IQS00년 상반기보고000520(소장)-1.xls Chart 157_정이사님보고0907_Book1_다대포 해수욕장-내역서" xfId="1578" xr:uid="{00000000-0005-0000-0000-00002C060000}"/>
    <cellStyle name="통_IQS00년 상반기보고000520(소장)-1.xls Chart 157_정이사님보고0907_Book1_조형물 내역서(원본)" xfId="1579" xr:uid="{00000000-0005-0000-0000-00002D060000}"/>
    <cellStyle name="통_IQS00년 상반기보고000520(소장)-1.xls Chart 157_정이사님보고0907_다대포 해수욕장-내역서" xfId="1580" xr:uid="{00000000-0005-0000-0000-00002E060000}"/>
    <cellStyle name="통_IQS00년 상반기보고000520(소장)-1.xls Chart 157_정이사님보고0907_인상시부담액(임,단협(1).04.26수정)" xfId="1581" xr:uid="{00000000-0005-0000-0000-00002F060000}"/>
    <cellStyle name="통_IQS00년 상반기보고000520(소장)-1.xls Chart 157_정이사님보고0907_인상시부담액(임,단협(1).04.26수정)_다대포 해수욕장-내역서" xfId="1582" xr:uid="{00000000-0005-0000-0000-000030060000}"/>
    <cellStyle name="통_IQS00년 상반기보고000520(소장)-1.xls Chart 157_정이사님보고0907_인상시부담액(임,단협(1).04.26수정)_조형물 내역서(원본)" xfId="1583" xr:uid="{00000000-0005-0000-0000-000031060000}"/>
    <cellStyle name="통_IQS00년 상반기보고000520(소장)-1.xls Chart 157_정이사님보고0907_조형물 내역서(원본)" xfId="1584" xr:uid="{00000000-0005-0000-0000-000032060000}"/>
    <cellStyle name="통_IQS00년 상반기보고000520(소장)-1.xls Chart 157_조형물 내역서(원본)" xfId="1585" xr:uid="{00000000-0005-0000-0000-000033060000}"/>
    <cellStyle name="통_IQS00년 상반기보고000520(소장)-1.xls Chart 158" xfId="1586" xr:uid="{00000000-0005-0000-0000-000034060000}"/>
    <cellStyle name="통_IQS00년 상반기보고000520(소장)-1.xls Chart 158_Book1" xfId="1587" xr:uid="{00000000-0005-0000-0000-000035060000}"/>
    <cellStyle name="통_IQS00년 상반기보고000520(소장)-1.xls Chart 158_Book1_다대포 해수욕장-내역서" xfId="1588" xr:uid="{00000000-0005-0000-0000-000036060000}"/>
    <cellStyle name="통_IQS00년 상반기보고000520(소장)-1.xls Chart 158_Book1_조형물 내역서(원본)" xfId="1589" xr:uid="{00000000-0005-0000-0000-000037060000}"/>
    <cellStyle name="통_IQS00년 상반기보고000520(소장)-1.xls Chart 158_다대포 해수욕장-내역서" xfId="1590" xr:uid="{00000000-0005-0000-0000-000038060000}"/>
    <cellStyle name="통_IQS00년 상반기보고000520(소장)-1.xls Chart 158_사장님IQS개선회의(조립생기팀0816)" xfId="1591" xr:uid="{00000000-0005-0000-0000-000039060000}"/>
    <cellStyle name="통_IQS00년 상반기보고000520(소장)-1.xls Chart 158_사장님IQS개선회의(조립생기팀0816)_Book1" xfId="1592" xr:uid="{00000000-0005-0000-0000-00003A060000}"/>
    <cellStyle name="통_IQS00년 상반기보고000520(소장)-1.xls Chart 158_사장님IQS개선회의(조립생기팀0816)_Book1_다대포 해수욕장-내역서" xfId="1593" xr:uid="{00000000-0005-0000-0000-00003B060000}"/>
    <cellStyle name="통_IQS00년 상반기보고000520(소장)-1.xls Chart 158_사장님IQS개선회의(조립생기팀0816)_Book1_조형물 내역서(원본)" xfId="1594" xr:uid="{00000000-0005-0000-0000-00003C060000}"/>
    <cellStyle name="통_IQS00년 상반기보고000520(소장)-1.xls Chart 158_사장님IQS개선회의(조립생기팀0816)_다대포 해수욕장-내역서" xfId="1595" xr:uid="{00000000-0005-0000-0000-00003D060000}"/>
    <cellStyle name="통_IQS00년 상반기보고000520(소장)-1.xls Chart 158_사장님IQS개선회의(조립생기팀0816)_인상시부담액(임,단협(1).04.26수정)" xfId="1596" xr:uid="{00000000-0005-0000-0000-00003E060000}"/>
    <cellStyle name="통_IQS00년 상반기보고000520(소장)-1.xls Chart 158_사장님IQS개선회의(조립생기팀0816)_인상시부담액(임,단협(1).04.26수정)_다대포 해수욕장-내역서" xfId="1597" xr:uid="{00000000-0005-0000-0000-00003F060000}"/>
    <cellStyle name="통_IQS00년 상반기보고000520(소장)-1.xls Chart 158_사장님IQS개선회의(조립생기팀0816)_인상시부담액(임,단협(1).04.26수정)_조형물 내역서(원본)" xfId="1598" xr:uid="{00000000-0005-0000-0000-000040060000}"/>
    <cellStyle name="통_IQS00년 상반기보고000520(소장)-1.xls Chart 158_사장님IQS개선회의(조립생기팀0816)_조형물 내역서(원본)" xfId="1599" xr:uid="{00000000-0005-0000-0000-000041060000}"/>
    <cellStyle name="통_IQS00년 상반기보고000520(소장)-1.xls Chart 158_인상시부담액(임,단협(1).04.26수정)" xfId="1600" xr:uid="{00000000-0005-0000-0000-000042060000}"/>
    <cellStyle name="통_IQS00년 상반기보고000520(소장)-1.xls Chart 158_인상시부담액(임,단협(1).04.26수정)_다대포 해수욕장-내역서" xfId="1601" xr:uid="{00000000-0005-0000-0000-000043060000}"/>
    <cellStyle name="통_IQS00년 상반기보고000520(소장)-1.xls Chart 158_인상시부담액(임,단협(1).04.26수정)_조형물 내역서(원본)" xfId="1602" xr:uid="{00000000-0005-0000-0000-000044060000}"/>
    <cellStyle name="통_IQS00년 상반기보고000520(소장)-1.xls Chart 158_정이사님보고0907" xfId="1603" xr:uid="{00000000-0005-0000-0000-000045060000}"/>
    <cellStyle name="통_IQS00년 상반기보고000520(소장)-1.xls Chart 158_정이사님보고0907_Book1" xfId="1604" xr:uid="{00000000-0005-0000-0000-000046060000}"/>
    <cellStyle name="통_IQS00년 상반기보고000520(소장)-1.xls Chart 158_정이사님보고0907_Book1_다대포 해수욕장-내역서" xfId="1605" xr:uid="{00000000-0005-0000-0000-000047060000}"/>
    <cellStyle name="통_IQS00년 상반기보고000520(소장)-1.xls Chart 158_정이사님보고0907_Book1_조형물 내역서(원본)" xfId="1606" xr:uid="{00000000-0005-0000-0000-000048060000}"/>
    <cellStyle name="통_IQS00년 상반기보고000520(소장)-1.xls Chart 158_정이사님보고0907_다대포 해수욕장-내역서" xfId="1607" xr:uid="{00000000-0005-0000-0000-000049060000}"/>
    <cellStyle name="통_IQS00년 상반기보고000520(소장)-1.xls Chart 158_정이사님보고0907_인상시부담액(임,단협(1).04.26수정)" xfId="1608" xr:uid="{00000000-0005-0000-0000-00004A060000}"/>
    <cellStyle name="통_IQS00년 상반기보고000520(소장)-1.xls Chart 158_정이사님보고0907_인상시부담액(임,단협(1).04.26수정)_다대포 해수욕장-내역서" xfId="1609" xr:uid="{00000000-0005-0000-0000-00004B060000}"/>
    <cellStyle name="통_IQS00년 상반기보고000520(소장)-1.xls Chart 158_정이사님보고0907_인상시부담액(임,단협(1).04.26수정)_조형물 내역서(원본)" xfId="1610" xr:uid="{00000000-0005-0000-0000-00004C060000}"/>
    <cellStyle name="통_IQS00년 상반기보고000520(소장)-1.xls Chart 158_정이사님보고0907_조형물 내역서(원본)" xfId="1611" xr:uid="{00000000-0005-0000-0000-00004D060000}"/>
    <cellStyle name="통_IQS00년 상반기보고000520(소장)-1.xls Chart 158_조형물 내역서(원본)" xfId="1612" xr:uid="{00000000-0005-0000-0000-00004E060000}"/>
    <cellStyle name="통_IQS00년 상반기보고000520(소장)-1.xls Chart 160" xfId="1613" xr:uid="{00000000-0005-0000-0000-00004F060000}"/>
    <cellStyle name="통_IQS00년 상반기보고000520(소장)-1.xls Chart 160_Book1" xfId="1614" xr:uid="{00000000-0005-0000-0000-000050060000}"/>
    <cellStyle name="통_IQS00년 상반기보고000520(소장)-1.xls Chart 160_Book1_다대포 해수욕장-내역서" xfId="1615" xr:uid="{00000000-0005-0000-0000-000051060000}"/>
    <cellStyle name="통_IQS00년 상반기보고000520(소장)-1.xls Chart 160_Book1_조형물 내역서(원본)" xfId="1616" xr:uid="{00000000-0005-0000-0000-000052060000}"/>
    <cellStyle name="통_IQS00년 상반기보고000520(소장)-1.xls Chart 160_다대포 해수욕장-내역서" xfId="1617" xr:uid="{00000000-0005-0000-0000-000053060000}"/>
    <cellStyle name="통_IQS00년 상반기보고000520(소장)-1.xls Chart 160_사장님IQS개선회의(조립생기팀0816)" xfId="1618" xr:uid="{00000000-0005-0000-0000-000054060000}"/>
    <cellStyle name="통_IQS00년 상반기보고000520(소장)-1.xls Chart 160_사장님IQS개선회의(조립생기팀0816)_Book1" xfId="1619" xr:uid="{00000000-0005-0000-0000-000055060000}"/>
    <cellStyle name="통_IQS00년 상반기보고000520(소장)-1.xls Chart 160_사장님IQS개선회의(조립생기팀0816)_Book1_다대포 해수욕장-내역서" xfId="1620" xr:uid="{00000000-0005-0000-0000-000056060000}"/>
    <cellStyle name="통_IQS00년 상반기보고000520(소장)-1.xls Chart 160_사장님IQS개선회의(조립생기팀0816)_Book1_조형물 내역서(원본)" xfId="1621" xr:uid="{00000000-0005-0000-0000-000057060000}"/>
    <cellStyle name="통_IQS00년 상반기보고000520(소장)-1.xls Chart 160_사장님IQS개선회의(조립생기팀0816)_다대포 해수욕장-내역서" xfId="1622" xr:uid="{00000000-0005-0000-0000-000058060000}"/>
    <cellStyle name="통_IQS00년 상반기보고000520(소장)-1.xls Chart 160_사장님IQS개선회의(조립생기팀0816)_인상시부담액(임,단협(1).04.26수정)" xfId="1623" xr:uid="{00000000-0005-0000-0000-000059060000}"/>
    <cellStyle name="통_IQS00년 상반기보고000520(소장)-1.xls Chart 160_사장님IQS개선회의(조립생기팀0816)_인상시부담액(임,단협(1).04.26수정)_다대포 해수욕장-내역서" xfId="1624" xr:uid="{00000000-0005-0000-0000-00005A060000}"/>
    <cellStyle name="통_IQS00년 상반기보고000520(소장)-1.xls Chart 160_사장님IQS개선회의(조립생기팀0816)_인상시부담액(임,단협(1).04.26수정)_조형물 내역서(원본)" xfId="1625" xr:uid="{00000000-0005-0000-0000-00005B060000}"/>
    <cellStyle name="통_IQS00년 상반기보고000520(소장)-1.xls Chart 160_사장님IQS개선회의(조립생기팀0816)_조형물 내역서(원본)" xfId="1626" xr:uid="{00000000-0005-0000-0000-00005C060000}"/>
    <cellStyle name="통_IQS00년 상반기보고000520(소장)-1.xls Chart 160_인상시부담액(임,단협(1).04.26수정)" xfId="1627" xr:uid="{00000000-0005-0000-0000-00005D060000}"/>
    <cellStyle name="통_IQS00년 상반기보고000520(소장)-1.xls Chart 160_인상시부담액(임,단협(1).04.26수정)_다대포 해수욕장-내역서" xfId="1628" xr:uid="{00000000-0005-0000-0000-00005E060000}"/>
    <cellStyle name="통_IQS00년 상반기보고000520(소장)-1.xls Chart 160_인상시부담액(임,단협(1).04.26수정)_조형물 내역서(원본)" xfId="1629" xr:uid="{00000000-0005-0000-0000-00005F060000}"/>
    <cellStyle name="통_IQS00년 상반기보고000520(소장)-1.xls Chart 160_정이사님보고0907" xfId="1630" xr:uid="{00000000-0005-0000-0000-000060060000}"/>
    <cellStyle name="통_IQS00년 상반기보고000520(소장)-1.xls Chart 160_정이사님보고0907_Book1" xfId="1631" xr:uid="{00000000-0005-0000-0000-000061060000}"/>
    <cellStyle name="통_IQS00년 상반기보고000520(소장)-1.xls Chart 160_정이사님보고0907_Book1_다대포 해수욕장-내역서" xfId="1632" xr:uid="{00000000-0005-0000-0000-000062060000}"/>
    <cellStyle name="통_IQS00년 상반기보고000520(소장)-1.xls Chart 160_정이사님보고0907_Book1_조형물 내역서(원본)" xfId="1633" xr:uid="{00000000-0005-0000-0000-000063060000}"/>
    <cellStyle name="통_IQS00년 상반기보고000520(소장)-1.xls Chart 160_정이사님보고0907_다대포 해수욕장-내역서" xfId="1634" xr:uid="{00000000-0005-0000-0000-000064060000}"/>
    <cellStyle name="통_IQS00년 상반기보고000520(소장)-1.xls Chart 160_정이사님보고0907_인상시부담액(임,단협(1).04.26수정)" xfId="1635" xr:uid="{00000000-0005-0000-0000-000065060000}"/>
    <cellStyle name="통_IQS00년 상반기보고000520(소장)-1.xls Chart 160_정이사님보고0907_인상시부담액(임,단협(1).04.26수정)_다대포 해수욕장-내역서" xfId="1636" xr:uid="{00000000-0005-0000-0000-000066060000}"/>
    <cellStyle name="통_IQS00년 상반기보고000520(소장)-1.xls Chart 160_정이사님보고0907_인상시부담액(임,단협(1).04.26수정)_조형물 내역서(원본)" xfId="1637" xr:uid="{00000000-0005-0000-0000-000067060000}"/>
    <cellStyle name="통_IQS00년 상반기보고000520(소장)-1.xls Chart 160_정이사님보고0907_조형물 내역서(원본)" xfId="1638" xr:uid="{00000000-0005-0000-0000-000068060000}"/>
    <cellStyle name="통_IQS00년 상반기보고000520(소장)-1.xls Chart 160_조형물 내역서(원본)" xfId="1639" xr:uid="{00000000-0005-0000-0000-000069060000}"/>
    <cellStyle name="통_IQS00년 상반기보고000520(소장)-1.xls Chart 161" xfId="1640" xr:uid="{00000000-0005-0000-0000-00006A060000}"/>
    <cellStyle name="통_IQS00년 상반기보고000520(소장)-1.xls Chart 161_Book1" xfId="1641" xr:uid="{00000000-0005-0000-0000-00006B060000}"/>
    <cellStyle name="통_IQS00년 상반기보고000520(소장)-1.xls Chart 161_Book1_다대포 해수욕장-내역서" xfId="1642" xr:uid="{00000000-0005-0000-0000-00006C060000}"/>
    <cellStyle name="통_IQS00년 상반기보고000520(소장)-1.xls Chart 161_Book1_조형물 내역서(원본)" xfId="1643" xr:uid="{00000000-0005-0000-0000-00006D060000}"/>
    <cellStyle name="통_IQS00년 상반기보고000520(소장)-1.xls Chart 161_다대포 해수욕장-내역서" xfId="1644" xr:uid="{00000000-0005-0000-0000-00006E060000}"/>
    <cellStyle name="통_IQS00년 상반기보고000520(소장)-1.xls Chart 161_사장님IQS개선회의(조립생기팀0816)" xfId="1645" xr:uid="{00000000-0005-0000-0000-00006F060000}"/>
    <cellStyle name="통_IQS00년 상반기보고000520(소장)-1.xls Chart 161_사장님IQS개선회의(조립생기팀0816)_Book1" xfId="1646" xr:uid="{00000000-0005-0000-0000-000070060000}"/>
    <cellStyle name="통_IQS00년 상반기보고000520(소장)-1.xls Chart 161_사장님IQS개선회의(조립생기팀0816)_Book1_다대포 해수욕장-내역서" xfId="1647" xr:uid="{00000000-0005-0000-0000-000071060000}"/>
    <cellStyle name="통_IQS00년 상반기보고000520(소장)-1.xls Chart 161_사장님IQS개선회의(조립생기팀0816)_Book1_조형물 내역서(원본)" xfId="1648" xr:uid="{00000000-0005-0000-0000-000072060000}"/>
    <cellStyle name="통_IQS00년 상반기보고000520(소장)-1.xls Chart 161_사장님IQS개선회의(조립생기팀0816)_다대포 해수욕장-내역서" xfId="1649" xr:uid="{00000000-0005-0000-0000-000073060000}"/>
    <cellStyle name="통_IQS00년 상반기보고000520(소장)-1.xls Chart 161_사장님IQS개선회의(조립생기팀0816)_인상시부담액(임,단협(1).04.26수정)" xfId="1650" xr:uid="{00000000-0005-0000-0000-000074060000}"/>
    <cellStyle name="통_IQS00년 상반기보고000520(소장)-1.xls Chart 161_사장님IQS개선회의(조립생기팀0816)_인상시부담액(임,단협(1).04.26수정)_다대포 해수욕장-내역서" xfId="1651" xr:uid="{00000000-0005-0000-0000-000075060000}"/>
    <cellStyle name="통_IQS00년 상반기보고000520(소장)-1.xls Chart 161_사장님IQS개선회의(조립생기팀0816)_인상시부담액(임,단협(1).04.26수정)_조형물 내역서(원본)" xfId="1652" xr:uid="{00000000-0005-0000-0000-000076060000}"/>
    <cellStyle name="통_IQS00년 상반기보고000520(소장)-1.xls Chart 161_사장님IQS개선회의(조립생기팀0816)_조형물 내역서(원본)" xfId="1653" xr:uid="{00000000-0005-0000-0000-000077060000}"/>
    <cellStyle name="통_IQS00년 상반기보고000520(소장)-1.xls Chart 161_인상시부담액(임,단협(1).04.26수정)" xfId="1654" xr:uid="{00000000-0005-0000-0000-000078060000}"/>
    <cellStyle name="통_IQS00년 상반기보고000520(소장)-1.xls Chart 161_인상시부담액(임,단협(1).04.26수정)_다대포 해수욕장-내역서" xfId="1655" xr:uid="{00000000-0005-0000-0000-000079060000}"/>
    <cellStyle name="통_IQS00년 상반기보고000520(소장)-1.xls Chart 161_인상시부담액(임,단협(1).04.26수정)_조형물 내역서(원본)" xfId="1656" xr:uid="{00000000-0005-0000-0000-00007A060000}"/>
    <cellStyle name="통_IQS00년 상반기보고000520(소장)-1.xls Chart 161_정이사님보고0907" xfId="1657" xr:uid="{00000000-0005-0000-0000-00007B060000}"/>
    <cellStyle name="통_IQS00년 상반기보고000520(소장)-1.xls Chart 161_정이사님보고0907_Book1" xfId="1658" xr:uid="{00000000-0005-0000-0000-00007C060000}"/>
    <cellStyle name="통_IQS00년 상반기보고000520(소장)-1.xls Chart 161_정이사님보고0907_Book1_다대포 해수욕장-내역서" xfId="1659" xr:uid="{00000000-0005-0000-0000-00007D060000}"/>
    <cellStyle name="통_IQS00년 상반기보고000520(소장)-1.xls Chart 161_정이사님보고0907_Book1_조형물 내역서(원본)" xfId="1660" xr:uid="{00000000-0005-0000-0000-00007E060000}"/>
    <cellStyle name="통_IQS00년 상반기보고000520(소장)-1.xls Chart 161_정이사님보고0907_다대포 해수욕장-내역서" xfId="1661" xr:uid="{00000000-0005-0000-0000-00007F060000}"/>
    <cellStyle name="통_IQS00년 상반기보고000520(소장)-1.xls Chart 161_정이사님보고0907_인상시부담액(임,단협(1).04.26수정)" xfId="1662" xr:uid="{00000000-0005-0000-0000-000080060000}"/>
    <cellStyle name="통_IQS00년 상반기보고000520(소장)-1.xls Chart 161_정이사님보고0907_인상시부담액(임,단협(1).04.26수정)_다대포 해수욕장-내역서" xfId="1663" xr:uid="{00000000-0005-0000-0000-000081060000}"/>
    <cellStyle name="통_IQS00년 상반기보고000520(소장)-1.xls Chart 161_정이사님보고0907_인상시부담액(임,단협(1).04.26수정)_조형물 내역서(원본)" xfId="1664" xr:uid="{00000000-0005-0000-0000-000082060000}"/>
    <cellStyle name="통_IQS00년 상반기보고000520(소장)-1.xls Chart 161_정이사님보고0907_조형물 내역서(원본)" xfId="1665" xr:uid="{00000000-0005-0000-0000-000083060000}"/>
    <cellStyle name="통_IQS00년 상반기보고000520(소장)-1.xls Chart 161_조형물 내역서(원본)" xfId="1666" xr:uid="{00000000-0005-0000-0000-000084060000}"/>
    <cellStyle name="통_IQS00년 상반기보고000520(소장)-1_Book1" xfId="1667" xr:uid="{00000000-0005-0000-0000-000085060000}"/>
    <cellStyle name="통_IQS00년 상반기보고000520(소장)-1_Book1_다대포 해수욕장-내역서" xfId="1668" xr:uid="{00000000-0005-0000-0000-000086060000}"/>
    <cellStyle name="통_IQS00년 상반기보고000520(소장)-1_Book1_조형물 내역서(원본)" xfId="1669" xr:uid="{00000000-0005-0000-0000-000087060000}"/>
    <cellStyle name="통_IQS00년 상반기보고000520(소장)-1_다대포 해수욕장-내역서" xfId="1670" xr:uid="{00000000-0005-0000-0000-000088060000}"/>
    <cellStyle name="통_IQS00년 상반기보고000520(소장)-1_사장님IQS개선회의(조립생기팀0816)" xfId="1671" xr:uid="{00000000-0005-0000-0000-000089060000}"/>
    <cellStyle name="통_IQS00년 상반기보고000520(소장)-1_사장님IQS개선회의(조립생기팀0816)_Book1" xfId="1672" xr:uid="{00000000-0005-0000-0000-00008A060000}"/>
    <cellStyle name="통_IQS00년 상반기보고000520(소장)-1_사장님IQS개선회의(조립생기팀0816)_Book1_다대포 해수욕장-내역서" xfId="1673" xr:uid="{00000000-0005-0000-0000-00008B060000}"/>
    <cellStyle name="통_IQS00년 상반기보고000520(소장)-1_사장님IQS개선회의(조립생기팀0816)_Book1_조형물 내역서(원본)" xfId="1674" xr:uid="{00000000-0005-0000-0000-00008C060000}"/>
    <cellStyle name="통_IQS00년 상반기보고000520(소장)-1_사장님IQS개선회의(조립생기팀0816)_다대포 해수욕장-내역서" xfId="1675" xr:uid="{00000000-0005-0000-0000-00008D060000}"/>
    <cellStyle name="통_IQS00년 상반기보고000520(소장)-1_사장님IQS개선회의(조립생기팀0816)_인상시부담액(임,단협(1).04.26수정)" xfId="1676" xr:uid="{00000000-0005-0000-0000-00008E060000}"/>
    <cellStyle name="통_IQS00년 상반기보고000520(소장)-1_사장님IQS개선회의(조립생기팀0816)_인상시부담액(임,단협(1).04.26수정)_다대포 해수욕장-내역서" xfId="1677" xr:uid="{00000000-0005-0000-0000-00008F060000}"/>
    <cellStyle name="통_IQS00년 상반기보고000520(소장)-1_사장님IQS개선회의(조립생기팀0816)_인상시부담액(임,단협(1).04.26수정)_조형물 내역서(원본)" xfId="1678" xr:uid="{00000000-0005-0000-0000-000090060000}"/>
    <cellStyle name="통_IQS00년 상반기보고000520(소장)-1_사장님IQS개선회의(조립생기팀0816)_조형물 내역서(원본)" xfId="1679" xr:uid="{00000000-0005-0000-0000-000091060000}"/>
    <cellStyle name="통_IQS00년 상반기보고000520(소장)-1_인상시부담액(임,단협(1).04.26수정)" xfId="1680" xr:uid="{00000000-0005-0000-0000-000092060000}"/>
    <cellStyle name="통_IQS00년 상반기보고000520(소장)-1_인상시부담액(임,단협(1).04.26수정)_다대포 해수욕장-내역서" xfId="1681" xr:uid="{00000000-0005-0000-0000-000093060000}"/>
    <cellStyle name="통_IQS00년 상반기보고000520(소장)-1_인상시부담액(임,단협(1).04.26수정)_조형물 내역서(원본)" xfId="1682" xr:uid="{00000000-0005-0000-0000-000094060000}"/>
    <cellStyle name="통_IQS00년 상반기보고000520(소장)-1_정이사님보고0907" xfId="1683" xr:uid="{00000000-0005-0000-0000-000095060000}"/>
    <cellStyle name="통_IQS00년 상반기보고000520(소장)-1_정이사님보고0907_Book1" xfId="1684" xr:uid="{00000000-0005-0000-0000-000096060000}"/>
    <cellStyle name="통_IQS00년 상반기보고000520(소장)-1_정이사님보고0907_Book1_다대포 해수욕장-내역서" xfId="1685" xr:uid="{00000000-0005-0000-0000-000097060000}"/>
    <cellStyle name="통_IQS00년 상반기보고000520(소장)-1_정이사님보고0907_Book1_조형물 내역서(원본)" xfId="1686" xr:uid="{00000000-0005-0000-0000-000098060000}"/>
    <cellStyle name="통_IQS00년 상반기보고000520(소장)-1_정이사님보고0907_다대포 해수욕장-내역서" xfId="1687" xr:uid="{00000000-0005-0000-0000-000099060000}"/>
    <cellStyle name="통_IQS00년 상반기보고000520(소장)-1_정이사님보고0907_인상시부담액(임,단협(1).04.26수정)" xfId="1688" xr:uid="{00000000-0005-0000-0000-00009A060000}"/>
    <cellStyle name="통_IQS00년 상반기보고000520(소장)-1_정이사님보고0907_인상시부담액(임,단협(1).04.26수정)_다대포 해수욕장-내역서" xfId="1689" xr:uid="{00000000-0005-0000-0000-00009B060000}"/>
    <cellStyle name="통_IQS00년 상반기보고000520(소장)-1_정이사님보고0907_인상시부담액(임,단협(1).04.26수정)_조형물 내역서(원본)" xfId="1690" xr:uid="{00000000-0005-0000-0000-00009C060000}"/>
    <cellStyle name="통_IQS00년 상반기보고000520(소장)-1_정이사님보고0907_조형물 내역서(원본)" xfId="1691" xr:uid="{00000000-0005-0000-0000-00009D060000}"/>
    <cellStyle name="통_IQS00년 상반기보고000520(소장)-1_조형물 내역서(원본)" xfId="1692" xr:uid="{00000000-0005-0000-0000-00009E060000}"/>
    <cellStyle name="통_다대포 해수욕장-내역서" xfId="1693" xr:uid="{00000000-0005-0000-0000-00009F060000}"/>
    <cellStyle name="통_다대포 해수욕장-내역서 2" xfId="1694" xr:uid="{00000000-0005-0000-0000-0000A0060000}"/>
    <cellStyle name="통_다대포 해수욕장-내역서 3" xfId="1695" xr:uid="{00000000-0005-0000-0000-0000A1060000}"/>
    <cellStyle name="통_다대포 해수욕장-내역서 4" xfId="1696" xr:uid="{00000000-0005-0000-0000-0000A2060000}"/>
    <cellStyle name="통_다대포 해수욕장-내역서 5" xfId="1697" xr:uid="{00000000-0005-0000-0000-0000A3060000}"/>
    <cellStyle name="통_다대포 해수욕장-내역서_5공구 내역서" xfId="1698" xr:uid="{00000000-0005-0000-0000-0000A4060000}"/>
    <cellStyle name="통_다대포 해수욕장-내역서_5공구 내역서1" xfId="1699" xr:uid="{00000000-0005-0000-0000-0000A5060000}"/>
    <cellStyle name="통_다대포 해수욕장-내역서_경관조명-내역서(20100423)" xfId="1700" xr:uid="{00000000-0005-0000-0000-0000A6060000}"/>
    <cellStyle name="통_다대포 해수욕장-내역서_경관조명-내역서(20100726)" xfId="1701" xr:uid="{00000000-0005-0000-0000-0000A7060000}"/>
    <cellStyle name="통_다대포 해수욕장-내역서_경관조명-내역서(20100803)" xfId="1702" xr:uid="{00000000-0005-0000-0000-0000A8060000}"/>
    <cellStyle name="통_다대포 해수욕장-내역서_남한강내역서" xfId="1703" xr:uid="{00000000-0005-0000-0000-0000A9060000}"/>
    <cellStyle name="통_다대포 해수욕장-내역서_내역서" xfId="1704" xr:uid="{00000000-0005-0000-0000-0000AA060000}"/>
    <cellStyle name="통_다대포 해수욕장-내역서_내역서(용훈작업)" xfId="1705" xr:uid="{00000000-0005-0000-0000-0000AB060000}"/>
    <cellStyle name="통_다대포 해수욕장-내역서_단가비교표" xfId="1706" xr:uid="{00000000-0005-0000-0000-0000AC060000}"/>
    <cellStyle name="통_다대포 해수욕장-내역서_보도블럭-1" xfId="1707" xr:uid="{00000000-0005-0000-0000-0000AD060000}"/>
    <cellStyle name="통_다대포 해수욕장-내역서_위천천 내역서" xfId="1708" xr:uid="{00000000-0005-0000-0000-0000AE060000}"/>
    <cellStyle name="통_다대포 해수욕장-내역서_전호대교-내역서(교량)-수정" xfId="1709" xr:uid="{00000000-0005-0000-0000-0000AF060000}"/>
    <cellStyle name="통_다대포 해수욕장-내역서_하늘도시" xfId="1710" xr:uid="{00000000-0005-0000-0000-0000B0060000}"/>
    <cellStyle name="통_다대포 해수욕장-내역서_하천 내역서" xfId="1711" xr:uid="{00000000-0005-0000-0000-0000B1060000}"/>
    <cellStyle name="통_사본 - 계산서" xfId="1712" xr:uid="{00000000-0005-0000-0000-0000B2060000}"/>
    <cellStyle name="통_석촌동꽃마을빌딩" xfId="1713" xr:uid="{00000000-0005-0000-0000-0000B3060000}"/>
    <cellStyle name="통_성산아파트" xfId="1714" xr:uid="{00000000-0005-0000-0000-0000B4060000}"/>
    <cellStyle name="통_신성교회" xfId="1715" xr:uid="{00000000-0005-0000-0000-0000B5060000}"/>
    <cellStyle name="통_조형물 내역서(원본)" xfId="1716" xr:uid="{00000000-0005-0000-0000-0000B6060000}"/>
    <cellStyle name="통_조형물 내역서(원본) 2" xfId="1717" xr:uid="{00000000-0005-0000-0000-0000B7060000}"/>
    <cellStyle name="통_조형물 내역서(원본) 3" xfId="1718" xr:uid="{00000000-0005-0000-0000-0000B8060000}"/>
    <cellStyle name="통_조형물 내역서(원본) 4" xfId="1719" xr:uid="{00000000-0005-0000-0000-0000B9060000}"/>
    <cellStyle name="통_조형물 내역서(원본) 5" xfId="1720" xr:uid="{00000000-0005-0000-0000-0000BA060000}"/>
    <cellStyle name="통_조형물 내역서(원본)_5공구 내역서" xfId="1721" xr:uid="{00000000-0005-0000-0000-0000BB060000}"/>
    <cellStyle name="통_조형물 내역서(원본)_5공구 내역서1" xfId="1722" xr:uid="{00000000-0005-0000-0000-0000BC060000}"/>
    <cellStyle name="통_조형물 내역서(원본)_경관조명-내역서(20100423)" xfId="1723" xr:uid="{00000000-0005-0000-0000-0000BD060000}"/>
    <cellStyle name="통_조형물 내역서(원본)_경관조명-내역서(20100726)" xfId="1724" xr:uid="{00000000-0005-0000-0000-0000BE060000}"/>
    <cellStyle name="통_조형물 내역서(원본)_경관조명-내역서(20100803)" xfId="1725" xr:uid="{00000000-0005-0000-0000-0000BF060000}"/>
    <cellStyle name="통_조형물 내역서(원본)_남한강내역서" xfId="1726" xr:uid="{00000000-0005-0000-0000-0000C0060000}"/>
    <cellStyle name="통_조형물 내역서(원본)_내역서" xfId="1727" xr:uid="{00000000-0005-0000-0000-0000C1060000}"/>
    <cellStyle name="통_조형물 내역서(원본)_내역서(용훈작업)" xfId="1728" xr:uid="{00000000-0005-0000-0000-0000C2060000}"/>
    <cellStyle name="통_조형물 내역서(원본)_단가비교표" xfId="1729" xr:uid="{00000000-0005-0000-0000-0000C3060000}"/>
    <cellStyle name="통_조형물 내역서(원본)_보도블럭-1" xfId="1730" xr:uid="{00000000-0005-0000-0000-0000C4060000}"/>
    <cellStyle name="통_조형물 내역서(원본)_위천천 내역서" xfId="1731" xr:uid="{00000000-0005-0000-0000-0000C5060000}"/>
    <cellStyle name="통_조형물 내역서(원본)_전호대교-내역서(교량)-수정" xfId="1732" xr:uid="{00000000-0005-0000-0000-0000C6060000}"/>
    <cellStyle name="통_조형물 내역서(원본)_하늘도시" xfId="1733" xr:uid="{00000000-0005-0000-0000-0000C7060000}"/>
    <cellStyle name="통_조형물 내역서(원본)_하천 내역서" xfId="1734" xr:uid="{00000000-0005-0000-0000-0000C8060000}"/>
    <cellStyle name="통화 [" xfId="1735" xr:uid="{00000000-0005-0000-0000-0000C9060000}"/>
    <cellStyle name="팒" xfId="1736" xr:uid="{00000000-0005-0000-0000-0000CA060000}"/>
    <cellStyle name="퍼센트" xfId="1737" xr:uid="{00000000-0005-0000-0000-0000CB060000}"/>
    <cellStyle name="퍼센트 2" xfId="1738" xr:uid="{00000000-0005-0000-0000-0000CC060000}"/>
    <cellStyle name="표" xfId="1739" xr:uid="{00000000-0005-0000-0000-0000CD060000}"/>
    <cellStyle name="표_00년상반기현황분석(000512)-A.xls Chart 156" xfId="1740" xr:uid="{00000000-0005-0000-0000-0000CE060000}"/>
    <cellStyle name="표_00년상반기현황분석(000512)-A.xls Chart 156_Book1" xfId="1741" xr:uid="{00000000-0005-0000-0000-0000CF060000}"/>
    <cellStyle name="표_00년상반기현황분석(000512)-A.xls Chart 156_Book1_다대포 해수욕장-내역서" xfId="1742" xr:uid="{00000000-0005-0000-0000-0000D0060000}"/>
    <cellStyle name="표_00년상반기현황분석(000512)-A.xls Chart 156_Book1_조형물 내역서(원본)" xfId="1743" xr:uid="{00000000-0005-0000-0000-0000D1060000}"/>
    <cellStyle name="표_00년상반기현황분석(000512)-A.xls Chart 156_다대포 해수욕장-내역서" xfId="1744" xr:uid="{00000000-0005-0000-0000-0000D2060000}"/>
    <cellStyle name="표_00년상반기현황분석(000512)-A.xls Chart 156_사장님IQS개선회의(조립생기팀0816)" xfId="1745" xr:uid="{00000000-0005-0000-0000-0000D3060000}"/>
    <cellStyle name="표_00년상반기현황분석(000512)-A.xls Chart 156_사장님IQS개선회의(조립생기팀0816)_Book1" xfId="1746" xr:uid="{00000000-0005-0000-0000-0000D4060000}"/>
    <cellStyle name="표_00년상반기현황분석(000512)-A.xls Chart 156_사장님IQS개선회의(조립생기팀0816)_Book1_다대포 해수욕장-내역서" xfId="1747" xr:uid="{00000000-0005-0000-0000-0000D5060000}"/>
    <cellStyle name="표_00년상반기현황분석(000512)-A.xls Chart 156_사장님IQS개선회의(조립생기팀0816)_Book1_조형물 내역서(원본)" xfId="1748" xr:uid="{00000000-0005-0000-0000-0000D6060000}"/>
    <cellStyle name="표_00년상반기현황분석(000512)-A.xls Chart 156_사장님IQS개선회의(조립생기팀0816)_다대포 해수욕장-내역서" xfId="1749" xr:uid="{00000000-0005-0000-0000-0000D7060000}"/>
    <cellStyle name="표_00년상반기현황분석(000512)-A.xls Chart 156_사장님IQS개선회의(조립생기팀0816)_인상시부담액(임,단협(1).04.26수정)" xfId="1750" xr:uid="{00000000-0005-0000-0000-0000D8060000}"/>
    <cellStyle name="표_00년상반기현황분석(000512)-A.xls Chart 156_사장님IQS개선회의(조립생기팀0816)_인상시부담액(임,단협(1).04.26수정)_다대포 해수욕장-내역서" xfId="1751" xr:uid="{00000000-0005-0000-0000-0000D9060000}"/>
    <cellStyle name="표_00년상반기현황분석(000512)-A.xls Chart 156_사장님IQS개선회의(조립생기팀0816)_인상시부담액(임,단협(1).04.26수정)_조형물 내역서(원본)" xfId="1752" xr:uid="{00000000-0005-0000-0000-0000DA060000}"/>
    <cellStyle name="표_00년상반기현황분석(000512)-A.xls Chart 156_사장님IQS개선회의(조립생기팀0816)_조형물 내역서(원본)" xfId="1753" xr:uid="{00000000-0005-0000-0000-0000DB060000}"/>
    <cellStyle name="표_00년상반기현황분석(000512)-A.xls Chart 156_인상시부담액(임,단협(1).04.26수정)" xfId="1754" xr:uid="{00000000-0005-0000-0000-0000DC060000}"/>
    <cellStyle name="표_00년상반기현황분석(000512)-A.xls Chart 156_인상시부담액(임,단협(1).04.26수정)_다대포 해수욕장-내역서" xfId="1755" xr:uid="{00000000-0005-0000-0000-0000DD060000}"/>
    <cellStyle name="표_00년상반기현황분석(000512)-A.xls Chart 156_인상시부담액(임,단협(1).04.26수정)_조형물 내역서(원본)" xfId="1756" xr:uid="{00000000-0005-0000-0000-0000DE060000}"/>
    <cellStyle name="표_00년상반기현황분석(000512)-A.xls Chart 156_정이사님보고0907" xfId="1757" xr:uid="{00000000-0005-0000-0000-0000DF060000}"/>
    <cellStyle name="표_00년상반기현황분석(000512)-A.xls Chart 156_정이사님보고0907_Book1" xfId="1758" xr:uid="{00000000-0005-0000-0000-0000E0060000}"/>
    <cellStyle name="표_00년상반기현황분석(000512)-A.xls Chart 156_정이사님보고0907_Book1_다대포 해수욕장-내역서" xfId="1759" xr:uid="{00000000-0005-0000-0000-0000E1060000}"/>
    <cellStyle name="표_00년상반기현황분석(000512)-A.xls Chart 156_정이사님보고0907_Book1_조형물 내역서(원본)" xfId="1760" xr:uid="{00000000-0005-0000-0000-0000E2060000}"/>
    <cellStyle name="표_00년상반기현황분석(000512)-A.xls Chart 156_정이사님보고0907_다대포 해수욕장-내역서" xfId="1761" xr:uid="{00000000-0005-0000-0000-0000E3060000}"/>
    <cellStyle name="표_00년상반기현황분석(000512)-A.xls Chart 156_정이사님보고0907_인상시부담액(임,단협(1).04.26수정)" xfId="1762" xr:uid="{00000000-0005-0000-0000-0000E4060000}"/>
    <cellStyle name="표_00년상반기현황분석(000512)-A.xls Chart 156_정이사님보고0907_인상시부담액(임,단협(1).04.26수정)_다대포 해수욕장-내역서" xfId="1763" xr:uid="{00000000-0005-0000-0000-0000E5060000}"/>
    <cellStyle name="표_00년상반기현황분석(000512)-A.xls Chart 156_정이사님보고0907_인상시부담액(임,단협(1).04.26수정)_조형물 내역서(원본)" xfId="1764" xr:uid="{00000000-0005-0000-0000-0000E6060000}"/>
    <cellStyle name="표_00년상반기현황분석(000512)-A.xls Chart 156_정이사님보고0907_조형물 내역서(원본)" xfId="1765" xr:uid="{00000000-0005-0000-0000-0000E7060000}"/>
    <cellStyle name="표_00년상반기현황분석(000512)-A.xls Chart 156_조형물 내역서(원본)" xfId="1766" xr:uid="{00000000-0005-0000-0000-0000E8060000}"/>
    <cellStyle name="표_00년상반기현황분석(000512)-A.xls Chart 157" xfId="1767" xr:uid="{00000000-0005-0000-0000-0000E9060000}"/>
    <cellStyle name="표_00년상반기현황분석(000512)-A.xls Chart 157_Book1" xfId="1768" xr:uid="{00000000-0005-0000-0000-0000EA060000}"/>
    <cellStyle name="표_00년상반기현황분석(000512)-A.xls Chart 157_Book1_다대포 해수욕장-내역서" xfId="1769" xr:uid="{00000000-0005-0000-0000-0000EB060000}"/>
    <cellStyle name="표_00년상반기현황분석(000512)-A.xls Chart 157_Book1_조형물 내역서(원본)" xfId="1770" xr:uid="{00000000-0005-0000-0000-0000EC060000}"/>
    <cellStyle name="표_00년상반기현황분석(000512)-A.xls Chart 157_다대포 해수욕장-내역서" xfId="1771" xr:uid="{00000000-0005-0000-0000-0000ED060000}"/>
    <cellStyle name="표_00년상반기현황분석(000512)-A.xls Chart 157_사장님IQS개선회의(조립생기팀0816)" xfId="1772" xr:uid="{00000000-0005-0000-0000-0000EE060000}"/>
    <cellStyle name="표_00년상반기현황분석(000512)-A.xls Chart 157_사장님IQS개선회의(조립생기팀0816)_Book1" xfId="1773" xr:uid="{00000000-0005-0000-0000-0000EF060000}"/>
    <cellStyle name="표_00년상반기현황분석(000512)-A.xls Chart 157_사장님IQS개선회의(조립생기팀0816)_Book1_다대포 해수욕장-내역서" xfId="1774" xr:uid="{00000000-0005-0000-0000-0000F0060000}"/>
    <cellStyle name="표_00년상반기현황분석(000512)-A.xls Chart 157_사장님IQS개선회의(조립생기팀0816)_Book1_조형물 내역서(원본)" xfId="1775" xr:uid="{00000000-0005-0000-0000-0000F1060000}"/>
    <cellStyle name="표_00년상반기현황분석(000512)-A.xls Chart 157_사장님IQS개선회의(조립생기팀0816)_다대포 해수욕장-내역서" xfId="1776" xr:uid="{00000000-0005-0000-0000-0000F2060000}"/>
    <cellStyle name="표_00년상반기현황분석(000512)-A.xls Chart 157_사장님IQS개선회의(조립생기팀0816)_인상시부담액(임,단협(1).04.26수정)" xfId="1777" xr:uid="{00000000-0005-0000-0000-0000F3060000}"/>
    <cellStyle name="표_00년상반기현황분석(000512)-A.xls Chart 157_사장님IQS개선회의(조립생기팀0816)_인상시부담액(임,단협(1).04.26수정)_다대포 해수욕장-내역서" xfId="1778" xr:uid="{00000000-0005-0000-0000-0000F4060000}"/>
    <cellStyle name="표_00년상반기현황분석(000512)-A.xls Chart 157_사장님IQS개선회의(조립생기팀0816)_인상시부담액(임,단협(1).04.26수정)_조형물 내역서(원본)" xfId="1779" xr:uid="{00000000-0005-0000-0000-0000F5060000}"/>
    <cellStyle name="표_00년상반기현황분석(000512)-A.xls Chart 157_사장님IQS개선회의(조립생기팀0816)_조형물 내역서(원본)" xfId="1780" xr:uid="{00000000-0005-0000-0000-0000F6060000}"/>
    <cellStyle name="표_00년상반기현황분석(000512)-A.xls Chart 157_인상시부담액(임,단협(1).04.26수정)" xfId="1781" xr:uid="{00000000-0005-0000-0000-0000F7060000}"/>
    <cellStyle name="표_00년상반기현황분석(000512)-A.xls Chart 157_인상시부담액(임,단협(1).04.26수정)_다대포 해수욕장-내역서" xfId="1782" xr:uid="{00000000-0005-0000-0000-0000F8060000}"/>
    <cellStyle name="표_00년상반기현황분석(000512)-A.xls Chart 157_인상시부담액(임,단협(1).04.26수정)_조형물 내역서(원본)" xfId="1783" xr:uid="{00000000-0005-0000-0000-0000F9060000}"/>
    <cellStyle name="표_00년상반기현황분석(000512)-A.xls Chart 157_정이사님보고0907" xfId="1784" xr:uid="{00000000-0005-0000-0000-0000FA060000}"/>
    <cellStyle name="표_00년상반기현황분석(000512)-A.xls Chart 157_정이사님보고0907_Book1" xfId="1785" xr:uid="{00000000-0005-0000-0000-0000FB060000}"/>
    <cellStyle name="표_00년상반기현황분석(000512)-A.xls Chart 157_정이사님보고0907_Book1_다대포 해수욕장-내역서" xfId="1786" xr:uid="{00000000-0005-0000-0000-0000FC060000}"/>
    <cellStyle name="표_00년상반기현황분석(000512)-A.xls Chart 157_정이사님보고0907_Book1_조형물 내역서(원본)" xfId="1787" xr:uid="{00000000-0005-0000-0000-0000FD060000}"/>
    <cellStyle name="표_00년상반기현황분석(000512)-A.xls Chart 157_정이사님보고0907_다대포 해수욕장-내역서" xfId="1788" xr:uid="{00000000-0005-0000-0000-0000FE060000}"/>
    <cellStyle name="표_00년상반기현황분석(000512)-A.xls Chart 157_정이사님보고0907_인상시부담액(임,단협(1).04.26수정)" xfId="1789" xr:uid="{00000000-0005-0000-0000-0000FF060000}"/>
    <cellStyle name="표_00년상반기현황분석(000512)-A.xls Chart 157_정이사님보고0907_인상시부담액(임,단협(1).04.26수정)_다대포 해수욕장-내역서" xfId="1790" xr:uid="{00000000-0005-0000-0000-000000070000}"/>
    <cellStyle name="표_00년상반기현황분석(000512)-A.xls Chart 157_정이사님보고0907_인상시부담액(임,단협(1).04.26수정)_조형물 내역서(원본)" xfId="1791" xr:uid="{00000000-0005-0000-0000-000001070000}"/>
    <cellStyle name="표_00년상반기현황분석(000512)-A.xls Chart 157_정이사님보고0907_조형물 내역서(원본)" xfId="1792" xr:uid="{00000000-0005-0000-0000-000002070000}"/>
    <cellStyle name="표_00년상반기현황분석(000512)-A.xls Chart 157_조형물 내역서(원본)" xfId="1793" xr:uid="{00000000-0005-0000-0000-000003070000}"/>
    <cellStyle name="표_00년상반기현황분석(000512)-A.xls Chart 158" xfId="1794" xr:uid="{00000000-0005-0000-0000-000004070000}"/>
    <cellStyle name="표_00년상반기현황분석(000512)-A.xls Chart 158_Book1" xfId="1795" xr:uid="{00000000-0005-0000-0000-000005070000}"/>
    <cellStyle name="표_00년상반기현황분석(000512)-A.xls Chart 158_Book1_다대포 해수욕장-내역서" xfId="1796" xr:uid="{00000000-0005-0000-0000-000006070000}"/>
    <cellStyle name="표_00년상반기현황분석(000512)-A.xls Chart 158_Book1_조형물 내역서(원본)" xfId="1797" xr:uid="{00000000-0005-0000-0000-000007070000}"/>
    <cellStyle name="표_00년상반기현황분석(000512)-A.xls Chart 158_다대포 해수욕장-내역서" xfId="1798" xr:uid="{00000000-0005-0000-0000-000008070000}"/>
    <cellStyle name="표_00년상반기현황분석(000512)-A.xls Chart 158_사장님IQS개선회의(조립생기팀0816)" xfId="1799" xr:uid="{00000000-0005-0000-0000-000009070000}"/>
    <cellStyle name="표_00년상반기현황분석(000512)-A.xls Chart 158_사장님IQS개선회의(조립생기팀0816)_Book1" xfId="1800" xr:uid="{00000000-0005-0000-0000-00000A070000}"/>
    <cellStyle name="표_00년상반기현황분석(000512)-A.xls Chart 158_사장님IQS개선회의(조립생기팀0816)_Book1_다대포 해수욕장-내역서" xfId="1801" xr:uid="{00000000-0005-0000-0000-00000B070000}"/>
    <cellStyle name="표_00년상반기현황분석(000512)-A.xls Chart 158_사장님IQS개선회의(조립생기팀0816)_Book1_조형물 내역서(원본)" xfId="1802" xr:uid="{00000000-0005-0000-0000-00000C070000}"/>
    <cellStyle name="표_00년상반기현황분석(000512)-A.xls Chart 158_사장님IQS개선회의(조립생기팀0816)_다대포 해수욕장-내역서" xfId="1803" xr:uid="{00000000-0005-0000-0000-00000D070000}"/>
    <cellStyle name="표_00년상반기현황분석(000512)-A.xls Chart 158_사장님IQS개선회의(조립생기팀0816)_인상시부담액(임,단협(1).04.26수정)" xfId="1804" xr:uid="{00000000-0005-0000-0000-00000E070000}"/>
    <cellStyle name="표_00년상반기현황분석(000512)-A.xls Chart 158_사장님IQS개선회의(조립생기팀0816)_인상시부담액(임,단협(1).04.26수정)_다대포 해수욕장-내역서" xfId="1805" xr:uid="{00000000-0005-0000-0000-00000F070000}"/>
    <cellStyle name="표_00년상반기현황분석(000512)-A.xls Chart 158_사장님IQS개선회의(조립생기팀0816)_인상시부담액(임,단협(1).04.26수정)_조형물 내역서(원본)" xfId="1806" xr:uid="{00000000-0005-0000-0000-000010070000}"/>
    <cellStyle name="표_00년상반기현황분석(000512)-A.xls Chart 158_사장님IQS개선회의(조립생기팀0816)_조형물 내역서(원본)" xfId="1807" xr:uid="{00000000-0005-0000-0000-000011070000}"/>
    <cellStyle name="표_00년상반기현황분석(000512)-A.xls Chart 158_인상시부담액(임,단협(1).04.26수정)" xfId="1808" xr:uid="{00000000-0005-0000-0000-000012070000}"/>
    <cellStyle name="표_00년상반기현황분석(000512)-A.xls Chart 158_인상시부담액(임,단협(1).04.26수정)_다대포 해수욕장-내역서" xfId="1809" xr:uid="{00000000-0005-0000-0000-000013070000}"/>
    <cellStyle name="표_00년상반기현황분석(000512)-A.xls Chart 158_인상시부담액(임,단협(1).04.26수정)_조형물 내역서(원본)" xfId="1810" xr:uid="{00000000-0005-0000-0000-000014070000}"/>
    <cellStyle name="표_00년상반기현황분석(000512)-A.xls Chart 158_정이사님보고0907" xfId="1811" xr:uid="{00000000-0005-0000-0000-000015070000}"/>
    <cellStyle name="표_00년상반기현황분석(000512)-A.xls Chart 158_정이사님보고0907_Book1" xfId="1812" xr:uid="{00000000-0005-0000-0000-000016070000}"/>
    <cellStyle name="표_00년상반기현황분석(000512)-A.xls Chart 158_정이사님보고0907_Book1_다대포 해수욕장-내역서" xfId="1813" xr:uid="{00000000-0005-0000-0000-000017070000}"/>
    <cellStyle name="표_00년상반기현황분석(000512)-A.xls Chart 158_정이사님보고0907_Book1_조형물 내역서(원본)" xfId="1814" xr:uid="{00000000-0005-0000-0000-000018070000}"/>
    <cellStyle name="표_00년상반기현황분석(000512)-A.xls Chart 158_정이사님보고0907_다대포 해수욕장-내역서" xfId="1815" xr:uid="{00000000-0005-0000-0000-000019070000}"/>
    <cellStyle name="표_00년상반기현황분석(000512)-A.xls Chart 158_정이사님보고0907_인상시부담액(임,단협(1).04.26수정)" xfId="1816" xr:uid="{00000000-0005-0000-0000-00001A070000}"/>
    <cellStyle name="표_00년상반기현황분석(000512)-A.xls Chart 158_정이사님보고0907_인상시부담액(임,단협(1).04.26수정)_다대포 해수욕장-내역서" xfId="1817" xr:uid="{00000000-0005-0000-0000-00001B070000}"/>
    <cellStyle name="표_00년상반기현황분석(000512)-A.xls Chart 158_정이사님보고0907_인상시부담액(임,단협(1).04.26수정)_조형물 내역서(원본)" xfId="1818" xr:uid="{00000000-0005-0000-0000-00001C070000}"/>
    <cellStyle name="표_00년상반기현황분석(000512)-A.xls Chart 158_정이사님보고0907_조형물 내역서(원본)" xfId="1819" xr:uid="{00000000-0005-0000-0000-00001D070000}"/>
    <cellStyle name="표_00년상반기현황분석(000512)-A.xls Chart 158_조형물 내역서(원본)" xfId="1820" xr:uid="{00000000-0005-0000-0000-00001E070000}"/>
    <cellStyle name="표_00년상반기현황분석(000512)-A.xls Chart 160" xfId="1821" xr:uid="{00000000-0005-0000-0000-00001F070000}"/>
    <cellStyle name="표_00년상반기현황분석(000512)-A.xls Chart 160_Book1" xfId="1822" xr:uid="{00000000-0005-0000-0000-000020070000}"/>
    <cellStyle name="표_00년상반기현황분석(000512)-A.xls Chart 160_Book1_다대포 해수욕장-내역서" xfId="1823" xr:uid="{00000000-0005-0000-0000-000021070000}"/>
    <cellStyle name="표_00년상반기현황분석(000512)-A.xls Chart 160_Book1_조형물 내역서(원본)" xfId="1824" xr:uid="{00000000-0005-0000-0000-000022070000}"/>
    <cellStyle name="표_00년상반기현황분석(000512)-A.xls Chart 160_다대포 해수욕장-내역서" xfId="1825" xr:uid="{00000000-0005-0000-0000-000023070000}"/>
    <cellStyle name="표_00년상반기현황분석(000512)-A.xls Chart 160_사장님IQS개선회의(조립생기팀0816)" xfId="1826" xr:uid="{00000000-0005-0000-0000-000024070000}"/>
    <cellStyle name="표_00년상반기현황분석(000512)-A.xls Chart 160_사장님IQS개선회의(조립생기팀0816)_Book1" xfId="1827" xr:uid="{00000000-0005-0000-0000-000025070000}"/>
    <cellStyle name="표_00년상반기현황분석(000512)-A.xls Chart 160_사장님IQS개선회의(조립생기팀0816)_Book1_다대포 해수욕장-내역서" xfId="1828" xr:uid="{00000000-0005-0000-0000-000026070000}"/>
    <cellStyle name="표_00년상반기현황분석(000512)-A.xls Chart 160_사장님IQS개선회의(조립생기팀0816)_Book1_조형물 내역서(원본)" xfId="1829" xr:uid="{00000000-0005-0000-0000-000027070000}"/>
    <cellStyle name="표_00년상반기현황분석(000512)-A.xls Chart 160_사장님IQS개선회의(조립생기팀0816)_다대포 해수욕장-내역서" xfId="1830" xr:uid="{00000000-0005-0000-0000-000028070000}"/>
    <cellStyle name="표_00년상반기현황분석(000512)-A.xls Chart 160_사장님IQS개선회의(조립생기팀0816)_인상시부담액(임,단협(1).04.26수정)" xfId="1831" xr:uid="{00000000-0005-0000-0000-000029070000}"/>
    <cellStyle name="표_00년상반기현황분석(000512)-A.xls Chart 160_사장님IQS개선회의(조립생기팀0816)_인상시부담액(임,단협(1).04.26수정)_다대포 해수욕장-내역서" xfId="1832" xr:uid="{00000000-0005-0000-0000-00002A070000}"/>
    <cellStyle name="표_00년상반기현황분석(000512)-A.xls Chart 160_사장님IQS개선회의(조립생기팀0816)_인상시부담액(임,단협(1).04.26수정)_조형물 내역서(원본)" xfId="1833" xr:uid="{00000000-0005-0000-0000-00002B070000}"/>
    <cellStyle name="표_00년상반기현황분석(000512)-A.xls Chart 160_사장님IQS개선회의(조립생기팀0816)_조형물 내역서(원본)" xfId="1834" xr:uid="{00000000-0005-0000-0000-00002C070000}"/>
    <cellStyle name="표_00년상반기현황분석(000512)-A.xls Chart 160_인상시부담액(임,단협(1).04.26수정)" xfId="1835" xr:uid="{00000000-0005-0000-0000-00002D070000}"/>
    <cellStyle name="표_00년상반기현황분석(000512)-A.xls Chart 160_인상시부담액(임,단협(1).04.26수정)_다대포 해수욕장-내역서" xfId="1836" xr:uid="{00000000-0005-0000-0000-00002E070000}"/>
    <cellStyle name="표_00년상반기현황분석(000512)-A.xls Chart 160_인상시부담액(임,단협(1).04.26수정)_조형물 내역서(원본)" xfId="1837" xr:uid="{00000000-0005-0000-0000-00002F070000}"/>
    <cellStyle name="표_00년상반기현황분석(000512)-A.xls Chart 160_정이사님보고0907" xfId="1838" xr:uid="{00000000-0005-0000-0000-000030070000}"/>
    <cellStyle name="표_00년상반기현황분석(000512)-A.xls Chart 160_정이사님보고0907_Book1" xfId="1839" xr:uid="{00000000-0005-0000-0000-000031070000}"/>
    <cellStyle name="표_00년상반기현황분석(000512)-A.xls Chart 160_정이사님보고0907_Book1_다대포 해수욕장-내역서" xfId="1840" xr:uid="{00000000-0005-0000-0000-000032070000}"/>
    <cellStyle name="표_00년상반기현황분석(000512)-A.xls Chart 160_정이사님보고0907_Book1_조형물 내역서(원본)" xfId="1841" xr:uid="{00000000-0005-0000-0000-000033070000}"/>
    <cellStyle name="표_00년상반기현황분석(000512)-A.xls Chart 160_정이사님보고0907_다대포 해수욕장-내역서" xfId="1842" xr:uid="{00000000-0005-0000-0000-000034070000}"/>
    <cellStyle name="표_00년상반기현황분석(000512)-A.xls Chart 160_정이사님보고0907_인상시부담액(임,단협(1).04.26수정)" xfId="1843" xr:uid="{00000000-0005-0000-0000-000035070000}"/>
    <cellStyle name="표_00년상반기현황분석(000512)-A.xls Chart 160_정이사님보고0907_인상시부담액(임,단협(1).04.26수정)_다대포 해수욕장-내역서" xfId="1844" xr:uid="{00000000-0005-0000-0000-000036070000}"/>
    <cellStyle name="표_00년상반기현황분석(000512)-A.xls Chart 160_정이사님보고0907_인상시부담액(임,단협(1).04.26수정)_조형물 내역서(원본)" xfId="1845" xr:uid="{00000000-0005-0000-0000-000037070000}"/>
    <cellStyle name="표_00년상반기현황분석(000512)-A.xls Chart 160_정이사님보고0907_조형물 내역서(원본)" xfId="1846" xr:uid="{00000000-0005-0000-0000-000038070000}"/>
    <cellStyle name="표_00년상반기현황분석(000512)-A.xls Chart 160_조형물 내역서(원본)" xfId="1847" xr:uid="{00000000-0005-0000-0000-000039070000}"/>
    <cellStyle name="표_00년상반기현황분석(000512)-A.xls Chart 161" xfId="1848" xr:uid="{00000000-0005-0000-0000-00003A070000}"/>
    <cellStyle name="표_00년상반기현황분석(000512)-A.xls Chart 161_Book1" xfId="1849" xr:uid="{00000000-0005-0000-0000-00003B070000}"/>
    <cellStyle name="표_00년상반기현황분석(000512)-A.xls Chart 161_Book1_다대포 해수욕장-내역서" xfId="1850" xr:uid="{00000000-0005-0000-0000-00003C070000}"/>
    <cellStyle name="표_00년상반기현황분석(000512)-A.xls Chart 161_Book1_조형물 내역서(원본)" xfId="1851" xr:uid="{00000000-0005-0000-0000-00003D070000}"/>
    <cellStyle name="표_00년상반기현황분석(000512)-A.xls Chart 161_다대포 해수욕장-내역서" xfId="1852" xr:uid="{00000000-0005-0000-0000-00003E070000}"/>
    <cellStyle name="표_00년상반기현황분석(000512)-A.xls Chart 161_사장님IQS개선회의(조립생기팀0816)" xfId="1853" xr:uid="{00000000-0005-0000-0000-00003F070000}"/>
    <cellStyle name="표_00년상반기현황분석(000512)-A.xls Chart 161_사장님IQS개선회의(조립생기팀0816)_Book1" xfId="1854" xr:uid="{00000000-0005-0000-0000-000040070000}"/>
    <cellStyle name="표_00년상반기현황분석(000512)-A.xls Chart 161_사장님IQS개선회의(조립생기팀0816)_Book1_다대포 해수욕장-내역서" xfId="1855" xr:uid="{00000000-0005-0000-0000-000041070000}"/>
    <cellStyle name="표_00년상반기현황분석(000512)-A.xls Chart 161_사장님IQS개선회의(조립생기팀0816)_Book1_조형물 내역서(원본)" xfId="1856" xr:uid="{00000000-0005-0000-0000-000042070000}"/>
    <cellStyle name="표_00년상반기현황분석(000512)-A.xls Chart 161_사장님IQS개선회의(조립생기팀0816)_다대포 해수욕장-내역서" xfId="1857" xr:uid="{00000000-0005-0000-0000-000043070000}"/>
    <cellStyle name="표_00년상반기현황분석(000512)-A.xls Chart 161_사장님IQS개선회의(조립생기팀0816)_인상시부담액(임,단협(1).04.26수정)" xfId="1858" xr:uid="{00000000-0005-0000-0000-000044070000}"/>
    <cellStyle name="표_00년상반기현황분석(000512)-A.xls Chart 161_사장님IQS개선회의(조립생기팀0816)_인상시부담액(임,단협(1).04.26수정)_다대포 해수욕장-내역서" xfId="1859" xr:uid="{00000000-0005-0000-0000-000045070000}"/>
    <cellStyle name="표_00년상반기현황분석(000512)-A.xls Chart 161_사장님IQS개선회의(조립생기팀0816)_인상시부담액(임,단협(1).04.26수정)_조형물 내역서(원본)" xfId="1860" xr:uid="{00000000-0005-0000-0000-000046070000}"/>
    <cellStyle name="표_00년상반기현황분석(000512)-A.xls Chart 161_사장님IQS개선회의(조립생기팀0816)_조형물 내역서(원본)" xfId="1861" xr:uid="{00000000-0005-0000-0000-000047070000}"/>
    <cellStyle name="표_00년상반기현황분석(000512)-A.xls Chart 161_인상시부담액(임,단협(1).04.26수정)" xfId="1862" xr:uid="{00000000-0005-0000-0000-000048070000}"/>
    <cellStyle name="표_00년상반기현황분석(000512)-A.xls Chart 161_인상시부담액(임,단협(1).04.26수정)_다대포 해수욕장-내역서" xfId="1863" xr:uid="{00000000-0005-0000-0000-000049070000}"/>
    <cellStyle name="표_00년상반기현황분석(000512)-A.xls Chart 161_인상시부담액(임,단협(1).04.26수정)_조형물 내역서(원본)" xfId="1864" xr:uid="{00000000-0005-0000-0000-00004A070000}"/>
    <cellStyle name="표_00년상반기현황분석(000512)-A.xls Chart 161_정이사님보고0907" xfId="1865" xr:uid="{00000000-0005-0000-0000-00004B070000}"/>
    <cellStyle name="표_00년상반기현황분석(000512)-A.xls Chart 161_정이사님보고0907_Book1" xfId="1866" xr:uid="{00000000-0005-0000-0000-00004C070000}"/>
    <cellStyle name="표_00년상반기현황분석(000512)-A.xls Chart 161_정이사님보고0907_Book1_다대포 해수욕장-내역서" xfId="1867" xr:uid="{00000000-0005-0000-0000-00004D070000}"/>
    <cellStyle name="표_00년상반기현황분석(000512)-A.xls Chart 161_정이사님보고0907_Book1_조형물 내역서(원본)" xfId="1868" xr:uid="{00000000-0005-0000-0000-00004E070000}"/>
    <cellStyle name="표_00년상반기현황분석(000512)-A.xls Chart 161_정이사님보고0907_다대포 해수욕장-내역서" xfId="1869" xr:uid="{00000000-0005-0000-0000-00004F070000}"/>
    <cellStyle name="표_00년상반기현황분석(000512)-A.xls Chart 161_정이사님보고0907_인상시부담액(임,단협(1).04.26수정)" xfId="1870" xr:uid="{00000000-0005-0000-0000-000050070000}"/>
    <cellStyle name="표_00년상반기현황분석(000512)-A.xls Chart 161_정이사님보고0907_인상시부담액(임,단협(1).04.26수정)_다대포 해수욕장-내역서" xfId="1871" xr:uid="{00000000-0005-0000-0000-000051070000}"/>
    <cellStyle name="표_00년상반기현황분석(000512)-A.xls Chart 161_정이사님보고0907_인상시부담액(임,단협(1).04.26수정)_조형물 내역서(원본)" xfId="1872" xr:uid="{00000000-0005-0000-0000-000052070000}"/>
    <cellStyle name="표_00년상반기현황분석(000512)-A.xls Chart 161_정이사님보고0907_조형물 내역서(원본)" xfId="1873" xr:uid="{00000000-0005-0000-0000-000053070000}"/>
    <cellStyle name="표_00년상반기현황분석(000512)-A.xls Chart 161_조형물 내역서(원본)" xfId="1874" xr:uid="{00000000-0005-0000-0000-000054070000}"/>
    <cellStyle name="표_IQS00년 상반기보고000520(소장)-1" xfId="1875" xr:uid="{00000000-0005-0000-0000-000055070000}"/>
    <cellStyle name="표_IQS00년 상반기보고000520(소장)-1.xls Chart 156" xfId="1876" xr:uid="{00000000-0005-0000-0000-000056070000}"/>
    <cellStyle name="표_IQS00년 상반기보고000520(소장)-1.xls Chart 156_Book1" xfId="1877" xr:uid="{00000000-0005-0000-0000-000057070000}"/>
    <cellStyle name="표_IQS00년 상반기보고000520(소장)-1.xls Chart 156_Book1_다대포 해수욕장-내역서" xfId="1878" xr:uid="{00000000-0005-0000-0000-000058070000}"/>
    <cellStyle name="표_IQS00년 상반기보고000520(소장)-1.xls Chart 156_Book1_조형물 내역서(원본)" xfId="1879" xr:uid="{00000000-0005-0000-0000-000059070000}"/>
    <cellStyle name="표_IQS00년 상반기보고000520(소장)-1.xls Chart 156_다대포 해수욕장-내역서" xfId="1880" xr:uid="{00000000-0005-0000-0000-00005A070000}"/>
    <cellStyle name="표_IQS00년 상반기보고000520(소장)-1.xls Chart 156_사장님IQS개선회의(조립생기팀0816)" xfId="1881" xr:uid="{00000000-0005-0000-0000-00005B070000}"/>
    <cellStyle name="표_IQS00년 상반기보고000520(소장)-1.xls Chart 156_사장님IQS개선회의(조립생기팀0816)_Book1" xfId="1882" xr:uid="{00000000-0005-0000-0000-00005C070000}"/>
    <cellStyle name="표_IQS00년 상반기보고000520(소장)-1.xls Chart 156_사장님IQS개선회의(조립생기팀0816)_Book1_다대포 해수욕장-내역서" xfId="1883" xr:uid="{00000000-0005-0000-0000-00005D070000}"/>
    <cellStyle name="표_IQS00년 상반기보고000520(소장)-1.xls Chart 156_사장님IQS개선회의(조립생기팀0816)_Book1_조형물 내역서(원본)" xfId="1884" xr:uid="{00000000-0005-0000-0000-00005E070000}"/>
    <cellStyle name="표_IQS00년 상반기보고000520(소장)-1.xls Chart 156_사장님IQS개선회의(조립생기팀0816)_다대포 해수욕장-내역서" xfId="1885" xr:uid="{00000000-0005-0000-0000-00005F070000}"/>
    <cellStyle name="표_IQS00년 상반기보고000520(소장)-1.xls Chart 156_사장님IQS개선회의(조립생기팀0816)_인상시부담액(임,단협(1).04.26수정)" xfId="1886" xr:uid="{00000000-0005-0000-0000-000060070000}"/>
    <cellStyle name="표_IQS00년 상반기보고000520(소장)-1.xls Chart 156_사장님IQS개선회의(조립생기팀0816)_인상시부담액(임,단협(1).04.26수정)_다대포 해수욕장-내역서" xfId="1887" xr:uid="{00000000-0005-0000-0000-000061070000}"/>
    <cellStyle name="표_IQS00년 상반기보고000520(소장)-1.xls Chart 156_사장님IQS개선회의(조립생기팀0816)_인상시부담액(임,단협(1).04.26수정)_조형물 내역서(원본)" xfId="1888" xr:uid="{00000000-0005-0000-0000-000062070000}"/>
    <cellStyle name="표_IQS00년 상반기보고000520(소장)-1.xls Chart 156_사장님IQS개선회의(조립생기팀0816)_조형물 내역서(원본)" xfId="1889" xr:uid="{00000000-0005-0000-0000-000063070000}"/>
    <cellStyle name="표_IQS00년 상반기보고000520(소장)-1.xls Chart 156_인상시부담액(임,단협(1).04.26수정)" xfId="1890" xr:uid="{00000000-0005-0000-0000-000064070000}"/>
    <cellStyle name="표_IQS00년 상반기보고000520(소장)-1.xls Chart 156_인상시부담액(임,단협(1).04.26수정)_다대포 해수욕장-내역서" xfId="1891" xr:uid="{00000000-0005-0000-0000-000065070000}"/>
    <cellStyle name="표_IQS00년 상반기보고000520(소장)-1.xls Chart 156_인상시부담액(임,단협(1).04.26수정)_조형물 내역서(원본)" xfId="1892" xr:uid="{00000000-0005-0000-0000-000066070000}"/>
    <cellStyle name="표_IQS00년 상반기보고000520(소장)-1.xls Chart 156_정이사님보고0907" xfId="1893" xr:uid="{00000000-0005-0000-0000-000067070000}"/>
    <cellStyle name="표_IQS00년 상반기보고000520(소장)-1.xls Chart 156_정이사님보고0907_Book1" xfId="1894" xr:uid="{00000000-0005-0000-0000-000068070000}"/>
    <cellStyle name="표_IQS00년 상반기보고000520(소장)-1.xls Chart 156_정이사님보고0907_Book1_다대포 해수욕장-내역서" xfId="1895" xr:uid="{00000000-0005-0000-0000-000069070000}"/>
    <cellStyle name="표_IQS00년 상반기보고000520(소장)-1.xls Chart 156_정이사님보고0907_Book1_조형물 내역서(원본)" xfId="1896" xr:uid="{00000000-0005-0000-0000-00006A070000}"/>
    <cellStyle name="표_IQS00년 상반기보고000520(소장)-1.xls Chart 156_정이사님보고0907_다대포 해수욕장-내역서" xfId="1897" xr:uid="{00000000-0005-0000-0000-00006B070000}"/>
    <cellStyle name="표_IQS00년 상반기보고000520(소장)-1.xls Chart 156_정이사님보고0907_인상시부담액(임,단협(1).04.26수정)" xfId="1898" xr:uid="{00000000-0005-0000-0000-00006C070000}"/>
    <cellStyle name="표_IQS00년 상반기보고000520(소장)-1.xls Chart 156_정이사님보고0907_인상시부담액(임,단협(1).04.26수정)_다대포 해수욕장-내역서" xfId="1899" xr:uid="{00000000-0005-0000-0000-00006D070000}"/>
    <cellStyle name="표_IQS00년 상반기보고000520(소장)-1.xls Chart 156_정이사님보고0907_인상시부담액(임,단협(1).04.26수정)_조형물 내역서(원본)" xfId="1900" xr:uid="{00000000-0005-0000-0000-00006E070000}"/>
    <cellStyle name="표_IQS00년 상반기보고000520(소장)-1.xls Chart 156_정이사님보고0907_조형물 내역서(원본)" xfId="1901" xr:uid="{00000000-0005-0000-0000-00006F070000}"/>
    <cellStyle name="표_IQS00년 상반기보고000520(소장)-1.xls Chart 156_조형물 내역서(원본)" xfId="1902" xr:uid="{00000000-0005-0000-0000-000070070000}"/>
    <cellStyle name="표_IQS00년 상반기보고000520(소장)-1.xls Chart 157" xfId="1903" xr:uid="{00000000-0005-0000-0000-000071070000}"/>
    <cellStyle name="표_IQS00년 상반기보고000520(소장)-1.xls Chart 157_Book1" xfId="1904" xr:uid="{00000000-0005-0000-0000-000072070000}"/>
    <cellStyle name="표_IQS00년 상반기보고000520(소장)-1.xls Chart 157_Book1_다대포 해수욕장-내역서" xfId="1905" xr:uid="{00000000-0005-0000-0000-000073070000}"/>
    <cellStyle name="표_IQS00년 상반기보고000520(소장)-1.xls Chart 157_Book1_조형물 내역서(원본)" xfId="1906" xr:uid="{00000000-0005-0000-0000-000074070000}"/>
    <cellStyle name="표_IQS00년 상반기보고000520(소장)-1.xls Chart 157_다대포 해수욕장-내역서" xfId="1907" xr:uid="{00000000-0005-0000-0000-000075070000}"/>
    <cellStyle name="표_IQS00년 상반기보고000520(소장)-1.xls Chart 157_사장님IQS개선회의(조립생기팀0816)" xfId="1908" xr:uid="{00000000-0005-0000-0000-000076070000}"/>
    <cellStyle name="표_IQS00년 상반기보고000520(소장)-1.xls Chart 157_사장님IQS개선회의(조립생기팀0816)_Book1" xfId="1909" xr:uid="{00000000-0005-0000-0000-000077070000}"/>
    <cellStyle name="표_IQS00년 상반기보고000520(소장)-1.xls Chart 157_사장님IQS개선회의(조립생기팀0816)_Book1_다대포 해수욕장-내역서" xfId="1910" xr:uid="{00000000-0005-0000-0000-000078070000}"/>
    <cellStyle name="표_IQS00년 상반기보고000520(소장)-1.xls Chart 157_사장님IQS개선회의(조립생기팀0816)_Book1_조형물 내역서(원본)" xfId="1911" xr:uid="{00000000-0005-0000-0000-000079070000}"/>
    <cellStyle name="표_IQS00년 상반기보고000520(소장)-1.xls Chart 157_사장님IQS개선회의(조립생기팀0816)_다대포 해수욕장-내역서" xfId="1912" xr:uid="{00000000-0005-0000-0000-00007A070000}"/>
    <cellStyle name="표_IQS00년 상반기보고000520(소장)-1.xls Chart 157_사장님IQS개선회의(조립생기팀0816)_인상시부담액(임,단협(1).04.26수정)" xfId="1913" xr:uid="{00000000-0005-0000-0000-00007B070000}"/>
    <cellStyle name="표_IQS00년 상반기보고000520(소장)-1.xls Chart 157_사장님IQS개선회의(조립생기팀0816)_인상시부담액(임,단협(1).04.26수정)_다대포 해수욕장-내역서" xfId="1914" xr:uid="{00000000-0005-0000-0000-00007C070000}"/>
    <cellStyle name="표_IQS00년 상반기보고000520(소장)-1.xls Chart 157_사장님IQS개선회의(조립생기팀0816)_인상시부담액(임,단협(1).04.26수정)_조형물 내역서(원본)" xfId="1915" xr:uid="{00000000-0005-0000-0000-00007D070000}"/>
    <cellStyle name="표_IQS00년 상반기보고000520(소장)-1.xls Chart 157_사장님IQS개선회의(조립생기팀0816)_조형물 내역서(원본)" xfId="1916" xr:uid="{00000000-0005-0000-0000-00007E070000}"/>
    <cellStyle name="표_IQS00년 상반기보고000520(소장)-1.xls Chart 157_인상시부담액(임,단협(1).04.26수정)" xfId="1917" xr:uid="{00000000-0005-0000-0000-00007F070000}"/>
    <cellStyle name="표_IQS00년 상반기보고000520(소장)-1.xls Chart 157_인상시부담액(임,단협(1).04.26수정)_다대포 해수욕장-내역서" xfId="1918" xr:uid="{00000000-0005-0000-0000-000080070000}"/>
    <cellStyle name="표_IQS00년 상반기보고000520(소장)-1.xls Chart 157_인상시부담액(임,단협(1).04.26수정)_조형물 내역서(원본)" xfId="1919" xr:uid="{00000000-0005-0000-0000-000081070000}"/>
    <cellStyle name="표_IQS00년 상반기보고000520(소장)-1.xls Chart 157_정이사님보고0907" xfId="1920" xr:uid="{00000000-0005-0000-0000-000082070000}"/>
    <cellStyle name="표_IQS00년 상반기보고000520(소장)-1.xls Chart 157_정이사님보고0907_Book1" xfId="1921" xr:uid="{00000000-0005-0000-0000-000083070000}"/>
    <cellStyle name="표_IQS00년 상반기보고000520(소장)-1.xls Chart 157_정이사님보고0907_Book1_다대포 해수욕장-내역서" xfId="1922" xr:uid="{00000000-0005-0000-0000-000084070000}"/>
    <cellStyle name="표_IQS00년 상반기보고000520(소장)-1.xls Chart 157_정이사님보고0907_Book1_조형물 내역서(원본)" xfId="1923" xr:uid="{00000000-0005-0000-0000-000085070000}"/>
    <cellStyle name="표_IQS00년 상반기보고000520(소장)-1.xls Chart 157_정이사님보고0907_다대포 해수욕장-내역서" xfId="1924" xr:uid="{00000000-0005-0000-0000-000086070000}"/>
    <cellStyle name="표_IQS00년 상반기보고000520(소장)-1.xls Chart 157_정이사님보고0907_인상시부담액(임,단협(1).04.26수정)" xfId="1925" xr:uid="{00000000-0005-0000-0000-000087070000}"/>
    <cellStyle name="표_IQS00년 상반기보고000520(소장)-1.xls Chart 157_정이사님보고0907_인상시부담액(임,단협(1).04.26수정)_다대포 해수욕장-내역서" xfId="1926" xr:uid="{00000000-0005-0000-0000-000088070000}"/>
    <cellStyle name="표_IQS00년 상반기보고000520(소장)-1.xls Chart 157_정이사님보고0907_인상시부담액(임,단협(1).04.26수정)_조형물 내역서(원본)" xfId="1927" xr:uid="{00000000-0005-0000-0000-000089070000}"/>
    <cellStyle name="표_IQS00년 상반기보고000520(소장)-1.xls Chart 157_정이사님보고0907_조형물 내역서(원본)" xfId="1928" xr:uid="{00000000-0005-0000-0000-00008A070000}"/>
    <cellStyle name="표_IQS00년 상반기보고000520(소장)-1.xls Chart 157_조형물 내역서(원본)" xfId="1929" xr:uid="{00000000-0005-0000-0000-00008B070000}"/>
    <cellStyle name="표_IQS00년 상반기보고000520(소장)-1.xls Chart 158" xfId="1930" xr:uid="{00000000-0005-0000-0000-00008C070000}"/>
    <cellStyle name="표_IQS00년 상반기보고000520(소장)-1.xls Chart 158_Book1" xfId="1931" xr:uid="{00000000-0005-0000-0000-00008D070000}"/>
    <cellStyle name="표_IQS00년 상반기보고000520(소장)-1.xls Chart 158_Book1_다대포 해수욕장-내역서" xfId="1932" xr:uid="{00000000-0005-0000-0000-00008E070000}"/>
    <cellStyle name="표_IQS00년 상반기보고000520(소장)-1.xls Chart 158_Book1_조형물 내역서(원본)" xfId="1933" xr:uid="{00000000-0005-0000-0000-00008F070000}"/>
    <cellStyle name="표_IQS00년 상반기보고000520(소장)-1.xls Chart 158_다대포 해수욕장-내역서" xfId="1934" xr:uid="{00000000-0005-0000-0000-000090070000}"/>
    <cellStyle name="표_IQS00년 상반기보고000520(소장)-1.xls Chart 158_사장님IQS개선회의(조립생기팀0816)" xfId="1935" xr:uid="{00000000-0005-0000-0000-000091070000}"/>
    <cellStyle name="표_IQS00년 상반기보고000520(소장)-1.xls Chart 158_사장님IQS개선회의(조립생기팀0816)_Book1" xfId="1936" xr:uid="{00000000-0005-0000-0000-000092070000}"/>
    <cellStyle name="표_IQS00년 상반기보고000520(소장)-1.xls Chart 158_사장님IQS개선회의(조립생기팀0816)_Book1_다대포 해수욕장-내역서" xfId="1937" xr:uid="{00000000-0005-0000-0000-000093070000}"/>
    <cellStyle name="표_IQS00년 상반기보고000520(소장)-1.xls Chart 158_사장님IQS개선회의(조립생기팀0816)_Book1_조형물 내역서(원본)" xfId="1938" xr:uid="{00000000-0005-0000-0000-000094070000}"/>
    <cellStyle name="표_IQS00년 상반기보고000520(소장)-1.xls Chart 158_사장님IQS개선회의(조립생기팀0816)_다대포 해수욕장-내역서" xfId="1939" xr:uid="{00000000-0005-0000-0000-000095070000}"/>
    <cellStyle name="표_IQS00년 상반기보고000520(소장)-1.xls Chart 158_사장님IQS개선회의(조립생기팀0816)_인상시부담액(임,단협(1).04.26수정)" xfId="1940" xr:uid="{00000000-0005-0000-0000-000096070000}"/>
    <cellStyle name="표_IQS00년 상반기보고000520(소장)-1.xls Chart 158_사장님IQS개선회의(조립생기팀0816)_인상시부담액(임,단협(1).04.26수정)_다대포 해수욕장-내역서" xfId="1941" xr:uid="{00000000-0005-0000-0000-000097070000}"/>
    <cellStyle name="표_IQS00년 상반기보고000520(소장)-1.xls Chart 158_사장님IQS개선회의(조립생기팀0816)_인상시부담액(임,단협(1).04.26수정)_조형물 내역서(원본)" xfId="1942" xr:uid="{00000000-0005-0000-0000-000098070000}"/>
    <cellStyle name="표_IQS00년 상반기보고000520(소장)-1.xls Chart 158_사장님IQS개선회의(조립생기팀0816)_조형물 내역서(원본)" xfId="1943" xr:uid="{00000000-0005-0000-0000-000099070000}"/>
    <cellStyle name="표_IQS00년 상반기보고000520(소장)-1.xls Chart 158_인상시부담액(임,단협(1).04.26수정)" xfId="1944" xr:uid="{00000000-0005-0000-0000-00009A070000}"/>
    <cellStyle name="표_IQS00년 상반기보고000520(소장)-1.xls Chart 158_인상시부담액(임,단협(1).04.26수정)_다대포 해수욕장-내역서" xfId="1945" xr:uid="{00000000-0005-0000-0000-00009B070000}"/>
    <cellStyle name="표_IQS00년 상반기보고000520(소장)-1.xls Chart 158_인상시부담액(임,단협(1).04.26수정)_조형물 내역서(원본)" xfId="1946" xr:uid="{00000000-0005-0000-0000-00009C070000}"/>
    <cellStyle name="표_IQS00년 상반기보고000520(소장)-1.xls Chart 158_정이사님보고0907" xfId="1947" xr:uid="{00000000-0005-0000-0000-00009D070000}"/>
    <cellStyle name="표_IQS00년 상반기보고000520(소장)-1.xls Chart 158_정이사님보고0907_Book1" xfId="1948" xr:uid="{00000000-0005-0000-0000-00009E070000}"/>
    <cellStyle name="표_IQS00년 상반기보고000520(소장)-1.xls Chart 158_정이사님보고0907_Book1_다대포 해수욕장-내역서" xfId="1949" xr:uid="{00000000-0005-0000-0000-00009F070000}"/>
    <cellStyle name="표_IQS00년 상반기보고000520(소장)-1.xls Chart 158_정이사님보고0907_Book1_조형물 내역서(원본)" xfId="1950" xr:uid="{00000000-0005-0000-0000-0000A0070000}"/>
    <cellStyle name="표_IQS00년 상반기보고000520(소장)-1.xls Chart 158_정이사님보고0907_다대포 해수욕장-내역서" xfId="1951" xr:uid="{00000000-0005-0000-0000-0000A1070000}"/>
    <cellStyle name="표_IQS00년 상반기보고000520(소장)-1.xls Chart 158_정이사님보고0907_인상시부담액(임,단협(1).04.26수정)" xfId="1952" xr:uid="{00000000-0005-0000-0000-0000A2070000}"/>
    <cellStyle name="표_IQS00년 상반기보고000520(소장)-1.xls Chart 158_정이사님보고0907_인상시부담액(임,단협(1).04.26수정)_다대포 해수욕장-내역서" xfId="1953" xr:uid="{00000000-0005-0000-0000-0000A3070000}"/>
    <cellStyle name="표_IQS00년 상반기보고000520(소장)-1.xls Chart 158_정이사님보고0907_인상시부담액(임,단협(1).04.26수정)_조형물 내역서(원본)" xfId="1954" xr:uid="{00000000-0005-0000-0000-0000A4070000}"/>
    <cellStyle name="표_IQS00년 상반기보고000520(소장)-1.xls Chart 158_정이사님보고0907_조형물 내역서(원본)" xfId="1955" xr:uid="{00000000-0005-0000-0000-0000A5070000}"/>
    <cellStyle name="표_IQS00년 상반기보고000520(소장)-1.xls Chart 158_조형물 내역서(원본)" xfId="1956" xr:uid="{00000000-0005-0000-0000-0000A6070000}"/>
    <cellStyle name="표_IQS00년 상반기보고000520(소장)-1.xls Chart 160" xfId="1957" xr:uid="{00000000-0005-0000-0000-0000A7070000}"/>
    <cellStyle name="표_IQS00년 상반기보고000520(소장)-1.xls Chart 160_Book1" xfId="1958" xr:uid="{00000000-0005-0000-0000-0000A8070000}"/>
    <cellStyle name="표_IQS00년 상반기보고000520(소장)-1.xls Chart 160_Book1_다대포 해수욕장-내역서" xfId="1959" xr:uid="{00000000-0005-0000-0000-0000A9070000}"/>
    <cellStyle name="표_IQS00년 상반기보고000520(소장)-1.xls Chart 160_Book1_조형물 내역서(원본)" xfId="1960" xr:uid="{00000000-0005-0000-0000-0000AA070000}"/>
    <cellStyle name="표_IQS00년 상반기보고000520(소장)-1.xls Chart 160_다대포 해수욕장-내역서" xfId="1961" xr:uid="{00000000-0005-0000-0000-0000AB070000}"/>
    <cellStyle name="표_IQS00년 상반기보고000520(소장)-1.xls Chart 160_사장님IQS개선회의(조립생기팀0816)" xfId="1962" xr:uid="{00000000-0005-0000-0000-0000AC070000}"/>
    <cellStyle name="표_IQS00년 상반기보고000520(소장)-1.xls Chart 160_사장님IQS개선회의(조립생기팀0816)_Book1" xfId="1963" xr:uid="{00000000-0005-0000-0000-0000AD070000}"/>
    <cellStyle name="표_IQS00년 상반기보고000520(소장)-1.xls Chart 160_사장님IQS개선회의(조립생기팀0816)_Book1_다대포 해수욕장-내역서" xfId="1964" xr:uid="{00000000-0005-0000-0000-0000AE070000}"/>
    <cellStyle name="표_IQS00년 상반기보고000520(소장)-1.xls Chart 160_사장님IQS개선회의(조립생기팀0816)_Book1_조형물 내역서(원본)" xfId="1965" xr:uid="{00000000-0005-0000-0000-0000AF070000}"/>
    <cellStyle name="표_IQS00년 상반기보고000520(소장)-1.xls Chart 160_사장님IQS개선회의(조립생기팀0816)_다대포 해수욕장-내역서" xfId="1966" xr:uid="{00000000-0005-0000-0000-0000B0070000}"/>
    <cellStyle name="표_IQS00년 상반기보고000520(소장)-1.xls Chart 160_사장님IQS개선회의(조립생기팀0816)_인상시부담액(임,단협(1).04.26수정)" xfId="1967" xr:uid="{00000000-0005-0000-0000-0000B1070000}"/>
    <cellStyle name="표_IQS00년 상반기보고000520(소장)-1.xls Chart 160_사장님IQS개선회의(조립생기팀0816)_인상시부담액(임,단협(1).04.26수정)_다대포 해수욕장-내역서" xfId="1968" xr:uid="{00000000-0005-0000-0000-0000B2070000}"/>
    <cellStyle name="표_IQS00년 상반기보고000520(소장)-1.xls Chart 160_사장님IQS개선회의(조립생기팀0816)_인상시부담액(임,단협(1).04.26수정)_조형물 내역서(원본)" xfId="1969" xr:uid="{00000000-0005-0000-0000-0000B3070000}"/>
    <cellStyle name="표_IQS00년 상반기보고000520(소장)-1.xls Chart 160_사장님IQS개선회의(조립생기팀0816)_조형물 내역서(원본)" xfId="1970" xr:uid="{00000000-0005-0000-0000-0000B4070000}"/>
    <cellStyle name="표_IQS00년 상반기보고000520(소장)-1.xls Chart 160_인상시부담액(임,단협(1).04.26수정)" xfId="1971" xr:uid="{00000000-0005-0000-0000-0000B5070000}"/>
    <cellStyle name="표_IQS00년 상반기보고000520(소장)-1.xls Chart 160_인상시부담액(임,단협(1).04.26수정)_다대포 해수욕장-내역서" xfId="1972" xr:uid="{00000000-0005-0000-0000-0000B6070000}"/>
    <cellStyle name="표_IQS00년 상반기보고000520(소장)-1.xls Chart 160_인상시부담액(임,단협(1).04.26수정)_조형물 내역서(원본)" xfId="1973" xr:uid="{00000000-0005-0000-0000-0000B7070000}"/>
    <cellStyle name="표_IQS00년 상반기보고000520(소장)-1.xls Chart 160_정이사님보고0907" xfId="1974" xr:uid="{00000000-0005-0000-0000-0000B8070000}"/>
    <cellStyle name="표_IQS00년 상반기보고000520(소장)-1.xls Chart 160_정이사님보고0907_Book1" xfId="1975" xr:uid="{00000000-0005-0000-0000-0000B9070000}"/>
    <cellStyle name="표_IQS00년 상반기보고000520(소장)-1.xls Chart 160_정이사님보고0907_Book1_다대포 해수욕장-내역서" xfId="1976" xr:uid="{00000000-0005-0000-0000-0000BA070000}"/>
    <cellStyle name="표_IQS00년 상반기보고000520(소장)-1.xls Chart 160_정이사님보고0907_Book1_조형물 내역서(원본)" xfId="1977" xr:uid="{00000000-0005-0000-0000-0000BB070000}"/>
    <cellStyle name="표_IQS00년 상반기보고000520(소장)-1.xls Chart 160_정이사님보고0907_다대포 해수욕장-내역서" xfId="1978" xr:uid="{00000000-0005-0000-0000-0000BC070000}"/>
    <cellStyle name="표_IQS00년 상반기보고000520(소장)-1.xls Chart 160_정이사님보고0907_인상시부담액(임,단협(1).04.26수정)" xfId="1979" xr:uid="{00000000-0005-0000-0000-0000BD070000}"/>
    <cellStyle name="표_IQS00년 상반기보고000520(소장)-1.xls Chart 160_정이사님보고0907_인상시부담액(임,단협(1).04.26수정)_다대포 해수욕장-내역서" xfId="1980" xr:uid="{00000000-0005-0000-0000-0000BE070000}"/>
    <cellStyle name="표_IQS00년 상반기보고000520(소장)-1.xls Chart 160_정이사님보고0907_인상시부담액(임,단협(1).04.26수정)_조형물 내역서(원본)" xfId="1981" xr:uid="{00000000-0005-0000-0000-0000BF070000}"/>
    <cellStyle name="표_IQS00년 상반기보고000520(소장)-1.xls Chart 160_정이사님보고0907_조형물 내역서(원본)" xfId="1982" xr:uid="{00000000-0005-0000-0000-0000C0070000}"/>
    <cellStyle name="표_IQS00년 상반기보고000520(소장)-1.xls Chart 160_조형물 내역서(원본)" xfId="1983" xr:uid="{00000000-0005-0000-0000-0000C1070000}"/>
    <cellStyle name="표_IQS00년 상반기보고000520(소장)-1.xls Chart 161" xfId="1984" xr:uid="{00000000-0005-0000-0000-0000C2070000}"/>
    <cellStyle name="표_IQS00년 상반기보고000520(소장)-1.xls Chart 161_Book1" xfId="1985" xr:uid="{00000000-0005-0000-0000-0000C3070000}"/>
    <cellStyle name="표_IQS00년 상반기보고000520(소장)-1.xls Chart 161_Book1_다대포 해수욕장-내역서" xfId="1986" xr:uid="{00000000-0005-0000-0000-0000C4070000}"/>
    <cellStyle name="표_IQS00년 상반기보고000520(소장)-1.xls Chart 161_Book1_조형물 내역서(원본)" xfId="1987" xr:uid="{00000000-0005-0000-0000-0000C5070000}"/>
    <cellStyle name="표_IQS00년 상반기보고000520(소장)-1.xls Chart 161_다대포 해수욕장-내역서" xfId="1988" xr:uid="{00000000-0005-0000-0000-0000C6070000}"/>
    <cellStyle name="표_IQS00년 상반기보고000520(소장)-1.xls Chart 161_사장님IQS개선회의(조립생기팀0816)" xfId="1989" xr:uid="{00000000-0005-0000-0000-0000C7070000}"/>
    <cellStyle name="표_IQS00년 상반기보고000520(소장)-1.xls Chart 161_사장님IQS개선회의(조립생기팀0816)_Book1" xfId="1990" xr:uid="{00000000-0005-0000-0000-0000C8070000}"/>
    <cellStyle name="표_IQS00년 상반기보고000520(소장)-1.xls Chart 161_사장님IQS개선회의(조립생기팀0816)_Book1_다대포 해수욕장-내역서" xfId="1991" xr:uid="{00000000-0005-0000-0000-0000C9070000}"/>
    <cellStyle name="표_IQS00년 상반기보고000520(소장)-1.xls Chart 161_사장님IQS개선회의(조립생기팀0816)_Book1_조형물 내역서(원본)" xfId="1992" xr:uid="{00000000-0005-0000-0000-0000CA070000}"/>
    <cellStyle name="표_IQS00년 상반기보고000520(소장)-1.xls Chart 161_사장님IQS개선회의(조립생기팀0816)_다대포 해수욕장-내역서" xfId="1993" xr:uid="{00000000-0005-0000-0000-0000CB070000}"/>
    <cellStyle name="표_IQS00년 상반기보고000520(소장)-1.xls Chart 161_사장님IQS개선회의(조립생기팀0816)_인상시부담액(임,단협(1).04.26수정)" xfId="1994" xr:uid="{00000000-0005-0000-0000-0000CC070000}"/>
    <cellStyle name="표_IQS00년 상반기보고000520(소장)-1.xls Chart 161_사장님IQS개선회의(조립생기팀0816)_인상시부담액(임,단협(1).04.26수정)_다대포 해수욕장-내역서" xfId="1995" xr:uid="{00000000-0005-0000-0000-0000CD070000}"/>
    <cellStyle name="표_IQS00년 상반기보고000520(소장)-1.xls Chart 161_사장님IQS개선회의(조립생기팀0816)_인상시부담액(임,단협(1).04.26수정)_조형물 내역서(원본)" xfId="1996" xr:uid="{00000000-0005-0000-0000-0000CE070000}"/>
    <cellStyle name="표_IQS00년 상반기보고000520(소장)-1.xls Chart 161_사장님IQS개선회의(조립생기팀0816)_조형물 내역서(원본)" xfId="1997" xr:uid="{00000000-0005-0000-0000-0000CF070000}"/>
    <cellStyle name="표_IQS00년 상반기보고000520(소장)-1.xls Chart 161_인상시부담액(임,단협(1).04.26수정)" xfId="1998" xr:uid="{00000000-0005-0000-0000-0000D0070000}"/>
    <cellStyle name="표_IQS00년 상반기보고000520(소장)-1.xls Chart 161_인상시부담액(임,단협(1).04.26수정)_다대포 해수욕장-내역서" xfId="1999" xr:uid="{00000000-0005-0000-0000-0000D1070000}"/>
    <cellStyle name="표_IQS00년 상반기보고000520(소장)-1.xls Chart 161_인상시부담액(임,단협(1).04.26수정)_조형물 내역서(원본)" xfId="2000" xr:uid="{00000000-0005-0000-0000-0000D2070000}"/>
    <cellStyle name="표_IQS00년 상반기보고000520(소장)-1.xls Chart 161_정이사님보고0907" xfId="2001" xr:uid="{00000000-0005-0000-0000-0000D3070000}"/>
    <cellStyle name="표_IQS00년 상반기보고000520(소장)-1.xls Chart 161_정이사님보고0907_Book1" xfId="2002" xr:uid="{00000000-0005-0000-0000-0000D4070000}"/>
    <cellStyle name="표_IQS00년 상반기보고000520(소장)-1.xls Chart 161_정이사님보고0907_Book1_다대포 해수욕장-내역서" xfId="2003" xr:uid="{00000000-0005-0000-0000-0000D5070000}"/>
    <cellStyle name="표_IQS00년 상반기보고000520(소장)-1.xls Chart 161_정이사님보고0907_Book1_조형물 내역서(원본)" xfId="2004" xr:uid="{00000000-0005-0000-0000-0000D6070000}"/>
    <cellStyle name="표_IQS00년 상반기보고000520(소장)-1.xls Chart 161_정이사님보고0907_다대포 해수욕장-내역서" xfId="2005" xr:uid="{00000000-0005-0000-0000-0000D7070000}"/>
    <cellStyle name="표_IQS00년 상반기보고000520(소장)-1.xls Chart 161_정이사님보고0907_인상시부담액(임,단협(1).04.26수정)" xfId="2006" xr:uid="{00000000-0005-0000-0000-0000D8070000}"/>
    <cellStyle name="표_IQS00년 상반기보고000520(소장)-1.xls Chart 161_정이사님보고0907_인상시부담액(임,단협(1).04.26수정)_다대포 해수욕장-내역서" xfId="2007" xr:uid="{00000000-0005-0000-0000-0000D9070000}"/>
    <cellStyle name="표_IQS00년 상반기보고000520(소장)-1.xls Chart 161_정이사님보고0907_인상시부담액(임,단협(1).04.26수정)_조형물 내역서(원본)" xfId="2008" xr:uid="{00000000-0005-0000-0000-0000DA070000}"/>
    <cellStyle name="표_IQS00년 상반기보고000520(소장)-1.xls Chart 161_정이사님보고0907_조형물 내역서(원본)" xfId="2009" xr:uid="{00000000-0005-0000-0000-0000DB070000}"/>
    <cellStyle name="표_IQS00년 상반기보고000520(소장)-1.xls Chart 161_조형물 내역서(원본)" xfId="2010" xr:uid="{00000000-0005-0000-0000-0000DC070000}"/>
    <cellStyle name="표_IQS00년 상반기보고000520(소장)-1_Book1" xfId="2011" xr:uid="{00000000-0005-0000-0000-0000DD070000}"/>
    <cellStyle name="표_IQS00년 상반기보고000520(소장)-1_Book1_다대포 해수욕장-내역서" xfId="2012" xr:uid="{00000000-0005-0000-0000-0000DE070000}"/>
    <cellStyle name="표_IQS00년 상반기보고000520(소장)-1_Book1_조형물 내역서(원본)" xfId="2013" xr:uid="{00000000-0005-0000-0000-0000DF070000}"/>
    <cellStyle name="표_IQS00년 상반기보고000520(소장)-1_다대포 해수욕장-내역서" xfId="2014" xr:uid="{00000000-0005-0000-0000-0000E0070000}"/>
    <cellStyle name="표_IQS00년 상반기보고000520(소장)-1_사장님IQS개선회의(조립생기팀0816)" xfId="2015" xr:uid="{00000000-0005-0000-0000-0000E1070000}"/>
    <cellStyle name="표_IQS00년 상반기보고000520(소장)-1_사장님IQS개선회의(조립생기팀0816)_Book1" xfId="2016" xr:uid="{00000000-0005-0000-0000-0000E2070000}"/>
    <cellStyle name="표_IQS00년 상반기보고000520(소장)-1_사장님IQS개선회의(조립생기팀0816)_Book1_다대포 해수욕장-내역서" xfId="2017" xr:uid="{00000000-0005-0000-0000-0000E3070000}"/>
    <cellStyle name="표_IQS00년 상반기보고000520(소장)-1_사장님IQS개선회의(조립생기팀0816)_Book1_조형물 내역서(원본)" xfId="2018" xr:uid="{00000000-0005-0000-0000-0000E4070000}"/>
    <cellStyle name="표_IQS00년 상반기보고000520(소장)-1_사장님IQS개선회의(조립생기팀0816)_다대포 해수욕장-내역서" xfId="2019" xr:uid="{00000000-0005-0000-0000-0000E5070000}"/>
    <cellStyle name="표_IQS00년 상반기보고000520(소장)-1_사장님IQS개선회의(조립생기팀0816)_인상시부담액(임,단협(1).04.26수정)" xfId="2020" xr:uid="{00000000-0005-0000-0000-0000E6070000}"/>
    <cellStyle name="표_IQS00년 상반기보고000520(소장)-1_사장님IQS개선회의(조립생기팀0816)_인상시부담액(임,단협(1).04.26수정)_다대포 해수욕장-내역서" xfId="2021" xr:uid="{00000000-0005-0000-0000-0000E7070000}"/>
    <cellStyle name="표_IQS00년 상반기보고000520(소장)-1_사장님IQS개선회의(조립생기팀0816)_인상시부담액(임,단협(1).04.26수정)_조형물 내역서(원본)" xfId="2022" xr:uid="{00000000-0005-0000-0000-0000E8070000}"/>
    <cellStyle name="표_IQS00년 상반기보고000520(소장)-1_사장님IQS개선회의(조립생기팀0816)_조형물 내역서(원본)" xfId="2023" xr:uid="{00000000-0005-0000-0000-0000E9070000}"/>
    <cellStyle name="표_IQS00년 상반기보고000520(소장)-1_인상시부담액(임,단협(1).04.26수정)" xfId="2024" xr:uid="{00000000-0005-0000-0000-0000EA070000}"/>
    <cellStyle name="표_IQS00년 상반기보고000520(소장)-1_인상시부담액(임,단협(1).04.26수정)_다대포 해수욕장-내역서" xfId="2025" xr:uid="{00000000-0005-0000-0000-0000EB070000}"/>
    <cellStyle name="표_IQS00년 상반기보고000520(소장)-1_인상시부담액(임,단협(1).04.26수정)_조형물 내역서(원본)" xfId="2026" xr:uid="{00000000-0005-0000-0000-0000EC070000}"/>
    <cellStyle name="표_IQS00년 상반기보고000520(소장)-1_정이사님보고0907" xfId="2027" xr:uid="{00000000-0005-0000-0000-0000ED070000}"/>
    <cellStyle name="표_IQS00년 상반기보고000520(소장)-1_정이사님보고0907_Book1" xfId="2028" xr:uid="{00000000-0005-0000-0000-0000EE070000}"/>
    <cellStyle name="표_IQS00년 상반기보고000520(소장)-1_정이사님보고0907_Book1_다대포 해수욕장-내역서" xfId="2029" xr:uid="{00000000-0005-0000-0000-0000EF070000}"/>
    <cellStyle name="표_IQS00년 상반기보고000520(소장)-1_정이사님보고0907_Book1_조형물 내역서(원본)" xfId="2030" xr:uid="{00000000-0005-0000-0000-0000F0070000}"/>
    <cellStyle name="표_IQS00년 상반기보고000520(소장)-1_정이사님보고0907_다대포 해수욕장-내역서" xfId="2031" xr:uid="{00000000-0005-0000-0000-0000F1070000}"/>
    <cellStyle name="표_IQS00년 상반기보고000520(소장)-1_정이사님보고0907_인상시부담액(임,단협(1).04.26수정)" xfId="2032" xr:uid="{00000000-0005-0000-0000-0000F2070000}"/>
    <cellStyle name="표_IQS00년 상반기보고000520(소장)-1_정이사님보고0907_인상시부담액(임,단협(1).04.26수정)_다대포 해수욕장-내역서" xfId="2033" xr:uid="{00000000-0005-0000-0000-0000F3070000}"/>
    <cellStyle name="표_IQS00년 상반기보고000520(소장)-1_정이사님보고0907_인상시부담액(임,단협(1).04.26수정)_조형물 내역서(원본)" xfId="2034" xr:uid="{00000000-0005-0000-0000-0000F4070000}"/>
    <cellStyle name="표_IQS00년 상반기보고000520(소장)-1_정이사님보고0907_조형물 내역서(원본)" xfId="2035" xr:uid="{00000000-0005-0000-0000-0000F5070000}"/>
    <cellStyle name="표_IQS00년 상반기보고000520(소장)-1_조형물 내역서(원본)" xfId="2036" xr:uid="{00000000-0005-0000-0000-0000F6070000}"/>
    <cellStyle name="표_다대포 해수욕장-내역서" xfId="2037" xr:uid="{00000000-0005-0000-0000-0000F7070000}"/>
    <cellStyle name="표_다대포 해수욕장-내역서 2" xfId="2038" xr:uid="{00000000-0005-0000-0000-0000F8070000}"/>
    <cellStyle name="표_다대포 해수욕장-내역서 3" xfId="2039" xr:uid="{00000000-0005-0000-0000-0000F9070000}"/>
    <cellStyle name="표_다대포 해수욕장-내역서 4" xfId="2040" xr:uid="{00000000-0005-0000-0000-0000FA070000}"/>
    <cellStyle name="표_다대포 해수욕장-내역서 5" xfId="2041" xr:uid="{00000000-0005-0000-0000-0000FB070000}"/>
    <cellStyle name="표_다대포 해수욕장-내역서_5공구 내역서" xfId="2042" xr:uid="{00000000-0005-0000-0000-0000FC070000}"/>
    <cellStyle name="표_다대포 해수욕장-내역서_5공구 내역서1" xfId="2043" xr:uid="{00000000-0005-0000-0000-0000FD070000}"/>
    <cellStyle name="표_다대포 해수욕장-내역서_경관조명-내역서(20100423)" xfId="2044" xr:uid="{00000000-0005-0000-0000-0000FE070000}"/>
    <cellStyle name="표_다대포 해수욕장-내역서_경관조명-내역서(20100726)" xfId="2045" xr:uid="{00000000-0005-0000-0000-0000FF070000}"/>
    <cellStyle name="표_다대포 해수욕장-내역서_경관조명-내역서(20100803)" xfId="2046" xr:uid="{00000000-0005-0000-0000-000000080000}"/>
    <cellStyle name="표_다대포 해수욕장-내역서_남한강내역서" xfId="2047" xr:uid="{00000000-0005-0000-0000-000001080000}"/>
    <cellStyle name="표_다대포 해수욕장-내역서_내역서" xfId="2048" xr:uid="{00000000-0005-0000-0000-000002080000}"/>
    <cellStyle name="표_다대포 해수욕장-내역서_내역서(용훈작업)" xfId="2049" xr:uid="{00000000-0005-0000-0000-000003080000}"/>
    <cellStyle name="표_다대포 해수욕장-내역서_단가비교표" xfId="2050" xr:uid="{00000000-0005-0000-0000-000004080000}"/>
    <cellStyle name="표_다대포 해수욕장-내역서_보도블럭-1" xfId="2051" xr:uid="{00000000-0005-0000-0000-000005080000}"/>
    <cellStyle name="표_다대포 해수욕장-내역서_위천천 내역서" xfId="2052" xr:uid="{00000000-0005-0000-0000-000006080000}"/>
    <cellStyle name="표_다대포 해수욕장-내역서_전호대교-내역서(교량)-수정" xfId="2053" xr:uid="{00000000-0005-0000-0000-000007080000}"/>
    <cellStyle name="표_다대포 해수욕장-내역서_하늘도시" xfId="2054" xr:uid="{00000000-0005-0000-0000-000008080000}"/>
    <cellStyle name="표_다대포 해수욕장-내역서_하천 내역서" xfId="2055" xr:uid="{00000000-0005-0000-0000-000009080000}"/>
    <cellStyle name="표_사본 - 계산서" xfId="2056" xr:uid="{00000000-0005-0000-0000-00000A080000}"/>
    <cellStyle name="표_석촌동꽃마을빌딩" xfId="2057" xr:uid="{00000000-0005-0000-0000-00000B080000}"/>
    <cellStyle name="표_성산아파트" xfId="2058" xr:uid="{00000000-0005-0000-0000-00000C080000}"/>
    <cellStyle name="표_신성교회" xfId="2059" xr:uid="{00000000-0005-0000-0000-00000D080000}"/>
    <cellStyle name="표_조형물 내역서(원본)" xfId="2060" xr:uid="{00000000-0005-0000-0000-00000E080000}"/>
    <cellStyle name="표_조형물 내역서(원본) 2" xfId="2061" xr:uid="{00000000-0005-0000-0000-00000F080000}"/>
    <cellStyle name="표_조형물 내역서(원본) 3" xfId="2062" xr:uid="{00000000-0005-0000-0000-000010080000}"/>
    <cellStyle name="표_조형물 내역서(원본) 4" xfId="2063" xr:uid="{00000000-0005-0000-0000-000011080000}"/>
    <cellStyle name="표_조형물 내역서(원본) 5" xfId="2064" xr:uid="{00000000-0005-0000-0000-000012080000}"/>
    <cellStyle name="표_조형물 내역서(원본)_5공구 내역서" xfId="2065" xr:uid="{00000000-0005-0000-0000-000013080000}"/>
    <cellStyle name="표_조형물 내역서(원본)_5공구 내역서1" xfId="2066" xr:uid="{00000000-0005-0000-0000-000014080000}"/>
    <cellStyle name="표_조형물 내역서(원본)_경관조명-내역서(20100423)" xfId="2067" xr:uid="{00000000-0005-0000-0000-000015080000}"/>
    <cellStyle name="표_조형물 내역서(원본)_경관조명-내역서(20100726)" xfId="2068" xr:uid="{00000000-0005-0000-0000-000016080000}"/>
    <cellStyle name="표_조형물 내역서(원본)_경관조명-내역서(20100803)" xfId="2069" xr:uid="{00000000-0005-0000-0000-000017080000}"/>
    <cellStyle name="표_조형물 내역서(원본)_남한강내역서" xfId="2070" xr:uid="{00000000-0005-0000-0000-000018080000}"/>
    <cellStyle name="표_조형물 내역서(원본)_내역서" xfId="2071" xr:uid="{00000000-0005-0000-0000-000019080000}"/>
    <cellStyle name="표_조형물 내역서(원본)_내역서(용훈작업)" xfId="2072" xr:uid="{00000000-0005-0000-0000-00001A080000}"/>
    <cellStyle name="표_조형물 내역서(원본)_단가비교표" xfId="2073" xr:uid="{00000000-0005-0000-0000-00001B080000}"/>
    <cellStyle name="표_조형물 내역서(원본)_보도블럭-1" xfId="2074" xr:uid="{00000000-0005-0000-0000-00001C080000}"/>
    <cellStyle name="표_조형물 내역서(원본)_위천천 내역서" xfId="2075" xr:uid="{00000000-0005-0000-0000-00001D080000}"/>
    <cellStyle name="표_조형물 내역서(원본)_전호대교-내역서(교량)-수정" xfId="2076" xr:uid="{00000000-0005-0000-0000-00001E080000}"/>
    <cellStyle name="표_조형물 내역서(원본)_하늘도시" xfId="2077" xr:uid="{00000000-0005-0000-0000-00001F080000}"/>
    <cellStyle name="표_조형물 내역서(원본)_하천 내역서" xfId="2078" xr:uid="{00000000-0005-0000-0000-000020080000}"/>
    <cellStyle name="表示済みのハイパーリンク" xfId="2079" xr:uid="{00000000-0005-0000-0000-000021080000}"/>
    <cellStyle name="표준" xfId="0" builtinId="0"/>
    <cellStyle name="표준 12 4" xfId="2112" xr:uid="{00000000-0005-0000-0000-000023080000}"/>
    <cellStyle name="표준 2" xfId="2080" xr:uid="{00000000-0005-0000-0000-000024080000}"/>
    <cellStyle name="표준 2 2" xfId="2081" xr:uid="{00000000-0005-0000-0000-000025080000}"/>
    <cellStyle name="표준 2 3" xfId="2082" xr:uid="{00000000-0005-0000-0000-000026080000}"/>
    <cellStyle name="표준 2 4" xfId="2114" xr:uid="{B4260398-AACF-42C7-BC5E-51753586DF64}"/>
    <cellStyle name="표준 3" xfId="2083" xr:uid="{00000000-0005-0000-0000-000027080000}"/>
    <cellStyle name="표준 3 2" xfId="2110" xr:uid="{00000000-0005-0000-0000-000028080000}"/>
    <cellStyle name="표준 4" xfId="2084" xr:uid="{00000000-0005-0000-0000-000029080000}"/>
    <cellStyle name="표준 5" xfId="2108" xr:uid="{00000000-0005-0000-0000-00002A080000}"/>
    <cellStyle name="표준 6" xfId="2113" xr:uid="{766D6339-A67B-4CE1-80A5-000C7631152A}"/>
    <cellStyle name="표준_00.공원등내역20030304" xfId="2085" xr:uid="{00000000-0005-0000-0000-00002B080000}"/>
    <cellStyle name="標準_Akia(F）-8" xfId="2086" xr:uid="{00000000-0005-0000-0000-00002C080000}"/>
    <cellStyle name="표준_UNIT-QTY" xfId="2087" xr:uid="{00000000-0005-0000-0000-00002D080000}"/>
    <cellStyle name="표준_굴포단위수량" xfId="2088" xr:uid="{00000000-0005-0000-0000-000030080000}"/>
    <cellStyle name="표준_남대천 야간 경관조명 내역서 (통합본)" xfId="2089" xr:uid="{00000000-0005-0000-0000-000031080000}"/>
    <cellStyle name="표준_내역서(전기설비공사)" xfId="2090" xr:uid="{00000000-0005-0000-0000-000032080000}"/>
    <cellStyle name="표준_단가산출" xfId="2091" xr:uid="{00000000-0005-0000-0000-000033080000}"/>
    <cellStyle name="표준_단위수량" xfId="2092" xr:uid="{00000000-0005-0000-0000-000034080000}"/>
    <cellStyle name="표준_송전선로자재단가(12)" xfId="2093" xr:uid="{00000000-0005-0000-0000-000035080000}"/>
    <cellStyle name="표준_신형산교내역서(참고후삭제)" xfId="2094" xr:uid="{00000000-0005-0000-0000-000036080000}"/>
    <cellStyle name="표준_일위대가산출근거" xfId="2095" xr:uid="{00000000-0005-0000-0000-000038080000}"/>
    <cellStyle name="표준_일위대가산출자료" xfId="2096" xr:uid="{00000000-0005-0000-0000-000039080000}"/>
    <cellStyle name="표준_조양문외 2개소 경관조명 내역서" xfId="2097" xr:uid="{00000000-0005-0000-0000-00003A080000}"/>
    <cellStyle name="표준_크레인단가산출" xfId="2098" xr:uid="{00000000-0005-0000-0000-00003B080000}"/>
    <cellStyle name="표준1" xfId="2099" xr:uid="{00000000-0005-0000-0000-00003D080000}"/>
    <cellStyle name="표준2" xfId="2100" xr:uid="{00000000-0005-0000-0000-00003E080000}"/>
    <cellStyle name="표준체" xfId="2101" xr:uid="{00000000-0005-0000-0000-00003F080000}"/>
    <cellStyle name="합산" xfId="2102" xr:uid="{00000000-0005-0000-0000-000040080000}"/>
    <cellStyle name="합산 2" xfId="2103" xr:uid="{00000000-0005-0000-0000-000041080000}"/>
    <cellStyle name="화폐기호" xfId="2104" xr:uid="{00000000-0005-0000-0000-000042080000}"/>
    <cellStyle name="화폐기호 2" xfId="2105" xr:uid="{00000000-0005-0000-0000-000043080000}"/>
    <cellStyle name="화폐기호0" xfId="2106" xr:uid="{00000000-0005-0000-0000-000044080000}"/>
    <cellStyle name="화폐기호0 2" xfId="2107" xr:uid="{00000000-0005-0000-0000-00004508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12.xml"/><Relationship Id="rId47" Type="http://schemas.openxmlformats.org/officeDocument/2006/relationships/externalLink" Target="externalLinks/externalLink17.xml"/><Relationship Id="rId63" Type="http://schemas.openxmlformats.org/officeDocument/2006/relationships/externalLink" Target="externalLinks/externalLink33.xml"/><Relationship Id="rId68" Type="http://schemas.openxmlformats.org/officeDocument/2006/relationships/externalLink" Target="externalLinks/externalLink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externalLink" Target="externalLinks/externalLink7.xml"/><Relationship Id="rId40" Type="http://schemas.openxmlformats.org/officeDocument/2006/relationships/externalLink" Target="externalLinks/externalLink10.xml"/><Relationship Id="rId45" Type="http://schemas.openxmlformats.org/officeDocument/2006/relationships/externalLink" Target="externalLinks/externalLink15.xml"/><Relationship Id="rId53" Type="http://schemas.openxmlformats.org/officeDocument/2006/relationships/externalLink" Target="externalLinks/externalLink23.xml"/><Relationship Id="rId58" Type="http://schemas.openxmlformats.org/officeDocument/2006/relationships/externalLink" Target="externalLinks/externalLink28.xml"/><Relationship Id="rId66" Type="http://schemas.openxmlformats.org/officeDocument/2006/relationships/externalLink" Target="externalLinks/externalLink36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3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5.xml"/><Relationship Id="rId43" Type="http://schemas.openxmlformats.org/officeDocument/2006/relationships/externalLink" Target="externalLinks/externalLink13.xml"/><Relationship Id="rId48" Type="http://schemas.openxmlformats.org/officeDocument/2006/relationships/externalLink" Target="externalLinks/externalLink18.xml"/><Relationship Id="rId56" Type="http://schemas.openxmlformats.org/officeDocument/2006/relationships/externalLink" Target="externalLinks/externalLink26.xml"/><Relationship Id="rId64" Type="http://schemas.openxmlformats.org/officeDocument/2006/relationships/externalLink" Target="externalLinks/externalLink34.xml"/><Relationship Id="rId69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1.xml"/><Relationship Id="rId72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3.xml"/><Relationship Id="rId38" Type="http://schemas.openxmlformats.org/officeDocument/2006/relationships/externalLink" Target="externalLinks/externalLink8.xml"/><Relationship Id="rId46" Type="http://schemas.openxmlformats.org/officeDocument/2006/relationships/externalLink" Target="externalLinks/externalLink16.xml"/><Relationship Id="rId59" Type="http://schemas.openxmlformats.org/officeDocument/2006/relationships/externalLink" Target="externalLinks/externalLink29.xml"/><Relationship Id="rId67" Type="http://schemas.openxmlformats.org/officeDocument/2006/relationships/externalLink" Target="externalLinks/externalLink37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1.xml"/><Relationship Id="rId54" Type="http://schemas.openxmlformats.org/officeDocument/2006/relationships/externalLink" Target="externalLinks/externalLink24.xml"/><Relationship Id="rId62" Type="http://schemas.openxmlformats.org/officeDocument/2006/relationships/externalLink" Target="externalLinks/externalLink32.xml"/><Relationship Id="rId7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6.xml"/><Relationship Id="rId49" Type="http://schemas.openxmlformats.org/officeDocument/2006/relationships/externalLink" Target="externalLinks/externalLink19.xml"/><Relationship Id="rId57" Type="http://schemas.openxmlformats.org/officeDocument/2006/relationships/externalLink" Target="externalLinks/externalLink27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.xml"/><Relationship Id="rId44" Type="http://schemas.openxmlformats.org/officeDocument/2006/relationships/externalLink" Target="externalLinks/externalLink14.xml"/><Relationship Id="rId52" Type="http://schemas.openxmlformats.org/officeDocument/2006/relationships/externalLink" Target="externalLinks/externalLink22.xml"/><Relationship Id="rId60" Type="http://schemas.openxmlformats.org/officeDocument/2006/relationships/externalLink" Target="externalLinks/externalLink30.xml"/><Relationship Id="rId65" Type="http://schemas.openxmlformats.org/officeDocument/2006/relationships/externalLink" Target="externalLinks/externalLink35.xml"/><Relationship Id="rId73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9.xml"/><Relationship Id="rId34" Type="http://schemas.openxmlformats.org/officeDocument/2006/relationships/externalLink" Target="externalLinks/externalLink4.xml"/><Relationship Id="rId50" Type="http://schemas.openxmlformats.org/officeDocument/2006/relationships/externalLink" Target="externalLinks/externalLink20.xml"/><Relationship Id="rId55" Type="http://schemas.openxmlformats.org/officeDocument/2006/relationships/externalLink" Target="externalLinks/externalLink25.xml"/><Relationship Id="rId7" Type="http://schemas.openxmlformats.org/officeDocument/2006/relationships/worksheet" Target="worksheets/sheet7.xml"/><Relationship Id="rId71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73</xdr:col>
      <xdr:colOff>28575</xdr:colOff>
      <xdr:row>74</xdr:row>
      <xdr:rowOff>76200</xdr:rowOff>
    </xdr:from>
    <xdr:to>
      <xdr:col>92</xdr:col>
      <xdr:colOff>19050</xdr:colOff>
      <xdr:row>86</xdr:row>
      <xdr:rowOff>28575</xdr:rowOff>
    </xdr:to>
    <xdr:pic>
      <xdr:nvPicPr>
        <xdr:cNvPr id="2872373" name="Picture 1" descr="플레이트콤팩터">
          <a:extLst>
            <a:ext uri="{FF2B5EF4-FFF2-40B4-BE49-F238E27FC236}">
              <a16:creationId xmlns:a16="http://schemas.microsoft.com/office/drawing/2014/main" id="{00000000-0008-0000-1E00-000035D42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67400" y="17497425"/>
          <a:ext cx="1438275" cy="1438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77</xdr:col>
      <xdr:colOff>28575</xdr:colOff>
      <xdr:row>47</xdr:row>
      <xdr:rowOff>123825</xdr:rowOff>
    </xdr:from>
    <xdr:to>
      <xdr:col>93</xdr:col>
      <xdr:colOff>238125</xdr:colOff>
      <xdr:row>53</xdr:row>
      <xdr:rowOff>0</xdr:rowOff>
    </xdr:to>
    <xdr:pic>
      <xdr:nvPicPr>
        <xdr:cNvPr id="4" name="Picture 7" descr="백호우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72200" y="4914900"/>
          <a:ext cx="1428750" cy="1247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53</xdr:col>
      <xdr:colOff>9525</xdr:colOff>
      <xdr:row>41</xdr:row>
      <xdr:rowOff>171450</xdr:rowOff>
    </xdr:from>
    <xdr:to>
      <xdr:col>68</xdr:col>
      <xdr:colOff>28575</xdr:colOff>
      <xdr:row>46</xdr:row>
      <xdr:rowOff>190500</xdr:rowOff>
    </xdr:to>
    <xdr:pic>
      <xdr:nvPicPr>
        <xdr:cNvPr id="2" name="Picture 1" descr="플레이트콤팩터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257675" y="9848850"/>
          <a:ext cx="116205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48</xdr:col>
      <xdr:colOff>8605</xdr:colOff>
      <xdr:row>94</xdr:row>
      <xdr:rowOff>104775</xdr:rowOff>
    </xdr:from>
    <xdr:to>
      <xdr:col>80</xdr:col>
      <xdr:colOff>19050</xdr:colOff>
      <xdr:row>118</xdr:row>
      <xdr:rowOff>104775</xdr:rowOff>
    </xdr:to>
    <xdr:pic>
      <xdr:nvPicPr>
        <xdr:cNvPr id="2819717" name="Picture 2693">
          <a:extLst>
            <a:ext uri="{FF2B5EF4-FFF2-40B4-BE49-F238E27FC236}">
              <a16:creationId xmlns:a16="http://schemas.microsoft.com/office/drawing/2014/main" id="{00000000-0008-0000-2400-000085062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37805" y="14620875"/>
          <a:ext cx="3325145" cy="4114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48</xdr:col>
      <xdr:colOff>8605</xdr:colOff>
      <xdr:row>191</xdr:row>
      <xdr:rowOff>104775</xdr:rowOff>
    </xdr:from>
    <xdr:ext cx="3325145" cy="4114800"/>
    <xdr:pic>
      <xdr:nvPicPr>
        <xdr:cNvPr id="4" name="Picture 2693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37805" y="21297900"/>
          <a:ext cx="3325145" cy="4114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twoCellAnchor editAs="oneCell">
    <xdr:from>
      <xdr:col>42</xdr:col>
      <xdr:colOff>28575</xdr:colOff>
      <xdr:row>128</xdr:row>
      <xdr:rowOff>219075</xdr:rowOff>
    </xdr:from>
    <xdr:to>
      <xdr:col>76</xdr:col>
      <xdr:colOff>123825</xdr:colOff>
      <xdr:row>139</xdr:row>
      <xdr:rowOff>187569</xdr:rowOff>
    </xdr:to>
    <xdr:pic>
      <xdr:nvPicPr>
        <xdr:cNvPr id="7" name="Picture 3">
          <a:extLst>
            <a:ext uri="{FF2B5EF4-FFF2-40B4-BE49-F238E27FC236}">
              <a16:creationId xmlns:a16="http://schemas.microsoft.com/office/drawing/2014/main" id="{00000000-0008-0000-2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486275" y="20983575"/>
          <a:ext cx="3333750" cy="248309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28575</xdr:colOff>
          <xdr:row>62</xdr:row>
          <xdr:rowOff>9525</xdr:rowOff>
        </xdr:from>
        <xdr:to>
          <xdr:col>78</xdr:col>
          <xdr:colOff>0</xdr:colOff>
          <xdr:row>74</xdr:row>
          <xdr:rowOff>38100</xdr:rowOff>
        </xdr:to>
        <xdr:sp macro="" textlink="">
          <xdr:nvSpPr>
            <xdr:cNvPr id="1825525" name="Object 1781" hidden="1">
              <a:extLst>
                <a:ext uri="{63B3BB69-23CF-44E3-9099-C40C66FF867C}">
                  <a14:compatExt spid="_x0000_s1825525"/>
                </a:ext>
                <a:ext uri="{FF2B5EF4-FFF2-40B4-BE49-F238E27FC236}">
                  <a16:creationId xmlns:a16="http://schemas.microsoft.com/office/drawing/2014/main" id="{00000000-0008-0000-2400-0000F5DA1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38100</xdr:colOff>
          <xdr:row>32</xdr:row>
          <xdr:rowOff>114300</xdr:rowOff>
        </xdr:from>
        <xdr:to>
          <xdr:col>78</xdr:col>
          <xdr:colOff>142875</xdr:colOff>
          <xdr:row>44</xdr:row>
          <xdr:rowOff>47625</xdr:rowOff>
        </xdr:to>
        <xdr:sp macro="" textlink="">
          <xdr:nvSpPr>
            <xdr:cNvPr id="1825526" name="Object 1782" hidden="1">
              <a:extLst>
                <a:ext uri="{63B3BB69-23CF-44E3-9099-C40C66FF867C}">
                  <a14:compatExt spid="_x0000_s1825526"/>
                </a:ext>
                <a:ext uri="{FF2B5EF4-FFF2-40B4-BE49-F238E27FC236}">
                  <a16:creationId xmlns:a16="http://schemas.microsoft.com/office/drawing/2014/main" id="{00000000-0008-0000-2400-0000F6DA1B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380;&#52285;&#54840;\C\&#45824;&#44049;&#50629;&#47924;\&#44592;&#49457;&#51088;&#47308;\&#49688;&#47049;\&#51088;&#51116;&#44277;&#44553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YES-I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LOTUS\9805B\9801J\IL-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337;&#50756;\&#44277;&#50976;&#48169;\1-project\&#48372;&#44148;&#54872;&#44221;(&#53664;&#50864;)\&#51204;&#44592;\&#48372;&#44148;&#54872;&#44221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My%20Documents\esc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221;&#51068;\pro-&#51652;&#54665;&#51473;\project-&#44608;&#54952;&#51652;\&#52280;&#44256;&#46020;&#47732;\&#54620;&#49888;&#52280;&#44256;\&#49436;&#47732;-&#44540;&#45224;&#53552;&#45328;\&#45236;&#50669;&#49436;\4GONG\2&#44277;&#44396;(&#50504;&#50689;)&#45800;&#44032;&#49328;&#52636;-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MPRO\DOWN\999\&#51068;&#50948;&#45824;&#44032;\ILWI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6020;&#47732;\&#50724;&#49328;&#48516;&#45544;\01%20&#52572;&#51333;&#49457;&#44284;&#54408;\5.0%20&#50696;&#49328;&#49436;-&#49688;&#47049;-&#45800;&#44032;\1.4%20&#50724;&#49328;-&#51204;&#44592;&#45236;&#50669;&#49436;(&#52572;&#51333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park\c\HLOTUS\9801J\OUT\YES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&#51473;&#50521;&#49440;&#51473;&#54868;&#50669;&#49324;\EXCEL\&#47588;&#44257;&#50669;&#4932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Project\DE99024-30\hwp\&#45224;&#50896;&#52280;&#44256;\MSOffice\Excel\9706F\OUT\YE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51652;&#54665;&#44277;&#49324;\&#47588;&#44257;&#51221;&#49688;&#51109;\&#44592;&#49696;&#51228;&#50504;&#49436;\&#44277;&#44553;&#47932;&#54408;&#45236;&#50669;&#49436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77;&#50976;&#48169;\&#49888;&#44592;&#49453;%20&#45936;&#51060;&#53552;\data(2003~)\&#52397;&#44228;&#52380;%203&#44277;&#44396;\EXCEL\&#45236;&#50669;&#49436;\&#45800;&#44032;&#49328;&#52636;&#49436;(ASP&#54756;&#52404;&#48143;&#48373;&#44396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LOTUS\9605P\BB_C-BD\OUT\YE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221;&#51068;\pro-&#51652;&#54665;&#51473;\LIM\&#51068;&#5094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SOFFICE\HEXCEL\&#51204;&#52384;\&#51613;&#49328;&#48320;&#44221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2832;&#44257;3\&#48516;&#45817;&#51204;&#44592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CAD\WORK\RAIL\JANGHANG\EXCEL\&#47588;&#44257;&#50669;&#49324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2000\00&#49444;&#44228;\&#44277;&#51221;&#48324;\&#44032;&#44277;&#52992;&#51060;&#48660;&#49888;&#49444;(&#53552;&#45328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7\97&#49444;&#44228;\&#51312;&#52264;&#51109;&#50808;\&#51204;&#47141;&#49444;&#4422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WINDOWS\&#48148;&#53461;%20&#54868;&#47732;\&#50669;&#49324;&#49328;&#52636;\&#47588;&#44257;&#50669;&#49324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sj-project\3%20&#45824;&#44396;&#48393;&#47924;&#51648;&#48169;&#49328;&#50629;&#45800;&#51648;\3%20&#45236;&#50669;&#49436;\&#45824;&#44396;&#48393;&#47924;%20&#45236;&#50669;&#49436;(&#44221;&#44288;&#54252;&#54632;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00-&#51089;&#50629;&#51473;\99-&#51088;&#51452;-&#51201;&#49328;\&#45236;&#50669;&#49436;-&#51652;&#52380;&#48120;&#44257;&#52376;&#47532;&#5110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공사원가계산서"/>
      <sheetName val="도급예산내역서총괄표"/>
      <sheetName val="기계경비_시간당_"/>
      <sheetName val="일위대가"/>
      <sheetName val="DATE"/>
      <sheetName val="경산"/>
      <sheetName val="견적대비"/>
      <sheetName val="구천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기초입력 DATA"/>
      <sheetName val="일위대가 "/>
      <sheetName val="전기일위대가"/>
      <sheetName val="설계예산서"/>
      <sheetName val="청천내"/>
      <sheetName val="평가데이터"/>
      <sheetName val="2공구하도급내역서"/>
      <sheetName val="내역"/>
      <sheetName val="현장경비"/>
      <sheetName val="설명"/>
      <sheetName val="물가대비표"/>
      <sheetName val="내역(토목)"/>
      <sheetName val="현장경상비"/>
      <sheetName val="DATA1"/>
      <sheetName val="102역사"/>
      <sheetName val="CABLE SIZE-1"/>
      <sheetName val="데이타"/>
      <sheetName val="용역비내역-진짜"/>
      <sheetName val="전기"/>
      <sheetName val="사통"/>
      <sheetName val="Baby일위대가"/>
      <sheetName val="2.고용보험료산출근거"/>
      <sheetName val="공사개요"/>
      <sheetName val="계정"/>
      <sheetName val="03전반노무비"/>
      <sheetName val="계양가시설"/>
      <sheetName val="총괄내역서"/>
      <sheetName val="동원인원"/>
      <sheetName val="요율"/>
      <sheetName val="물량산출"/>
      <sheetName val="내역서1"/>
      <sheetName val="MCC제원"/>
      <sheetName val="전선 및 전선관"/>
      <sheetName val="노무비"/>
      <sheetName val="방배동내역(리라)"/>
      <sheetName val="건축공사집계표"/>
      <sheetName val="방배동내역 (총괄)"/>
      <sheetName val="부대공사총괄"/>
      <sheetName val="예산내~1"/>
      <sheetName val="자재대"/>
      <sheetName val="변수값"/>
      <sheetName val="공사비_NDE"/>
      <sheetName val="참조"/>
      <sheetName val="단가"/>
      <sheetName val="연결임시"/>
      <sheetName val="일반공사"/>
      <sheetName val="#REF"/>
      <sheetName val="설계명세"/>
      <sheetName val="중기상차"/>
      <sheetName val="AS복구"/>
      <sheetName val="중기터파기"/>
      <sheetName val="기초자료입력"/>
      <sheetName val="품셈 "/>
      <sheetName val="PAINT"/>
      <sheetName val="방화도료"/>
      <sheetName val="토목내역"/>
      <sheetName val="공사관리대장"/>
      <sheetName val="집계표"/>
      <sheetName val="준공정산"/>
      <sheetName val="산출1-수변전"/>
      <sheetName val="수량산출"/>
      <sheetName val="일위"/>
      <sheetName val="프랜트면허"/>
      <sheetName val="아파트 내역"/>
      <sheetName val="조경내역서"/>
      <sheetName val="출자한도"/>
      <sheetName val="식재인부"/>
      <sheetName val="작성"/>
      <sheetName val="업무처리전"/>
      <sheetName val="1공구계약서"/>
      <sheetName val="Sheet1"/>
      <sheetName val="양수장(기계)"/>
      <sheetName val="대상공사(조달청)"/>
      <sheetName val="자료(통합)"/>
      <sheetName val="예산M11A"/>
      <sheetName val="2003 일위대가"/>
      <sheetName val="토목공사"/>
      <sheetName val="도급예산내역서봉투"/>
      <sheetName val="설계산출표지"/>
      <sheetName val="을부담운반비"/>
      <sheetName val="운반비산출"/>
      <sheetName val="2000년1차"/>
      <sheetName val="명세서"/>
      <sheetName val="70%"/>
      <sheetName val="04노무비"/>
      <sheetName val="하수급견적대비"/>
      <sheetName val="상촌터널실행"/>
      <sheetName val="C1.공사개요"/>
      <sheetName val="초기화면"/>
      <sheetName val="관급자재"/>
      <sheetName val="공사기본내용입력"/>
      <sheetName val="평내중"/>
      <sheetName val="총괄내역"/>
      <sheetName val="조경"/>
      <sheetName val="Mc1"/>
      <sheetName val="수배전반"/>
      <sheetName val="설계산출기초"/>
      <sheetName val="허용전류-IEC DATA"/>
      <sheetName val="DATA"/>
      <sheetName val="전동기 특성표"/>
      <sheetName val="케이블단면적"/>
      <sheetName val="Sheet2"/>
      <sheetName val="설계내역서"/>
      <sheetName val="기본자료"/>
      <sheetName val="노무비지급명세"/>
      <sheetName val="설계명세서"/>
      <sheetName val="공사착공계"/>
      <sheetName val="현장대리인위임장"/>
      <sheetName val="터파기및재료"/>
      <sheetName val="Sheet2 (2)"/>
      <sheetName val="예산내역서"/>
      <sheetName val="총계"/>
      <sheetName val="수주추정"/>
      <sheetName val="노무"/>
      <sheetName val="EP0618"/>
      <sheetName val="ELECTRIC"/>
      <sheetName val="토목"/>
      <sheetName val="가격조사서"/>
      <sheetName val="서울대규장각(가시설흙막이)"/>
      <sheetName val="Sheet5"/>
      <sheetName val="배수공"/>
      <sheetName val="부대공"/>
      <sheetName val="99총공사내역서"/>
      <sheetName val="토공"/>
      <sheetName val="포장공"/>
      <sheetName val="1차 내역서"/>
      <sheetName val="계림(함평)"/>
      <sheetName val="계림(장성)"/>
      <sheetName val="단면가정"/>
      <sheetName val="설계조건"/>
      <sheetName val="투찰가"/>
      <sheetName val="단가산출"/>
      <sheetName val="L_RPTB02_01"/>
      <sheetName val="수량집계"/>
      <sheetName val="총괄집계표"/>
      <sheetName val="저압_허용전류요약"/>
      <sheetName val="숫자변환"/>
      <sheetName val="실행견적"/>
      <sheetName val="투자비"/>
      <sheetName val="조성원가DATA"/>
      <sheetName val="사업비"/>
      <sheetName val="Total"/>
      <sheetName val="FB25JN"/>
      <sheetName val="준검 내역서"/>
      <sheetName val="일위대가목록"/>
      <sheetName val="금액내역서"/>
      <sheetName val="주방환기"/>
      <sheetName val="내역서적용수량"/>
      <sheetName val="직접경비"/>
      <sheetName val="직접인건비"/>
      <sheetName val="해평견적"/>
      <sheetName val="총괄"/>
      <sheetName val="내역(원안-대안)"/>
      <sheetName val="일집"/>
      <sheetName val="입력"/>
      <sheetName val="변압기 및 발전기 용량"/>
      <sheetName val="을지"/>
      <sheetName val="배관내역"/>
      <sheetName val="중강당 내역"/>
      <sheetName val="총괄표"/>
      <sheetName val="직재"/>
      <sheetName val="단가산출서"/>
      <sheetName val="내역총괄"/>
      <sheetName val="견적단가"/>
      <sheetName val="자재단가"/>
      <sheetName val="노임단가"/>
      <sheetName val="원가계산서 "/>
      <sheetName val="기본DATA"/>
      <sheetName val="2회내역"/>
      <sheetName val="1회갑지"/>
      <sheetName val="공사원가계산서 "/>
      <sheetName val="N賃率-職"/>
      <sheetName val="견적을지"/>
      <sheetName val="효성CB 1P기초"/>
      <sheetName val="순공사비"/>
      <sheetName val="산출2-전력"/>
      <sheetName val="산출3-동력"/>
      <sheetName val="산출4-전등"/>
      <sheetName val="산출9-TRAY"/>
      <sheetName val="설계서"/>
      <sheetName val="단가 (2)"/>
      <sheetName val="database"/>
      <sheetName val="원형1호맨홀토공수량"/>
      <sheetName val="VII-2현장경비"/>
      <sheetName val="Ⅴ-2.공종별내역"/>
      <sheetName val="공구"/>
      <sheetName val="매입세"/>
      <sheetName val="방배동내역_(총괄)"/>
      <sheetName val="견적"/>
      <sheetName val="시공자검사조서"/>
      <sheetName val="2순기"/>
      <sheetName val="소요자재"/>
      <sheetName val="DATA98"/>
      <sheetName val="고유코드_설계"/>
      <sheetName val="단면 (2)"/>
      <sheetName val="TYPE A"/>
      <sheetName val="기초단가"/>
      <sheetName val="간접"/>
      <sheetName val="노 무 비"/>
      <sheetName val="Data&amp;Result"/>
      <sheetName val="40총괄"/>
      <sheetName val="40집계"/>
      <sheetName val="인건비"/>
      <sheetName val="토공사(흙막이)"/>
      <sheetName val="일위대가목차"/>
      <sheetName val="단가사정"/>
      <sheetName val="공사비집계"/>
      <sheetName val="부하(성남)"/>
      <sheetName val="부하계산서"/>
      <sheetName val="보조부문비배부"/>
      <sheetName val="갑지"/>
      <sheetName val="Y-WORK"/>
      <sheetName val="TITLE"/>
      <sheetName val="본사업"/>
      <sheetName val="서대문대장"/>
      <sheetName val="공사노임"/>
      <sheetName val="토사(PE)"/>
      <sheetName val="제조노임"/>
      <sheetName val="대비"/>
      <sheetName val="분석"/>
      <sheetName val="Macro1"/>
      <sheetName val="제잡비"/>
      <sheetName val="단가산출서 (2)"/>
      <sheetName val="자료입력"/>
      <sheetName val="날개벽(시점좌측)"/>
      <sheetName val="1.1 부하집계표"/>
      <sheetName val="FOB발"/>
      <sheetName val="BID"/>
      <sheetName val="내역(신례)"/>
      <sheetName val="단가조사서"/>
      <sheetName val="집계"/>
      <sheetName val="직노"/>
      <sheetName val="기본일위"/>
      <sheetName val="패널"/>
      <sheetName val="내역서2안"/>
      <sheetName val="실행내역"/>
      <sheetName val="배수장토목공사비"/>
      <sheetName val="공통비(전체)"/>
      <sheetName val="분전반계산서(석관)"/>
      <sheetName val="실행대비"/>
      <sheetName val="1-4-2.관(약)"/>
      <sheetName val="5. 차단기 용량계산"/>
      <sheetName val="6.3 전력간선 굵기"/>
      <sheetName val="1.2 부하계산서"/>
      <sheetName val="6. Cable(설명)-IEC"/>
      <sheetName val="정산서 "/>
      <sheetName val="MW-S"/>
      <sheetName val="빙장비사양"/>
      <sheetName val="장비사양"/>
      <sheetName val="산출내역(K2)"/>
      <sheetName val="공사현황"/>
      <sheetName val="2공구산출내역"/>
      <sheetName val="백(수량이동)"/>
      <sheetName val="ENE-CAL 1"/>
      <sheetName val="우수공"/>
      <sheetName val="Sheet1 (2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DATA 입력란"/>
      <sheetName val="산출근거"/>
      <sheetName val="설계명세서(선로)"/>
      <sheetName val="상호참고자료"/>
      <sheetName val="발주처자료입력"/>
      <sheetName val="회사기본자료"/>
      <sheetName val="하자보증자료"/>
      <sheetName val="기술자관련자료"/>
      <sheetName val="가설"/>
      <sheetName val="관접합및부설"/>
      <sheetName val="특수선일위대가"/>
      <sheetName val="3.공통공사대비"/>
      <sheetName val="이름정의"/>
      <sheetName val="전체공내역서"/>
      <sheetName val="1구간내역서"/>
      <sheetName val="설계서(본관)"/>
      <sheetName val="적점"/>
      <sheetName val="건축내역"/>
      <sheetName val="퇴직금(울산천상)"/>
      <sheetName val="산출2-기기동력"/>
      <sheetName val="부대집계"/>
      <sheetName val="공사품의서"/>
      <sheetName val="단가일람"/>
      <sheetName val="내역서1999.8최종"/>
      <sheetName val="계산서(곡선부)"/>
      <sheetName val="포장재료집계표"/>
      <sheetName val="업체명"/>
      <sheetName val="관리"/>
      <sheetName val="한강운반비"/>
      <sheetName val="원가+내역"/>
      <sheetName val="을"/>
      <sheetName val="FA설치명세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전등"/>
      <sheetName val="잡비계산"/>
      <sheetName val="입찰안"/>
      <sheetName val="가설건물"/>
      <sheetName val="간지"/>
      <sheetName val="공사요율"/>
      <sheetName val="입력변수"/>
      <sheetName val="Sensitivity"/>
      <sheetName val="통행료수입"/>
      <sheetName val="수량산출1"/>
      <sheetName val="자재단가표"/>
      <sheetName val="7. Cable(설명)-IEC"/>
      <sheetName val="WORK"/>
      <sheetName val="Macro(전선)"/>
      <sheetName val="CABLE-DATA "/>
      <sheetName val="공사설계"/>
      <sheetName val="예산명세서"/>
      <sheetName val="간접비"/>
      <sheetName val="경영상태"/>
      <sheetName val="D-3109"/>
      <sheetName val="S0"/>
      <sheetName val="도급"/>
      <sheetName val="현황산출서"/>
      <sheetName val="장비집계"/>
      <sheetName val="식재"/>
      <sheetName val="시설물"/>
      <sheetName val="식재출력용"/>
      <sheetName val="유지관리"/>
      <sheetName val="옹벽기초자료"/>
      <sheetName val="단가조사"/>
      <sheetName val="예상"/>
      <sheetName val="계약현황"/>
      <sheetName val="부동산"/>
      <sheetName val="직원"/>
      <sheetName val="세대별"/>
      <sheetName val="R&amp;D"/>
      <sheetName val="단가및재료비"/>
      <sheetName val="매채조회"/>
      <sheetName val="시산표"/>
      <sheetName val="106C0300"/>
      <sheetName val="8노임율표"/>
      <sheetName val="중(토)"/>
      <sheetName val="집계(일반)"/>
      <sheetName val="세금자료"/>
      <sheetName val="A"/>
      <sheetName val="외삼초"/>
      <sheetName val="화성태안9공구내역(실행)"/>
      <sheetName val="차액보증"/>
      <sheetName val="단가대비표"/>
      <sheetName val="36신설수량"/>
      <sheetName val="개요"/>
      <sheetName val="단위수량"/>
      <sheetName val="급여조견표"/>
      <sheetName val="노무비 근거"/>
      <sheetName val="관급자재 예산서"/>
      <sheetName val="단가비교표"/>
      <sheetName val="예산서"/>
      <sheetName val="관급일위대가"/>
      <sheetName val="단가 "/>
      <sheetName val="공통가설"/>
      <sheetName val="조명율표"/>
      <sheetName val="동력설비"/>
      <sheetName val="약전설비"/>
      <sheetName val="전선 및 전선관-자유로"/>
      <sheetName val="관로터파기-자유로"/>
      <sheetName val="공수"/>
      <sheetName val="산근"/>
      <sheetName val="G_R300경비"/>
      <sheetName val="49"/>
      <sheetName val="W-현원가"/>
      <sheetName val="현장"/>
      <sheetName val="골조시행"/>
      <sheetName val="공사비예산서(토목분)"/>
      <sheetName val="예산내역"/>
      <sheetName val="ESC (공정표기준)"/>
      <sheetName val="금액"/>
      <sheetName val="A-4"/>
      <sheetName val="가로등내역서"/>
      <sheetName val="101동"/>
      <sheetName val="NO.1-NO12(설계예산서)"/>
      <sheetName val="INPUT"/>
      <sheetName val="측량요율"/>
      <sheetName val="기본단가"/>
      <sheetName val="교각1"/>
      <sheetName val="A 견적"/>
      <sheetName val="동해title"/>
      <sheetName val="노임단가표"/>
      <sheetName val=" 갑  지 "/>
      <sheetName val="일위대가_"/>
      <sheetName val="대,유,램"/>
      <sheetName val="건축공사"/>
      <sheetName val="실행기고및 투입현황(총괄)"/>
      <sheetName val="철거산출근거"/>
      <sheetName val="ITEM"/>
      <sheetName val="상반기손익차2총괄"/>
      <sheetName val="환율"/>
      <sheetName val="일위목차"/>
      <sheetName val="12.유량계 규격 산정"/>
      <sheetName val="4.  단락전류의 계산"/>
      <sheetName val="1.2 저압설비 부하계산서"/>
      <sheetName val="1.3 고압설비 부하계산서"/>
      <sheetName val="대치판정"/>
      <sheetName val="기초공"/>
      <sheetName val="기둥(원형)"/>
      <sheetName val="6-2. 기계경비산출"/>
      <sheetName val="7.단가비교표"/>
      <sheetName val="5-2.일위대가"/>
      <sheetName val="조건"/>
      <sheetName val="본사공가현황"/>
      <sheetName val="일위_파일"/>
      <sheetName val="입력표"/>
      <sheetName val="전기내역1"/>
      <sheetName val="정부노임단가"/>
      <sheetName val="1.1.2 부하일람표 (계절부하)"/>
      <sheetName val="1.1.3 부하일람표 (상시부하)"/>
      <sheetName val="기계설비-물가변동"/>
      <sheetName val="말뚝지지력산정"/>
      <sheetName val="danga"/>
      <sheetName val="ilch"/>
      <sheetName val="Pier 3"/>
      <sheetName val="CABLE_DATA "/>
      <sheetName val="제6.1장_부하용량계산서-1"/>
      <sheetName val="공사비"/>
      <sheetName val="심사물량"/>
      <sheetName val="심사계산"/>
      <sheetName val="공종별 집계"/>
      <sheetName val="Macro(차단기)"/>
      <sheetName val="가로등제어반 설치공사(수량)"/>
      <sheetName val="6호기"/>
      <sheetName val="2.5 차단기"/>
      <sheetName val="허용전류-IEC"/>
      <sheetName val="b_balju_cho"/>
      <sheetName val="남양구조시험동"/>
      <sheetName val="수량이동"/>
      <sheetName val="설비"/>
      <sheetName val="산출내역서"/>
      <sheetName val="투입비"/>
      <sheetName val="ABUT수량-A1"/>
      <sheetName val="부대내역"/>
      <sheetName val="SG"/>
      <sheetName val="공사원가"/>
      <sheetName val="예산총괄"/>
      <sheetName val="동축기별1"/>
      <sheetName val="동축기별2"/>
      <sheetName val="광기별"/>
      <sheetName val="동축철거기별"/>
      <sheetName val="광철거기별"/>
      <sheetName val="사급자재조서"/>
      <sheetName val="지입자재단가"/>
      <sheetName val="동원인원제외"/>
      <sheetName val="공구손료"/>
      <sheetName val="공제대산출"/>
      <sheetName val="운반공사 "/>
      <sheetName val="동원인원산출"/>
      <sheetName val="선로일위대가_INDEX"/>
      <sheetName val="선로_일위대가"/>
      <sheetName val="철거정비_INDEX"/>
      <sheetName val="철거정비_일위대가"/>
      <sheetName val="시중노임"/>
      <sheetName val="CP주8m이하"/>
      <sheetName val="CP주9m"/>
      <sheetName val="CP주10m"/>
      <sheetName val="IP주8m이하"/>
      <sheetName val="IP주9m"/>
      <sheetName val="IP주10m"/>
      <sheetName val="기계경비산출서 "/>
      <sheetName val="첨부1 "/>
      <sheetName val="첨부2"/>
      <sheetName val="수입원가계산서"/>
      <sheetName val="산출기준"/>
      <sheetName val="가설대가"/>
      <sheetName val="토공대가"/>
      <sheetName val="구조대가"/>
      <sheetName val="포설대가1"/>
      <sheetName val="부대대가"/>
      <sheetName val="국별인원"/>
      <sheetName val="9GNG운반"/>
      <sheetName val="동원(3)"/>
      <sheetName val="예정(3)"/>
      <sheetName val="투찰"/>
      <sheetName val="말뚝물량"/>
      <sheetName val="96노임기준"/>
      <sheetName val="세부내역"/>
      <sheetName val="기본"/>
      <sheetName val="BOX전기내역"/>
      <sheetName val="단가표"/>
      <sheetName val="9811"/>
      <sheetName val="9509"/>
      <sheetName val="부대tu"/>
      <sheetName val="구조물공"/>
      <sheetName val="9902"/>
      <sheetName val="일위대가(4층원격)"/>
      <sheetName val="구체"/>
      <sheetName val="좌측날개벽"/>
      <sheetName val="우측날개벽"/>
      <sheetName val="현장관리비 산출내역"/>
      <sheetName val="2000전체분"/>
      <sheetName val="2000년하반기"/>
      <sheetName val="진주방향"/>
      <sheetName val="마산방향철근집계"/>
      <sheetName val="마산방향"/>
      <sheetName val="MOTOR"/>
      <sheetName val="조명시설"/>
      <sheetName val="설계예산2"/>
      <sheetName val="건축"/>
      <sheetName val="유수전환공사"/>
      <sheetName val="토적표"/>
      <sheetName val="기계공사"/>
      <sheetName val="김포IO"/>
      <sheetName val="INDEX"/>
      <sheetName val="계획금액"/>
      <sheetName val="자재단가비교표"/>
      <sheetName val="실행철강하도"/>
      <sheetName val="중기조종사 단위단가"/>
      <sheetName val="원가"/>
      <sheetName val="기초일위"/>
      <sheetName val="모래기초"/>
      <sheetName val="PAC"/>
      <sheetName val="하도금액분계"/>
      <sheetName val="설계서(7)"/>
      <sheetName val="노무비단가"/>
      <sheetName val="30신설일위대가"/>
      <sheetName val="30집계표"/>
      <sheetName val="IMPEADENCE MAP 취수장"/>
      <sheetName val="하남내역"/>
      <sheetName val="인건비 "/>
      <sheetName val="포장수량단위"/>
      <sheetName val="CT "/>
      <sheetName val="자재표"/>
      <sheetName val="Sheet4"/>
      <sheetName val="노임이"/>
      <sheetName val="현장관리비"/>
      <sheetName val="기초입력_DATA"/>
      <sheetName val="CABLE_SIZE-1"/>
      <sheetName val="2_고용보험료산출근거"/>
      <sheetName val="CABLE"/>
      <sheetName val="표지"/>
      <sheetName val="제출전체재노경"/>
      <sheetName val="참조M"/>
      <sheetName val="단중표"/>
      <sheetName val="06 일위대가목록"/>
      <sheetName val="물가"/>
      <sheetName val="수로현황"/>
      <sheetName val="예총"/>
      <sheetName val="I一般比"/>
      <sheetName val="Sheet9"/>
      <sheetName val="고효율"/>
      <sheetName val="전체"/>
      <sheetName val="가점"/>
      <sheetName val="용수량(생활용수)"/>
      <sheetName val="입력데이타"/>
      <sheetName val="수지표"/>
      <sheetName val="셀명"/>
      <sheetName val="내역서(건설사무소)"/>
      <sheetName val="동력설비 부하계산서"/>
      <sheetName val="DATA2"/>
      <sheetName val="방배동내역_(총괄)1"/>
      <sheetName val="효성CB_1P기초"/>
      <sheetName val="전선_및_전선관"/>
      <sheetName val="중강당_내역"/>
      <sheetName val="Sheet2_(2)"/>
      <sheetName val="품셈_"/>
      <sheetName val="전동기_특성표"/>
      <sheetName val="허용전류-IEC_DATA"/>
      <sheetName val="아파트_내역"/>
      <sheetName val="2003_일위대가"/>
      <sheetName val="C1_공사개요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7단가"/>
      <sheetName val="노임단가"/>
      <sheetName val="일위대가"/>
      <sheetName val="단가비교표"/>
      <sheetName val="노임"/>
      <sheetName val="ILLU"/>
      <sheetName val="경산"/>
      <sheetName val="도급정산"/>
      <sheetName val="Y-WORK"/>
      <sheetName val="4-7.중앙전기실(노임단가)"/>
      <sheetName val="토사(PE)"/>
      <sheetName val="G.R300경비"/>
      <sheetName val="전기일위대가"/>
      <sheetName val="수목표준대가"/>
      <sheetName val="단 box"/>
      <sheetName val="일위목록"/>
      <sheetName val="요율"/>
      <sheetName val="터널조도"/>
      <sheetName val="단가조사"/>
      <sheetName val="코드표"/>
      <sheetName val="증감대비"/>
      <sheetName val="COVER"/>
      <sheetName val="NEGO"/>
      <sheetName val="DATE"/>
      <sheetName val="BID"/>
      <sheetName val="A갑지"/>
      <sheetName val="내역서"/>
      <sheetName val="비탈면보호공수량산출"/>
      <sheetName val="건축"/>
      <sheetName val="식재가격"/>
      <sheetName val="식재총괄"/>
      <sheetName val="#REF"/>
      <sheetName val="9509"/>
      <sheetName val="기성내역서표지"/>
      <sheetName val="종배수관면벽신"/>
      <sheetName val="적용단위길이"/>
      <sheetName val="인건비 "/>
      <sheetName val="???"/>
      <sheetName val="전기"/>
      <sheetName val="BQ(실행)"/>
      <sheetName val="담장산출"/>
      <sheetName val="COST"/>
      <sheetName val="점수계산1-2"/>
      <sheetName val="TEL"/>
      <sheetName val="입찰안"/>
      <sheetName val="I一般比"/>
      <sheetName val="N賃率-職"/>
      <sheetName val="기계경비(시간당)"/>
      <sheetName val="램머"/>
      <sheetName val="Sheet3"/>
      <sheetName val="대비"/>
      <sheetName val="내역"/>
      <sheetName val="노무비"/>
      <sheetName val="File_관급"/>
      <sheetName val="공정집계"/>
      <sheetName val="COPING"/>
      <sheetName val="건축내역"/>
      <sheetName val="직노"/>
      <sheetName val="전산망"/>
      <sheetName val="2000년1차"/>
      <sheetName val="6공구(당초)"/>
      <sheetName val="개요"/>
      <sheetName val="수안보-MBR1"/>
      <sheetName val="자료"/>
      <sheetName val="단락전류-A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포장복구집계"/>
      <sheetName val="노임9월"/>
      <sheetName val="무산소조"/>
      <sheetName val="설계조건"/>
      <sheetName val="안정계산"/>
      <sheetName val="단면검토"/>
      <sheetName val="11.1 단면hwp"/>
      <sheetName val="기계경비"/>
      <sheetName val="일반자재"/>
      <sheetName val="배수공"/>
      <sheetName val="MOTOR"/>
      <sheetName val="CABdata"/>
      <sheetName val="진주방향"/>
      <sheetName val="데리네이타현황"/>
      <sheetName val="공주-교대(A1)"/>
      <sheetName val="소비자가"/>
      <sheetName val="단가 "/>
      <sheetName val="일위총괄표"/>
      <sheetName val="단위일위"/>
      <sheetName val="냉천부속동"/>
      <sheetName val="NEYOK"/>
      <sheetName val="일위대가목차"/>
      <sheetName val="°æ»ê"/>
      <sheetName val="EQ-R1"/>
      <sheetName val="자재단가"/>
      <sheetName val="비교1"/>
      <sheetName val="첨부1"/>
      <sheetName val="을"/>
      <sheetName val="단가"/>
      <sheetName val="터파기및재료"/>
      <sheetName val="DATA 입력부"/>
      <sheetName val="경비_원본"/>
      <sheetName val="수량-가로등"/>
      <sheetName val="자재"/>
      <sheetName val="1.설계조건"/>
      <sheetName val="제잡비 산출내역(실적공사비)"/>
      <sheetName val="내역서(총)"/>
      <sheetName val="집계표"/>
      <sheetName val="설비내역서"/>
      <sheetName val="건축내역서"/>
      <sheetName val="전기내역서"/>
      <sheetName val="wall"/>
      <sheetName val="일위대가(가설)"/>
      <sheetName val="1단계"/>
      <sheetName val="ⴭⴭⴭⴭⴭ"/>
      <sheetName val="설비"/>
      <sheetName val="Customer Databas"/>
      <sheetName val="01상노임"/>
      <sheetName val="인건비"/>
      <sheetName val="교각1"/>
      <sheetName val="토목"/>
      <sheetName val="시중노임(공사)"/>
      <sheetName val="공통가설"/>
      <sheetName val="INFO"/>
      <sheetName val="2.냉난방설비공사"/>
      <sheetName val="7.자동제어공사"/>
      <sheetName val="토공계산서(부체도로)"/>
      <sheetName val="산업"/>
      <sheetName val="calculation"/>
      <sheetName val="AS복구"/>
      <sheetName val="중기터파기"/>
      <sheetName val="변수값"/>
      <sheetName val="중기상차"/>
      <sheetName val="제잡비1"/>
      <sheetName val="단가비교"/>
      <sheetName val="b_balju_cho"/>
      <sheetName val="1-1"/>
      <sheetName val="남양주부대"/>
      <sheetName val="도급"/>
      <sheetName val="조명율표"/>
      <sheetName val="CATCH BASIN"/>
      <sheetName val="노무"/>
      <sheetName val="CODE"/>
      <sheetName val="대로근거"/>
      <sheetName val="일위집계(기존)"/>
      <sheetName val="단가산출2"/>
      <sheetName val="단가 및 재료비"/>
      <sheetName val="단가산출1"/>
      <sheetName val="손익분석"/>
      <sheetName val="산수배수"/>
      <sheetName val="내역서(갑)"/>
      <sheetName val="단위중량"/>
      <sheetName val="변압기 및 발전기 용량"/>
      <sheetName val="SLAB&quot;1&quot;"/>
      <sheetName val="제품"/>
      <sheetName val="산출근거"/>
      <sheetName val="수량산출서"/>
      <sheetName val="날개벽"/>
      <sheetName val="단가산출"/>
      <sheetName val="횡배수관"/>
      <sheetName val="공종구간"/>
      <sheetName val="b_balju"/>
      <sheetName val="전기산출"/>
      <sheetName val="주공기준"/>
      <sheetName val="장비"/>
      <sheetName val="옹벽"/>
      <sheetName val="Sheet1 (2)"/>
      <sheetName val="중간부"/>
      <sheetName val="6호기"/>
      <sheetName val="1차 내역서"/>
      <sheetName val="노임이"/>
      <sheetName val="부표총괄"/>
      <sheetName val="사용성검토"/>
      <sheetName val="Front"/>
      <sheetName val="조도계산"/>
      <sheetName val="인부노임"/>
      <sheetName val="3.하중산정4.지지력"/>
      <sheetName val="EACT10"/>
      <sheetName val="단가코드"/>
      <sheetName val="CIVIL"/>
      <sheetName val="조건표"/>
      <sheetName val="개소별수량산출"/>
      <sheetName val="옹벽기초자료"/>
      <sheetName val="현황산출서"/>
      <sheetName val="사급자재"/>
      <sheetName val="LIST"/>
      <sheetName val="WORK"/>
      <sheetName val="자재단가-1"/>
      <sheetName val="수량산출"/>
      <sheetName val="예산명세서"/>
      <sheetName val="설계명세서"/>
      <sheetName val="자료입력"/>
      <sheetName val="말고개터널조명전압강하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내역서(기계)"/>
      <sheetName val="총괄표"/>
      <sheetName val="인공산출"/>
      <sheetName val="부대내역"/>
      <sheetName val="공통가설비"/>
      <sheetName val="MATERIAL"/>
      <sheetName val="노단"/>
      <sheetName val="수량인공"/>
      <sheetName val="원가계산서"/>
      <sheetName val="노원열병합  건축공사기성내역서"/>
      <sheetName val="TRE TABLE"/>
      <sheetName val="ASEM내역"/>
      <sheetName val="2경간"/>
      <sheetName val="시설물"/>
      <sheetName val="식재출력용"/>
      <sheetName val="식재"/>
      <sheetName val="유지관리"/>
      <sheetName val="세부내역"/>
      <sheetName val="건축집계표"/>
      <sheetName val="맨홀수량산출"/>
      <sheetName val="하수급견적대비"/>
      <sheetName val="2001년 건설노임"/>
      <sheetName val="예정(3)"/>
      <sheetName val="동원(3)"/>
      <sheetName val="전장품(관리용)"/>
      <sheetName val="예산변경사항"/>
      <sheetName val="건축(충일분)"/>
      <sheetName val="금융비용"/>
      <sheetName val="갑지(추정)"/>
      <sheetName val="기본일위"/>
      <sheetName val="일위대가(건축)"/>
      <sheetName val="대운반(신설-관급)"/>
      <sheetName val="일위대가표"/>
      <sheetName val="자동차폐수처리장"/>
      <sheetName val="(A)내역서"/>
      <sheetName val="첨부파일"/>
      <sheetName val="Sheet5"/>
      <sheetName val="설변물량"/>
      <sheetName val="960318-1"/>
      <sheetName val="AC포장수량"/>
      <sheetName val="난간벽단위"/>
      <sheetName val="교각별수량"/>
      <sheetName val="말뚝지지력산정"/>
      <sheetName val="일위집계"/>
      <sheetName val="참조"/>
      <sheetName val="기둥(원형)"/>
      <sheetName val="단면 (2)"/>
      <sheetName val="자재단가표"/>
      <sheetName val="NEWDRAW"/>
      <sheetName val="노무비 "/>
      <sheetName val="배선DATA"/>
      <sheetName val="DESIGN CRITERIA"/>
      <sheetName val="부하계산"/>
      <sheetName val="과천MAIN"/>
      <sheetName val="고창터널(고창방향)"/>
      <sheetName val="가격조사"/>
      <sheetName val="9811"/>
      <sheetName val="교통대책내역"/>
      <sheetName val="현장관리비"/>
      <sheetName val="금액집계"/>
      <sheetName val="원형1호맨홀토공수량"/>
      <sheetName val="2.가정단면"/>
      <sheetName val="유류사용"/>
      <sheetName val="협조전"/>
      <sheetName val="실행내역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내역분기"/>
      <sheetName val="견적서"/>
      <sheetName val="실행대비"/>
      <sheetName val="전동기DATA"/>
      <sheetName val="투찰(하수)"/>
      <sheetName val="전체현황"/>
      <sheetName val="본부소개"/>
      <sheetName val="중기사용료산출근거"/>
      <sheetName val="수목데이타 "/>
      <sheetName val="2. 공원조도(전통공원)"/>
      <sheetName val="공종목록표"/>
      <sheetName val="WEIGHT LIST"/>
      <sheetName val="POL6차-PIPING"/>
      <sheetName val="산#2-1 (2)"/>
      <sheetName val="산#3-1"/>
      <sheetName val="플랜트 설치"/>
      <sheetName val="내부부하"/>
      <sheetName val="방송일위대가"/>
      <sheetName val="기초일위"/>
      <sheetName val="시설일위"/>
      <sheetName val="조명일위"/>
      <sheetName val="간선계산"/>
      <sheetName val="관기성공.내"/>
      <sheetName val="수량명세서"/>
      <sheetName val="토공수량산출"/>
      <sheetName val="토적계산서"/>
      <sheetName val="전선 및 전선관"/>
      <sheetName val="관리비"/>
      <sheetName val="토공1"/>
      <sheetName val="재집"/>
      <sheetName val="직재"/>
      <sheetName val="sheets"/>
      <sheetName val="중기조종사 단위단가"/>
      <sheetName val="갑지"/>
      <sheetName val="관로내역원"/>
      <sheetName val="우수토적(진입도로)"/>
      <sheetName val="정부노임단가"/>
      <sheetName val="건축내역(도급)"/>
      <sheetName val="일위노임단가"/>
      <sheetName val="Mc1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재료비"/>
      <sheetName val="4동급수"/>
      <sheetName val="차수"/>
      <sheetName val="96노임기준"/>
      <sheetName val="신규 수주분(사용자 정의)"/>
      <sheetName val="비용"/>
      <sheetName val="3련 BOX"/>
      <sheetName val="남대문빌딩"/>
      <sheetName val="부하계산서"/>
      <sheetName val="공사원가계산서"/>
      <sheetName val="일위대가표(무)"/>
      <sheetName val="일위대가산출기초"/>
      <sheetName val="지급자재"/>
      <sheetName val="내역(2000년)"/>
      <sheetName val="계수시트"/>
      <sheetName val="Imp-Data"/>
      <sheetName val="금광1터널"/>
      <sheetName val="상반기손익차2총괄"/>
      <sheetName val="Macro(전선)"/>
      <sheetName val="부대대비"/>
      <sheetName val="냉연집계"/>
      <sheetName val="일위대가 (100%)"/>
      <sheetName val="견적대비"/>
      <sheetName val="Manual Valve List"/>
      <sheetName val="Macro1"/>
      <sheetName val="Macro3"/>
      <sheetName val="Macro2"/>
      <sheetName val="일위목차"/>
      <sheetName val="TB-내역서"/>
      <sheetName val="2000,9월 일위"/>
      <sheetName val="실행내역서 "/>
      <sheetName val="제수"/>
      <sheetName val="공기"/>
      <sheetName val="공내역"/>
      <sheetName val="일위"/>
      <sheetName val="SUMMARYMCA"/>
      <sheetName val="Total"/>
      <sheetName val="archi(본사)"/>
      <sheetName val="국별인원"/>
      <sheetName val="102역사"/>
      <sheetName val="DATA1"/>
      <sheetName val="1"/>
      <sheetName val="Sheet15"/>
      <sheetName val="XL4Poppy"/>
      <sheetName val="비목군단가비교표"/>
      <sheetName val="INPUT(덕도방향-시점)"/>
      <sheetName val="기자재대비표"/>
      <sheetName val="2004,상노임"/>
      <sheetName val="시설물일위"/>
      <sheetName val="input"/>
      <sheetName val="DATA(광속)"/>
      <sheetName val="교각계산"/>
      <sheetName val="6PILE  (돌출)"/>
      <sheetName val="G_R300경비"/>
      <sheetName val="단가_"/>
      <sheetName val="4-7_중앙전기실(노임단가)"/>
      <sheetName val="성곽내역서"/>
      <sheetName val="공조기"/>
      <sheetName val="h-013211-2"/>
      <sheetName val="안정검토"/>
      <sheetName val="을지"/>
      <sheetName val="아스.노면절삭"/>
      <sheetName val="평가데이터"/>
      <sheetName val="토공유동표"/>
      <sheetName val="발주설계서(당초)"/>
      <sheetName val="기초자료"/>
      <sheetName val="type-F"/>
      <sheetName val="문산방향-교대(A2)"/>
      <sheetName val="연결임시"/>
      <sheetName val="비용display"/>
      <sheetName val="쌍송교"/>
      <sheetName val="guard(mac)"/>
      <sheetName val="차도조도계산"/>
      <sheetName val="월별손익"/>
      <sheetName val="배수장토목공사비"/>
      <sheetName val="경비2내역"/>
      <sheetName val="원가"/>
      <sheetName val="1련박스"/>
      <sheetName val="ABUT수량-A1"/>
      <sheetName val="실행내역 "/>
      <sheetName val="관급"/>
      <sheetName val="단가조사서"/>
      <sheetName val="목차"/>
      <sheetName val="각종장비전압강하계산"/>
      <sheetName val="자단"/>
      <sheetName val="실적원가"/>
      <sheetName val="노임단가표"/>
      <sheetName val="물가"/>
      <sheetName val="공내역서"/>
      <sheetName val="목록1"/>
      <sheetName val="목록2"/>
      <sheetName val="중기"/>
      <sheetName val="다심-cable"/>
      <sheetName val="1C-cable"/>
      <sheetName val="단가대비"/>
      <sheetName val="기계경비산출기준"/>
      <sheetName val="견적을지"/>
      <sheetName val="000000"/>
      <sheetName val="내역서2안"/>
      <sheetName val="노임단"/>
      <sheetName val="부대공"/>
      <sheetName val="운반공"/>
      <sheetName val="자재단"/>
      <sheetName val="장비단"/>
      <sheetName val="통합"/>
      <sheetName val="2_냉난방설비공사"/>
      <sheetName val="소업1교"/>
      <sheetName val="적용률"/>
      <sheetName val="효성CB 1P기초"/>
      <sheetName val="견적업체"/>
      <sheetName val="공통가설공사"/>
      <sheetName val="소총괄표1"/>
      <sheetName val="제출내역 (2)"/>
      <sheetName val="교대시점"/>
      <sheetName val="WO"/>
      <sheetName val="참고자료"/>
      <sheetName val="수량집계"/>
      <sheetName val="총괄집계표"/>
      <sheetName val="2010노임(공사)"/>
      <sheetName val="ITEM"/>
      <sheetName val="sw1"/>
      <sheetName val="NOMUBI"/>
      <sheetName val="02하반기노임"/>
      <sheetName val="산출"/>
      <sheetName val="회로내역(승인)"/>
      <sheetName val="예산M12A"/>
      <sheetName val="Sheet10"/>
      <sheetName val="SIL98"/>
      <sheetName val="danga"/>
      <sheetName val="ilch"/>
      <sheetName val="BSD (2)"/>
      <sheetName val="첨부1-1"/>
      <sheetName val="내역표지"/>
      <sheetName val="견"/>
      <sheetName val="8.2TON"/>
      <sheetName val="돈암사업"/>
      <sheetName val="일위_파일"/>
      <sheetName val="95WBS"/>
      <sheetName val="지주토목내역서"/>
      <sheetName val="철콘공사"/>
      <sheetName val="계산근거"/>
      <sheetName val="토공"/>
      <sheetName val="토목주소"/>
      <sheetName val="dt0301"/>
      <sheetName val="dtt0301"/>
      <sheetName val="품셈표"/>
      <sheetName val="ZONE.1"/>
      <sheetName val="기둥(하중)"/>
      <sheetName val="노임표"/>
      <sheetName val="CAT_5"/>
      <sheetName val="순공사비"/>
      <sheetName val="견적"/>
      <sheetName val="22-2M단"/>
      <sheetName val="22-1소단"/>
      <sheetName val="예산M2"/>
      <sheetName val="6. 직접경비"/>
      <sheetName val="원가계산서 "/>
      <sheetName val="감액총괄표"/>
      <sheetName val="견적990322"/>
      <sheetName val="본사업"/>
      <sheetName val="가시설단위수량"/>
      <sheetName val="철근단면적"/>
      <sheetName val="말뚝기초"/>
      <sheetName val="진접"/>
      <sheetName val="TOTAL3"/>
      <sheetName val="SG"/>
      <sheetName val="부안일위"/>
      <sheetName val="10.공통-노임단가"/>
      <sheetName val="자재단가비교표"/>
      <sheetName val="동해title"/>
      <sheetName val="공정코드"/>
      <sheetName val="측량노임단가"/>
      <sheetName val="토공2"/>
      <sheetName val="구조물토공1"/>
      <sheetName val="토공3"/>
      <sheetName val="실행철강하도"/>
      <sheetName val="TYPE-A"/>
      <sheetName val="노임목록"/>
      <sheetName val="자재목록"/>
      <sheetName val="중기목록"/>
      <sheetName val="총괄"/>
      <sheetName val="총괄내역서"/>
      <sheetName val="관접합및부설"/>
      <sheetName val="가로등기초"/>
      <sheetName val="기초자료입력"/>
      <sheetName val="집계장(대목_실행)"/>
      <sheetName val="기둥"/>
      <sheetName val="저판(버림100)"/>
      <sheetName val="1.설계기준"/>
      <sheetName val="백암비스타내역"/>
      <sheetName val="기본"/>
      <sheetName val="01_ 원가계산서"/>
      <sheetName val="설계서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TOTAL_BOQ"/>
      <sheetName val="일위대가(1)"/>
      <sheetName val="eq_data"/>
      <sheetName val="정산노무"/>
      <sheetName val="정산재료"/>
      <sheetName val="Noname 1"/>
      <sheetName val="상부공"/>
      <sheetName val="SP"/>
      <sheetName val="가도공"/>
      <sheetName val="IN"/>
      <sheetName val="Macro(차단기)"/>
      <sheetName val="단가조건(02년)"/>
      <sheetName val="기준액"/>
      <sheetName val="품셈(기초)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물가대비표"/>
      <sheetName val="기계내역"/>
      <sheetName val="납부서"/>
      <sheetName val="현장경비"/>
      <sheetName val="토공(우물통,기타) "/>
      <sheetName val="발전기"/>
      <sheetName val="간선"/>
      <sheetName val="부하"/>
      <sheetName val="송라터널총괄"/>
      <sheetName val="중로근거"/>
      <sheetName val="Main"/>
      <sheetName val="11"/>
      <sheetName val="표지 (2)"/>
      <sheetName val="공종"/>
      <sheetName val="1안"/>
      <sheetName val="2공구산출내역"/>
      <sheetName val="단가표"/>
      <sheetName val="BUS제원1"/>
    </sheetNames>
    <sheetDataSet>
      <sheetData sheetId="0" refreshError="1"/>
      <sheetData sheetId="1" refreshError="1"/>
      <sheetData sheetId="2" refreshError="1"/>
      <sheetData sheetId="3" refreshError="1">
        <row r="6">
          <cell r="F6">
            <v>0.82</v>
          </cell>
        </row>
        <row r="7">
          <cell r="F7">
            <v>0.79</v>
          </cell>
        </row>
        <row r="8">
          <cell r="F8">
            <v>0.76</v>
          </cell>
        </row>
        <row r="9">
          <cell r="F9">
            <v>0.72</v>
          </cell>
        </row>
        <row r="10">
          <cell r="F10">
            <v>0.68</v>
          </cell>
        </row>
        <row r="11">
          <cell r="F11">
            <v>0.62</v>
          </cell>
        </row>
        <row r="12">
          <cell r="F12">
            <v>0.56999999999999995</v>
          </cell>
        </row>
        <row r="13">
          <cell r="F13">
            <v>0.49</v>
          </cell>
        </row>
        <row r="14">
          <cell r="F14">
            <v>0.42</v>
          </cell>
        </row>
        <row r="17">
          <cell r="F17">
            <v>0.74</v>
          </cell>
        </row>
        <row r="18">
          <cell r="F18">
            <v>0.71</v>
          </cell>
        </row>
        <row r="19">
          <cell r="F19">
            <v>0.67</v>
          </cell>
        </row>
        <row r="20">
          <cell r="F20">
            <v>0.64</v>
          </cell>
        </row>
        <row r="21">
          <cell r="F21">
            <v>0.59</v>
          </cell>
        </row>
        <row r="22">
          <cell r="F22">
            <v>0.53</v>
          </cell>
        </row>
        <row r="23">
          <cell r="F23">
            <v>0.49</v>
          </cell>
        </row>
        <row r="24">
          <cell r="F24">
            <v>0.42</v>
          </cell>
        </row>
        <row r="25">
          <cell r="F25">
            <v>0.36</v>
          </cell>
        </row>
        <row r="26">
          <cell r="F26">
            <v>0.28000000000000003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Y-WORK"/>
      <sheetName val="Sheet1"/>
      <sheetName val="원형맨홀수량"/>
      <sheetName val="전기"/>
      <sheetName val="별표 "/>
      <sheetName val="#REF"/>
      <sheetName val="FRP내역서"/>
      <sheetName val="주경기-오배수"/>
      <sheetName val="단락전류-A"/>
      <sheetName val="DATA"/>
      <sheetName val="기계내역"/>
      <sheetName val="경북전기"/>
      <sheetName val="총괄표"/>
      <sheetName val="견적서"/>
      <sheetName val="터파기및재료"/>
      <sheetName val="단가비교표 (계측제어)"/>
      <sheetName val="대전21토목내역서"/>
      <sheetName val="E01-02(EV-1-LBS)"/>
      <sheetName val="Apt내역"/>
      <sheetName val="부대시설"/>
      <sheetName val="기본DATA"/>
      <sheetName val="단위중기"/>
      <sheetName val="모델링"/>
      <sheetName val="하중계산"/>
      <sheetName val="철거산출근거"/>
      <sheetName val="기계시공"/>
      <sheetName val="현장관리비집계표"/>
      <sheetName val="조명시설"/>
      <sheetName val="입찰안"/>
      <sheetName val="일위"/>
      <sheetName val="말뚝지지력산정"/>
      <sheetName val="단가산출"/>
      <sheetName val="수량산출"/>
      <sheetName val="102역사"/>
      <sheetName val="대비"/>
      <sheetName val="WORK"/>
      <sheetName val="철근단면적"/>
      <sheetName val="노임"/>
      <sheetName val="일위목록"/>
      <sheetName val="본체"/>
      <sheetName val="분석"/>
      <sheetName val="계산근거"/>
      <sheetName val="CAT_5"/>
      <sheetName val="Sheet2"/>
      <sheetName val="Imp-Data"/>
      <sheetName val="crude.SLAB RE-bar"/>
      <sheetName val="CRUDE RE-bar"/>
      <sheetName val="원형1호맨홀토공수량"/>
      <sheetName val="일위대가"/>
      <sheetName val="MCC제원"/>
      <sheetName val="허용전류-IEC DATA"/>
      <sheetName val="EP0618"/>
      <sheetName val="단가표"/>
      <sheetName val="DATA (2)"/>
      <sheetName val="현장관리비내역서"/>
      <sheetName val="설직재_1"/>
      <sheetName val="hvac(제어동)"/>
      <sheetName val="EKOG10건축"/>
      <sheetName val="변경후-SHEET"/>
      <sheetName val="내역서"/>
      <sheetName val="제-노임"/>
      <sheetName val="설직재-1"/>
      <sheetName val="제직재"/>
      <sheetName val="I一般比"/>
      <sheetName val="재료"/>
      <sheetName val="FILE1"/>
      <sheetName val="건축공사"/>
      <sheetName val="내역"/>
      <sheetName val="개요"/>
      <sheetName val="부속동"/>
      <sheetName val="BSD (2)"/>
      <sheetName val="참고 1"/>
      <sheetName val="부하계산서"/>
      <sheetName val="지장물C"/>
      <sheetName val="날개벽(시점좌측)"/>
      <sheetName val="정보매체A동"/>
      <sheetName val="공사원가계산서"/>
      <sheetName val="옥내아파트(전기)"/>
      <sheetName val="1.설계조건"/>
      <sheetName val="토공"/>
      <sheetName val="현장지지물물량"/>
      <sheetName val="plan&amp;section of foundation"/>
      <sheetName val="하도금액분계"/>
      <sheetName val="CODE"/>
      <sheetName val="6-2차"/>
      <sheetName val="내력서"/>
      <sheetName val="소업1교"/>
      <sheetName val="기둥(원형)"/>
      <sheetName val="견적대비 견적서"/>
      <sheetName val="총괄-1"/>
      <sheetName val="REINF."/>
      <sheetName val="SKETCH"/>
      <sheetName val="LOADS"/>
      <sheetName val="공통가설"/>
      <sheetName val="2000년하반기"/>
      <sheetName val="인건비 "/>
      <sheetName val="TONG HOP VL-NC TT"/>
      <sheetName val="CHITIET VL-NC-TT -1p"/>
      <sheetName val="TDTKP1"/>
      <sheetName val="KPVC-BD "/>
      <sheetName val="도체종-상수표"/>
      <sheetName val="guard(mac)"/>
      <sheetName val="정부노임단가"/>
      <sheetName val="ETC"/>
      <sheetName val="FB25JN"/>
      <sheetName val="견적990322"/>
      <sheetName val="교대(A1)"/>
      <sheetName val="3.공통공사대비"/>
      <sheetName val="소비자가"/>
      <sheetName val="자료입력"/>
      <sheetName val="ABUT수량-A1"/>
      <sheetName val="AP1"/>
      <sheetName val="SLAB&quot;1&quot;"/>
      <sheetName val="단면가정"/>
      <sheetName val="예산변경사항"/>
      <sheetName val="99총공사내역서"/>
      <sheetName val="심사계산"/>
      <sheetName val="심사물량"/>
      <sheetName val="전차선로 물량표"/>
      <sheetName val="쌍송교"/>
      <sheetName val="토목"/>
      <sheetName val="명일작업계획 (3)"/>
      <sheetName val="신당동집계표"/>
      <sheetName val="준검 내역서"/>
      <sheetName val="대로근거"/>
      <sheetName val="중로근거"/>
      <sheetName val="인건비"/>
      <sheetName val="단가 및 재료비"/>
      <sheetName val="단면 (2)"/>
      <sheetName val="Macro(전선)"/>
      <sheetName val="Sheet3"/>
      <sheetName val="남양내역"/>
      <sheetName val="품셈표"/>
      <sheetName val="품셈TABLE"/>
      <sheetName val="조경"/>
      <sheetName val="Total"/>
      <sheetName val="b_yesan"/>
      <sheetName val="dt0301"/>
      <sheetName val="dtt0301"/>
      <sheetName val="신우"/>
      <sheetName val="인건-측정"/>
      <sheetName val="DATA1"/>
      <sheetName val="dte"/>
      <sheetName val="역T형"/>
      <sheetName val="대치판정"/>
      <sheetName val="CABLE SIZE-3"/>
      <sheetName val="단가비교표"/>
      <sheetName val="직재"/>
      <sheetName val="계약내역서(을지)"/>
      <sheetName val="공사착공계"/>
      <sheetName val="간선계산"/>
      <sheetName val="IMPEADENCE MAP 취수장"/>
      <sheetName val="장비내역(프리카튜브 제외)"/>
      <sheetName val="일집"/>
      <sheetName val="표지 (2)"/>
      <sheetName val="Sheet10"/>
      <sheetName val="구조물공"/>
      <sheetName val="버스운행안내"/>
      <sheetName val="예방접종계획"/>
      <sheetName val="근태계획서"/>
      <sheetName val="11.자재단가"/>
      <sheetName val="단가조사"/>
      <sheetName val="수전기기DATA"/>
      <sheetName val="기별수량산출서"/>
      <sheetName val="배선DATA"/>
      <sheetName val="밸브설치"/>
      <sheetName val="설계내역서"/>
      <sheetName val="내역(전체)"/>
      <sheetName val="wall"/>
      <sheetName val="허용전류-IEC"/>
      <sheetName val="LOAD-46"/>
      <sheetName val="손익분석"/>
      <sheetName val="ITB COST"/>
      <sheetName val="데이타"/>
      <sheetName val="일위대가표"/>
      <sheetName val="예산내역서"/>
      <sheetName val="설계예산서"/>
      <sheetName val="예산서 "/>
      <sheetName val="조명율표"/>
      <sheetName val="Page 1A - Proposal Strategy "/>
      <sheetName val="Read Me"/>
      <sheetName val="N賃率-職"/>
      <sheetName val="자재단가"/>
      <sheetName val="danga"/>
      <sheetName val="ilch"/>
      <sheetName val="을지"/>
      <sheetName val="base"/>
      <sheetName val="빙설"/>
      <sheetName val="첨부1-1"/>
      <sheetName val="200"/>
      <sheetName val="기계경비(시간당)"/>
      <sheetName val="램머"/>
      <sheetName val="지급자재"/>
      <sheetName val="직노"/>
      <sheetName val="CAPVC"/>
      <sheetName val="9811"/>
      <sheetName val="부대공Ⅱ"/>
      <sheetName val="c_balju"/>
      <sheetName val="을"/>
      <sheetName val="집계표"/>
      <sheetName val="계약ITEM"/>
      <sheetName val="총계"/>
      <sheetName val="woo(mac)"/>
      <sheetName val="갑지(추정)"/>
      <sheetName val="CHECK1"/>
      <sheetName val="2002상반기노임기준"/>
      <sheetName val="각종장비전압강하계산"/>
      <sheetName val="Macro(전동기)"/>
      <sheetName val="직공비"/>
      <sheetName val="지주목시비량산출서"/>
      <sheetName val="MACRO(MCC)"/>
      <sheetName val="1공구원가계산서"/>
      <sheetName val="1공구산출내역서"/>
      <sheetName val="자료"/>
      <sheetName val="토적"/>
      <sheetName val="골재산출"/>
      <sheetName val="플랜트 설치"/>
      <sheetName val="PIPE"/>
      <sheetName val="96정변2"/>
      <sheetName val="수입"/>
      <sheetName val="ASP"/>
      <sheetName val="DATE"/>
      <sheetName val="A-4"/>
      <sheetName val="견적"/>
      <sheetName val="6PILE  (돌출)"/>
      <sheetName val="기초(1)"/>
      <sheetName val="공종구간"/>
      <sheetName val="수량산출서"/>
      <sheetName val="단"/>
      <sheetName val="전기혼잡제경비(45)"/>
      <sheetName val="조도계산서 (도서)"/>
      <sheetName val="사급자재"/>
      <sheetName val="부하LOAD"/>
      <sheetName val="일위대가집계"/>
      <sheetName val="원가계산서"/>
      <sheetName val="AV시스템"/>
      <sheetName val="금액내역서"/>
      <sheetName val="지하1층"/>
      <sheetName val="내역서 "/>
      <sheetName val="저압_허용전류요약"/>
      <sheetName val="숫자변환"/>
      <sheetName val="CABLE_DATA "/>
      <sheetName val="전체내역서"/>
      <sheetName val="Front"/>
      <sheetName val="전기자료"/>
      <sheetName val="전등"/>
      <sheetName val="EQUIPMENT -2"/>
      <sheetName val="Sheet5"/>
      <sheetName val="8.PILE  (돌출)"/>
      <sheetName val="재료집계"/>
      <sheetName val="1.우편집중내역서"/>
      <sheetName val="단가산출2"/>
      <sheetName val="간접비내역-1"/>
      <sheetName val="COA-17"/>
      <sheetName val="C-18"/>
      <sheetName val="작성기준"/>
      <sheetName val="EACT10"/>
      <sheetName val="갑지"/>
      <sheetName val="건축내역"/>
      <sheetName val="포장공"/>
      <sheetName val="암거"/>
      <sheetName val="방송일위대가"/>
      <sheetName val="자재목록"/>
      <sheetName val="입력"/>
      <sheetName val="수량산출서 갑지"/>
      <sheetName val="설계명세서"/>
      <sheetName val="교각계산"/>
      <sheetName val="input"/>
      <sheetName val="하조서"/>
      <sheetName val="기둥"/>
      <sheetName val="저판(버림100)"/>
      <sheetName val="교각1"/>
      <sheetName val="순공사비"/>
      <sheetName val="design criteria"/>
      <sheetName val="1월"/>
      <sheetName val="3희질산"/>
      <sheetName val="가시설단위수량"/>
      <sheetName val="SORCE1"/>
      <sheetName val="단위수량"/>
      <sheetName val="하수실행"/>
      <sheetName val="VV보온LINK"/>
      <sheetName val="FIT보온LINK"/>
      <sheetName val="예산M11A"/>
      <sheetName val="배관내역"/>
      <sheetName val="감시제어"/>
      <sheetName val="목차임시"/>
      <sheetName val="견적대비"/>
      <sheetName val="지수"/>
      <sheetName val="현장관리비"/>
      <sheetName val="판"/>
      <sheetName val="토공(우물통,기타) "/>
      <sheetName val="SG"/>
      <sheetName val="GAEYO"/>
      <sheetName val="2000년1차"/>
      <sheetName val="전체"/>
      <sheetName val="예적금"/>
      <sheetName val="JUCKEYK"/>
      <sheetName val="1차설계변경내역"/>
      <sheetName val="ATM기초철가"/>
      <sheetName val="물량표S"/>
      <sheetName val="부대단위수량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96보완계획7.12"/>
      <sheetName val="6.사업손익"/>
      <sheetName val="기본"/>
      <sheetName val="산출내역서집계표"/>
      <sheetName val="NYS"/>
      <sheetName val="자탐_유도등"/>
      <sheetName val="식재인부"/>
      <sheetName val="VENDOR LIST"/>
      <sheetName val="H-pile(298x299)"/>
      <sheetName val="H-pile(250x250)"/>
      <sheetName val="평가데이터"/>
      <sheetName val="2000년 공정표"/>
      <sheetName val="MAIN_TABLE"/>
      <sheetName val="노임이"/>
      <sheetName val="좌측"/>
      <sheetName val="COPING"/>
      <sheetName val="수량BOQ"/>
      <sheetName val="TOEC"/>
      <sheetName val="기초"/>
      <sheetName val="2.대외공문"/>
      <sheetName val="Macro(차단기)"/>
      <sheetName val="BOQ건축"/>
      <sheetName val="분전함신설"/>
      <sheetName val="접지1종"/>
      <sheetName val="흥양2교토공집계표"/>
      <sheetName val="b_balju_cho"/>
      <sheetName val="노임단가"/>
      <sheetName val="공사현황"/>
      <sheetName val="기초입력 DATA"/>
      <sheetName val="수량집계 (2)"/>
      <sheetName val="백암비스타내역"/>
      <sheetName val="COST"/>
      <sheetName val="공종코드"/>
      <sheetName val="5.수량집계"/>
      <sheetName val="3.일위대가표"/>
      <sheetName val="언어보정"/>
      <sheetName val="품질보정"/>
      <sheetName val="LEGEND"/>
      <sheetName val="PARAMETER"/>
      <sheetName val="원가계산"/>
      <sheetName val="Baby일위대가"/>
      <sheetName val="각종양식"/>
      <sheetName val="자재단가비교표"/>
      <sheetName val="사각맨홀"/>
      <sheetName val="CABLE"/>
      <sheetName val="건축집계표"/>
      <sheetName val="단가비교표_공통1"/>
      <sheetName val="20관리비율"/>
      <sheetName val="터널조도"/>
      <sheetName val="참조"/>
      <sheetName val="토사(PE)"/>
      <sheetName val="요율"/>
      <sheetName val="LV data"/>
      <sheetName val="FORM_0"/>
      <sheetName val="아산경희980422"/>
      <sheetName val="배수내역 (2)"/>
      <sheetName val="적용기준"/>
      <sheetName val="000000"/>
      <sheetName val="외주"/>
      <sheetName val="내역변"/>
      <sheetName val="가설식당"/>
      <sheetName val="신천3호용수로"/>
      <sheetName val="1.2.1 마루높이결정"/>
      <sheetName val="슬래브1"/>
      <sheetName val="일위대가(계측기설치)"/>
      <sheetName val="공사비예산서(토목분)"/>
      <sheetName val="현금"/>
      <sheetName val="사업성검토"/>
      <sheetName val="SummaryC"/>
      <sheetName val="Detail"/>
      <sheetName val="외자배분"/>
      <sheetName val="외자내역"/>
      <sheetName val="4. 대수선비"/>
      <sheetName val="내역서(음성금왕)"/>
      <sheetName val="MOTOR"/>
      <sheetName val="공정코드"/>
      <sheetName val="품목"/>
      <sheetName val="가설공사"/>
      <sheetName val="ITEM"/>
      <sheetName val="1-1"/>
      <sheetName val="업체별기성내역"/>
      <sheetName val="99노임기준"/>
      <sheetName val="설계"/>
      <sheetName val="DATA-2 장비LIST"/>
      <sheetName val="6호기"/>
      <sheetName val="전력"/>
      <sheetName val="품셈총괄표"/>
      <sheetName val="1.수인터널"/>
      <sheetName val="효성CB 1P기초"/>
      <sheetName val="공량산출서"/>
      <sheetName val="내역서(기성청구)"/>
      <sheetName val="간지"/>
      <sheetName val="포장복구집계"/>
      <sheetName val="기성내역서표지"/>
      <sheetName val="퇴비산출근거"/>
      <sheetName val="hvac내역서(제어동)"/>
      <sheetName val="6-2. 기계경비산출"/>
      <sheetName val="7.단가비교표"/>
      <sheetName val="노무비 근거"/>
      <sheetName val="5-2.일위대가"/>
      <sheetName val="조작대(1연)"/>
      <sheetName val="계약내력"/>
      <sheetName val="ES조서출력하기"/>
      <sheetName val="단가조사서"/>
      <sheetName val="목차"/>
      <sheetName val="일위대가목차"/>
      <sheetName val="조건표"/>
      <sheetName val="연면적대비(12-7)"/>
      <sheetName val="Macro1"/>
      <sheetName val="실행비교"/>
      <sheetName val="가공비"/>
      <sheetName val="계산서(곡선부)"/>
      <sheetName val="-치수표(곡선부)"/>
      <sheetName val="표지"/>
      <sheetName val="토공사"/>
      <sheetName val="Internal"/>
      <sheetName val="부대비율"/>
      <sheetName val="기계경비목록"/>
      <sheetName val="물량산출근거"/>
      <sheetName val="PSM16"/>
      <sheetName val="자재단가표"/>
      <sheetName val="보온내역서"/>
      <sheetName val="삼성전기"/>
      <sheetName val="Sheet1 (2)"/>
      <sheetName val="공종"/>
      <sheetName val="Sheet14"/>
      <sheetName val="Sheet13"/>
      <sheetName val="FAB별"/>
      <sheetName val="1.설계기준"/>
      <sheetName val="시행후면적"/>
      <sheetName val="NEYOK"/>
      <sheetName val="DAN"/>
      <sheetName val="3.내역서"/>
      <sheetName val="견"/>
      <sheetName val="마산방향철근집계"/>
      <sheetName val="진주방향"/>
      <sheetName val="마산방향"/>
      <sheetName val="설계조건"/>
      <sheetName val="자재"/>
      <sheetName val="2공구산출내역"/>
      <sheetName val="실행내역(현대)"/>
      <sheetName val="대평2공구"/>
      <sheetName val="gvl"/>
      <sheetName val="작성"/>
      <sheetName val="전기일위목록"/>
      <sheetName val="접지수량"/>
      <sheetName val="차액보증"/>
      <sheetName val="흄관기초"/>
      <sheetName val="원본"/>
      <sheetName val="내역서적용수량"/>
      <sheetName val="LABTOTAL"/>
      <sheetName val="통신물량"/>
      <sheetName val="공내역"/>
      <sheetName val="내역및총괄"/>
      <sheetName val="사다리"/>
      <sheetName val="차수공개요"/>
      <sheetName val="Tender Summary"/>
      <sheetName val="입찰보고"/>
      <sheetName val="Assumption"/>
      <sheetName val="1"/>
      <sheetName val="11.우각부 보강"/>
      <sheetName val="단위가격"/>
      <sheetName val="내역총괄"/>
      <sheetName val="내역총괄2"/>
      <sheetName val="내역총괄3"/>
      <sheetName val="노무"/>
      <sheetName val="공사개요"/>
      <sheetName val="보호"/>
      <sheetName val="적용단가"/>
      <sheetName val="기성내역"/>
      <sheetName val="F5"/>
      <sheetName val="환율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FOB발"/>
      <sheetName val="97 사업추정(WEKI)"/>
      <sheetName val="154TW"/>
      <sheetName val="BID"/>
      <sheetName val="bm(CIcable)"/>
      <sheetName val="안정계산"/>
      <sheetName val="단면검토"/>
      <sheetName val="상행-교대(A1-A2)"/>
      <sheetName val="B부대공"/>
      <sheetName val="INPUT(덕도방향-시점)"/>
      <sheetName val="약품공급2"/>
      <sheetName val="단가대비표"/>
      <sheetName val="시가지우회도로공내역서"/>
      <sheetName val="중동공구"/>
      <sheetName val="내역표지"/>
      <sheetName val="경북전기.XLS"/>
      <sheetName val="복지"/>
      <sheetName val="조명율데이타"/>
      <sheetName val="조도계산(가로등NEW)"/>
      <sheetName val="기기리스트"/>
      <sheetName val="G.R300경비"/>
      <sheetName val="SPEC"/>
      <sheetName val="관개"/>
      <sheetName val="220 (2)"/>
      <sheetName val="노원열병합  건축공사기성내역서"/>
      <sheetName val="가로등내역서"/>
      <sheetName val="전장품(관리용)"/>
      <sheetName val="DATA 입력란"/>
      <sheetName val="안정검토"/>
      <sheetName val="단면설계"/>
      <sheetName val="Distance_Summary"/>
      <sheetName val="산출근거"/>
      <sheetName val="맨홀토공수량"/>
      <sheetName val="상수도토공집계표"/>
      <sheetName val="초기화면"/>
      <sheetName val="pile bearing capa &amp; arrenge"/>
      <sheetName val="design load"/>
      <sheetName val="working load at the btm ft."/>
      <sheetName val="stability check"/>
      <sheetName val="설명서 "/>
      <sheetName val="2.가정단면"/>
      <sheetName val="공작물조직표(용배수)"/>
      <sheetName val="TYPE-A"/>
      <sheetName val="설비"/>
      <sheetName val="삭제금지단가"/>
      <sheetName val="프랜트면허"/>
      <sheetName val="실행내역"/>
      <sheetName val="실행내역서 "/>
      <sheetName val="data2"/>
      <sheetName val="DDC-6~10"/>
      <sheetName val="단가대비표 (2)"/>
      <sheetName val="단가대비표1"/>
      <sheetName val="원가총괄"/>
      <sheetName val="케이블"/>
      <sheetName val="9.자재단가"/>
      <sheetName val="7.산출집계"/>
      <sheetName val="3.단가산출서"/>
      <sheetName val="4.일위산출"/>
      <sheetName val="2차총원가"/>
      <sheetName val="개방1"/>
      <sheetName val="총(철거)"/>
      <sheetName val="단면치수"/>
      <sheetName val="1_우편집중내역서"/>
      <sheetName val="토 적 표"/>
      <sheetName val="정읍농소"/>
      <sheetName val="일위(PN)"/>
      <sheetName val="기초data"/>
      <sheetName val="공구원가계산"/>
      <sheetName val="도장수량(하1)"/>
      <sheetName val="주형"/>
      <sheetName val="인구밀도산정"/>
      <sheetName val="Sheet4"/>
      <sheetName val="종합기별"/>
      <sheetName val="노무비명세서"/>
      <sheetName val="소요자재명세서"/>
      <sheetName val="원하대비"/>
      <sheetName val="원도급"/>
      <sheetName val="하도급"/>
      <sheetName val=""/>
      <sheetName val="도"/>
      <sheetName val="sw1"/>
      <sheetName val="지구단위계획"/>
      <sheetName val="토목내역"/>
      <sheetName val="DS기성최종"/>
      <sheetName val="DS설변내역서"/>
      <sheetName val="GEN"/>
      <sheetName val="간선DATA"/>
      <sheetName val="재료값"/>
      <sheetName val="IO 선정기준"/>
      <sheetName val="참조(X)"/>
      <sheetName val="과세내역(세부)"/>
      <sheetName val="일위(철거)"/>
      <sheetName val="기타 정보통신공사"/>
      <sheetName val="원가"/>
      <sheetName val="취수탑"/>
      <sheetName val="1PAGE (2)"/>
      <sheetName val="97년실적"/>
      <sheetName val="물가자료"/>
      <sheetName val="분류작업"/>
      <sheetName val="NEWDRAW"/>
      <sheetName val="품셈"/>
      <sheetName val="건축집계"/>
      <sheetName val="1.기타원가(BA)"/>
      <sheetName val="1.손익(CP)"/>
      <sheetName val="1.기타(CP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단가"/>
      <sheetName val="전기일위대가"/>
      <sheetName val="200"/>
      <sheetName val="공통자료"/>
      <sheetName val="Baby일위대가"/>
      <sheetName val="산출2-기기동력"/>
      <sheetName val="표지"/>
      <sheetName val="산출3-유도등"/>
      <sheetName val="산출2-동력"/>
      <sheetName val="산출2-피뢰침"/>
      <sheetName val="덤프"/>
      <sheetName val="금액내역서"/>
      <sheetName val="공사비예산서(토목분)"/>
      <sheetName val="40총괄"/>
      <sheetName val="40집계"/>
      <sheetName val="__"/>
      <sheetName val="당초"/>
      <sheetName val="일위대가(계측기설치)"/>
      <sheetName val="설직재-1"/>
      <sheetName val="단가 "/>
      <sheetName val="일위대가 (PM)"/>
      <sheetName val="노임"/>
      <sheetName val="노임단가"/>
      <sheetName val="수량이동"/>
      <sheetName val="여과지동"/>
      <sheetName val="기초자료"/>
      <sheetName val="관급자재집계표"/>
      <sheetName val="#REF"/>
      <sheetName val="가격조사서"/>
      <sheetName val="날개벽(시점좌측)"/>
      <sheetName val="S003031"/>
      <sheetName val="하수BOX이설"/>
      <sheetName val="입찰안"/>
      <sheetName val="BOX 본체"/>
      <sheetName val="배수유공블럭"/>
      <sheetName val="SG"/>
      <sheetName val="공사비집계"/>
      <sheetName val="내역서"/>
      <sheetName val="말뚝지지력산정"/>
      <sheetName val="ELECTRIC"/>
      <sheetName val="CTEMCOST"/>
      <sheetName val="SCHEDULE"/>
      <sheetName val="경영상태"/>
      <sheetName val="대림경상68억"/>
      <sheetName val="C-직노1"/>
      <sheetName val="결과조달"/>
      <sheetName val="DATE"/>
      <sheetName val="DANGA"/>
      <sheetName val="간선계산"/>
      <sheetName val="단면 (2)"/>
      <sheetName val="조명시설"/>
      <sheetName val="인건-측정"/>
      <sheetName val="할증"/>
      <sheetName val="Y-WORK"/>
      <sheetName val="모델링"/>
      <sheetName val="하중계산"/>
      <sheetName val="총괄내역서"/>
      <sheetName val="구조물철거타공정이월"/>
      <sheetName val="교각1"/>
      <sheetName val="BOQ(전체)"/>
      <sheetName val="COVER"/>
      <sheetName val="Sheet1 (2)"/>
      <sheetName val="data2"/>
      <sheetName val="양수장(기계)"/>
      <sheetName val="Sheet13"/>
      <sheetName val="Sheet14"/>
      <sheetName val="P-J"/>
      <sheetName val="수량산출서(전기계장)"/>
      <sheetName val="설치공사"/>
      <sheetName val="설계명세서"/>
      <sheetName val="일위대가목차"/>
      <sheetName val="EKOG10건축"/>
      <sheetName val="자료입력"/>
      <sheetName val="전기"/>
      <sheetName val="A-4"/>
      <sheetName val="지급자재"/>
      <sheetName val="수목표준대가"/>
      <sheetName val="내역"/>
      <sheetName val="Supplement2"/>
      <sheetName val="견적990322"/>
      <sheetName val="Macro(전선)"/>
      <sheetName val="제직재"/>
      <sheetName val="제-노임"/>
      <sheetName val="장비"/>
      <sheetName val="노무"/>
      <sheetName val="설계"/>
      <sheetName val="제경비율"/>
      <sheetName val="토공사"/>
      <sheetName val="골조시행"/>
      <sheetName val="기성내역서"/>
      <sheetName val="2F 회의실견적(5_14 일대)"/>
      <sheetName val="Sheet1"/>
      <sheetName val="방조제+선착장+배수갑문+부대공+1-2방조제"/>
      <sheetName val="hvac(제어동)"/>
      <sheetName val="집계표"/>
      <sheetName val="수량산출서 갑지"/>
      <sheetName val="설계내역서"/>
      <sheetName val="관로토공집계표"/>
      <sheetName val="공내역"/>
      <sheetName val="내역및총괄"/>
      <sheetName val="MAIN"/>
      <sheetName val="Sheet2"/>
      <sheetName val="BweData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총괄표"/>
      <sheetName val="산정표"/>
      <sheetName val="노무비 경비"/>
      <sheetName val="산재 안전"/>
      <sheetName val="노무비 근거"/>
      <sheetName val="원가(총괄-4단지)"/>
      <sheetName val="하부철근수량"/>
      <sheetName val="수량산출서"/>
      <sheetName val="연돌일위집계"/>
      <sheetName val="DATA"/>
      <sheetName val="물가대비표"/>
      <sheetName val="1호맨홀토공"/>
      <sheetName val="터파기및재료"/>
      <sheetName val="처리단락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예가표"/>
      <sheetName val="대운산출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FILE1"/>
      <sheetName val="40단가산출서"/>
      <sheetName val="1.수인터널"/>
      <sheetName val="단가산출서"/>
      <sheetName val="3.공통공사대비"/>
      <sheetName val="계산근거"/>
      <sheetName val="일집"/>
      <sheetName val="일위"/>
      <sheetName val="환경기계공정표 (3)"/>
      <sheetName val="1.2단락전류"/>
      <sheetName val="Sheet9"/>
      <sheetName val="Sheet10"/>
      <sheetName val="간선"/>
      <sheetName val="발전기"/>
      <sheetName val="GEN"/>
      <sheetName val="1.0표준품셈"/>
      <sheetName val="1.0계산품셈"/>
      <sheetName val="archi(본사)"/>
      <sheetName val="PAD TR보호대기초"/>
      <sheetName val="가로등기초"/>
      <sheetName val="HANDHOLE(2)"/>
      <sheetName val="EQ-R1"/>
      <sheetName val="원형맨홀수량"/>
      <sheetName val="woo(mac)"/>
      <sheetName val="단가대비표"/>
      <sheetName val="투찰금액"/>
      <sheetName val="개요"/>
      <sheetName val="중기일위대가"/>
      <sheetName val="VXXXXX"/>
      <sheetName val="입출재고현황 (2)"/>
      <sheetName val="TYPE A"/>
      <sheetName val="N賃率-職"/>
      <sheetName val="직재"/>
      <sheetName val="기계내역"/>
      <sheetName val="준검 내역서"/>
      <sheetName val="평가데이터"/>
      <sheetName val="직공비"/>
      <sheetName val="토공A"/>
      <sheetName val="견적"/>
      <sheetName val="을"/>
      <sheetName val="TEST1"/>
      <sheetName val="현장관리비 산출내역"/>
      <sheetName val="일반공사"/>
      <sheetName val="자재단가비교표"/>
      <sheetName val="조명율표"/>
      <sheetName val="목표세부명세"/>
      <sheetName val="철거산출근거"/>
      <sheetName val="6PILE  (돌출)"/>
      <sheetName val="저"/>
      <sheetName val="H-pile(298x299)"/>
      <sheetName val="H-pile(250x250)"/>
      <sheetName val="점수계산1-2"/>
      <sheetName val="ENE-CAL 1"/>
      <sheetName val="인건비"/>
      <sheetName val="plan&amp;section of foundation"/>
      <sheetName val="design criteria"/>
      <sheetName val="토목"/>
      <sheetName val="옵션"/>
      <sheetName val="합산자재"/>
      <sheetName val="일대목차"/>
      <sheetName val="노임근거"/>
      <sheetName val="노원열병합  건축공사기성내역서"/>
      <sheetName val="단위수량"/>
      <sheetName val="1.설계조건"/>
      <sheetName val="철근단면적"/>
      <sheetName val="옹벽"/>
      <sheetName val="기계경비(시간당)"/>
      <sheetName val="램머"/>
      <sheetName val="000000"/>
      <sheetName val="데이타"/>
      <sheetName val="실행분개"/>
      <sheetName val="Macro(차단기)"/>
      <sheetName val="D-경비1"/>
      <sheetName val="전기자료"/>
      <sheetName val="CAB_OD"/>
      <sheetName val="30신설일위대가"/>
      <sheetName val="30집계표"/>
      <sheetName val="집계"/>
      <sheetName val="기본일위"/>
      <sheetName val="내역서2안"/>
      <sheetName val="패널"/>
      <sheetName val="직노"/>
      <sheetName val="실행내역"/>
      <sheetName val="교각토공"/>
      <sheetName val="내역표지"/>
      <sheetName val="Sheet6"/>
      <sheetName val="E01-02(EV-1-LBS)"/>
      <sheetName val="SP-B1"/>
      <sheetName val="IW-LIST"/>
      <sheetName val="견적서"/>
      <sheetName val="배수공 주요자재 집계표"/>
      <sheetName val="공사내역"/>
      <sheetName val="COPING"/>
      <sheetName val="1.설계기준"/>
      <sheetName val="I.설계조건"/>
      <sheetName val="주형"/>
      <sheetName val="3.바닥판설계"/>
      <sheetName val="교대(A1-A2)"/>
      <sheetName val="노단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약품공급2"/>
      <sheetName val="1단계"/>
      <sheetName val="집계표(OPTION)"/>
      <sheetName val="SULKEA"/>
      <sheetName val="잔수량(작성)"/>
      <sheetName val="도급"/>
      <sheetName val="252K444"/>
      <sheetName val="노무비"/>
      <sheetName val="변경내역대비표(2)"/>
      <sheetName val="내역분개"/>
      <sheetName val="I一般比"/>
      <sheetName val="포장공"/>
      <sheetName val="단가산출"/>
      <sheetName val="아파트기별"/>
      <sheetName val="공리일"/>
      <sheetName val="MCC제원"/>
      <sheetName val="DATA98"/>
      <sheetName val="Recovered_Sheet22"/>
      <sheetName val="Recovered_Sheet21"/>
      <sheetName val="Recovered_Sheet37"/>
      <sheetName val="예산변경사항"/>
      <sheetName val="1062-X방향 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Sheet4"/>
      <sheetName val="CODE"/>
      <sheetName val="6호기"/>
      <sheetName val="외주현황9905"/>
      <sheetName val="별표"/>
      <sheetName val="자재조사표"/>
      <sheetName val="교통신호등"/>
      <sheetName val="대비"/>
      <sheetName val="수질정화시설"/>
      <sheetName val="교각계산"/>
      <sheetName val="BOX전기내역"/>
      <sheetName val="전체철근집계"/>
      <sheetName val="T13(P68~72,78)"/>
      <sheetName val="공예을"/>
      <sheetName val="국공유지및사유지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W-현원가"/>
      <sheetName val="자료"/>
      <sheetName val="DATE2001"/>
      <sheetName val="신우"/>
      <sheetName val="가도공"/>
      <sheetName val="공종별집계표"/>
      <sheetName val="공종별세부사항"/>
      <sheetName val="공종별내역서(견적용)"/>
      <sheetName val="금호"/>
      <sheetName val="Total"/>
      <sheetName val="laroux"/>
      <sheetName val="반포-봉암"/>
      <sheetName val="조건표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MOTOR"/>
      <sheetName val="일위대가표"/>
      <sheetName val="유림골조"/>
      <sheetName val="공통부대비"/>
      <sheetName val="4.전기"/>
      <sheetName val="공사비총괄표"/>
      <sheetName val="asd"/>
      <sheetName val="01"/>
      <sheetName val="공사비증감"/>
      <sheetName val="토공계산서(부체도로)"/>
      <sheetName val="●내역"/>
      <sheetName val="건축단가"/>
      <sheetName val="D-3109"/>
      <sheetName val="부하(성남)"/>
      <sheetName val="장기차입금"/>
      <sheetName val="산출내역서집계표"/>
      <sheetName val="내역서 "/>
      <sheetName val="연결임시"/>
      <sheetName val="1995년 섹터별 매출"/>
      <sheetName val="Curves"/>
      <sheetName val="Tables"/>
      <sheetName val="DATA2000"/>
      <sheetName val="전계가"/>
      <sheetName val="설산1.나"/>
      <sheetName val="본사S"/>
      <sheetName val="부속동"/>
      <sheetName val="J01"/>
      <sheetName val="IMPEADENCE MAP 취수장"/>
      <sheetName val="분전반"/>
      <sheetName val="원가계산서"/>
      <sheetName val="BOX_본체"/>
      <sheetName val="공량산출서"/>
      <sheetName val="BID"/>
      <sheetName val="sw1"/>
      <sheetName val="횡배수관토공수량"/>
      <sheetName val="2006기계경비산출표"/>
      <sheetName val="기초공"/>
      <sheetName val="기둥(원형)"/>
      <sheetName val="MEXICO-C"/>
      <sheetName val="ABUT수량-A1"/>
      <sheetName val="식생블럭단위수량"/>
      <sheetName val="DB"/>
      <sheetName val="배관단가조사서"/>
      <sheetName val="하천제원"/>
      <sheetName val="EP0618"/>
      <sheetName val="TYPE-A"/>
      <sheetName val="H-PILE 박기"/>
      <sheetName val="갑지(추정)"/>
      <sheetName val="일위(설)"/>
      <sheetName val="esc"/>
      <sheetName val="사전공사"/>
      <sheetName val="Pier 3"/>
      <sheetName val="INPUT"/>
      <sheetName val="화전내"/>
      <sheetName val="c_balju"/>
      <sheetName val="1.우편집중내역서"/>
      <sheetName val="WORK"/>
      <sheetName val="Sheet15"/>
      <sheetName val="문학간접"/>
      <sheetName val="단가산출2"/>
      <sheetName val="전체"/>
      <sheetName val="자재"/>
      <sheetName val="산근1"/>
      <sheetName val="내역서(당초변경)"/>
      <sheetName val="소야공정계획표"/>
      <sheetName val="수로단위수량"/>
      <sheetName val="9"/>
      <sheetName val="마감사양"/>
      <sheetName val="전력구구조물산근"/>
      <sheetName val="맨홀수량"/>
      <sheetName val="COST"/>
      <sheetName val="1st"/>
      <sheetName val="원가계산서_"/>
      <sheetName val="주방환기"/>
      <sheetName val="AP1"/>
      <sheetName val="교량전기"/>
      <sheetName val="고창방향"/>
      <sheetName val="계화총괄"/>
      <sheetName val="계화배수(3대)"/>
      <sheetName val="산근"/>
      <sheetName val="4-3 보온 기본물량집계"/>
      <sheetName val="단면가정"/>
      <sheetName val="대전21토목내역서"/>
      <sheetName val="공사원가"/>
      <sheetName val="기본"/>
      <sheetName val="REINF."/>
      <sheetName val="_REF"/>
      <sheetName val="노임조정"/>
      <sheetName val="품셈TABLE"/>
      <sheetName val="직재산"/>
      <sheetName val="YES-T"/>
      <sheetName val="관일"/>
      <sheetName val="J형측구단위수량"/>
      <sheetName val="APT"/>
      <sheetName val="일위대가 (PMIS)"/>
      <sheetName val="3지구단위"/>
      <sheetName val="원가계산서구조조정"/>
      <sheetName val="96까지"/>
      <sheetName val="97년"/>
      <sheetName val="98이후"/>
      <sheetName val="결재란"/>
      <sheetName val="SLAB&quot;1&quot;"/>
      <sheetName val="양수장내역"/>
      <sheetName val="BOX_본체1"/>
      <sheetName val="단면_(2)"/>
      <sheetName val="단가_"/>
      <sheetName val="일위대가_(PM)"/>
      <sheetName val="Sheet1_(2)"/>
      <sheetName val="노무비_경비"/>
      <sheetName val="산재_안전"/>
      <sheetName val="표지_(2)"/>
      <sheetName val="표지_(3)"/>
      <sheetName val="표지_(4)"/>
      <sheetName val="표지_(5)"/>
      <sheetName val="PAD_TR보호대기초"/>
      <sheetName val="3_공통공사대비"/>
      <sheetName val="환경기계공정표_(3)"/>
      <sheetName val="1_수인터널"/>
      <sheetName val="6PILE__(돌출)"/>
      <sheetName val="2F_회의실견적(5_14_일대)"/>
      <sheetName val="수량산출서_갑지"/>
      <sheetName val="노무비_근거"/>
      <sheetName val="1_0표준품셈"/>
      <sheetName val="1_0계산품셈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ENE-CAL_1"/>
      <sheetName val="plan&amp;section_of_foundation"/>
      <sheetName val="design_criteria"/>
      <sheetName val="준검_내역서"/>
      <sheetName val="IMPEADENCE_MAP_취수장"/>
      <sheetName val="현장관리비_산출내역"/>
      <sheetName val="1_설계조건"/>
      <sheetName val="1062-X방향_"/>
      <sheetName val="2_단면가정"/>
      <sheetName val="input_(2)"/>
      <sheetName val="기초계산_(2)"/>
      <sheetName val="노원열병합__건축공사기성내역서"/>
      <sheetName val="방배동내역_(총괄)"/>
      <sheetName val="배수공_주요자재_집계표"/>
      <sheetName val="1공구_건정토건_토공"/>
      <sheetName val="sum1_(2)"/>
      <sheetName val="4_전기"/>
      <sheetName val="입출재고현황_(2)"/>
      <sheetName val="TYPE_A"/>
      <sheetName val="내역서_"/>
      <sheetName val="1995년_섹터별_매출"/>
      <sheetName val="설산1_나"/>
      <sheetName val="취수탑"/>
      <sheetName val="1 자원총괄"/>
      <sheetName val="3.하중산정4.지지력"/>
      <sheetName val="설계명세서(선로)"/>
      <sheetName val="단가 및 재료비"/>
      <sheetName val="정부노임단가"/>
      <sheetName val="공사원가계산서"/>
      <sheetName val="시멘트"/>
      <sheetName val="B"/>
      <sheetName val="E01_02_EV_1_LBS_"/>
      <sheetName val="FORM-0"/>
      <sheetName val="프랜트면허"/>
      <sheetName val="토목주소"/>
      <sheetName val="EQUIPMENT -2"/>
      <sheetName val="중기비"/>
      <sheetName val="부하계산서"/>
      <sheetName val="퇴비산출근거"/>
      <sheetName val="예정(3)"/>
      <sheetName val="동원(3)"/>
      <sheetName val="2002상반기노임기준"/>
      <sheetName val="의뢰서"/>
      <sheetName val="변경공종별내역서"/>
      <sheetName val="DATA1"/>
      <sheetName val="단면치수"/>
      <sheetName val="J直材4"/>
      <sheetName val="공종별내역서"/>
      <sheetName val="단락전류-A"/>
      <sheetName val="VS P-Q"/>
      <sheetName val="각형맨홀"/>
      <sheetName val="CCTV내역서"/>
      <sheetName val="설계개요"/>
      <sheetName val="금융비용"/>
      <sheetName val="간접비"/>
      <sheetName val="사급자재"/>
      <sheetName val="guard(mac)"/>
      <sheetName val="경산"/>
      <sheetName val="총괄"/>
      <sheetName val="적용기준"/>
      <sheetName val="단가산근"/>
      <sheetName val="적용단가"/>
      <sheetName val="주경기-오배수"/>
      <sheetName val="수입"/>
      <sheetName val=" 상부공통집계(총괄)"/>
      <sheetName val="설계내역"/>
      <sheetName val="토공정보"/>
      <sheetName val="관급자재"/>
      <sheetName val="이전비"/>
      <sheetName val="품"/>
      <sheetName val="설계예산서"/>
      <sheetName val="XZLC004_PART2"/>
      <sheetName val="chitimc"/>
      <sheetName val="산출및내역"/>
      <sheetName val="수량산출"/>
      <sheetName val="인건비 "/>
      <sheetName val="03.내 역 서"/>
      <sheetName val="02.집 계 표"/>
      <sheetName val="04.일위대가목록표"/>
      <sheetName val="총괄원가계산서"/>
      <sheetName val="총괄원가계산서 (업체제공)"/>
      <sheetName val="합천내역"/>
      <sheetName val="U-TYPE(1)"/>
      <sheetName val="MATRLDATA"/>
      <sheetName val="기초단가"/>
      <sheetName val="LD"/>
      <sheetName val="약전닥트"/>
      <sheetName val="건축부하"/>
      <sheetName val="일지-H"/>
      <sheetName val="FA설치명세"/>
      <sheetName val="김포IO"/>
      <sheetName val="결재갑지"/>
      <sheetName val="일위대가(건축)"/>
      <sheetName val="손익분석"/>
      <sheetName val="플랜트 설치"/>
      <sheetName val="부대공Ⅱ"/>
      <sheetName val="견적대비표"/>
      <sheetName val="금융"/>
      <sheetName val="DIRECT WORK"/>
      <sheetName val="출자한도"/>
      <sheetName val="본사공가현황"/>
      <sheetName val="홍보비디오"/>
      <sheetName val="단"/>
      <sheetName val="1공구산출"/>
      <sheetName val="일위대가(공원,광장)"/>
      <sheetName val="공원.광장집계"/>
      <sheetName val="일위대가(가로등1공구)"/>
      <sheetName val="1공구집계"/>
      <sheetName val="일위대가(가로등지구외공구)"/>
      <sheetName val="지구외집계"/>
      <sheetName val="일위대가산출근거-1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설계설명"/>
      <sheetName val="예정공정"/>
      <sheetName val="동원"/>
      <sheetName val="총(관로+케이블)"/>
      <sheetName val="총공사"/>
      <sheetName val="준공내역서(총괄)"/>
      <sheetName val="준공내역서"/>
      <sheetName val="지입자재"/>
      <sheetName val="일위대가 (2)"/>
      <sheetName val="자재근거"/>
      <sheetName val="일위대가산출근거"/>
      <sheetName val="공구손료"/>
      <sheetName val="소요노력"/>
      <sheetName val="MdlSul"/>
      <sheetName val="공정코드"/>
      <sheetName val="9.2단가산출서"/>
      <sheetName val="손료"/>
      <sheetName val="부대"/>
      <sheetName val="일위CODE"/>
      <sheetName val="재료-CODE"/>
      <sheetName val="하조서"/>
      <sheetName val="토목단가"/>
      <sheetName val="물가"/>
      <sheetName val="ilch"/>
      <sheetName val="제경비(3차분)"/>
      <sheetName val="귀래 설계 공내역서"/>
      <sheetName val="하수급견적대비"/>
      <sheetName val="연장산출서"/>
      <sheetName val="관기초단위수량( type A)"/>
      <sheetName val="관기초단위수량( type B)"/>
      <sheetName val="관기초단위수량(type C)"/>
      <sheetName val="관기초단위수량(type D"/>
      <sheetName val="관기초단위수량(type E)"/>
      <sheetName val="원형1호맨홀토공수량"/>
      <sheetName val="산업"/>
      <sheetName val="b_balju"/>
      <sheetName val="순공사비산출서"/>
      <sheetName val="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갑지"/>
      <sheetName val="데이타"/>
      <sheetName val="조명일위"/>
      <sheetName val="13LPMCC"/>
      <sheetName val="단위단가"/>
      <sheetName val="2000년1차"/>
      <sheetName val="분전반"/>
      <sheetName val="2000전체분"/>
      <sheetName val="공사비증감"/>
      <sheetName val="BID"/>
      <sheetName val="99총공사내역서"/>
      <sheetName val="간접1"/>
      <sheetName val="sheet1"/>
      <sheetName val="약품공급2"/>
      <sheetName val="조경일람"/>
      <sheetName val="계산서4"/>
      <sheetName val="설계조건"/>
      <sheetName val="Macro(차단기)"/>
      <sheetName val="문학간접"/>
      <sheetName val="내역"/>
      <sheetName val="#REF"/>
      <sheetName val="표  지"/>
      <sheetName val="N賃率_職"/>
      <sheetName val="일위대가"/>
      <sheetName val="1,2공구원가계산서"/>
      <sheetName val="1공구산출내역서"/>
      <sheetName val="설계서"/>
      <sheetName val="검암내역"/>
      <sheetName val="앉음벽 (2)"/>
      <sheetName val="전체"/>
      <sheetName val="내역서(전기)"/>
      <sheetName val="주안3차A-A"/>
      <sheetName val="DB"/>
      <sheetName val="견적조건"/>
      <sheetName val="내역서"/>
      <sheetName val="단가일람"/>
      <sheetName val="접지수량"/>
      <sheetName val="산출근거"/>
      <sheetName val="DATE"/>
      <sheetName val="기성내역"/>
      <sheetName val="수목표준대가"/>
      <sheetName val="산근"/>
      <sheetName val="원가계산서"/>
      <sheetName val="N賃率-職"/>
      <sheetName val="교통대책내역"/>
      <sheetName val="2.1  노무비 평균단가산출"/>
      <sheetName val="건축2"/>
      <sheetName val="자재일람"/>
      <sheetName val="공사비총괄"/>
      <sheetName val="22전열"/>
      <sheetName val="조도계산"/>
      <sheetName val="준공정산"/>
      <sheetName val="자재단가비교표"/>
      <sheetName val="총괄표"/>
      <sheetName val="전선(총)"/>
      <sheetName val="실행내역"/>
      <sheetName val="교량"/>
      <sheetName val="노임"/>
      <sheetName val="중기"/>
      <sheetName val="전기일위대가"/>
      <sheetName val="ELEC"/>
      <sheetName val="설계예산서"/>
      <sheetName val="예산내역서"/>
      <sheetName val="49단가"/>
      <sheetName val="총괄내역서"/>
      <sheetName val="b_balju"/>
      <sheetName val="전체제잡비"/>
      <sheetName val="건축내역"/>
      <sheetName val="신호등일위대가"/>
      <sheetName val="G.R300경비"/>
      <sheetName val="수량(금호)"/>
      <sheetName val="품셈TABLE"/>
      <sheetName val="준검 내역서"/>
      <sheetName val="교각1"/>
      <sheetName val="도담구내 개소별 명세"/>
      <sheetName val="자재단가"/>
      <sheetName val="전기2005"/>
      <sheetName val="EBSDATA"/>
      <sheetName val="제조노임"/>
      <sheetName val="당진1,2호기전선관설치및접지4차공사내역서-을지"/>
      <sheetName val="노임단가"/>
      <sheetName val="일위목록"/>
      <sheetName val="요율"/>
      <sheetName val="상-교대(A1-A2)"/>
      <sheetName val="기준정보"/>
      <sheetName val="자재단가표"/>
      <sheetName val="단가조사-2"/>
      <sheetName val="인부노임"/>
      <sheetName val="실행철강하도"/>
      <sheetName val="현장설명"/>
      <sheetName val="식재가격"/>
      <sheetName val="식재총괄"/>
      <sheetName val="기본단가표"/>
      <sheetName val="내   역"/>
      <sheetName val="Total"/>
      <sheetName val="옥내소화전계산서"/>
      <sheetName val="4.전기"/>
      <sheetName val="단가표"/>
      <sheetName val="잡철물"/>
      <sheetName val="Data &amp; Result"/>
      <sheetName val="조경"/>
      <sheetName val="자산TOTAL"/>
      <sheetName val="전기"/>
      <sheetName val="코드표"/>
      <sheetName val="과업별 상세(계산 1)"/>
      <sheetName val="실행대비"/>
      <sheetName val="LD"/>
      <sheetName val="봉양~조차장간고하개명(신설)"/>
      <sheetName val="C1ㅇ"/>
      <sheetName val="401"/>
      <sheetName val="교각계산"/>
      <sheetName val="RE9604"/>
      <sheetName val="예산명세서"/>
      <sheetName val="설계명세서"/>
      <sheetName val="자료입력"/>
      <sheetName val="9GNG운반"/>
      <sheetName val="단가조사"/>
      <sheetName val="토목주소"/>
      <sheetName val="전체항목"/>
      <sheetName val="적용토목"/>
      <sheetName val="실행기초"/>
      <sheetName val="전기일위목록"/>
      <sheetName val="현장관리비참조"/>
      <sheetName val="결재갑지"/>
      <sheetName val="원가총괄"/>
      <sheetName val="원가계산서구조조정"/>
      <sheetName val="101동"/>
      <sheetName val="수량산출서"/>
      <sheetName val="시운전연료"/>
      <sheetName val="96노임기준"/>
      <sheetName val="냉천부속동"/>
      <sheetName val="집계표"/>
      <sheetName val="제경비"/>
      <sheetName val="일위대가목록"/>
      <sheetName val="PAY2002"/>
      <sheetName val="JUCKEYK"/>
      <sheetName val="점검총괄"/>
      <sheetName val="2공구산출내역"/>
      <sheetName val="전체_1설계"/>
      <sheetName val="천방교접속"/>
      <sheetName val="대포2교접속"/>
      <sheetName val="비탈면보호공수량산출"/>
      <sheetName val="노무비"/>
      <sheetName val="산수배수"/>
      <sheetName val="손익분석"/>
      <sheetName val="전사 (2)"/>
      <sheetName val="BA (2)"/>
      <sheetName val="CP (2)"/>
      <sheetName val="A갑지"/>
      <sheetName val="경산"/>
      <sheetName val="물량산출근거-지상층"/>
      <sheetName val="잔수량(작성)"/>
      <sheetName val="터파기및재료"/>
      <sheetName val="관로내역원"/>
      <sheetName val="COST"/>
      <sheetName val="플랜트 설치"/>
      <sheetName val="산출기준"/>
      <sheetName val="자동제어"/>
      <sheetName val="프랜트면허"/>
      <sheetName val="조명시설"/>
      <sheetName val="인원계획"/>
      <sheetName val="직공비"/>
      <sheetName val="도급"/>
      <sheetName val="Sheet1 (2)"/>
      <sheetName val="제작기술지원센터"/>
      <sheetName val="분전반계산서(석관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7단가"/>
      <sheetName val="진주방향"/>
      <sheetName val="마산방향"/>
      <sheetName val="마산방향철근집계"/>
      <sheetName val="단가비교표"/>
      <sheetName val="1안"/>
      <sheetName val="동해title"/>
      <sheetName val="토목"/>
      <sheetName val="자재테이블"/>
      <sheetName val="을"/>
      <sheetName val="구조물수량집계표"/>
      <sheetName val="재료비노무비"/>
      <sheetName val="TEL"/>
      <sheetName val="기흥하도용"/>
      <sheetName val="관리,공감"/>
      <sheetName val="직접경비호표"/>
      <sheetName val="NEYOK"/>
      <sheetName val="재료값"/>
      <sheetName val="DATA1"/>
      <sheetName val="퍼스트"/>
      <sheetName val="관급자재"/>
      <sheetName val="Macro(전선)"/>
      <sheetName val="단가산출"/>
      <sheetName val="단가비교"/>
      <sheetName val="S0"/>
      <sheetName val="전기설계변경"/>
      <sheetName val="단가대비표"/>
      <sheetName val="관리비비계상"/>
      <sheetName val="제안서"/>
      <sheetName val="행정표준(1)"/>
      <sheetName val="행정표준(2)"/>
      <sheetName val="평면선형"/>
      <sheetName val="#2_일위대가목록"/>
      <sheetName val="일위대가표"/>
      <sheetName val="금융비용"/>
      <sheetName val="개소별수량산출"/>
      <sheetName val="자금입금"/>
      <sheetName val="제잡비"/>
      <sheetName val="1.취수장"/>
      <sheetName val="Sheet15"/>
      <sheetName val="하남내역"/>
      <sheetName val="우수관매설및 우수받이"/>
      <sheetName val="1차 내역서"/>
      <sheetName val="대비"/>
      <sheetName val="1단계"/>
      <sheetName val="내역기준"/>
      <sheetName val="환율change"/>
      <sheetName val="회로내역(승인)"/>
      <sheetName val="Baby일위대가"/>
      <sheetName val="적점"/>
      <sheetName val="재료"/>
      <sheetName val="남양주부대"/>
      <sheetName val="9811"/>
      <sheetName val="현장조사"/>
      <sheetName val="노무비 근거"/>
      <sheetName val="4)유동표"/>
      <sheetName val="b_balju_cho"/>
      <sheetName val="계수시트"/>
      <sheetName val="일위대가목차"/>
      <sheetName val="1.설계조건"/>
      <sheetName val="시중노임단가"/>
      <sheetName val="8.2TON"/>
      <sheetName val="__MAIN"/>
      <sheetName val="점유현황"/>
      <sheetName val="암거단위-1련"/>
      <sheetName val="현장경비"/>
      <sheetName val="토목내역서"/>
      <sheetName val="전신"/>
      <sheetName val="건축공사"/>
      <sheetName val="간이설계(4-15)"/>
      <sheetName val="명일작업계획 (3)"/>
      <sheetName val="공사비예산서"/>
      <sheetName val="인사자료총집계"/>
      <sheetName val="CALCULATION"/>
      <sheetName val="수량명세서"/>
      <sheetName val="98지급계획"/>
      <sheetName val="실행(표지,갑,을)"/>
      <sheetName val="단가조사-1"/>
      <sheetName val="시중노임(공사)"/>
      <sheetName val="환경기계공정표 (3)"/>
      <sheetName val="SILICATE"/>
      <sheetName val="현장관리비"/>
      <sheetName val="인건-측정"/>
      <sheetName val="횡배수관"/>
      <sheetName val="EQ-R1"/>
      <sheetName val="INPUT"/>
      <sheetName val="주택(백만원)"/>
      <sheetName val="주택"/>
      <sheetName val="양식_자재단가조사표"/>
      <sheetName val="자재co"/>
      <sheetName val="2000노임기준"/>
      <sheetName val="입찰안"/>
      <sheetName val="설계서(본관)"/>
      <sheetName val="장비 (2)"/>
      <sheetName val="갑지(추정)"/>
      <sheetName val="철거산출근거"/>
      <sheetName val="일위산출근거"/>
      <sheetName val="Macro1"/>
      <sheetName val="견"/>
      <sheetName val="Resource2"/>
      <sheetName val="F-Assump"/>
      <sheetName val="견적내역"/>
      <sheetName val="Macro2"/>
      <sheetName val="일위CODE"/>
      <sheetName val="설계"/>
      <sheetName val="효성CB 1P기초"/>
      <sheetName val="금액내역서"/>
      <sheetName val="단가"/>
      <sheetName val="물가대비표"/>
      <sheetName val="단가대비"/>
      <sheetName val="전철"/>
      <sheetName val="Cable임피던스"/>
      <sheetName val="노무비 "/>
      <sheetName val="입력"/>
      <sheetName val="&lt;--"/>
      <sheetName val="sub"/>
      <sheetName val="수량산출서 (2)"/>
      <sheetName val="터널조도"/>
      <sheetName val="공정증감대ㅈ표"/>
      <sheetName val="단조-노임"/>
      <sheetName val="암거 제원표"/>
      <sheetName val="수량산출"/>
      <sheetName val="기초입력 DATA"/>
      <sheetName val="과천MAIN"/>
      <sheetName val="예산조서(전송)"/>
      <sheetName val="공사착공계"/>
      <sheetName val="Sheet13"/>
      <sheetName val="내역산출자료"/>
      <sheetName val="확약서"/>
      <sheetName val="급,배기팬"/>
      <sheetName val="부대내역"/>
      <sheetName val="통신물량"/>
      <sheetName val="통신대가"/>
      <sheetName val="공사비총괄표"/>
      <sheetName val="일반공사"/>
      <sheetName val="노임단가(08.01)"/>
      <sheetName val="제수변 수량집계표(보통)"/>
      <sheetName val="내역(가지)"/>
      <sheetName val="설계예시"/>
      <sheetName val="체감식_"/>
      <sheetName val="건설성적"/>
      <sheetName val="편입토지조서"/>
      <sheetName val="6PILE  (돌출)"/>
      <sheetName val="내역서을"/>
      <sheetName val="공통가설"/>
      <sheetName val="실행내역서 "/>
      <sheetName val="현관"/>
      <sheetName val="기기리스트"/>
      <sheetName val="인부신상자료"/>
      <sheetName val="자재(원원+원대)"/>
      <sheetName val="3.판관비명세서"/>
      <sheetName val="D"/>
      <sheetName val="자금수지"/>
      <sheetName val="사업성"/>
      <sheetName val="6월실적"/>
      <sheetName val="원가"/>
      <sheetName val="산출내역서"/>
      <sheetName val="코드"/>
      <sheetName val="Sheet16"/>
      <sheetName val="BH-1 (2)"/>
      <sheetName val="여과지동"/>
      <sheetName val="기초자료"/>
      <sheetName val="공사개요"/>
      <sheetName val="일반수량총괄"/>
      <sheetName val="인원"/>
      <sheetName val="총괄집계표"/>
      <sheetName val="단가조사서"/>
      <sheetName val="AS접수관리"/>
      <sheetName val="옹벽"/>
      <sheetName val="산식3"/>
      <sheetName val="#2 노임단가"/>
      <sheetName val="수우미양가(Vlookup)"/>
      <sheetName val="품셈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산출"/>
      <sheetName val="설비2차"/>
      <sheetName val="BQ(실행)"/>
      <sheetName val="MOTOR"/>
      <sheetName val="ABUT수량-A1"/>
      <sheetName val="기계실냉난방"/>
      <sheetName val="EQT-ESTN"/>
      <sheetName val="설계서(7)"/>
      <sheetName val="예산서(6)"/>
      <sheetName val="우각부보강"/>
      <sheetName val="재무조건"/>
      <sheetName val="실행(1)"/>
      <sheetName val="표__지"/>
      <sheetName val="2_1__노무비_평균단가산출"/>
      <sheetName val="준검_내역서"/>
      <sheetName val="G_R300경비"/>
      <sheetName val="판"/>
      <sheetName val="2001년 건설노임"/>
      <sheetName val="자재"/>
      <sheetName val="배선DATA"/>
      <sheetName val="일위산출"/>
      <sheetName val="지중자재단가"/>
      <sheetName val="MANUFACTORY"/>
      <sheetName val="기초자료입력"/>
      <sheetName val="기계경비(시간당)"/>
      <sheetName val="eq_data"/>
      <sheetName val="차액보증"/>
      <sheetName val="95WBS"/>
      <sheetName val="일위-1"/>
      <sheetName val="집1"/>
      <sheetName val="wall"/>
      <sheetName val="13.노임단가"/>
      <sheetName val="예산M12A"/>
      <sheetName val="단가 "/>
      <sheetName val="단가조사_2"/>
      <sheetName val="단중표"/>
      <sheetName val="토목내역"/>
      <sheetName val="도근좌표"/>
      <sheetName val="내역(원안-대안)"/>
      <sheetName val="5.동별횡주관경"/>
      <sheetName val="부대대비"/>
      <sheetName val="냉연집계"/>
      <sheetName val="경상직원"/>
      <sheetName val="정부노임단가"/>
      <sheetName val="분뇨"/>
      <sheetName val="단가 및 재료비"/>
      <sheetName val="가격조사서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대"/>
      <sheetName val="자재"/>
      <sheetName val="CON'C "/>
      <sheetName val="2-1. 경관조명 내역총괄표"/>
      <sheetName val="2-2. 경관조명 내역서"/>
      <sheetName val="3-1. 방송,CCTV 내역총괄표"/>
      <sheetName val="3-2. 방송,CCTV 내역서"/>
      <sheetName val="단가조사서"/>
      <sheetName val="한전수탁비"/>
      <sheetName val="사용전 검사"/>
      <sheetName val="일위대가 집계표"/>
      <sheetName val="일위대가표"/>
      <sheetName val="1. 가로등 집계"/>
      <sheetName val="2. 임시가로등 집계"/>
      <sheetName val="3.동력부하 집계"/>
      <sheetName val="4. 변경 경관조명 집계"/>
      <sheetName val="5. 방송 및 CCTV 설비 집계"/>
      <sheetName val="기초"/>
      <sheetName val="맨홀"/>
      <sheetName val="단가산출-1"/>
      <sheetName val="단가산출-2"/>
      <sheetName val="가로등건주"/>
      <sheetName val="WORK"/>
      <sheetName val="전기일위대가"/>
      <sheetName val="2"/>
      <sheetName val="하조서"/>
      <sheetName val="일대-1"/>
      <sheetName val="전체원가계산"/>
      <sheetName val="전체집계표"/>
      <sheetName val="원가계산-국고"/>
      <sheetName val="3"/>
      <sheetName val="단가"/>
      <sheetName val="갈현동"/>
      <sheetName val="49일위"/>
      <sheetName val="설계변경(수정전)"/>
      <sheetName val="가로등기초"/>
      <sheetName val="직노"/>
      <sheetName val="진주방향"/>
      <sheetName val="Y-WORK"/>
      <sheetName val="하중계산"/>
      <sheetName val="자재공급"/>
      <sheetName val="Sheet1"/>
      <sheetName val="조도계산"/>
      <sheetName val="내역"/>
      <sheetName val="전기단가조사서"/>
      <sheetName val="개요"/>
      <sheetName val="일위대가"/>
      <sheetName val="물량표S"/>
      <sheetName val="물량표"/>
      <sheetName val="예산내역서"/>
      <sheetName val="설계예산서"/>
      <sheetName val="TABLE"/>
      <sheetName val="조명율표"/>
      <sheetName val="준검 내역서"/>
      <sheetName val="공정코드"/>
      <sheetName val="3련 BOX"/>
      <sheetName val="부하(성남)"/>
      <sheetName val="데이타"/>
      <sheetName val="DATA"/>
      <sheetName val="DATA1"/>
      <sheetName val="IMP(MAIN)"/>
      <sheetName val="IMP (REACTOR)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JUCK"/>
      <sheetName val="UNIT-QT"/>
      <sheetName val="ITEM"/>
      <sheetName val="MOTOR"/>
      <sheetName val="합의경상"/>
      <sheetName val="MEXICO-C"/>
      <sheetName val="FOOTING단면력"/>
      <sheetName val="BID"/>
      <sheetName val="명세서"/>
      <sheetName val="1.설계조건"/>
      <sheetName val="송장"/>
      <sheetName val="노임단가"/>
      <sheetName val="정부노임단가"/>
      <sheetName val="장비내역서"/>
      <sheetName val="부대내역"/>
      <sheetName val="COPING"/>
      <sheetName val="부하계산서"/>
      <sheetName val="봉양~조차장간고하개명(신설)"/>
      <sheetName val="Macro(AT)"/>
      <sheetName val="cost"/>
      <sheetName val="2공구수량"/>
      <sheetName val="DATA"/>
      <sheetName val="Macro2"/>
      <sheetName val="공통(20-91)"/>
      <sheetName val="내역서"/>
      <sheetName val="부하LOAD"/>
      <sheetName val="전차선로 물량표"/>
      <sheetName val="#REF"/>
      <sheetName val="동력부하(도산)"/>
      <sheetName val="WORK"/>
      <sheetName val="Total"/>
      <sheetName val="CONCRETE"/>
      <sheetName val="ilch"/>
      <sheetName val="노원열병합  건축공사기성내역서"/>
      <sheetName val="일반공사"/>
      <sheetName val="INPUT"/>
      <sheetName val="청구내역(9807)"/>
      <sheetName val="업체별기성내역"/>
      <sheetName val="플랜트 설치"/>
      <sheetName val="바닥판"/>
      <sheetName val="CA지입"/>
      <sheetName val="Sheet2"/>
      <sheetName val="간접비"/>
      <sheetName val="001"/>
      <sheetName val="ⴭⴭⴭⴭ"/>
      <sheetName val="부하(반월)"/>
      <sheetName val="데이타"/>
      <sheetName val="7.1유효폭"/>
      <sheetName val="견적서"/>
      <sheetName val="가설건물"/>
      <sheetName val="유동표(변경)"/>
      <sheetName val="Sheet3"/>
      <sheetName val="부하(성남)"/>
      <sheetName val="수질정화시설"/>
      <sheetName val="MACRO(MCC)"/>
      <sheetName val="수량산출"/>
      <sheetName val="인건-측정"/>
      <sheetName val="설계조건"/>
      <sheetName val="날개벽(TYPE3)"/>
      <sheetName val="수량산출서"/>
      <sheetName val="비교표"/>
      <sheetName val="배수공 주요자재 집계표"/>
      <sheetName val="변경실행(2차) "/>
      <sheetName val="내역"/>
      <sheetName val="터널조도"/>
      <sheetName val="전기"/>
      <sheetName val="개요"/>
      <sheetName val="Cost bd-&quot;A&quot;"/>
      <sheetName val="목차"/>
      <sheetName val="자재단가"/>
      <sheetName val="공용시설내역"/>
      <sheetName val="외천교"/>
      <sheetName val="3련 BOX"/>
      <sheetName val="CHITIET VL-NC-TT -1p"/>
      <sheetName val="TDTKP1"/>
      <sheetName val="경비2내역"/>
      <sheetName val="전력구구조물산근"/>
      <sheetName val="노무비"/>
      <sheetName val="토공A"/>
      <sheetName val="도담구내 개소별 명세"/>
      <sheetName val="LOPCALC"/>
      <sheetName val="단가산출집계"/>
      <sheetName val="포장공"/>
      <sheetName val="LOAD-AY"/>
      <sheetName val="입고장부 (4)"/>
      <sheetName val="조명율데이타"/>
      <sheetName val="EJ"/>
      <sheetName val="W-현원가"/>
      <sheetName val="DATE"/>
      <sheetName val="FEXS"/>
      <sheetName val="품의서"/>
      <sheetName val="노임"/>
      <sheetName val="일위대가"/>
      <sheetName val="TRE TABLE"/>
      <sheetName val="대구실행"/>
      <sheetName val="현장지지물물량"/>
      <sheetName val="기계경비일람"/>
      <sheetName val="L-type"/>
      <sheetName val="Macro(차단기)"/>
      <sheetName val="자재수량"/>
      <sheetName val="3BL공동구 수량"/>
      <sheetName val="Y-WORK"/>
      <sheetName val="Sheet4"/>
      <sheetName val="4)유동표"/>
      <sheetName val="I.설계조건"/>
      <sheetName val="전력구구조물산근2구간"/>
      <sheetName val="일위대가목록"/>
      <sheetName val="Macro1"/>
      <sheetName val="Sheet17"/>
      <sheetName val="프랜트면허"/>
      <sheetName val="유동표"/>
      <sheetName val="중기일위대가"/>
      <sheetName val="쌍송교"/>
      <sheetName val="wall"/>
      <sheetName val="토목내역"/>
      <sheetName val="소운반"/>
      <sheetName val="XL4Poppy"/>
      <sheetName val="토목주소"/>
      <sheetName val="BSD (2)"/>
      <sheetName val="날개벽(시점좌측)"/>
      <sheetName val="현장관리비내역서"/>
      <sheetName val="Languages"/>
      <sheetName val="조도계산서 (도서)"/>
      <sheetName val="MBR9"/>
      <sheetName val="을"/>
      <sheetName val="bearing"/>
      <sheetName val="1공구(을)"/>
      <sheetName val="기계실"/>
      <sheetName val="조명율표"/>
      <sheetName val="차액보증"/>
      <sheetName val="일위대가목차"/>
      <sheetName val="부하(도서)"/>
      <sheetName val="E.P.T수량산출서"/>
      <sheetName val="U-TYPE(1)"/>
      <sheetName val="매크로"/>
      <sheetName val="외주가공"/>
      <sheetName val="A-4"/>
      <sheetName val="BLOCK(1)"/>
      <sheetName val="단가대비표"/>
      <sheetName val="타공종이기"/>
      <sheetName val="토사(PE)"/>
      <sheetName val="2000년1차"/>
      <sheetName val="200"/>
      <sheetName val="주식"/>
      <sheetName val="Sheet1 (2)"/>
      <sheetName val="현황산출서"/>
      <sheetName val="옹벽기초자료"/>
      <sheetName val="1-1"/>
      <sheetName val="견"/>
      <sheetName val="총괄표"/>
      <sheetName val="예산서"/>
      <sheetName val="ABUT수량-A1"/>
      <sheetName val="을부담운반비"/>
      <sheetName val="부대공"/>
      <sheetName val="가로등제어반 설치공사(수량)"/>
      <sheetName val="다이꾸"/>
      <sheetName val="환률"/>
      <sheetName val="COVER"/>
      <sheetName val="L_RPTA05_목록"/>
      <sheetName val="표지 (2)"/>
      <sheetName val="직원동원SCH"/>
      <sheetName val="전기일위대가"/>
      <sheetName val="DG-LAP6"/>
      <sheetName val="전압강하계산"/>
      <sheetName val="소비자가"/>
      <sheetName val="집계표(육상)"/>
      <sheetName val="Site Expenses"/>
      <sheetName val="수량"/>
      <sheetName val="맨홀수량집계"/>
      <sheetName val="원형맨홀수량"/>
      <sheetName val="c_balju"/>
      <sheetName val="주형"/>
      <sheetName val="TABLE"/>
      <sheetName val="입력DATA"/>
      <sheetName val="지진시"/>
      <sheetName val="????"/>
      <sheetName val="당초"/>
      <sheetName val="Process"/>
      <sheetName val="기본일위"/>
      <sheetName val="BQ(실행)"/>
      <sheetName val="기초공"/>
      <sheetName val="기둥(원형)"/>
      <sheetName val="인건비"/>
      <sheetName val="J"/>
      <sheetName val="협조전"/>
      <sheetName val="참조"/>
      <sheetName val="C1ㅇ"/>
      <sheetName val="工완성공사율"/>
      <sheetName val="품목납기"/>
      <sheetName val="날개벽수량표"/>
      <sheetName val="설산1.나"/>
      <sheetName val="본사S"/>
      <sheetName val="장비집계"/>
      <sheetName val="일위대가(계측기설치)"/>
      <sheetName val="IMP(MAIN)"/>
      <sheetName val="IMP (REACTOR)"/>
      <sheetName val="조명시설"/>
      <sheetName val="실행철강하도"/>
      <sheetName val="안정검토"/>
      <sheetName val="보차도경계석"/>
      <sheetName val="골재집계"/>
      <sheetName val="배수관공"/>
      <sheetName val="우각부보강"/>
      <sheetName val="교각계산"/>
      <sheetName val="BQ"/>
      <sheetName val="단면치수"/>
      <sheetName val="RAHMEN"/>
      <sheetName val="안정계산"/>
      <sheetName val="단면검토"/>
      <sheetName val="경상비"/>
      <sheetName val="단가비교표"/>
      <sheetName val="일위산출"/>
      <sheetName val="한강운반비"/>
      <sheetName val="자재"/>
      <sheetName val="명단원자료(이전)"/>
      <sheetName val="Sheet5"/>
      <sheetName val="말뚝물량"/>
      <sheetName val="공사비집계"/>
      <sheetName val="TYPE1"/>
      <sheetName val="철근량"/>
      <sheetName val="실행예산"/>
      <sheetName val="공사비예산서(토목분)"/>
      <sheetName val="견적정보"/>
      <sheetName val="2F 회의실견적(5_14 일대)"/>
      <sheetName val="L형측구단위수량"/>
      <sheetName val="L형측구연장조서"/>
      <sheetName val="도로경계블럭단위수량"/>
      <sheetName val="도로경계블럭단위토공"/>
      <sheetName val="단위수량"/>
      <sheetName val="목록"/>
      <sheetName val="토공(완충)"/>
      <sheetName val="CATV"/>
      <sheetName val="양식"/>
      <sheetName val="특별교실"/>
      <sheetName val="5. 차단기 용량계산"/>
      <sheetName val="관리사무소"/>
      <sheetName val="접속도로1"/>
      <sheetName val="단가표 "/>
      <sheetName val="뚝토공"/>
      <sheetName val="96작생능"/>
      <sheetName val="포장복구집계"/>
      <sheetName val="LEVEL0~4"/>
      <sheetName val="역T형"/>
      <sheetName val="PILE"/>
      <sheetName val="공사기본자료"/>
      <sheetName val="입력"/>
      <sheetName val="단가"/>
      <sheetName val="TYPE-1"/>
      <sheetName val="EP0618"/>
      <sheetName val="내역(정지)"/>
      <sheetName val="토공및부대2차"/>
      <sheetName val="일위대가표"/>
      <sheetName val="1"/>
      <sheetName val="단위내역서"/>
      <sheetName val="Macro(전동기)"/>
      <sheetName val="내역서비교"/>
      <sheetName val="산거각호표"/>
      <sheetName val="단위중량"/>
      <sheetName val="산출근거"/>
      <sheetName val="기성집계"/>
      <sheetName val="자료입력"/>
      <sheetName val="굴착현장"/>
      <sheetName val="물가시세"/>
      <sheetName val="설계서(설치)"/>
      <sheetName val="투찰"/>
      <sheetName val="공통부대비"/>
      <sheetName val="토공"/>
      <sheetName val="설직재-1"/>
      <sheetName val="Main"/>
      <sheetName val="Picture"/>
      <sheetName val="입찰안"/>
      <sheetName val="22-1소단"/>
      <sheetName val="22-2M단"/>
      <sheetName val="LXLIST1"/>
      <sheetName val="직노"/>
      <sheetName val="5공철탑검토표"/>
      <sheetName val="4공철탑검토"/>
      <sheetName val="처리단락"/>
      <sheetName val="LD"/>
      <sheetName val="약전닥트"/>
      <sheetName val="건축부하"/>
      <sheetName val="일지-H"/>
      <sheetName val="FA설치명세"/>
      <sheetName val="김포IO"/>
      <sheetName val="발신정보"/>
      <sheetName val="조명률표"/>
      <sheetName val="설계자료"/>
      <sheetName val="K"/>
      <sheetName val="Oper Amount"/>
      <sheetName val="가도공"/>
      <sheetName val="비대칭계수"/>
      <sheetName val="전동기 SPEC"/>
      <sheetName val="호안공"/>
      <sheetName val="code"/>
      <sheetName val="견적"/>
      <sheetName val="Dae_Jiju"/>
      <sheetName val="Sikje_ingun"/>
      <sheetName val="TREE_D"/>
      <sheetName val="조명율"/>
      <sheetName val="1_설계조건"/>
      <sheetName val="전차선로_물량표"/>
      <sheetName val="노원열병합__건축공사기성내역서"/>
      <sheetName val="배수공_주요자재_집계표"/>
      <sheetName val="플랜트_설치"/>
      <sheetName val="3련_BOX"/>
      <sheetName val="I_설계조건"/>
      <sheetName val="변경실행(2차)_"/>
      <sheetName val="3BL공동구_수량"/>
      <sheetName val="물량산출_LP-1"/>
      <sheetName val="물량산출_LP-2"/>
      <sheetName val="물량산출_LP-3"/>
      <sheetName val="물량산출_LP-4"/>
      <sheetName val="현금"/>
      <sheetName val="guard(mac)"/>
      <sheetName val="자재대"/>
      <sheetName val="적용단위길이"/>
      <sheetName val="준공조서"/>
      <sheetName val="공사준공계"/>
      <sheetName val="준공검사보고서"/>
      <sheetName val="날개벽"/>
      <sheetName val="기계내역"/>
      <sheetName val="MAT"/>
      <sheetName val="원형1호맨홀토공수량"/>
      <sheetName val="문학간접"/>
      <sheetName val="간접"/>
      <sheetName val="단중표"/>
      <sheetName val="경비"/>
      <sheetName val="정산입력"/>
      <sheetName val="변화치수"/>
      <sheetName val="일위대가(가설)"/>
      <sheetName val="TYPE-B 평균H"/>
      <sheetName val="실행품의서"/>
      <sheetName val="OZ049E"/>
      <sheetName val="type-F"/>
      <sheetName val="시설물일위"/>
      <sheetName val="갑지(추정)"/>
      <sheetName val="BJJIN"/>
      <sheetName val="운용방안"/>
      <sheetName val="월선수금"/>
      <sheetName val="회사99"/>
      <sheetName val="구체"/>
      <sheetName val="교량명원본"/>
      <sheetName val="BOX제원원본"/>
      <sheetName val="6PILE  (돌출)"/>
      <sheetName val="3-1.CB"/>
      <sheetName val="1을"/>
      <sheetName val="갑지"/>
      <sheetName val="통합"/>
      <sheetName val="TEL"/>
      <sheetName val="원데이타"/>
      <sheetName val="찍기"/>
      <sheetName val="DA"/>
      <sheetName val="부대tu"/>
      <sheetName val="집계표"/>
      <sheetName val="연습"/>
      <sheetName val="아산추가1220"/>
      <sheetName val="표지판현황"/>
      <sheetName val="철근정산"/>
      <sheetName val="SRC-B3U2"/>
      <sheetName val="공사비증감"/>
      <sheetName val="원가"/>
      <sheetName val="집행(2-1)"/>
      <sheetName val="LG제품"/>
      <sheetName val="PROJECT COST ESTIMATE (cont)"/>
      <sheetName val="와동25-3(변경)"/>
      <sheetName val="지급자재"/>
      <sheetName val="환율"/>
      <sheetName val="단"/>
      <sheetName val="토공산출(주차장)"/>
      <sheetName val="현장관리"/>
      <sheetName val="공통가설"/>
      <sheetName val="매입"/>
      <sheetName val="공사개요"/>
      <sheetName val="토공산출 (아파트)"/>
      <sheetName val="대포2교접속"/>
      <sheetName val="단면가정"/>
      <sheetName val="조도계산(가로등NEW)"/>
      <sheetName val="N賃率-職"/>
      <sheetName val="신규일위대가"/>
      <sheetName val="설계내역(2001)"/>
      <sheetName val="5.정산서"/>
      <sheetName val="오산갈곳"/>
      <sheetName val="횡배수관집현황(2공구)"/>
      <sheetName val="표지"/>
      <sheetName val="8. 내진해석"/>
      <sheetName val="역T형교대(말뚝기초)"/>
      <sheetName val="ROOF(ALKALI)"/>
      <sheetName val="할증 "/>
      <sheetName val="일위대가(원본)"/>
      <sheetName val="건축내역"/>
      <sheetName val="LEGEND"/>
      <sheetName val="전력"/>
      <sheetName val="일반맨홀수량집계(A-7 LINE)"/>
      <sheetName val="내역(전체)"/>
      <sheetName val="횡배위치"/>
      <sheetName val="환율-LIBOR"/>
      <sheetName val="가시설수량"/>
      <sheetName val="기본DATA"/>
      <sheetName val="단가표"/>
      <sheetName val="내역_FILE"/>
      <sheetName val="견적시담(송포2공구)"/>
      <sheetName val="6호기"/>
      <sheetName val="Cost_bd-&quot;A&quot;"/>
      <sheetName val="TRE_TABLE"/>
      <sheetName val="일위목록"/>
      <sheetName val="요율"/>
      <sheetName val="사용자정의"/>
      <sheetName val="제품표준규격"/>
      <sheetName val="96수출"/>
      <sheetName val="조견표"/>
      <sheetName val="국공유지및사유지"/>
      <sheetName val="0"/>
      <sheetName val="출근부"/>
      <sheetName val="견적내역서"/>
      <sheetName val="견적접수"/>
      <sheetName val="하중계산"/>
      <sheetName val="중기조종사 단위단가"/>
      <sheetName val="전기일위목록"/>
      <sheetName val="집수정단"/>
      <sheetName val="예정(3)"/>
      <sheetName val="동원(3)"/>
      <sheetName val="전기설계변경"/>
      <sheetName val="주사무실종합"/>
      <sheetName val="POL6차-PIPING"/>
      <sheetName val="인수공규격"/>
      <sheetName val="t-h HA THE"/>
      <sheetName val="DATA(BAC)"/>
      <sheetName val="Baby일위대가"/>
      <sheetName val="부표총괄"/>
      <sheetName val="설계내역서"/>
      <sheetName val="9GNG운반"/>
      <sheetName val="토목변경"/>
      <sheetName val="BOX 본체"/>
      <sheetName val="---FAB#1업무일지---"/>
      <sheetName val="선로정수계산"/>
      <sheetName val="토공계산서(부체도로)"/>
      <sheetName val="내역(2000년)"/>
      <sheetName val="깨기"/>
      <sheetName val="대비"/>
      <sheetName val="#230,#235"/>
      <sheetName val="계산근거"/>
      <sheetName val="1_설계조건1"/>
      <sheetName val="경영혁신본부"/>
      <sheetName val="BOJUNGGM"/>
      <sheetName val="철거산출근거"/>
      <sheetName val="nomi "/>
      <sheetName val="현장"/>
      <sheetName val="SANBAISU"/>
      <sheetName val="SANTOGO"/>
      <sheetName val="약품공급2"/>
      <sheetName val="MCC제원"/>
      <sheetName val="준검 내역서"/>
      <sheetName val="SUM (INQNO."/>
      <sheetName val="99.6"/>
      <sheetName val="관세,통관수수료,운반비"/>
      <sheetName val="잡비"/>
      <sheetName val="아파트 "/>
      <sheetName val="SE-611"/>
      <sheetName val="장비당단가 (1)"/>
      <sheetName val="소업1교"/>
      <sheetName val="자료(통합)"/>
      <sheetName val="대상공사(조달청)"/>
      <sheetName val="가시설단위수량"/>
      <sheetName val="SORCE1"/>
      <sheetName val="음봉방향"/>
      <sheetName val="전선 및 전선관"/>
      <sheetName val="총계"/>
      <sheetName val="설계예산서"/>
      <sheetName val="예산내역서"/>
      <sheetName val="FD"/>
      <sheetName val="99관저"/>
      <sheetName val="FB25JN"/>
      <sheetName val="SLAB"/>
      <sheetName val="분뇨"/>
      <sheetName val="물가대비표"/>
      <sheetName val="단가조정표"/>
      <sheetName val="세부내역서(전기)"/>
      <sheetName val="설계명세서"/>
      <sheetName val="NAI"/>
      <sheetName val="관람석제출"/>
      <sheetName val="노무"/>
      <sheetName val="시설C"/>
      <sheetName val="공사비"/>
      <sheetName val="토공정보"/>
      <sheetName val="사진"/>
      <sheetName val="토목검측서"/>
      <sheetName val="인건비 "/>
      <sheetName val="조직표"/>
      <sheetName val="2.내역서"/>
      <sheetName val="식재인부"/>
      <sheetName val="빙축열"/>
      <sheetName val="설계가"/>
      <sheetName val="전신환매도율"/>
      <sheetName val="종배수관(신)"/>
      <sheetName val="9902"/>
      <sheetName val="4.  단락전류의 계산"/>
      <sheetName val="Sheet10"/>
      <sheetName val="VA_code"/>
      <sheetName val="발생토"/>
      <sheetName val="TYPE-A"/>
      <sheetName val="06_공정표"/>
      <sheetName val="세부내역"/>
      <sheetName val="작성"/>
      <sheetName val="견적업체"/>
      <sheetName val="AS복구"/>
      <sheetName val="중기터파기"/>
      <sheetName val="변수값"/>
      <sheetName val="중기상차"/>
      <sheetName val="PI"/>
      <sheetName val="설계내"/>
      <sheetName val="세금자료"/>
      <sheetName val="L형옹벽측구"/>
      <sheetName val="MFAB"/>
      <sheetName val="MFRT"/>
      <sheetName val="MPKG"/>
      <sheetName val="MPRD"/>
      <sheetName val="VXXXXX"/>
      <sheetName val="통신부문노무임"/>
      <sheetName val="5. 설계명세서"/>
      <sheetName val="철근단면적"/>
      <sheetName val="단가조사표"/>
      <sheetName val="진주방향"/>
      <sheetName val="SELTDATA"/>
      <sheetName val="b_balju_cho"/>
      <sheetName val="전기품산출"/>
      <sheetName val="참조M"/>
      <sheetName val="도급양식"/>
      <sheetName val="안정검토(온1)"/>
      <sheetName val="교량하부공"/>
      <sheetName val="터파기및재료"/>
      <sheetName val="1차증가원가계산"/>
      <sheetName val="DATA1"/>
      <sheetName val="농로수량집계"/>
      <sheetName val="농로토공집계"/>
      <sheetName val="설계서(7)"/>
      <sheetName val="예산서(6)"/>
      <sheetName val="분석가정"/>
      <sheetName val="Macro(전선)"/>
      <sheetName val="TOTAL인원"/>
      <sheetName val="수안보-MBR1"/>
      <sheetName val="일반수량총괄"/>
      <sheetName val="단가산출"/>
      <sheetName val="KHRCPB_99"/>
      <sheetName val="Supplier Code"/>
      <sheetName val="____"/>
      <sheetName val="5지구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데이타"/>
      <sheetName val="DATA"/>
      <sheetName val="IMP(MAIN)"/>
      <sheetName val="IMP (REACTOR)"/>
      <sheetName val="단가"/>
      <sheetName val="시설물일위"/>
      <sheetName val="부대내역"/>
      <sheetName val="ilch"/>
      <sheetName val="DATA1"/>
      <sheetName val="Y-WORK"/>
      <sheetName val="을"/>
      <sheetName val="계산근거"/>
      <sheetName val="정부노임단가"/>
      <sheetName val="TEL"/>
      <sheetName val="부대대비"/>
      <sheetName val="냉연집계"/>
      <sheetName val="LIST"/>
      <sheetName val="TABLE"/>
      <sheetName val="집1"/>
      <sheetName val="내역서"/>
      <sheetName val="부하(성남)"/>
      <sheetName val="Sheet1"/>
      <sheetName val="단락전류-A"/>
      <sheetName val="ITEM"/>
      <sheetName val="내역"/>
      <sheetName val="YES-IL"/>
      <sheetName val="직노"/>
      <sheetName val="BQ"/>
      <sheetName val="Sheet5"/>
      <sheetName val="노임"/>
      <sheetName val="수량산출서"/>
      <sheetName val="설계조건"/>
      <sheetName val="안정계산"/>
      <sheetName val="단면검토"/>
      <sheetName val="전기일위대가"/>
      <sheetName val="2F 회의실견적(5_14 일대)"/>
      <sheetName val="기계내역"/>
      <sheetName val="경비2내역"/>
      <sheetName val="일위대가-1"/>
      <sheetName val="노임단가"/>
      <sheetName val="노원열병합  건축공사기성내역서"/>
      <sheetName val="날개벽(시점좌측)"/>
      <sheetName val="일위대가목차"/>
      <sheetName val="일반맨홀수량집계"/>
      <sheetName val="차액보증"/>
      <sheetName val="sw1"/>
      <sheetName val="하수급견적대비"/>
      <sheetName val="실행철강하도"/>
      <sheetName val="3BL공동구 수량"/>
      <sheetName val="단면가정"/>
      <sheetName val="3.1.4 F-FR8"/>
      <sheetName val="cost"/>
      <sheetName val="노무산출서"/>
      <sheetName val="가로등기초"/>
      <sheetName val="49단가"/>
      <sheetName val="48단가"/>
      <sheetName val="일위집계표"/>
      <sheetName val="을지"/>
      <sheetName val="산출근거"/>
      <sheetName val="단가비교표"/>
      <sheetName val="SORCE1"/>
      <sheetName val="가시설단위수량"/>
      <sheetName val="단위수량"/>
      <sheetName val="보도경계블럭"/>
      <sheetName val="말뚝물량"/>
      <sheetName val="설계명세서"/>
      <sheetName val="산출및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산출목록표"/>
      <sheetName val="직노"/>
      <sheetName val="단가 "/>
      <sheetName val="단"/>
      <sheetName val="49단가"/>
      <sheetName val="36단가"/>
      <sheetName val="b_balju_cho"/>
      <sheetName val="공사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DATA"/>
      <sheetName val="Sheet3"/>
      <sheetName val="LX-JU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기기리스트"/>
      <sheetName val="bm(CIcable)"/>
      <sheetName val="SG"/>
      <sheetName val="동해title"/>
      <sheetName val="일위대가목차"/>
      <sheetName val="집수정(600-700)"/>
      <sheetName val="Factor"/>
      <sheetName val="자재단가"/>
      <sheetName val="내역서"/>
      <sheetName val="터널조도"/>
      <sheetName val="적격"/>
      <sheetName val="토공집계표"/>
      <sheetName val="BID"/>
      <sheetName val="EQT-ESTN"/>
      <sheetName val="계수시트"/>
      <sheetName val="원가계산서"/>
      <sheetName val="cable-data"/>
      <sheetName val="설계가"/>
      <sheetName val="S0"/>
      <sheetName val="ITEM"/>
      <sheetName val="본체"/>
      <sheetName val="1.설계조건"/>
      <sheetName val="부하계산서"/>
      <sheetName val="부하(성남)"/>
      <sheetName val="조도계산서 (도서)"/>
      <sheetName val="부하LOAD"/>
      <sheetName val="수입"/>
      <sheetName val="DATE"/>
      <sheetName val="C3"/>
      <sheetName val="가도공"/>
      <sheetName val="실행내역서 "/>
      <sheetName val="CAL"/>
      <sheetName val="횡배수공토공집계"/>
      <sheetName val="tggwan(mac)"/>
      <sheetName val="JUCKEYK"/>
      <sheetName val="우수공"/>
      <sheetName val="2.손익계산서"/>
      <sheetName val="MOTOR"/>
      <sheetName val="배수내역"/>
      <sheetName val="G.R300경비"/>
      <sheetName val="하수급견적대비"/>
      <sheetName val="입찰내역서"/>
      <sheetName val="BID-도로"/>
      <sheetName val="견적대비"/>
      <sheetName val="견적조건"/>
      <sheetName val="집계표"/>
      <sheetName val="전기일위대가"/>
      <sheetName val="단가대비표"/>
      <sheetName val="단중표-ST"/>
      <sheetName val="Sensitivity and GC Value"/>
      <sheetName val="EP0618"/>
      <sheetName val="N賃率-職"/>
      <sheetName val="내역(정지)"/>
      <sheetName val="교대시점"/>
      <sheetName val="대치판정"/>
      <sheetName val="견적을"/>
      <sheetName val="일위대가"/>
      <sheetName val="A"/>
      <sheetName val="수량산출"/>
      <sheetName val="노무비산출"/>
      <sheetName val="제출내역 (2)"/>
      <sheetName val="총괄집계표"/>
      <sheetName val="TARGET"/>
      <sheetName val="노무비 근거"/>
      <sheetName val="예정(3)"/>
      <sheetName val="동원(3)"/>
      <sheetName val="견적서"/>
      <sheetName val="총괄"/>
      <sheetName val="토목"/>
      <sheetName val="노임단가"/>
      <sheetName val="청구내역(9807)"/>
      <sheetName val="노무비단가"/>
      <sheetName val="단중표"/>
      <sheetName val="22수량"/>
      <sheetName val="단가비교표"/>
      <sheetName val="UPDATA"/>
      <sheetName val="충주"/>
      <sheetName val="유동표"/>
      <sheetName val="일위대가 "/>
      <sheetName val="갑지"/>
      <sheetName val="입출재고현황 (2)"/>
      <sheetName val="UNIT"/>
      <sheetName val="일위대가표"/>
      <sheetName val="왕십리방향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비교표"/>
      <sheetName val="차액보증"/>
      <sheetName val="단가"/>
      <sheetName val="수량산출서-2"/>
      <sheetName val="교대"/>
      <sheetName val="산근-10"/>
      <sheetName val="ATS단가"/>
      <sheetName val="SUMMARY"/>
      <sheetName val="중기일위대가"/>
      <sheetName val="전체철근집계"/>
      <sheetName val="시설일위"/>
      <sheetName val="슬래브"/>
      <sheetName val="7.PILE  (돌출)"/>
      <sheetName val="집계표1"/>
      <sheetName val="#REF"/>
      <sheetName val="WORK"/>
      <sheetName val="견적서-을지"/>
      <sheetName val="산근1,2"/>
      <sheetName val="우각부검토"/>
      <sheetName val="JUCK"/>
      <sheetName val="Price List"/>
      <sheetName val="Total"/>
      <sheetName val="부대내역"/>
      <sheetName val="Y-WORK"/>
      <sheetName val="ABUT수량-A1"/>
      <sheetName val="지수"/>
      <sheetName val="설계조건"/>
      <sheetName val="2.대외공문"/>
      <sheetName val="우각부보강"/>
      <sheetName val="음봉방향"/>
      <sheetName val="Baby일위대가"/>
      <sheetName val="명세서"/>
      <sheetName val="TDTKP"/>
      <sheetName val="DK-KH"/>
      <sheetName val="빌딩 안내"/>
      <sheetName val="INPUT"/>
      <sheetName val="1NYS(당)"/>
      <sheetName val="중갑지"/>
      <sheetName val="품셈(기초)"/>
      <sheetName val="단면 (2)"/>
      <sheetName val="연결관산출조서"/>
      <sheetName val="원형1호맨홀토공수량"/>
      <sheetName val="COPING"/>
      <sheetName val="LOPCALC"/>
      <sheetName val="인건-측정"/>
      <sheetName val="Áý¼öÁ¤(600-700)"/>
      <sheetName val="Åä°øÁý°èÇ¥"/>
      <sheetName val="°è¼ö½ÃÆ®"/>
      <sheetName val="¿ø°¡°è»ê¼­"/>
      <sheetName val="도면자료제출일정"/>
      <sheetName val="울산시산표"/>
      <sheetName val="공량산출서"/>
      <sheetName val="COVER"/>
      <sheetName val="내역1"/>
      <sheetName val="건축공사"/>
      <sheetName val="CA"/>
      <sheetName val="b t mong"/>
      <sheetName val="화재 탐지 설비"/>
      <sheetName val="노임"/>
      <sheetName val="갑지(추정)"/>
      <sheetName val="수량산출(수평맹암거)"/>
      <sheetName val="입찰안"/>
      <sheetName val="토공A"/>
      <sheetName val="3차설계"/>
      <sheetName val="1경간당 상부수량"/>
      <sheetName val="기계경비(시간당)"/>
      <sheetName val="램머"/>
      <sheetName val="설계내역(2000)"/>
      <sheetName val="내역"/>
      <sheetName val="잡철물"/>
      <sheetName val="가설공사내역"/>
      <sheetName val="401"/>
      <sheetName val="품셈TABLE"/>
      <sheetName val="3련 BOX"/>
      <sheetName val="가설건물"/>
      <sheetName val="간접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주현(해보)"/>
      <sheetName val="주현(영광)"/>
      <sheetName val="설계명세서"/>
      <sheetName val="예산명세서"/>
      <sheetName val="자료입력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지명송금"/>
      <sheetName val="환율"/>
      <sheetName val="001"/>
      <sheetName val="의정부문예회관변경내역"/>
      <sheetName val="suk(mac)"/>
      <sheetName val="RFP002"/>
      <sheetName val="MatchCode"/>
      <sheetName val="archi(본사)"/>
      <sheetName val="Final(1)summary"/>
      <sheetName val="실행간접비"/>
      <sheetName val="표지 (2)"/>
      <sheetName val="(A)내역서"/>
      <sheetName val="1.설계기준"/>
      <sheetName val="FORM"/>
      <sheetName val="계정"/>
      <sheetName val="일위(PN)"/>
      <sheetName val="증감대비"/>
      <sheetName val="자동화재탐지"/>
      <sheetName val="RangeObject"/>
      <sheetName val="관급원내역"/>
      <sheetName val="L_RPTA05_목록"/>
      <sheetName val="잡철단가대비"/>
      <sheetName val="집수정_600_700_"/>
      <sheetName val="당정동경상이수"/>
      <sheetName val="당정동공통이수"/>
      <sheetName val="정부노임단가"/>
      <sheetName val="플랜트 설치"/>
      <sheetName val="411-00 외화장기"/>
      <sheetName val="b_balju_cho"/>
      <sheetName val="PF_일반수량(35m)"/>
      <sheetName val="설계산출표지"/>
      <sheetName val="산출근거"/>
      <sheetName val="조도계산"/>
      <sheetName val="PT_ED"/>
      <sheetName val="전차선로 물량표"/>
      <sheetName val="슬래브1"/>
      <sheetName val="을지"/>
      <sheetName val="내역서-대공연장"/>
      <sheetName val="Macro(차단기)"/>
      <sheetName val="천마갑지"/>
      <sheetName val="월별수입"/>
      <sheetName val="노무비"/>
      <sheetName val="2_대외공문"/>
      <sheetName val="청하배수"/>
      <sheetName val="토목주소"/>
      <sheetName val="프랜트면허"/>
      <sheetName val="SLAB"/>
      <sheetName val="P-산#1-1(WOWA1)"/>
      <sheetName val="FCM"/>
      <sheetName val="일위대가목록"/>
      <sheetName val="일반공사"/>
      <sheetName val="실행철강하도"/>
      <sheetName val="터파기및재료"/>
      <sheetName val="MAT"/>
      <sheetName val="자동제어"/>
      <sheetName val="2F 회의실견적(5_14 일대)"/>
      <sheetName val="static.cal"/>
      <sheetName val="수량집계"/>
      <sheetName val="설계자료"/>
      <sheetName val="Variables"/>
      <sheetName val="RCSPlan"/>
      <sheetName val="????"/>
      <sheetName val="HVAC"/>
      <sheetName val="DESIGN CRETERIA"/>
      <sheetName val="노무비 "/>
      <sheetName val="건축내역서"/>
      <sheetName val="설비내역서"/>
      <sheetName val="전기내역서"/>
      <sheetName val="설계내역서"/>
      <sheetName val="도체종-상수표"/>
      <sheetName val="자재"/>
      <sheetName val="토공연장"/>
      <sheetName val="입찰결과보고"/>
      <sheetName val="공종별자재"/>
      <sheetName val="Hauptdaten"/>
      <sheetName val="FB25JN"/>
      <sheetName val="TABLE"/>
      <sheetName val="기술자료 (연수)"/>
      <sheetName val="참조-(1)"/>
      <sheetName val="2000년1차"/>
      <sheetName val="2000전체분"/>
      <sheetName val="동력부하(도산)"/>
      <sheetName val="wall"/>
      <sheetName val="단위내역서"/>
      <sheetName val="보할공정"/>
      <sheetName val="내역서1"/>
      <sheetName val="을"/>
      <sheetName val="내역(을)"/>
      <sheetName val="단"/>
      <sheetName val="Piping Design Data"/>
      <sheetName val="파일의이용"/>
      <sheetName val="잡비"/>
      <sheetName val="설계기준 및 하중계산"/>
      <sheetName val="3.하중계산"/>
      <sheetName val="견적보고"/>
      <sheetName val="중기단가LIST"/>
      <sheetName val="사급자재총괄"/>
      <sheetName val="장비"/>
      <sheetName val="Proposal"/>
      <sheetName val="예가표"/>
      <sheetName val="6.노임"/>
      <sheetName val="1"/>
      <sheetName val="M-MG1"/>
      <sheetName val="인부신상자료"/>
      <sheetName val="INDEX"/>
      <sheetName val="민감도분석"/>
      <sheetName val="시청방향슬래브수량"/>
      <sheetName val="우수"/>
      <sheetName val="TYPE-B 평균H"/>
      <sheetName val="G_R300경비"/>
      <sheetName val="ⴭⴭⴭⴭⴭ"/>
      <sheetName val="FOOTING단면력"/>
      <sheetName val="직재"/>
      <sheetName val="TTDZ 679"/>
      <sheetName val="영동(D)"/>
      <sheetName val="조명율표"/>
      <sheetName val="물량산출"/>
      <sheetName val="전 기"/>
      <sheetName val="연결관암거"/>
      <sheetName val="위치조서"/>
      <sheetName val="말뚝지지력산정"/>
      <sheetName val="내역기준"/>
      <sheetName val="수량산출서"/>
      <sheetName val="(4-2)열관류값-2"/>
      <sheetName val="중동상가"/>
      <sheetName val="교각1"/>
      <sheetName val="보차도경계석"/>
      <sheetName val="ASP"/>
      <sheetName val="우배수"/>
      <sheetName val="Languages"/>
      <sheetName val="견"/>
      <sheetName val="실행내역"/>
      <sheetName val="세원견적서"/>
      <sheetName val="PROJECT BRIEF"/>
      <sheetName val="견적시담(송포2공구)"/>
      <sheetName val="링크해지용"/>
      <sheetName val="공사개요"/>
      <sheetName val="LANGUAGE"/>
      <sheetName val="96.12"/>
      <sheetName val="001BA"/>
      <sheetName val="건축집계표"/>
      <sheetName val="4.5 휨응력"/>
      <sheetName val="6PILE  (돌출)"/>
      <sheetName val="경계석"/>
      <sheetName val="공사비예산서(토목분)"/>
      <sheetName val="3.하중산정4.지지력"/>
      <sheetName val="Sheet1 (2)"/>
      <sheetName val="작성"/>
      <sheetName val="철근집계표"/>
      <sheetName val="타견적(을)"/>
      <sheetName val="인건비"/>
      <sheetName val="기둥(원형)"/>
      <sheetName val="Sheet17"/>
      <sheetName val="로우프"/>
      <sheetName val="장비가동집계표"/>
      <sheetName val="입고장부 (4)"/>
      <sheetName val="구조물"/>
      <sheetName val="3.공통공사대비"/>
      <sheetName val="CP(1)"/>
      <sheetName val="뚝토공"/>
      <sheetName val="업무분장"/>
      <sheetName val="방송(체육관)"/>
      <sheetName val="CTEMCOST"/>
      <sheetName val="설계예산서"/>
      <sheetName val="설계변경원가계산총괄표(근린,시설,가로,공공)"/>
      <sheetName val="무산소조"/>
      <sheetName val="IW-LIST"/>
      <sheetName val="PROJECT BRIEF(EX.NEW)"/>
      <sheetName val="가시설"/>
      <sheetName val="신우"/>
      <sheetName val="수산(A1)"/>
      <sheetName val="현장관리비 산출내역"/>
      <sheetName val="교통대책내역"/>
      <sheetName val="공종별지급자재"/>
      <sheetName val="Control"/>
      <sheetName val="__MAIN"/>
      <sheetName val="工완성공사율"/>
      <sheetName val="가로등제어반 설치공사(수량)"/>
      <sheetName val="list"/>
      <sheetName val="FCU (2)"/>
      <sheetName val="을(1차)"/>
      <sheetName val="데이타"/>
      <sheetName val="일위"/>
      <sheetName val="부대공"/>
      <sheetName val="자재단가_사급"/>
      <sheetName val="중기적산목록"/>
      <sheetName val="Macro상수"/>
      <sheetName val="아수배전(1회)"/>
      <sheetName val="공통비"/>
      <sheetName val="가공비"/>
      <sheetName val="토사(PE)"/>
      <sheetName val="공통(20-91)"/>
      <sheetName val="한강운반비"/>
      <sheetName val="총급여"/>
      <sheetName val="선급법인세 (2)"/>
      <sheetName val="3.바닥판설계"/>
      <sheetName val="건축내역"/>
      <sheetName val="물가시세"/>
      <sheetName val="지진시"/>
      <sheetName val="기본"/>
      <sheetName val="토공계산서(부체도로)"/>
      <sheetName val="도로토적"/>
      <sheetName val="포장공"/>
      <sheetName val="견적"/>
      <sheetName val="신규일위대가"/>
      <sheetName val="돈암사업"/>
      <sheetName val="공용정보"/>
      <sheetName val="양식"/>
      <sheetName val="표지"/>
      <sheetName val="Macro2"/>
      <sheetName val="소방일위 "/>
      <sheetName val="중기사용료"/>
      <sheetName val="토공"/>
      <sheetName val="참조"/>
      <sheetName val="당초"/>
      <sheetName val="MixBed"/>
      <sheetName val="CondPol"/>
      <sheetName val="금호"/>
      <sheetName val="날개벽수량표"/>
      <sheetName val="국내조달(통합-1)"/>
      <sheetName val="단가조사"/>
      <sheetName val="약품공급2"/>
      <sheetName val="단가 및 재료비"/>
      <sheetName val="중기사용료산출근거"/>
      <sheetName val="조건"/>
      <sheetName val="약전닥트"/>
      <sheetName val="건축부하"/>
      <sheetName val="FA설치명세"/>
      <sheetName val="FD"/>
      <sheetName val="용량(1-2)"/>
      <sheetName val="3BL공동구 수량"/>
      <sheetName val="ROOF(ALKALI)"/>
      <sheetName val="직접공사비집계표"/>
      <sheetName val="2000자금소요"/>
      <sheetName val="CODE"/>
      <sheetName val="공문"/>
      <sheetName val="견적정보"/>
      <sheetName val="49일위"/>
      <sheetName val="22일위"/>
      <sheetName val="DB"/>
      <sheetName val="기본일위"/>
      <sheetName val="교각(P1)수량"/>
      <sheetName val="주형"/>
      <sheetName val="DATA 입력란"/>
      <sheetName val="용수지선토적"/>
      <sheetName val="과천MAIN"/>
      <sheetName val="수질정화시설"/>
      <sheetName val="REDUCER"/>
      <sheetName val="WE'T"/>
      <sheetName val="D040416"/>
      <sheetName val="일위대가양식"/>
      <sheetName val="조명율데이타"/>
      <sheetName val="DAN"/>
      <sheetName val="골재집계"/>
      <sheetName val="기계경비"/>
      <sheetName val="TRAY Data"/>
      <sheetName val="동력부하"/>
      <sheetName val="본부소개"/>
      <sheetName val="날개벽(시점좌측)"/>
      <sheetName val="일위대가서식"/>
      <sheetName val="단면치수"/>
      <sheetName val="Macro1"/>
      <sheetName val="_shtOpr_"/>
      <sheetName val="ilch"/>
      <sheetName val="LX-JU.XLS"/>
      <sheetName val="Pricelist TAC AB"/>
      <sheetName val="물가정보자료"/>
      <sheetName val="케이블DATA"/>
      <sheetName val="단가표"/>
      <sheetName val="6m기존암거철거공"/>
      <sheetName val="안정검토"/>
      <sheetName val="현금"/>
      <sheetName val="TOP"/>
      <sheetName val="5.전사투자계획종함안"/>
      <sheetName val="0001new"/>
      <sheetName val="POWER"/>
      <sheetName val="A_7"/>
      <sheetName val="내역(한신APT)"/>
      <sheetName val="선수금,기성"/>
      <sheetName val="일위대가(신규)"/>
      <sheetName val="공량산출근거서_일위대가 (신규단가)"/>
      <sheetName val="신규단가대비표 "/>
      <sheetName val="중기단가"/>
      <sheetName val="공량설정_일위대가"/>
      <sheetName val="기성조서"/>
      <sheetName val="____"/>
    </sheetNames>
    <definedNames>
      <definedName name="Macro1"/>
      <definedName name="Macro11"/>
      <definedName name="Macro3"/>
      <definedName name="Macro4" sheetId="37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Module1"/>
      <sheetName val="WORK"/>
      <sheetName val="적쒩2002"/>
      <sheetName val="단위내엍목록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정부노임단가"/>
      <sheetName val="일반공사"/>
      <sheetName val="DS-LOAD"/>
      <sheetName val="대비"/>
      <sheetName val="2F 회의실견적(5_14 일대)"/>
      <sheetName val="CONCRETE"/>
      <sheetName val="ITEM"/>
      <sheetName val="ilch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터널조도"/>
      <sheetName val="P礔CKAGE"/>
      <sheetName val="지급자재"/>
      <sheetName val="D-3503"/>
      <sheetName val="공통비"/>
      <sheetName val="운반비(전선륐)"/>
      <sheetName val="차액보증"/>
      <sheetName val="남양시작동자105노65기1.3화1.2"/>
      <sheetName val="수량산출"/>
      <sheetName val="타공종이기"/>
      <sheetName val="Sheet1 (2)"/>
      <sheetName val="건축내역"/>
      <sheetName val="경비"/>
      <sheetName val="A-4"/>
      <sheetName val="전기일위대가"/>
      <sheetName val="Y-WORK"/>
      <sheetName val="데이타"/>
      <sheetName val="날개벽"/>
      <sheetName val="11.자재단가"/>
      <sheetName val="인건비"/>
      <sheetName val="출근부"/>
      <sheetName val="코드"/>
      <sheetName val="BLOCK(1)"/>
      <sheetName val="투찰"/>
      <sheetName val="SG"/>
      <sheetName val="자재단가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부대내역"/>
      <sheetName val="BQ"/>
      <sheetName val="#REF"/>
      <sheetName val="설계예산내역서"/>
      <sheetName val="수량산출서"/>
      <sheetName val="전차선로 물량표"/>
      <sheetName val="중기사용료"/>
      <sheetName val="노원열병합  건축공사기성내역서"/>
      <sheetName val="공통가설"/>
      <sheetName val="소비자가"/>
      <sheetName val="내역분기"/>
      <sheetName val="31.고_x0000_RTU"/>
      <sheetName val="공사비집계"/>
      <sheetName val="K1자재(3차등)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결과조달"/>
      <sheetName val="CTEMCOST"/>
      <sheetName val="98지급계획"/>
      <sheetName val="CODE"/>
      <sheetName val="sw1"/>
      <sheetName val="NOMUBI"/>
      <sheetName val="I.설계조건"/>
      <sheetName val="TEL"/>
      <sheetName val="c_balju"/>
      <sheetName val="조도계산서 (도서)"/>
      <sheetName val="단위중량"/>
      <sheetName val="3BL공동구 수량"/>
      <sheetName val="판"/>
      <sheetName val="견적시담(송포2공구)"/>
      <sheetName val="집1"/>
      <sheetName val="8.PILE  (돌출)"/>
      <sheetName val="토공"/>
      <sheetName val="001"/>
      <sheetName val="금액내역서"/>
      <sheetName val="설계조건"/>
      <sheetName val="안정계산"/>
      <sheetName val="단면검토"/>
      <sheetName val="기계내역"/>
      <sheetName val="몰탈재료산출"/>
      <sheetName val="토공(완충)"/>
      <sheetName val="내역서(총)"/>
      <sheetName val="L형옹벽(key)"/>
      <sheetName val="연결임시"/>
      <sheetName val="현금"/>
      <sheetName val="일위대가목차"/>
      <sheetName val="DATE"/>
      <sheetName val="총계"/>
      <sheetName val="내역서 "/>
      <sheetName val="준검 내역서"/>
      <sheetName val="기초공"/>
      <sheetName val="기둥(원형)"/>
      <sheetName val="구조물철거타공정이월"/>
      <sheetName val="최초침전지집계표"/>
      <sheetName val="한강운반비"/>
      <sheetName val="단가조사서"/>
      <sheetName val="노무비"/>
      <sheetName val="TOTAL"/>
      <sheetName val="수목단가"/>
      <sheetName val="시설수량표"/>
      <sheetName val="식재수량표"/>
      <sheetName val="일위목록"/>
      <sheetName val="BJJIN"/>
      <sheetName val="단가"/>
      <sheetName val="시설물일위"/>
      <sheetName val="관람석제출"/>
      <sheetName val="교각계산"/>
      <sheetName val="환률"/>
      <sheetName val="말뚝물량"/>
      <sheetName val="횡배위치"/>
      <sheetName val="정렬"/>
      <sheetName val="danga"/>
      <sheetName val="공통부대비"/>
      <sheetName val="BID"/>
      <sheetName val="백호우계수"/>
      <sheetName val="산거각호표"/>
      <sheetName val="B"/>
      <sheetName val="겉장"/>
      <sheetName val="기성검사원"/>
      <sheetName val="원가"/>
      <sheetName val="건축"/>
      <sheetName val="토목"/>
      <sheetName val="토목주소"/>
      <sheetName val="프랜트면허"/>
      <sheetName val="FACTOR"/>
      <sheetName val="Sheet4"/>
      <sheetName val="손익분석"/>
      <sheetName val="6호기"/>
      <sheetName val="중기일위대가"/>
      <sheetName val="ABUT수량-A1"/>
      <sheetName val="총집계표"/>
      <sheetName val="32.銅기기초"/>
      <sheetName val="간선계산"/>
      <sheetName val="Site Expenses"/>
      <sheetName val="토공계산서(부체도로)"/>
      <sheetName val="화재 탐지 설비"/>
      <sheetName val="공사개요"/>
      <sheetName val="NEWDRAW"/>
      <sheetName val="실행내역"/>
      <sheetName val="교각1"/>
      <sheetName val="fitting"/>
      <sheetName val="JUCK"/>
      <sheetName val="토공총괄집계"/>
      <sheetName val="맨홀수량집계"/>
      <sheetName val="수량집계"/>
      <sheetName val="총괄집계표"/>
      <sheetName val="STORAGE"/>
      <sheetName val="금액집계"/>
      <sheetName val="조경"/>
      <sheetName val="소업1교"/>
      <sheetName val="설변물량"/>
      <sheetName val="점수계산1-2"/>
      <sheetName val="2000년1차"/>
      <sheetName val="2000전체분"/>
      <sheetName val="회사99"/>
      <sheetName val="노임"/>
      <sheetName val="보합"/>
      <sheetName val="현장지지물물량"/>
      <sheetName val="7.1유효폭"/>
      <sheetName val="경비2내역"/>
      <sheetName val="March"/>
      <sheetName val="가공비"/>
      <sheetName val="TYPE-B 평균H"/>
      <sheetName val="eq_data"/>
      <sheetName val="설계예산서"/>
      <sheetName val="신공"/>
      <sheetName val="자재집계"/>
      <sheetName val="DATA(BAC)"/>
      <sheetName val="Dae_Jiju"/>
      <sheetName val="Sikje_ingun"/>
      <sheetName val="TREE_D"/>
      <sheetName val="입찰"/>
      <sheetName val="현경"/>
      <sheetName val="골조시행"/>
      <sheetName val="토목내역"/>
      <sheetName val="터파기및재료"/>
      <sheetName val="EUPDAT2"/>
      <sheetName val="9GNG운반"/>
      <sheetName val="을"/>
      <sheetName val="31.고"/>
      <sheetName val="여흥"/>
      <sheetName val="Explanation for Page 17"/>
      <sheetName val="단중표"/>
      <sheetName val="35_x000e_장주신설"/>
      <sheetName val="사용성검토"/>
      <sheetName val="일위대가 (목록)"/>
      <sheetName val="부대대비"/>
      <sheetName val="냉연집계"/>
      <sheetName val="전기일위목록"/>
      <sheetName val="품목"/>
      <sheetName val="일위대가표"/>
      <sheetName val="계산근거"/>
      <sheetName val="총괄내역서"/>
      <sheetName val="품질 및 특성 보정계수"/>
      <sheetName val="토 적 표"/>
      <sheetName val="입력DATA"/>
      <sheetName val="바닥판"/>
      <sheetName val="TABLE"/>
      <sheetName val="난방열교"/>
      <sheetName val="급탕열교"/>
      <sheetName val="일위대가목록"/>
      <sheetName val="견적서"/>
      <sheetName val="dtxl"/>
      <sheetName val="대비표"/>
      <sheetName val="실행예산"/>
      <sheetName val="한전고리-을"/>
      <sheetName val="(2)"/>
      <sheetName val="Customer Databas"/>
      <sheetName val="단면가정"/>
      <sheetName val="기계실"/>
      <sheetName val="UNIT"/>
      <sheetName val="내역1"/>
      <sheetName val="2.예산냴역검토서"/>
      <sheetName val="예산서"/>
      <sheetName val="FRP배관단가(만수)"/>
      <sheetName val="만수배관단가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철거수량"/>
      <sheetName val="전신환매도율"/>
      <sheetName val="단가산출2"/>
      <sheetName val="표지 (2)"/>
      <sheetName val="대비2"/>
      <sheetName val="자재단가표"/>
      <sheetName val="동원인원산출"/>
      <sheetName val="woo(mac)"/>
      <sheetName val="플랜트 설치"/>
      <sheetName val="직노"/>
      <sheetName val="1.수인터널"/>
      <sheetName val="공틀공사"/>
      <sheetName val="장비집계"/>
      <sheetName val="C &amp; G RHS"/>
      <sheetName val="예산변경사항"/>
      <sheetName val="GIS재"/>
      <sheetName val="MTR재(한기)"/>
      <sheetName val="GIS.Ry재"/>
      <sheetName val="COST"/>
      <sheetName val="단가대비표"/>
      <sheetName val="장비당단가 (1)"/>
      <sheetName val="건축(충일분)"/>
      <sheetName val="계화배수"/>
      <sheetName val="단면 (2)"/>
      <sheetName val="Macro1"/>
      <sheetName val="년"/>
      <sheetName val="현장"/>
      <sheetName val="Sheet2"/>
      <sheetName val="원형맨홀수량"/>
      <sheetName val="공종별 집계"/>
      <sheetName val="총투자비산정"/>
      <sheetName val="ROE(FI)"/>
      <sheetName val="Sens&amp;Anal"/>
      <sheetName val="P.M 별"/>
      <sheetName val="조건표"/>
      <sheetName val="장문교(대전)"/>
      <sheetName val="산업개발안내서"/>
      <sheetName val="연수동"/>
      <sheetName val="검색"/>
      <sheetName val="unit 4"/>
      <sheetName val="귀래 설계 공내역서"/>
      <sheetName val="기계경비"/>
      <sheetName val="TYPE1"/>
      <sheetName val="hvac(제어동)"/>
      <sheetName val="단면(RW1)"/>
      <sheetName val="실행철강하도"/>
      <sheetName val="단가조사표"/>
      <sheetName val="Sheet5"/>
      <sheetName val="8.자재단가"/>
      <sheetName val="5. COST SCHEDULE PER EXPENSE"/>
      <sheetName val="단위세대"/>
      <sheetName val="관리비"/>
      <sheetName val="IMP(MAIN)"/>
      <sheetName val="IMP (REACTOR)"/>
      <sheetName val="#230,#235"/>
      <sheetName val="2.대외공문"/>
      <sheetName val="관거공사비"/>
      <sheetName val="자료"/>
      <sheetName val="실시설계"/>
      <sheetName val="아파트건축"/>
      <sheetName val="제경비"/>
      <sheetName val="SE-611"/>
      <sheetName val="산근"/>
      <sheetName val="내역서(기성청구)"/>
      <sheetName val="45,46"/>
      <sheetName val="1을"/>
      <sheetName val="하수급견적대비"/>
      <sheetName val="U-TYPE(1)"/>
      <sheetName val="예산M12A"/>
      <sheetName val="dg"/>
      <sheetName val="단위수량"/>
      <sheetName val="설계명세서(선로)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 견적서"/>
      <sheetName val="예산내역서"/>
      <sheetName val="진주방향"/>
      <sheetName val="06-BATCH "/>
      <sheetName val="CALCULATION"/>
      <sheetName val="DESIGN_CRETERIA"/>
      <sheetName val="Base_Data"/>
      <sheetName val="전체총괄표"/>
      <sheetName val="요소별"/>
      <sheetName val="전기요금"/>
      <sheetName val="을지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/>
      <sheetData sheetId="246" refreshError="1"/>
      <sheetData sheetId="247" refreshError="1"/>
      <sheetData sheetId="248" refreshError="1"/>
      <sheetData sheetId="249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화회선 (2)"/>
      <sheetName val="표 지"/>
      <sheetName val="발전기(갑)"/>
      <sheetName val="발전기(을)"/>
      <sheetName val="변압기"/>
      <sheetName val="간 선"/>
      <sheetName val="일반부하"/>
      <sheetName val="동력부하"/>
      <sheetName val="조도 "/>
      <sheetName val="전화회선"/>
      <sheetName val="전관방송"/>
      <sheetName val="Macro(차단기)"/>
      <sheetName val="laroux1"/>
      <sheetName val="보건환경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설계조건"/>
      <sheetName val="터널조도"/>
      <sheetName val="ITEM"/>
      <sheetName val="조도계산서"/>
      <sheetName val="Sheet1"/>
      <sheetName val="INPUT"/>
      <sheetName val="전기"/>
      <sheetName val="기별(종합)"/>
      <sheetName val="포장복구집계"/>
      <sheetName val="COPING"/>
      <sheetName val="정부노임단가"/>
      <sheetName val="공사비예산서(토목분)"/>
      <sheetName val="손익분석"/>
      <sheetName val="공통가설"/>
      <sheetName val="단가비교표"/>
      <sheetName val="SLAB&quot;1&quot;"/>
      <sheetName val="INPUT(덕도방향-시점)"/>
      <sheetName val="과천MAIN"/>
      <sheetName val="Macro(전선)"/>
      <sheetName val="조건표"/>
      <sheetName val="11.우각부 보강"/>
      <sheetName val="9GNG운반"/>
      <sheetName val="동원(3)"/>
      <sheetName val="예정(3)"/>
      <sheetName val="교량전기"/>
      <sheetName val="내역"/>
      <sheetName val="MOTOR"/>
      <sheetName val="당초수량"/>
      <sheetName val="11.1 단면hwp"/>
      <sheetName val="직공비"/>
      <sheetName val="단면 (2)"/>
      <sheetName val="DATE"/>
      <sheetName val="송라터널총괄"/>
      <sheetName val="전선"/>
      <sheetName val="일위대가(계측기설치)"/>
      <sheetName val="견적"/>
      <sheetName val="PROCESS"/>
      <sheetName val="인건-측정"/>
      <sheetName val="공량산출서"/>
      <sheetName val="실행철강하도"/>
      <sheetName val="노임"/>
      <sheetName val="간접비내역-1"/>
      <sheetName val="11.자재단가"/>
      <sheetName val="건축내역"/>
      <sheetName val="설계변경원가계산총괄표"/>
      <sheetName val="말뚝물량"/>
      <sheetName val="001"/>
      <sheetName val="5.모델링"/>
      <sheetName val="BASIC (2)"/>
      <sheetName val="우각부보강"/>
      <sheetName val="비용"/>
      <sheetName val="표지"/>
      <sheetName val="내역서"/>
      <sheetName val="현장관리비"/>
      <sheetName val="기계내역"/>
      <sheetName val="CODE"/>
      <sheetName val="입출재고현황 (2)"/>
      <sheetName val="General Data"/>
      <sheetName val="간선계산"/>
      <sheetName val="Sheet1 (2)"/>
      <sheetName val="사용성검토"/>
      <sheetName val="guard(mac)"/>
      <sheetName val="북방3터널"/>
      <sheetName val="工완성공사율"/>
      <sheetName val="단가산출"/>
      <sheetName val="3.일반설비"/>
      <sheetName val="#REF"/>
      <sheetName val="봉양~조차장간고하개명(신설)"/>
      <sheetName val="자판실행"/>
      <sheetName val="노임단가"/>
      <sheetName val="Macro(차단기)"/>
      <sheetName val="1-1"/>
      <sheetName val="부하계산서"/>
      <sheetName val="단가 및 재료비"/>
      <sheetName val="중기사용료산출근거"/>
      <sheetName val="전단면보수"/>
      <sheetName val="반단면보수"/>
      <sheetName val="콘크리트패칭"/>
      <sheetName val="아스.노면팻칭"/>
      <sheetName val="아스.노면절삭"/>
      <sheetName val="CABLE SIZE-3"/>
      <sheetName val="3CHBDC"/>
      <sheetName val="단가"/>
      <sheetName val="Sheet5"/>
      <sheetName val="3련 BOX"/>
      <sheetName val="CIVIL"/>
      <sheetName val="케이블및전선관규격표"/>
      <sheetName val="안정검토"/>
      <sheetName val="단면설계"/>
      <sheetName val="교각1"/>
      <sheetName val="ABUT수량-A1"/>
      <sheetName val="BID"/>
      <sheetName val="산출근거"/>
      <sheetName val="식생블럭단위수량"/>
      <sheetName val="입찰안"/>
      <sheetName val="성남여성복지내역"/>
      <sheetName val="단면치수"/>
      <sheetName val="단가대비"/>
      <sheetName val="CAT_5"/>
      <sheetName val="LABTOTAL"/>
      <sheetName val="내촌육교방음벽수량집계표"/>
      <sheetName val="설 계"/>
      <sheetName val="하중계산"/>
      <sheetName val="FORM-0"/>
      <sheetName val="조명시설"/>
      <sheetName val="역T형"/>
      <sheetName val="일위대가시트"/>
      <sheetName val="전차선로 물량표"/>
      <sheetName val="단가표"/>
      <sheetName val="TB-내역서"/>
      <sheetName val="단면가정"/>
      <sheetName val="작성기준"/>
      <sheetName val="기둥(하중)"/>
      <sheetName val="광로3 - 48m"/>
      <sheetName val="삼성전기"/>
      <sheetName val="COST"/>
      <sheetName val="자재단가비교표"/>
      <sheetName val="원가계산서"/>
      <sheetName val=" 견적서"/>
      <sheetName val="예산서"/>
      <sheetName val="PART_DISCOUNT"/>
      <sheetName val="KMT물량"/>
      <sheetName val="CTDG"/>
      <sheetName val="THVT"/>
      <sheetName val="인건비"/>
      <sheetName val="표지 (2)"/>
      <sheetName val="부표총괄"/>
      <sheetName val="품셈1-17"/>
      <sheetName val="동관마찰손실표"/>
      <sheetName val="교각계산"/>
      <sheetName val="기본DATA"/>
      <sheetName val="제품"/>
      <sheetName val="1.설계조건"/>
      <sheetName val="CLAUSE"/>
      <sheetName val="sum1 (2)"/>
      <sheetName val="PARAMETER"/>
      <sheetName val="LEGEND"/>
      <sheetName val="사급자재"/>
      <sheetName val="플랜트 설치"/>
      <sheetName val="I一般比"/>
      <sheetName val="매원개착터널총괄"/>
      <sheetName val="하중"/>
      <sheetName val="4 &amp; 10-inch, CO2 Combo &amp; Sweep"/>
      <sheetName val="01"/>
      <sheetName val="일반전기"/>
      <sheetName val="원가입력"/>
      <sheetName val="Sheet3"/>
      <sheetName val="단가조사서"/>
      <sheetName val="신내택지내역서"/>
      <sheetName val="SILICATE"/>
      <sheetName val="점수계산1-2"/>
      <sheetName val="재료집계"/>
      <sheetName val="CATCH BASIN"/>
      <sheetName val="배수장공사비"/>
      <sheetName val="WORK"/>
      <sheetName val="(포장)BOQ-실적공사"/>
      <sheetName val="일위대가목록"/>
      <sheetName val="EACT10"/>
      <sheetName val="원가"/>
      <sheetName val="일위대가(목록)"/>
      <sheetName val="재료비"/>
      <sheetName val="5.산출내역서"/>
      <sheetName val="순공사비산출내역"/>
      <sheetName val="일위대가표1"/>
      <sheetName val="단가산출서 "/>
      <sheetName val="MAIN"/>
      <sheetName val="__MAIN"/>
      <sheetName val="Manual Valve List"/>
      <sheetName val="대전노은1차_조적_집계표"/>
      <sheetName val="TEST1"/>
      <sheetName val="JUCK"/>
      <sheetName val="말뚝설계"/>
      <sheetName val="참조"/>
      <sheetName val="ACDIM6D"/>
      <sheetName val="眞비상(진주)"/>
      <sheetName val="중기일위대가"/>
      <sheetName val="연부97-1"/>
      <sheetName val="갑지1"/>
      <sheetName val="수량산출"/>
      <sheetName val="1"/>
      <sheetName val="수안보-MBR1"/>
      <sheetName val="내역표지"/>
      <sheetName val="2000년1차"/>
      <sheetName val="조도계산서 (도서)"/>
      <sheetName val="예산서(전기설비)"/>
      <sheetName val="품목"/>
      <sheetName val="물가자료"/>
      <sheetName val="가점"/>
      <sheetName val="index"/>
      <sheetName val="etc"/>
      <sheetName val="노무비"/>
      <sheetName val="선로정수계산"/>
      <sheetName val="기둥"/>
      <sheetName val="저판(버림100)"/>
      <sheetName val="방송일위대가"/>
      <sheetName val="GAEYO"/>
      <sheetName val="Data&amp;Result"/>
      <sheetName val="일위대가집계표"/>
      <sheetName val="품셈기준"/>
      <sheetName val="차도조도계산"/>
      <sheetName val="견적990322"/>
      <sheetName val="설계"/>
      <sheetName val="설비"/>
      <sheetName val="유기공정"/>
      <sheetName val="적용률"/>
      <sheetName val="진주방향"/>
      <sheetName val="공사개요"/>
      <sheetName val="옹벽기초자료"/>
      <sheetName val="현황산출서"/>
      <sheetName val="1월"/>
      <sheetName val="날개벽(시점좌측)"/>
      <sheetName val="입력DATA"/>
      <sheetName val="건축집계"/>
      <sheetName val="원가계산(총괄)"/>
      <sheetName val="단위수량"/>
      <sheetName val="현황"/>
      <sheetName val="4)유동표"/>
      <sheetName val="수원역(전체분)설계서"/>
      <sheetName val="공정코드"/>
      <sheetName val="대로근거"/>
      <sheetName val="중로근거"/>
      <sheetName val="MAT"/>
      <sheetName val="백암비스타내역"/>
      <sheetName val="집수정"/>
      <sheetName val="개요"/>
      <sheetName val="투찰"/>
      <sheetName val="PS-2A구조물방수"/>
      <sheetName val="제수"/>
      <sheetName val="공기"/>
      <sheetName val="bearing"/>
      <sheetName val="증감대비"/>
      <sheetName val="Total"/>
      <sheetName val="gvl"/>
      <sheetName val="BQ(실행)"/>
      <sheetName val="DAN"/>
      <sheetName val="토목내역서"/>
      <sheetName val="MCC제원"/>
      <sheetName val="70%"/>
      <sheetName val="양산물금"/>
      <sheetName val="시추주상도"/>
      <sheetName val="실행비교"/>
      <sheetName val="일반공사"/>
      <sheetName val="일위대가목차"/>
      <sheetName val="부속동"/>
      <sheetName val="부하(성남)"/>
      <sheetName val="현황CODE"/>
      <sheetName val="손익현황"/>
      <sheetName val="FOOTING단면력"/>
      <sheetName val="간접비"/>
      <sheetName val="NOMUBI"/>
      <sheetName val="sw1"/>
      <sheetName val="배수공"/>
      <sheetName val="노무비 근거"/>
      <sheetName val="일위대가"/>
      <sheetName val="가시설흙막이"/>
      <sheetName val="홈통받이수량"/>
      <sheetName val="주방환기"/>
      <sheetName val="Dae_Jiju"/>
      <sheetName val="Sikje_ingun"/>
      <sheetName val="TREE_D"/>
      <sheetName val="LIST"/>
      <sheetName val="소상 &quot;1&quot;"/>
      <sheetName val="RE9604"/>
      <sheetName val="시멘트"/>
      <sheetName val="예산M11A"/>
      <sheetName val="가공비"/>
      <sheetName val="품목납기"/>
      <sheetName val="원형1호맨홀토공수량"/>
      <sheetName val="관기성공.내"/>
      <sheetName val="횡배수관토공수량"/>
      <sheetName val="회로내역(승인)"/>
      <sheetName val="우석문틀"/>
      <sheetName val="산업"/>
      <sheetName val="조경일람"/>
      <sheetName val="통합"/>
      <sheetName val="취수탑"/>
      <sheetName val="청산공사"/>
      <sheetName val="copy"/>
      <sheetName val="서식"/>
      <sheetName val="단가조서"/>
      <sheetName val="자압"/>
      <sheetName val="1.취수장"/>
      <sheetName val="기본 상수"/>
      <sheetName val="집행(2-1)"/>
      <sheetName val="Cost bd-&quot;A&quot;"/>
      <sheetName val="POOM_MOTO"/>
      <sheetName val="POOM_MOTO2"/>
      <sheetName val="Sheet7"/>
      <sheetName val="타공종이기"/>
      <sheetName val="견적시담(송포2공구)"/>
      <sheetName val="실행내역서 "/>
      <sheetName val="경비"/>
      <sheetName val="DANGA"/>
      <sheetName val="공사비 내역"/>
      <sheetName val="ilch"/>
      <sheetName val="L_RPTB02_01"/>
      <sheetName val="신규(07년01월)"/>
      <sheetName val="A-4"/>
      <sheetName val="열린교실"/>
      <sheetName val="BSD (2)"/>
      <sheetName val="포장직선구간"/>
      <sheetName val="98수문일위"/>
      <sheetName val="명세서"/>
      <sheetName val="현장관리비집계표"/>
      <sheetName val="Y-WORK"/>
      <sheetName val="예가표"/>
      <sheetName val="결재판"/>
      <sheetName val="표준건축비"/>
      <sheetName val="계산근거"/>
      <sheetName val="금액내역서"/>
      <sheetName val="6PILE  (돌출)"/>
      <sheetName val="배수장공사비명세서"/>
      <sheetName val="실행자재"/>
      <sheetName val="남양시작동자105노65기1.3화1.2"/>
      <sheetName val="관람석제출"/>
      <sheetName val="기초단가"/>
      <sheetName val="토공산출(주차장)"/>
      <sheetName val="수습"/>
      <sheetName val="배선DATA"/>
      <sheetName val="기둥(원형)"/>
      <sheetName val="당초"/>
      <sheetName val="깨기"/>
      <sheetName val="공사비집계"/>
      <sheetName val="산1"/>
      <sheetName val="구의33고"/>
      <sheetName val="Inputs"/>
      <sheetName val="Cost Inputs"/>
      <sheetName val="케이블"/>
      <sheetName val="추원 상가(1)"/>
      <sheetName val="출근부"/>
      <sheetName val="장비부하"/>
      <sheetName val="대전월평내역"/>
      <sheetName val="보할공정"/>
      <sheetName val="C1ㅇ"/>
      <sheetName val="기준"/>
      <sheetName val="Sheet4"/>
      <sheetName val="기본"/>
      <sheetName val="품셈TABLE"/>
      <sheetName val="도급예산내역서총괄표"/>
      <sheetName val="PW3"/>
      <sheetName val="PW4"/>
      <sheetName val="SC1"/>
      <sheetName val="PE"/>
      <sheetName val="PM"/>
      <sheetName val="TR"/>
      <sheetName val="내역(을)"/>
      <sheetName val="데이타"/>
      <sheetName val="Option"/>
      <sheetName val="금액"/>
      <sheetName val="IMPEADENCE MAP 취수장"/>
      <sheetName val="1공구 건정토건 토공"/>
      <sheetName val="내역총괄"/>
      <sheetName val="내역총괄2"/>
      <sheetName val="내역총괄3"/>
      <sheetName val="기초공"/>
      <sheetName val="Summary Sheets"/>
      <sheetName val="세부추진"/>
      <sheetName val="상용보강"/>
      <sheetName val="CPM챠트"/>
      <sheetName val="Sat tron"/>
      <sheetName val="일위(철거)"/>
      <sheetName val="스포회원매출"/>
      <sheetName val="지급자재"/>
      <sheetName val="프랜트면허"/>
      <sheetName val="설치공사2"/>
      <sheetName val="보차도경계석"/>
      <sheetName val="건축원가"/>
      <sheetName val="Tables"/>
      <sheetName val="YANG"/>
      <sheetName val="PROJECT BRIEF(EX.NEW)"/>
      <sheetName val="민감도분석"/>
      <sheetName val="ROI"/>
      <sheetName val="LS re sales"/>
      <sheetName val="MixBed"/>
      <sheetName val="CondPol"/>
      <sheetName val="Menu"/>
      <sheetName val="AILC004"/>
      <sheetName val="각종양식"/>
      <sheetName val="견적기준"/>
      <sheetName val="UNIT"/>
      <sheetName val="PIPE"/>
      <sheetName val="FLANGE"/>
      <sheetName val="VALVE"/>
      <sheetName val="일대목차"/>
      <sheetName val="Breakdown"/>
      <sheetName val="UnitRate"/>
      <sheetName val="토목"/>
      <sheetName val="견적조건"/>
      <sheetName val="표면정지 집계"/>
      <sheetName val="PET MAT집계"/>
      <sheetName val="estm_mech"/>
      <sheetName val="工관리비율"/>
      <sheetName val="입력1"/>
      <sheetName val="COA-17"/>
      <sheetName val="C-18"/>
      <sheetName val="콤보박스와 리스트박스의 연결"/>
      <sheetName val="2000년하반기"/>
      <sheetName val="계화배수"/>
      <sheetName val="산근"/>
      <sheetName val="본사일보"/>
      <sheetName val="종합기별"/>
      <sheetName val="노무비명세서"/>
      <sheetName val="소요자재명세서"/>
      <sheetName val="을"/>
      <sheetName val="직노"/>
      <sheetName val="사다리"/>
      <sheetName val="TB_내역서"/>
      <sheetName val="기준자료"/>
      <sheetName val="현장관리비 산출내역"/>
      <sheetName val="소비자가"/>
      <sheetName val="기계경비(시간당)"/>
      <sheetName val="램머"/>
      <sheetName val="교통대책내역"/>
      <sheetName val="1SPAN"/>
      <sheetName val="뚝토공"/>
      <sheetName val="SPEC"/>
      <sheetName val="주형"/>
      <sheetName val="단중표"/>
      <sheetName val="매입부가세율(동림)"/>
      <sheetName val="수량3"/>
      <sheetName val="COVER"/>
      <sheetName val="L형 옹벽"/>
      <sheetName val="Pier 3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piping"/>
      <sheetName val="LOPCALC"/>
      <sheetName val="맨홀수량집계"/>
      <sheetName val="3BL공동구 수량"/>
      <sheetName val="단위중량"/>
      <sheetName val="9-1차이내역"/>
      <sheetName val="No-&gt;Code"/>
      <sheetName val="CALCULATION"/>
      <sheetName val="2.가정단면"/>
      <sheetName val="CF"/>
      <sheetName val="154TW"/>
      <sheetName val="_15_0"/>
      <sheetName val="Assump"/>
      <sheetName val="산출내역서집계표"/>
      <sheetName val="갑지(추정)"/>
      <sheetName val="일위"/>
      <sheetName val="SG"/>
      <sheetName val="허용전류-IEC"/>
      <sheetName val="토목주소"/>
      <sheetName val="Eq. Mobilization"/>
      <sheetName val="2.4.1 여수토수량산출"/>
      <sheetName val="장비"/>
      <sheetName val="TYPE-A"/>
      <sheetName val="Hours.CodeST"/>
      <sheetName val="PBS"/>
      <sheetName val="간지"/>
      <sheetName val="장문교(대전)"/>
      <sheetName val="분전함신설"/>
      <sheetName val="접지1종"/>
      <sheetName val="일위대가표"/>
      <sheetName val="#3_일위대가목록"/>
      <sheetName val="MATRLDATA"/>
      <sheetName val="AS복구"/>
      <sheetName val="중기터파기"/>
      <sheetName val="변수값"/>
      <sheetName val="중기상차"/>
      <sheetName val="교통처리우회도로"/>
      <sheetName val="갑지"/>
      <sheetName val="체감식(합정로)_"/>
      <sheetName val="체감식__(원본)"/>
      <sheetName val="진입로_(원본)"/>
      <sheetName val="11_우각부_보강"/>
      <sheetName val="11_1_단면hwp"/>
      <sheetName val="아스_노면팻칭"/>
      <sheetName val="아스_노면절삭"/>
      <sheetName val="CABLE_SIZE-3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별표 "/>
      <sheetName val="LP-S"/>
      <sheetName val="부재리스트"/>
      <sheetName val="철거산출근거"/>
      <sheetName val="OD5000"/>
      <sheetName val="c_balju"/>
      <sheetName val="바.한일양산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견적서"/>
      <sheetName val="견적업체"/>
      <sheetName val="COPING-1"/>
      <sheetName val="역T형교대-2수량"/>
      <sheetName val="와동25-3(변경)"/>
      <sheetName val="매입세율"/>
      <sheetName val="공문"/>
      <sheetName val="품셈(기초)"/>
      <sheetName val="L-type"/>
      <sheetName val="약품공급2"/>
      <sheetName val="사통"/>
      <sheetName val="건설노임"/>
      <sheetName val="project management"/>
      <sheetName val="참고"/>
      <sheetName val="토공A"/>
      <sheetName val="SIHEUNG"/>
      <sheetName val="COPING설계"/>
      <sheetName val="실행내역"/>
      <sheetName val="품산출서"/>
      <sheetName val="부재치수입력"/>
      <sheetName val="요율"/>
      <sheetName val="XL4Poppy"/>
      <sheetName val="집계표"/>
      <sheetName val="내역변"/>
      <sheetName val="가설건물"/>
      <sheetName val="전체도급"/>
      <sheetName val="CONCRETE"/>
      <sheetName val="표지판단위"/>
      <sheetName val="토공"/>
      <sheetName val="산출근거1"/>
      <sheetName val="반중력식옹벽"/>
      <sheetName val="재료"/>
      <sheetName val="국공유지및사유지"/>
      <sheetName val="현대물량"/>
      <sheetName val="1차증가원가계산"/>
      <sheetName val="물량산출 (전력간선,전열)"/>
      <sheetName val="물량산출 (전등)"/>
      <sheetName val="기준액"/>
      <sheetName val="6.1.3단가산출서(노임단가)_신호무선전송"/>
      <sheetName val="기계경비"/>
      <sheetName val="인건비(환율)"/>
      <sheetName val="데리네이타현황"/>
      <sheetName val="말뚝기초"/>
      <sheetName val="배수공 주요자재 집계표"/>
      <sheetName val="SUMMARY"/>
      <sheetName val="PAINT"/>
      <sheetName val="기초분물량표"/>
      <sheetName val="설산1.나"/>
      <sheetName val="본사S"/>
      <sheetName val="unit 4"/>
      <sheetName val="부대공Ⅱ"/>
      <sheetName val="인건비 "/>
      <sheetName val="터파기및재료"/>
      <sheetName val="자료입력"/>
      <sheetName val="산5-7"/>
      <sheetName val="전계가"/>
      <sheetName val="단면_(2)"/>
      <sheetName val="입출재고현황_(2)"/>
      <sheetName val="Sheet1_(2)"/>
      <sheetName val="3련_BOX"/>
      <sheetName val="11_자재단가"/>
      <sheetName val="3_일반설비"/>
      <sheetName val="단가산출서_"/>
      <sheetName val="전차선로_물량표"/>
      <sheetName val="설_계"/>
      <sheetName val="견적대비"/>
      <sheetName val="일위대가 "/>
      <sheetName val="부대내역"/>
      <sheetName val="변품8-37"/>
      <sheetName val="물가대비표"/>
      <sheetName val="Imp-Data"/>
      <sheetName val="부안일위"/>
      <sheetName val="환율적용표"/>
      <sheetName val="자재단가"/>
      <sheetName val="VC2 10.99"/>
      <sheetName val="말뚝지지력산정"/>
      <sheetName val="ⴭⴭⴭⴭⴭ"/>
      <sheetName val="FB25JN"/>
      <sheetName val="내  역  서"/>
      <sheetName val="정산입력"/>
      <sheetName val="무담보1"/>
      <sheetName val="투찰(하수)"/>
      <sheetName val="수입"/>
      <sheetName val="원가총괄"/>
      <sheetName val="-15.0"/>
      <sheetName val="경비_원본"/>
      <sheetName val="건축"/>
      <sheetName val="단가및재료비"/>
      <sheetName val="전장품(관리용)"/>
      <sheetName val="96정변2"/>
      <sheetName val="목차"/>
      <sheetName val="CABLE"/>
      <sheetName val="KHRCPB_99"/>
      <sheetName val="Supplier Code"/>
      <sheetName val="DESIGN"/>
      <sheetName val="Front"/>
      <sheetName val="ITEMLIST990101"/>
      <sheetName val="MFAB"/>
      <sheetName val="MFRT"/>
      <sheetName val="MPKG"/>
      <sheetName val="MPRD"/>
      <sheetName val="2.단면가정"/>
      <sheetName val="CABLE (2)"/>
      <sheetName val="Assumption"/>
      <sheetName val="지중자재단가"/>
      <sheetName val="MANUFACTORY"/>
      <sheetName val="변경총괄지(1)"/>
      <sheetName val="도장수량(하1)"/>
      <sheetName val="명파하수처리장소방"/>
      <sheetName val="명파하수처리장접지"/>
      <sheetName val="명파하수처리장통신"/>
      <sheetName val="운영및유지보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esco"/>
      <sheetName val="조명율표"/>
      <sheetName val="2000.11월설계내역"/>
      <sheetName val="준검 내역서"/>
      <sheetName val="1.수,변전설비 (1차작업)"/>
      <sheetName val="2.옥외전력(침매함-수정-1차작업)"/>
      <sheetName val="3.옥외전력(사장교-수정-1차작업)"/>
      <sheetName val="4.인입선교체공사"/>
      <sheetName val="노임"/>
      <sheetName val="수량산출"/>
      <sheetName val="기둥(원형)"/>
      <sheetName val="DATA"/>
      <sheetName val="데이타"/>
      <sheetName val="기성내역"/>
      <sheetName val="laroux"/>
      <sheetName val="일위,한전"/>
      <sheetName val="원가계산서"/>
      <sheetName val="단가조사서"/>
      <sheetName val="1. 가로등 설치공사(2공구)"/>
      <sheetName val="내역서 (2)"/>
      <sheetName val="전체"/>
      <sheetName val="CODE"/>
      <sheetName val="실행철강하도"/>
      <sheetName val="노임단가"/>
      <sheetName val="수목단가"/>
      <sheetName val="시설수량표"/>
      <sheetName val="식재수량표"/>
      <sheetName val="자재단가"/>
      <sheetName val="을"/>
      <sheetName val="2공구산출내역"/>
      <sheetName val="터파기및재료"/>
      <sheetName val="#REF"/>
      <sheetName val="강교(Sub)"/>
      <sheetName val="부대내역"/>
      <sheetName val="2000,9월 일위"/>
      <sheetName val="산출7-본선2"/>
      <sheetName val="산출7-본선3"/>
      <sheetName val="원가계산서 "/>
      <sheetName val="일위대가표"/>
      <sheetName val="총 원가계산"/>
      <sheetName val="Sheet1"/>
      <sheetName val="중기일위대가"/>
      <sheetName val="MOTOR"/>
      <sheetName val="예정(3)"/>
      <sheetName val="동원(3)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인건-측정"/>
      <sheetName val="관로분포도"/>
      <sheetName val="단락전류-A"/>
      <sheetName val="수량산출서"/>
      <sheetName val="Sheet2"/>
      <sheetName val="샘플표지"/>
      <sheetName val="일위대가(가설)"/>
      <sheetName val="Y-WORK"/>
      <sheetName val="실행간접비용"/>
      <sheetName val="접속도로"/>
      <sheetName val="접속도로1"/>
      <sheetName val="건축-물가변동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표지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공사개요"/>
      <sheetName val="현장관리비"/>
      <sheetName val="계좌번호"/>
      <sheetName val="공사현황 "/>
      <sheetName val="투입현황"/>
      <sheetName val="중,재,유청구"/>
      <sheetName val="직영"/>
      <sheetName val="투입현황 (LG)"/>
      <sheetName val="중기가동"/>
      <sheetName val="외주기성(이재남)"/>
      <sheetName val="사토운반"/>
      <sheetName val="외주모작투입"/>
      <sheetName val="외주공제현황"/>
      <sheetName val="용역 (2)"/>
      <sheetName val="목공"/>
      <sheetName val="철근"/>
      <sheetName val="이상헌"/>
      <sheetName val="경유사용내역  "/>
      <sheetName val="휘발유사용내역   (2)"/>
      <sheetName val="9GNG운반"/>
      <sheetName val="소야공정계획표"/>
      <sheetName val="현황CODE"/>
      <sheetName val="손익현황"/>
      <sheetName val="평교-내역"/>
      <sheetName val="JUCK"/>
      <sheetName val="가로등"/>
      <sheetName val="일위목록"/>
      <sheetName val="내역"/>
      <sheetName val="표지 (2)"/>
      <sheetName val="1,2공구원가계산서"/>
      <sheetName val="1공구산출내역서"/>
      <sheetName val="실행내역"/>
      <sheetName val="정부노임단가"/>
      <sheetName val="말뚝지지력산정"/>
      <sheetName val="JUCKEYK"/>
      <sheetName val="설계내역서"/>
      <sheetName val="Sheet3"/>
      <sheetName val="안정검토(온1)"/>
      <sheetName val="중간부"/>
      <sheetName val="공내역"/>
      <sheetName val="견적단가"/>
      <sheetName val="단가비교표"/>
      <sheetName val="IT-BAT"/>
      <sheetName val="설명"/>
      <sheetName val="건축내역서"/>
      <sheetName val="설비내역서"/>
      <sheetName val="전기내역서"/>
      <sheetName val="집계표"/>
      <sheetName val="단가"/>
      <sheetName val="공구원가계산"/>
      <sheetName val="갈현동"/>
      <sheetName val="1안"/>
      <sheetName val="2.대외공문"/>
      <sheetName val="설계서(7)"/>
      <sheetName val="노임(1차)"/>
      <sheetName val="관급"/>
      <sheetName val="배수내역"/>
      <sheetName val="링크해지용"/>
      <sheetName val="CC16-내역서"/>
      <sheetName val="단가일람"/>
      <sheetName val="조경일람"/>
      <sheetName val="터널조도"/>
      <sheetName val="일위집계표"/>
      <sheetName val="주형"/>
      <sheetName val="2000년1차"/>
      <sheetName val="참조-(1)"/>
      <sheetName val="Customer Databas"/>
      <sheetName val="조도계산서1"/>
      <sheetName val="기초자료"/>
      <sheetName val="AS복구"/>
      <sheetName val="중기터파기"/>
      <sheetName val="변수값"/>
      <sheetName val="중기상차"/>
      <sheetName val="DT"/>
      <sheetName val="롤러"/>
      <sheetName val="BH"/>
      <sheetName val="펌프차타설"/>
      <sheetName val="방지책개소별명세"/>
      <sheetName val="48수량"/>
      <sheetName val="49일위"/>
      <sheetName val="22일위"/>
      <sheetName val="49수량"/>
      <sheetName val="설계명세서"/>
      <sheetName val="산출2-기기동력"/>
      <sheetName val="단가 및 재료비"/>
      <sheetName val="웅진교-S2"/>
      <sheetName val="200"/>
      <sheetName val="전기"/>
      <sheetName val="단가산출"/>
      <sheetName val="견적대비표"/>
      <sheetName val="집수정(600-700)"/>
      <sheetName val="H-PILE수량집계"/>
      <sheetName val="인부신상자료"/>
      <sheetName val="노무비"/>
      <sheetName val="입찰안"/>
      <sheetName val="입고"/>
      <sheetName val="결재갑지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단가표"/>
      <sheetName val="DATE"/>
      <sheetName val="변경도급"/>
      <sheetName val="하부철근수량"/>
      <sheetName val="제출내역 (2)"/>
      <sheetName val="설계"/>
      <sheetName val="일위대가(건축)"/>
      <sheetName val="내역서 제출"/>
      <sheetName val="토공(1)"/>
      <sheetName val="일용직"/>
      <sheetName val="일반공사"/>
      <sheetName val="ITEM"/>
      <sheetName val="산출내역서"/>
      <sheetName val="정공공사"/>
      <sheetName val="주안3차A-A"/>
      <sheetName val="단면가정"/>
      <sheetName val="원가"/>
      <sheetName val="약품공급2"/>
      <sheetName val="단가조사"/>
      <sheetName val="일반토공견적"/>
      <sheetName val="S.중기사용료"/>
      <sheetName val="입력란"/>
      <sheetName val="97노임단가"/>
      <sheetName val="2000.11¿ù¼³°è³»¿ª"/>
      <sheetName val="ÁØ°Ë ³»¿ª¼­"/>
      <sheetName val="약품설비"/>
      <sheetName val="기초자료입력"/>
      <sheetName val="POL6차-PIPING"/>
      <sheetName val="BQ"/>
      <sheetName val="신표지1"/>
      <sheetName val="설계조건"/>
      <sheetName val="부안일위"/>
      <sheetName val="b_balju_cho"/>
      <sheetName val="금광1터널"/>
      <sheetName val="직노"/>
      <sheetName val="주소록"/>
      <sheetName val="신우"/>
      <sheetName val="기흥하도용"/>
      <sheetName val="요율"/>
      <sheetName val="2000전체분"/>
      <sheetName val="매립"/>
      <sheetName val="토사(PE)"/>
      <sheetName val="CM 1"/>
      <sheetName val="STBOX"/>
      <sheetName val="외주"/>
      <sheetName val="비목군분류일위"/>
      <sheetName val="2000_11월설계내역"/>
      <sheetName val="준검_내역서"/>
      <sheetName val="1_수,변전설비_(1차작업)"/>
      <sheetName val="2_옥외전력(침매함-수정-1차작업)"/>
      <sheetName val="3_옥외전력(사장교-수정-1차작업)"/>
      <sheetName val="4_인입선교체공사"/>
      <sheetName val="1__가로등_설치공사(2공구)"/>
      <sheetName val="내역서_(2)"/>
      <sheetName val="2000,9월_일위"/>
      <sheetName val="기본단가표"/>
      <sheetName val="단가산출서"/>
      <sheetName val="6호기"/>
      <sheetName val="산업개발안내서"/>
      <sheetName val="타공종이기"/>
      <sheetName val="재료집계"/>
      <sheetName val="본체"/>
      <sheetName val="날개벽"/>
      <sheetName val="암거단위"/>
      <sheetName val="원가계산"/>
      <sheetName val="동해title"/>
      <sheetName val="SG"/>
      <sheetName val="자동제어"/>
      <sheetName val="MAT_N048"/>
      <sheetName val="에너지동"/>
      <sheetName val="위치조서"/>
      <sheetName val="1.설계조건"/>
      <sheetName val="Sheet5"/>
      <sheetName val="I一般比"/>
      <sheetName val="MACRO(MCC)"/>
      <sheetName val="예산명세서"/>
      <sheetName val="자료입력"/>
      <sheetName val="단위가격"/>
      <sheetName val="시중노임(공사)"/>
      <sheetName val="사급자재"/>
      <sheetName val="일반수량총괄"/>
      <sheetName val="노임이"/>
      <sheetName val="전선 및 전선관"/>
      <sheetName val="TEL"/>
      <sheetName val="Macro(차단기)"/>
      <sheetName val="견적율"/>
      <sheetName val="인건비"/>
      <sheetName val="woo(mac)"/>
      <sheetName val="일위대가목차"/>
      <sheetName val="덕소내역"/>
      <sheetName val="전기혼잡제경비(45)"/>
      <sheetName val="1SPAN"/>
      <sheetName val="구체"/>
      <sheetName val="좌측날개벽"/>
      <sheetName val="우측날개벽"/>
      <sheetName val="내역서01"/>
      <sheetName val="자탐"/>
      <sheetName val="3.바닥판설계"/>
      <sheetName val="가감수량"/>
      <sheetName val="맨홀수량산출"/>
      <sheetName val="ABUT수량-A1"/>
      <sheetName val="담장산출"/>
      <sheetName val="J형측구단위수량"/>
      <sheetName val="말고개터널조명전압강하"/>
      <sheetName val="간선계산"/>
      <sheetName val="기준액"/>
      <sheetName val="산근"/>
      <sheetName val="수량산출(수평맹암거)"/>
      <sheetName val="1차증가원가계산"/>
      <sheetName val="경상비"/>
      <sheetName val="106C0300"/>
      <sheetName val="금액"/>
      <sheetName val="현장관리비 산출내역"/>
      <sheetName val="공사비"/>
      <sheetName val="공사비집계"/>
      <sheetName val="보건노"/>
      <sheetName val="철거산출근거"/>
      <sheetName val="danga"/>
      <sheetName val="ilch"/>
      <sheetName val="건축내역"/>
      <sheetName val="김남권내역9"/>
      <sheetName val="을지"/>
      <sheetName val="산출내역서집계표"/>
      <sheetName val="VXXXXXX"/>
      <sheetName val="실내기 사양 (부경대)"/>
      <sheetName val="MACRO(전선관)"/>
      <sheetName val="공량산출서"/>
      <sheetName val="2-나.물가조사서"/>
      <sheetName val="2"/>
      <sheetName val="화재 탐지 설비"/>
      <sheetName val="Total"/>
      <sheetName val="일위대가(목록)"/>
      <sheetName val="재료비"/>
      <sheetName val="예비품"/>
      <sheetName val="빌딩 안내"/>
      <sheetName val="설비공사"/>
      <sheetName val="토공집계표"/>
      <sheetName val="A"/>
      <sheetName val="Sheet13"/>
      <sheetName val="Sheet14"/>
      <sheetName val="전기자료"/>
      <sheetName val="실행예산"/>
      <sheetName val="인사자료총집계"/>
      <sheetName val="조경"/>
      <sheetName val="입력"/>
      <sheetName val="간접비계산"/>
      <sheetName val="주현(해보)"/>
      <sheetName val="주현(영광)"/>
      <sheetName val="맨홀물량"/>
      <sheetName val="969910( R)"/>
      <sheetName val="LOPCALC"/>
      <sheetName val="구조물철거타공정이월"/>
      <sheetName val="N賃率-職"/>
      <sheetName val="가공송전산출서"/>
      <sheetName val="중기사용료산출근거"/>
      <sheetName val="단가산출2"/>
      <sheetName val="3.공통공사대비"/>
      <sheetName val="갑지(추정)"/>
      <sheetName val="loading"/>
      <sheetName val="FA설치명세"/>
      <sheetName val="B부대공"/>
      <sheetName val="횡 연장"/>
      <sheetName val="코드"/>
      <sheetName val="내역갑지"/>
      <sheetName val="Front"/>
      <sheetName val="wall"/>
      <sheetName val="직재"/>
      <sheetName val="재집"/>
      <sheetName val="내역서1"/>
      <sheetName val="과세표준율-2"/>
      <sheetName val="면적분양가"/>
      <sheetName val="분양면적(1123)"/>
      <sheetName val="출력소스"/>
      <sheetName val="한강운반비"/>
      <sheetName val="의왕내역"/>
      <sheetName val="7단가"/>
      <sheetName val="BEND LOSS"/>
      <sheetName val="기계경비일람"/>
      <sheetName val="BEND_LOSS"/>
      <sheetName val="설직재-1"/>
      <sheetName val="단가(1)"/>
      <sheetName val="EJ"/>
      <sheetName val="변압기 및 발전기 용량"/>
      <sheetName val="기자재대비표"/>
      <sheetName val="연습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Sheet1 (2)"/>
      <sheetName val="자단"/>
      <sheetName val="COPING"/>
      <sheetName val="유치원내역"/>
      <sheetName val="공통가설"/>
      <sheetName val="Module1"/>
      <sheetName val="건              축"/>
      <sheetName val="별표 "/>
      <sheetName val="중기사용료"/>
      <sheetName val="단가대비표"/>
      <sheetName val="실행내역 "/>
      <sheetName val="guard(mac)"/>
      <sheetName val="MYUN(MAC)"/>
      <sheetName val="tggwan(mac)"/>
      <sheetName val="suk(mac)"/>
      <sheetName val="1월"/>
      <sheetName val="유림골조"/>
      <sheetName val="단"/>
      <sheetName val="간접비"/>
      <sheetName val="문학간접"/>
      <sheetName val="간접"/>
      <sheetName val="C3"/>
      <sheetName val="자료"/>
      <sheetName val="간선"/>
      <sheetName val="전압"/>
      <sheetName val="조도"/>
      <sheetName val="동력"/>
      <sheetName val="연부97-1"/>
      <sheetName val="tong du toan"/>
      <sheetName val="지급자재"/>
      <sheetName val="날개벽수량표"/>
      <sheetName val="D&amp;P특기사항"/>
      <sheetName val="접지수량"/>
      <sheetName val="P-산#1-1(WOWA1)"/>
      <sheetName val="단가산출서(기계)"/>
      <sheetName val="총괄"/>
      <sheetName val="학생내역"/>
      <sheetName val="21301동"/>
      <sheetName val="건축공정"/>
      <sheetName val="방진공정"/>
      <sheetName val="조경공정"/>
      <sheetName val="수량산출(음암)"/>
      <sheetName val="돌담교 상부수량"/>
      <sheetName val="Ekog10"/>
      <sheetName val="AHU집계"/>
      <sheetName val="공조기휀"/>
      <sheetName val="공조기"/>
      <sheetName val="원형1호맨홀토공수량"/>
      <sheetName val="2003상반기노임기준"/>
      <sheetName val="투찰"/>
      <sheetName val="당초"/>
      <sheetName val="토공,철콘"/>
      <sheetName val="공문"/>
      <sheetName val="98수문일위"/>
      <sheetName val="2_대외공문"/>
      <sheetName val="총_원가계산"/>
      <sheetName val="현장지지물물량"/>
      <sheetName val="BID"/>
      <sheetName val="실행(표지,갑,을)"/>
      <sheetName val="통신단가조사"/>
      <sheetName val="건축일위"/>
      <sheetName val="그라우팅일위"/>
      <sheetName val="Proposal"/>
      <sheetName val="일위대가(1)"/>
      <sheetName val="대림경상68억"/>
      <sheetName val="Macro2"/>
      <sheetName val="Macro1"/>
      <sheetName val="차액보증"/>
      <sheetName val="식재인부"/>
      <sheetName val="DAN"/>
      <sheetName val="백호우계수"/>
      <sheetName val="초기화면"/>
      <sheetName val="관급자재"/>
      <sheetName val="교량전기"/>
      <sheetName val="금액내역서"/>
      <sheetName val="대치판정"/>
      <sheetName val="산출(전주P7)"/>
      <sheetName val="몰탈재료산출"/>
      <sheetName val="평가내역"/>
      <sheetName val="영업.일1"/>
      <sheetName val="설계서(본관)"/>
      <sheetName val="3차설계"/>
      <sheetName val="가공비"/>
      <sheetName val="품셈집계표"/>
      <sheetName val="자재조사표(참고용)"/>
      <sheetName val="일반부표집계표"/>
      <sheetName val="PW3"/>
      <sheetName val="PW4"/>
      <sheetName val="SC1"/>
      <sheetName val="PM"/>
      <sheetName val="TR"/>
      <sheetName val="부하계산서"/>
      <sheetName val="1"/>
      <sheetName val="설계내역"/>
      <sheetName val="(A)내역서"/>
      <sheetName val="정보매체A동"/>
      <sheetName val="982월원안"/>
      <sheetName val="1.수인터널"/>
      <sheetName val="nys"/>
      <sheetName val="001"/>
      <sheetName val="갑지1"/>
      <sheetName val="계수시트"/>
      <sheetName val="품셈총괄표"/>
      <sheetName val="(14)전기품셈정산"/>
      <sheetName val="(12)전기경비"/>
      <sheetName val="예산총괄"/>
      <sheetName val="설계예산서(2_소천우회토목)"/>
      <sheetName val="토공"/>
      <sheetName val="Sheet1 (3)"/>
      <sheetName val="설계산출표지"/>
      <sheetName val="우각부보강"/>
      <sheetName val="MAT"/>
      <sheetName val="각형맨홀"/>
      <sheetName val="3.골재원검토의견서 갑지"/>
      <sheetName val="일위대가목록"/>
      <sheetName val="견"/>
      <sheetName val="철콘견적"/>
      <sheetName val="견적의뢰서"/>
      <sheetName val="과천MAIN"/>
      <sheetName val="Piping(Methanol)"/>
      <sheetName val="hvac(제어동)"/>
      <sheetName val="교각1"/>
      <sheetName val="TDI ISBL"/>
      <sheetName val="M_F"/>
      <sheetName val="Graph (LGEN)"/>
      <sheetName val="out_prog"/>
      <sheetName val="선적schedule (2)"/>
      <sheetName val="산#3-1"/>
      <sheetName val="산#3-2"/>
      <sheetName val="산#3-2-2"/>
      <sheetName val="RFP002"/>
      <sheetName val="TIE-INS"/>
      <sheetName val="기기리스트"/>
      <sheetName val="48일위"/>
      <sheetName val="22수량"/>
      <sheetName val="특별교실"/>
      <sheetName val="G.R300경비"/>
      <sheetName val="실행분석표"/>
      <sheetName val="조명시설"/>
      <sheetName val="설계예산서"/>
      <sheetName val="일반수량"/>
      <sheetName val="신규품셈목차"/>
      <sheetName val="시중노임단가"/>
      <sheetName val="기술자료 (연수)"/>
      <sheetName val="설비"/>
      <sheetName val="Chart1"/>
      <sheetName val="단위내역목록"/>
      <sheetName val="단위내역서"/>
      <sheetName val="총괄표"/>
      <sheetName val="원가(1)"/>
      <sheetName val="원가(2)"/>
      <sheetName val="간지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설계서"/>
      <sheetName val="CABLE SIZE-3"/>
      <sheetName val="Sheet6"/>
      <sheetName val="검수1"/>
      <sheetName val="공기1"/>
      <sheetName val="승무1"/>
      <sheetName val="쓰레기1"/>
      <sheetName val="운전1"/>
      <sheetName val="전삭고1"/>
      <sheetName val="정문1"/>
      <sheetName val="중앙1"/>
      <sheetName val="차륜1"/>
      <sheetName val="차체1"/>
      <sheetName val="폐수1"/>
      <sheetName val="환경1"/>
      <sheetName val="환경정비1"/>
      <sheetName val="손익분석"/>
      <sheetName val="b_balju"/>
      <sheetName val="골조시행"/>
      <sheetName val="주경기-오배수"/>
      <sheetName val="ÀÏÀ§,ÇÑÀü"/>
      <sheetName val="¿ø°¡°è»ê¼­"/>
      <sheetName val="´Ü°¡Á¶»ç¼­"/>
      <sheetName val="1. °¡·Îµî ¼³Ä¡°ø»ç(2°ø±¸)"/>
      <sheetName val="³»¿ª¼­ (2)"/>
      <sheetName val="Ã¶°Å»êÃâ±Ù°Å"/>
      <sheetName val="Àü±â"/>
      <sheetName val="2F 회의실견적(5_14 일대)"/>
      <sheetName val="NNV"/>
      <sheetName val="내역(입찰)"/>
      <sheetName val="관기성공.내"/>
      <sheetName val="우수"/>
      <sheetName val="내역서을지"/>
      <sheetName val="소요자재"/>
      <sheetName val="노무산출서"/>
      <sheetName val="가격조사"/>
      <sheetName val="상 부"/>
      <sheetName val="단위단가"/>
      <sheetName val="발전기"/>
      <sheetName val="GEN"/>
      <sheetName val="Sheet9"/>
      <sheetName val="2.조명기구철거(일괄철거분)"/>
      <sheetName val="WORK"/>
      <sheetName val="내역(포장)"/>
      <sheetName val="5호광장_(만점)"/>
      <sheetName val="원가(鍀积"/>
    </sheetNames>
    <definedNames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 refreshError="1"/>
      <sheetData sheetId="291" refreshError="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2공구(안영)단가산출-1"/>
      <sheetName val="Macro(차단기)"/>
      <sheetName val="DATA"/>
      <sheetName val="DATE"/>
      <sheetName val="현장지지물물량"/>
      <sheetName val="터파기및재료"/>
      <sheetName val="1. 설계조건 2.단면가정 3. 하중계산"/>
      <sheetName val="DATA 입력란"/>
      <sheetName val="사전공사"/>
      <sheetName val="원가계산서"/>
      <sheetName val="화재 탐지 설비"/>
      <sheetName val="설계산출표지"/>
      <sheetName val=""/>
    </sheetNames>
    <definedNames>
      <definedName name="Macro10"/>
      <definedName name="Macro13"/>
      <definedName name="Macro14"/>
      <definedName name="Macro7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RK"/>
      <sheetName val="단가"/>
      <sheetName val="DATA"/>
      <sheetName val="Macro(전선)"/>
      <sheetName val="Y_WORK"/>
      <sheetName val="토공"/>
      <sheetName val="2.건축"/>
      <sheetName val="설비"/>
      <sheetName val="계산근거"/>
      <sheetName val="부표총괄"/>
      <sheetName val="정부노임단가"/>
      <sheetName val="지주토목내역서"/>
      <sheetName val="일위대가목록"/>
      <sheetName val="ITEM"/>
      <sheetName val="Y-WORK"/>
      <sheetName val="가로등기초"/>
      <sheetName val="IMP(MAIN)"/>
      <sheetName val="IMP (REACTOR)"/>
      <sheetName val="기둥(원형)"/>
      <sheetName val="공통가설"/>
      <sheetName val="Macro(차단기)"/>
      <sheetName val="조명율표"/>
      <sheetName val="ilch"/>
      <sheetName val="노임"/>
      <sheetName val="ILWI"/>
      <sheetName val="내역"/>
      <sheetName val="PAD TR보호대기초"/>
      <sheetName val="HANDHOLE(2)"/>
      <sheetName val="목차"/>
      <sheetName val="DATA1"/>
      <sheetName val="A"/>
      <sheetName val="시설물일위"/>
      <sheetName val="수량산출"/>
      <sheetName val="데이타"/>
      <sheetName val="부대내역"/>
      <sheetName val="1.수인터널"/>
      <sheetName val="3BL공동구 수량"/>
      <sheetName val="#REF"/>
      <sheetName val="보도경계블럭"/>
      <sheetName val="CODE"/>
      <sheetName val="2.단가산출서(총괄)"/>
      <sheetName val="일위대가목차"/>
      <sheetName val="전선 및 전선관"/>
      <sheetName val="SG"/>
      <sheetName val="단가비교표"/>
      <sheetName val="LEGEND"/>
      <sheetName val="을"/>
      <sheetName val="20관리비율"/>
      <sheetName val="Sheet1"/>
      <sheetName val="배관배선 단가조사"/>
      <sheetName val="일위대가"/>
      <sheetName val="일위대가집계"/>
      <sheetName val="단가산출2"/>
      <sheetName val="산출근거"/>
      <sheetName val="2F 회의실견적(5_14 일대)"/>
      <sheetName val="TABLE"/>
      <sheetName val="경산(을)"/>
      <sheetName val="경비2내역"/>
      <sheetName val="간선계산"/>
      <sheetName val="단면가정"/>
      <sheetName val="danga"/>
      <sheetName val="8.자재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순공사비"/>
      <sheetName val="집계표"/>
      <sheetName val="내역서(전기)"/>
      <sheetName val="내역서(계장)"/>
      <sheetName val="사급자재비"/>
      <sheetName val="단가비교표1"/>
      <sheetName val="단가비교표2"/>
      <sheetName val="일위대가"/>
      <sheetName val="bm(CIcable)"/>
      <sheetName val="bm(epcable)"/>
      <sheetName val="bm(CLabor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Total"/>
      <sheetName val="DATA"/>
      <sheetName val="LX-CAL"/>
      <sheetName val="Dae_Jiju"/>
      <sheetName val="Sikje_ingun"/>
      <sheetName val="TREE_D"/>
      <sheetName val="수안보-MBR1"/>
      <sheetName val="단면치수"/>
      <sheetName val="Sheet1"/>
      <sheetName val="공사비집계"/>
      <sheetName val="BQ(실행)"/>
      <sheetName val="우각부보강"/>
      <sheetName val="실행철강하도"/>
      <sheetName val="흥양2교토공집계표"/>
      <sheetName val="설계"/>
      <sheetName val="사용성검토"/>
      <sheetName val="COPING"/>
      <sheetName val="LOPCALC"/>
      <sheetName val="????"/>
      <sheetName val="계수시트"/>
      <sheetName val="원가계산서"/>
      <sheetName val="DATE"/>
      <sheetName val="Y-WORK"/>
      <sheetName val="회로내역(승인)"/>
      <sheetName val="MOTOR3"/>
      <sheetName val="기기리스트"/>
      <sheetName val="Macro(차단기)"/>
      <sheetName val="공종단가"/>
      <sheetName val="22-2M단"/>
      <sheetName val="22-1소단"/>
      <sheetName val="CONCRETE"/>
      <sheetName val="수량산출"/>
      <sheetName val="Cost bd-&quot;A&quot;"/>
      <sheetName val="Pjny"/>
      <sheetName val="내역서"/>
      <sheetName val="와동25-3(변경)"/>
      <sheetName val="Graph (LGEN)"/>
      <sheetName val="out_prog"/>
      <sheetName val="선적schedule (2)"/>
      <sheetName val="NA"/>
      <sheetName val="bm(CIcable)"/>
      <sheetName val="10.1"/>
      <sheetName val="약품설비"/>
      <sheetName val="소상 &quot;1&quot;"/>
      <sheetName val="감가상각"/>
      <sheetName val="5.모델링"/>
      <sheetName val="동해title"/>
      <sheetName val="외천교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자압"/>
      <sheetName val="1.설계조건"/>
      <sheetName val="#REF"/>
      <sheetName val="가설건물"/>
      <sheetName val="현금"/>
      <sheetName val="MOTOR"/>
      <sheetName val="Macro1"/>
      <sheetName val="준검 내역서"/>
      <sheetName val="UNIT"/>
      <sheetName val="세부내역서"/>
      <sheetName val="Sheet17"/>
      <sheetName val="공사기본자료"/>
      <sheetName val="공사개요"/>
      <sheetName val="Sheet7"/>
      <sheetName val="목차"/>
      <sheetName val="TNHCHINH"/>
      <sheetName val="노임단가"/>
      <sheetName val="ITEM"/>
      <sheetName val="6PILE  (돌출)"/>
      <sheetName val="Data&amp;Result"/>
      <sheetName val="노임"/>
      <sheetName val="포설list원본"/>
      <sheetName val="교대"/>
      <sheetName val="내역"/>
      <sheetName val="2.단면가정"/>
      <sheetName val="가도공"/>
      <sheetName val="유동표(변경)"/>
      <sheetName val="환율적용표"/>
      <sheetName val="집수정(600-700)"/>
      <sheetName val="S0"/>
      <sheetName val="PIPE내역(FCN)"/>
      <sheetName val="JUCKEYK"/>
      <sheetName val="Sheet3"/>
      <sheetName val="표지 (2)"/>
      <sheetName val="동원(3)"/>
      <sheetName val="예정(3)"/>
      <sheetName val="부대내역"/>
      <sheetName val="Macro2"/>
      <sheetName val="BID"/>
      <sheetName val="부하LOAD"/>
      <sheetName val="Parem"/>
      <sheetName val="2.손익계산서"/>
      <sheetName val="ELECTRIC"/>
      <sheetName val="부하(반월)"/>
      <sheetName val="PROJECT BRIEF(EX.NEW)"/>
      <sheetName val="1공구(을)"/>
      <sheetName val="3련 BOX"/>
      <sheetName val="매입세"/>
      <sheetName val="기계내역"/>
      <sheetName val="입찰내역서"/>
      <sheetName val="차액보증"/>
      <sheetName val="정부노임단가"/>
      <sheetName val="대치판정"/>
      <sheetName val="TARGET"/>
      <sheetName val="INPUT"/>
      <sheetName val="본선 토공 분배표"/>
      <sheetName val="½ÇÇàÃ¶°­ÇÏµµ"/>
      <sheetName val="¼ö¾Èº¸-MBR1"/>
      <sheetName val="´Ü¸éÄ¡¼ö"/>
      <sheetName val="³»¿ª¼­"/>
      <sheetName val="°ø»çºñÁý°è"/>
      <sheetName val="BQ(½ÇÇà)"/>
      <sheetName val="¿ì°¢ºÎº¸°­"/>
      <sheetName val="Çö±Ý"/>
      <sheetName val="±â±â¸®½ºÆ®"/>
      <sheetName val="Èï¾ç2±³Åä°øÁý°èÇ¥"/>
      <sheetName val="¼³°è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일위대가목차"/>
      <sheetName val="교각계산"/>
      <sheetName val="KL HSMT tinh thieu"/>
      <sheetName val="데이타"/>
      <sheetName val="표지(1)"/>
      <sheetName val="청구내역(9807)"/>
      <sheetName val="전기"/>
      <sheetName val="JUCK"/>
      <sheetName val="Factor"/>
      <sheetName val="자압1"/>
      <sheetName val="공용시설내역"/>
      <sheetName val="c_balju"/>
      <sheetName val="입고장부 (4)"/>
      <sheetName val="List(rev.B)"/>
      <sheetName val="슬래브1"/>
      <sheetName val="인원투입계획"/>
      <sheetName val="공사개요(사업승인변경)"/>
      <sheetName val="L_RPTA05_목록"/>
      <sheetName val="LG제품"/>
      <sheetName val="05년"/>
      <sheetName val="BSD (2)"/>
      <sheetName val="IN"/>
      <sheetName val="h-013211-2"/>
      <sheetName val="VESSEL Sh. 1"/>
      <sheetName val="Sheet6"/>
      <sheetName val="설계가"/>
      <sheetName val="월선수금"/>
      <sheetName val="수질정화시설"/>
      <sheetName val="일반공사"/>
      <sheetName val="지급자재"/>
      <sheetName val="플랜트 설치"/>
      <sheetName val="우배수"/>
      <sheetName val="계산식"/>
      <sheetName val="견적"/>
      <sheetName val="b_balju_cho"/>
      <sheetName val="ABUT수량-A1"/>
      <sheetName val="현관"/>
      <sheetName val="매입세율"/>
      <sheetName val="노무비"/>
      <sheetName val="환경기계공정표 (3)"/>
      <sheetName val="경상비"/>
      <sheetName val="MFAB"/>
      <sheetName val="MFRT"/>
      <sheetName val="MPKG"/>
      <sheetName val="MPRD"/>
      <sheetName val="일위대가 "/>
      <sheetName val="일위대가-1"/>
      <sheetName val="토공사"/>
      <sheetName val="일위대가"/>
      <sheetName val="일위대가목록"/>
      <sheetName val="단가대비표"/>
      <sheetName val="설계조건"/>
      <sheetName val="공량산출서"/>
      <sheetName val="N賃率-職"/>
      <sheetName val="기술자료 (광화문)"/>
      <sheetName val="수입"/>
      <sheetName val="주형"/>
      <sheetName val="BACK DATA"/>
      <sheetName val="copy"/>
      <sheetName val="잡비"/>
      <sheetName val="____"/>
      <sheetName val="A-4"/>
      <sheetName val="상세내역,전력산출서"/>
      <sheetName val="A"/>
      <sheetName val="입력정보"/>
      <sheetName val="Data &amp; Result"/>
      <sheetName val="배수내역"/>
      <sheetName val="명세서"/>
      <sheetName val="입력DATA"/>
      <sheetName val="단가"/>
      <sheetName val="POOM_MOTO"/>
      <sheetName val="&quot;u&quot;_TYPE_구간_조명"/>
      <sheetName val="&quot;U&quot;TYPE_전압강하"/>
      <sheetName val="TR용량_(2)"/>
      <sheetName val="간선굵기_설명"/>
      <sheetName val="불평형_계산식"/>
      <sheetName val="Cost_bd-&quot;A&quot;"/>
      <sheetName val="5_모델링"/>
      <sheetName val="준검_내역서"/>
      <sheetName val="토목내역서"/>
      <sheetName val="설비내역서"/>
      <sheetName val="분석가정"/>
      <sheetName val="우수"/>
      <sheetName val="SELTDATA"/>
      <sheetName val="토공A"/>
      <sheetName val="EQT-ESTN"/>
      <sheetName val="특별교실"/>
      <sheetName val="입찰보고"/>
      <sheetName val="G.R300경비"/>
      <sheetName val="말뚝지지력산정"/>
      <sheetName val="배수공 주요자재 집계표"/>
      <sheetName val="6호기"/>
      <sheetName val="설계서(설치)"/>
      <sheetName val="품셈집계표"/>
      <sheetName val="자재조사표(참고용)"/>
      <sheetName val="일반부표집계표"/>
      <sheetName val="L형 옹벽"/>
      <sheetName val="2000전체분"/>
      <sheetName val="2000년1차"/>
      <sheetName val="list"/>
      <sheetName val="총괄내역"/>
      <sheetName val="진로도급"/>
      <sheetName val="Key assumption"/>
      <sheetName val="indirect"/>
      <sheetName val="cable-data"/>
      <sheetName val="견적기준"/>
      <sheetName val="매입부가세율(동림)"/>
      <sheetName val="건축내역서"/>
      <sheetName val="EP0618"/>
      <sheetName val="1"/>
      <sheetName val="을지"/>
      <sheetName val="GRACE"/>
      <sheetName val="1-1"/>
      <sheetName val="터파기및재료"/>
      <sheetName val="토목"/>
      <sheetName val="부하계산서"/>
      <sheetName val="부하(성남)"/>
      <sheetName val="신관(1)"/>
      <sheetName val="통합"/>
      <sheetName val="1,2공구원가계산서"/>
      <sheetName val="2공구산출내역"/>
      <sheetName val="1공구산출내역서"/>
      <sheetName val="기계경비(시간당)"/>
      <sheetName val="램머"/>
      <sheetName val="평가데이터"/>
      <sheetName val="청천내"/>
      <sheetName val="식재총괄"/>
      <sheetName val="일위목록"/>
      <sheetName val="중동상가"/>
      <sheetName val="UPDATA"/>
      <sheetName val="Param"/>
      <sheetName val="Site Expenses"/>
      <sheetName val="장비내역서"/>
      <sheetName val="HVAC"/>
      <sheetName val="MAT"/>
      <sheetName val="0001(arch)"/>
      <sheetName val="구의33고"/>
      <sheetName val="조명율데이타"/>
      <sheetName val="견적정보"/>
      <sheetName val="조정금액결과표 (차수별)"/>
      <sheetName val="Summary - Budget"/>
      <sheetName val="정산K산출"/>
      <sheetName val="96작생능"/>
      <sheetName val="ⴭⴭⴭⴭ"/>
      <sheetName val="&quot;u&quot;_TYPE_구간_조명1"/>
      <sheetName val="&quot;U&quot;TYPE_전압강하1"/>
      <sheetName val="TR용량_(2)1"/>
      <sheetName val="간선굵기_설명1"/>
      <sheetName val="불평형_계산식1"/>
      <sheetName val="Graph_(LGEN)"/>
      <sheetName val="선적schedule_(2)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tggwan(mac)"/>
      <sheetName val="OZ049E"/>
      <sheetName val="배수개거재(신)"/>
      <sheetName val="1을"/>
      <sheetName val="설산1.나"/>
      <sheetName val="본사S"/>
      <sheetName val="정산내임"/>
      <sheetName val="밸브설치"/>
      <sheetName val="참고"/>
      <sheetName val="기초계산(Pmax)"/>
      <sheetName val="cost"/>
      <sheetName val="WORK"/>
      <sheetName val="적격"/>
      <sheetName val="단가 "/>
      <sheetName val="일위총괄표"/>
      <sheetName val="실행내역서 "/>
      <sheetName val="동력부하(도산)"/>
      <sheetName val="No-&gt;Code"/>
      <sheetName val="2월가격"/>
      <sheetName val="배선DATA"/>
      <sheetName val="타공종이기"/>
      <sheetName val="자재수량"/>
      <sheetName val="자재단가"/>
      <sheetName val="20관리비율"/>
      <sheetName val="유동표"/>
      <sheetName val="9.3 단면력집계"/>
      <sheetName val="2. 설계단면"/>
      <sheetName val="CT "/>
      <sheetName val="왕십리방향"/>
      <sheetName val="중갑지"/>
      <sheetName val="기본DATA"/>
      <sheetName val="투찰"/>
      <sheetName val="수량산출서"/>
      <sheetName val="ilch"/>
      <sheetName val="STORAGE"/>
      <sheetName val="SG"/>
      <sheetName val="공통(20-91)"/>
      <sheetName val="봉양~조차장간고하개명(신설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#2_일위대가목록"/>
      <sheetName val="EPro"/>
      <sheetName val="TONG HOP VL-NC TT"/>
      <sheetName val="CHITIET VL-NC-TT -1p"/>
      <sheetName val="TDTKP1"/>
      <sheetName val="KPVC-BD "/>
      <sheetName val="CALCULATION"/>
      <sheetName val="산출근거"/>
      <sheetName val="지수"/>
      <sheetName val="노무비 "/>
      <sheetName val="갑지"/>
      <sheetName val="BJJIN"/>
      <sheetName val="의왕F사"/>
      <sheetName val="가공사"/>
      <sheetName val="입찰안"/>
      <sheetName val="의왕"/>
      <sheetName val="견적사양비교표"/>
      <sheetName val="기계-설변"/>
      <sheetName val="내역(정지)"/>
      <sheetName val="가로등제어반 설치공사(수량)"/>
      <sheetName val="장비경비"/>
      <sheetName val="종배수관"/>
      <sheetName val="과천MAIN"/>
      <sheetName val="총괄집계표"/>
      <sheetName val="조도계산"/>
      <sheetName val="표지판단위"/>
      <sheetName val="TSS Part List"/>
      <sheetName val="TABLE"/>
      <sheetName val="노무비 근거"/>
      <sheetName val="ROOF(ALKALI)"/>
      <sheetName val="KD율"/>
      <sheetName val="품셈(기초)"/>
      <sheetName val="MEXICO-C"/>
      <sheetName val="SRC-B3U2"/>
      <sheetName val="전차선로 물량표"/>
      <sheetName val="한강운반비"/>
      <sheetName val="토공집계"/>
      <sheetName val="토사(PE)"/>
      <sheetName val="시설일위"/>
      <sheetName val="일위대가(계측기설치)"/>
      <sheetName val="쌍송교"/>
      <sheetName val="001"/>
      <sheetName val="단중표-ST"/>
      <sheetName val="piping"/>
      <sheetName val="2000년하반기"/>
      <sheetName val="우수공"/>
      <sheetName val="철골수량"/>
      <sheetName val="L형측구단위수량"/>
      <sheetName val="L형측구연장조서"/>
      <sheetName val="도로경계블럭단위수량"/>
      <sheetName val="도로경계블럭단위토공"/>
      <sheetName val="집계표"/>
      <sheetName val="품셈TABLE"/>
      <sheetName val="C3"/>
      <sheetName val="PROJECT BRIEF_EX_NEW_"/>
      <sheetName val="당초"/>
      <sheetName val="CAT_5"/>
      <sheetName val="P-산#1-1(WOWA1)"/>
      <sheetName val="변수값"/>
      <sheetName val="중기상차"/>
      <sheetName val="AS복구"/>
      <sheetName val="중기터파기"/>
      <sheetName val="도담구내 개소별 명세"/>
      <sheetName val="안정검토(온1)"/>
      <sheetName val="연결관암거"/>
      <sheetName val="154TW"/>
      <sheetName val="9902"/>
      <sheetName val="입력"/>
      <sheetName val="총괄표"/>
      <sheetName val="전기일위목록"/>
      <sheetName val="출근부"/>
      <sheetName val="문화재 시굴조사비(표지)"/>
      <sheetName val="현황산출서"/>
      <sheetName val="옹벽기초자료"/>
      <sheetName val="공종별집계표"/>
      <sheetName val="표지"/>
      <sheetName val="물량산출근거"/>
      <sheetName val="Licences"/>
      <sheetName val="상세내역"/>
      <sheetName val="원가"/>
      <sheetName val="건축내역"/>
      <sheetName val="간접비"/>
      <sheetName val="현황CODE"/>
      <sheetName val="손익현황"/>
      <sheetName val="외자배분"/>
      <sheetName val="07피뢰침설비공사"/>
      <sheetName val="대포2교접속"/>
      <sheetName val="조명율표"/>
      <sheetName val="인건-측정"/>
      <sheetName val="토공집계표"/>
      <sheetName val="설계명세서"/>
      <sheetName val="예산명세서"/>
      <sheetName val="자료입력"/>
      <sheetName val="선급법인세 (2)"/>
      <sheetName val="1-최종안"/>
      <sheetName val="사업분석-분양가결정"/>
      <sheetName val="REDUCER"/>
      <sheetName val="WE'T"/>
      <sheetName val="구조물철거타공정이월"/>
      <sheetName val="최종"/>
      <sheetName val="공통가설"/>
      <sheetName val="411-00 외화장기"/>
      <sheetName val="포장복구집계"/>
      <sheetName val="부대토목"/>
      <sheetName val="실행비교"/>
      <sheetName val="토공(완충)"/>
      <sheetName val="계산근거"/>
      <sheetName val="WC96709"/>
      <sheetName val="sw1"/>
      <sheetName val="NOMUBI"/>
      <sheetName val="견적조건"/>
      <sheetName val="적용기준"/>
      <sheetName val="기초자료입력"/>
      <sheetName val="2000상반기노임"/>
      <sheetName val="전기일위대가"/>
      <sheetName val="E01-02(EV-1-LBS)"/>
      <sheetName val="담당자"/>
      <sheetName val="3.하중산정4.지지력"/>
      <sheetName val="세부내역서(소방)"/>
      <sheetName val="투입인력"/>
      <sheetName val="산출내역서"/>
      <sheetName val="금액내역서"/>
      <sheetName val="대로근거"/>
      <sheetName val="중로근거"/>
      <sheetName val="집1"/>
      <sheetName val="1.Pre"/>
      <sheetName val="Food court "/>
      <sheetName val="직원동원계획"/>
      <sheetName val="다이꾸"/>
      <sheetName val="계정"/>
      <sheetName val="충주"/>
      <sheetName val="2월가격표-ESG-1월"/>
      <sheetName val="SPEC"/>
      <sheetName val="3BL공동구 수량"/>
      <sheetName val="FOOTING단면력"/>
      <sheetName val="적정심사"/>
      <sheetName val="역삼"/>
      <sheetName val="자재"/>
      <sheetName val="학생내역"/>
      <sheetName val="골조시행"/>
      <sheetName val="일보"/>
      <sheetName val="wall"/>
      <sheetName val="Languag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YES"/>
      <sheetName val="총계"/>
      <sheetName val="Sheet1 (2)"/>
      <sheetName val="MOTOR"/>
      <sheetName val="1호맨홀토공"/>
      <sheetName val="동력부하(도산)"/>
      <sheetName val="DATA"/>
      <sheetName val="터널조도"/>
      <sheetName val="조명율표"/>
      <sheetName val="예정(3)"/>
      <sheetName val="동원(3)"/>
      <sheetName val="Ampecity Data"/>
      <sheetName val="기둥(원형)"/>
      <sheetName val="과천MAIN"/>
      <sheetName val="MACRO(전선관)"/>
      <sheetName val="주형"/>
      <sheetName val="WORK"/>
      <sheetName val="노무비 근거"/>
      <sheetName val="Sheet2"/>
      <sheetName val="H-PILE수량집계"/>
      <sheetName val="ABUT수량-A1"/>
      <sheetName val="Sheet1"/>
      <sheetName val="연습장소"/>
      <sheetName val="옹벽"/>
      <sheetName val="노임"/>
      <sheetName val="1.설계기준"/>
      <sheetName val="현황CODE"/>
      <sheetName val="손익현황"/>
      <sheetName val="3차설계"/>
      <sheetName val="3.바닥판설계"/>
      <sheetName val="단가비교표"/>
      <sheetName val="밸브설치"/>
      <sheetName val="JUCK"/>
      <sheetName val="2000.11월설계내역"/>
      <sheetName val="품셈"/>
      <sheetName val="6PILE  (돌출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설계예산서"/>
      <sheetName val="수량집계"/>
      <sheetName val="총괄"/>
      <sheetName val="토목"/>
      <sheetName val="가로등내역서"/>
      <sheetName val="수량산출서"/>
      <sheetName val="#REF"/>
      <sheetName val="터파기및재료"/>
      <sheetName val="BID"/>
      <sheetName val="설계내역서"/>
      <sheetName val="현장관리비집계표"/>
      <sheetName val="Macro1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견적서"/>
      <sheetName val="호계"/>
      <sheetName val="제암"/>
      <sheetName val="월마트"/>
      <sheetName val="월드컵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점수계산1-2"/>
      <sheetName val="예산변경사항"/>
      <sheetName val="Module11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단가산출"/>
      <sheetName val="소야공정계획표"/>
      <sheetName val="입찰안"/>
      <sheetName val="봉양~조차장간고하개명(신설)"/>
      <sheetName val="t형"/>
      <sheetName val="내역"/>
      <sheetName val="대비"/>
      <sheetName val="직공비"/>
      <sheetName val="부대공사비"/>
      <sheetName val="수량산출"/>
      <sheetName val="6호기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2F 회의실견적(5_14 일대)"/>
      <sheetName val="부하계산서"/>
      <sheetName val="견적조건"/>
      <sheetName val="견적조건(을지)"/>
      <sheetName val="식생블럭단위수량"/>
      <sheetName val="을지"/>
      <sheetName val="간선계산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표지 (2)"/>
      <sheetName val="가로등부표"/>
      <sheetName val="001"/>
      <sheetName val="산출내역서집계표"/>
      <sheetName val="노무비"/>
      <sheetName val="본선차로수량집계표"/>
      <sheetName val="준검 내역서"/>
      <sheetName val="기계경비"/>
      <sheetName val="단가 및 재료비"/>
      <sheetName val="주상도"/>
      <sheetName val="INPUT"/>
      <sheetName val="하조서"/>
      <sheetName val="보증수수료산출"/>
      <sheetName val="1.수인터널"/>
      <sheetName val="가로등"/>
      <sheetName val="공사비예산서(토목분)"/>
      <sheetName val="수목데이타 "/>
      <sheetName val="변압기 및 발전기 용량"/>
      <sheetName val="단가조사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자재단가"/>
      <sheetName val="2000년1차"/>
      <sheetName val="부대내역"/>
      <sheetName val="입찰보고"/>
      <sheetName val="노무비단가"/>
      <sheetName val="매립"/>
      <sheetName val="내력서"/>
      <sheetName val="1.설계조건"/>
      <sheetName val="일위대가목차"/>
      <sheetName val="3-1.CB"/>
      <sheetName val="MAIN_TABLE"/>
      <sheetName val="재료"/>
      <sheetName val="제경비율"/>
      <sheetName val="조도계산서 (도서)"/>
      <sheetName val="LOPCALC"/>
      <sheetName val="아산추가1220"/>
      <sheetName val="당초"/>
      <sheetName val="인건비"/>
      <sheetName val="98지급계획"/>
      <sheetName val="XL4Poppy"/>
      <sheetName val="본공사"/>
      <sheetName val="DANGA"/>
      <sheetName val="BQ"/>
      <sheetName val="일위대가(가설)"/>
      <sheetName val="BID-도로"/>
      <sheetName val="실행내역서"/>
      <sheetName val="설 계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JUCKEYK"/>
      <sheetName val="연습"/>
      <sheetName val="수주현황2월"/>
      <sheetName val="토공유동표"/>
      <sheetName val="교각계산"/>
      <sheetName val="단면 (2)"/>
      <sheetName val="ASP포장"/>
      <sheetName val="단가산출서(기계)"/>
      <sheetName val="정부노임단가"/>
      <sheetName val="내역서(전기)"/>
      <sheetName val="3BL공동구 수량"/>
      <sheetName val="일위대가표"/>
      <sheetName val="에너지동"/>
      <sheetName val="Total"/>
      <sheetName val="스톱로그내역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주관사업"/>
      <sheetName val="JJ"/>
      <sheetName val="조건표"/>
      <sheetName val="설계"/>
      <sheetName val="수문일1"/>
      <sheetName val="건축공사"/>
      <sheetName val="1차설계변경내역"/>
      <sheetName val="발주설계서(당초)"/>
      <sheetName val="가설건물"/>
      <sheetName val="토공"/>
      <sheetName val="교각1"/>
      <sheetName val="ETC"/>
      <sheetName val="돌망태단위수량"/>
      <sheetName val="요율"/>
      <sheetName val="자재대"/>
      <sheetName val="소요자재"/>
      <sheetName val="노무산출서"/>
      <sheetName val="코드표"/>
      <sheetName val="수안보-MBR1"/>
      <sheetName val="工완성공사율"/>
      <sheetName val="Macro(차단기)"/>
      <sheetName val="시공계획"/>
      <sheetName val="현금"/>
      <sheetName val="현장"/>
      <sheetName val="Piping Design Data"/>
      <sheetName val="입력DATA"/>
      <sheetName val="인건-측정"/>
      <sheetName val="종배수관"/>
      <sheetName val="조건"/>
      <sheetName val="여흥"/>
      <sheetName val="현장지지물물량"/>
      <sheetName val="wall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H PILE수량"/>
      <sheetName val="8. 안정검토"/>
      <sheetName val="TC표지"/>
      <sheetName val="2003상반기노임기준"/>
      <sheetName val="중기조종사 단위단가"/>
      <sheetName val="BASIC (2)"/>
      <sheetName val="MCC제원"/>
      <sheetName val="Upgrades pricing"/>
      <sheetName val="RAHMEN"/>
      <sheetName val="bm(CIcable)"/>
      <sheetName val="철근량 검토"/>
      <sheetName val="설계조건"/>
      <sheetName val="9GNG운반"/>
      <sheetName val="영업소실적"/>
      <sheetName val="공사진행"/>
      <sheetName val="견적서(대외) (2)"/>
      <sheetName val="__MAIN"/>
      <sheetName val="산출(전주P7)"/>
      <sheetName val="전기일위대가"/>
      <sheetName val="통합"/>
      <sheetName val="BOX"/>
      <sheetName val="STBOX"/>
      <sheetName val="설비"/>
      <sheetName val="품의서"/>
      <sheetName val="물가시세"/>
      <sheetName val="SG"/>
      <sheetName val="전신환매도율"/>
      <sheetName val="물가자료"/>
      <sheetName val="EACT10"/>
      <sheetName val="원가계산서 (총괄)"/>
      <sheetName val="원가계산서 (건축)"/>
      <sheetName val="(총괄집계)"/>
      <sheetName val="방음벽기초(H=4m)"/>
      <sheetName val="guard(mac)"/>
      <sheetName val="품셈TABLE"/>
      <sheetName val="품셈표"/>
      <sheetName val="부대대비"/>
      <sheetName val="냉연집계"/>
      <sheetName val="BSD (2)"/>
      <sheetName val="산출내역서"/>
      <sheetName val="저"/>
      <sheetName val="SLAB&quot;1&quot;"/>
      <sheetName val="경상비"/>
      <sheetName val="가공비"/>
      <sheetName val="우각부보강"/>
      <sheetName val="nys"/>
      <sheetName val="기준액"/>
      <sheetName val="상세내역,전력산출서"/>
      <sheetName val="날개벽(TYPE3)"/>
      <sheetName val="비교표"/>
      <sheetName val="대창(함평)-창열"/>
      <sheetName val="대창(장성)"/>
      <sheetName val="90.03실행 "/>
      <sheetName val="자료입력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단면(RW1)"/>
      <sheetName val="시설물일위"/>
      <sheetName val="차액보증"/>
      <sheetName val="소비자가"/>
      <sheetName val="ilch"/>
      <sheetName val="A-4"/>
      <sheetName val="맨홀수량집계"/>
      <sheetName val="IMP(MAIN)"/>
      <sheetName val="IMP (REACTOR)"/>
      <sheetName val="오산갈곳"/>
      <sheetName val="안정계산"/>
      <sheetName val="단면검토"/>
      <sheetName val="경비2내역"/>
      <sheetName val="현장관리비내역서"/>
      <sheetName val="포장복구집계"/>
      <sheetName val="조명시설"/>
      <sheetName val="일위대가목록"/>
      <sheetName val="DATA1"/>
      <sheetName val="Testing"/>
      <sheetName val="REACTION(USD지진시)"/>
      <sheetName val="안정검토"/>
      <sheetName val="REACTION(USE평시)"/>
      <sheetName val="단가대비표"/>
      <sheetName val="일위대가표 (2)"/>
      <sheetName val="계화배수"/>
      <sheetName val="I一般比"/>
      <sheetName val="AS포장복구 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신우"/>
      <sheetName val="말뚝물량"/>
      <sheetName val="우수맨홀공제단위수량"/>
      <sheetName val="공구원가계산"/>
      <sheetName val="2000전체분"/>
      <sheetName val="입찰결과(DATA)"/>
      <sheetName val="일반수량"/>
      <sheetName val="일위대가표(유단가)"/>
      <sheetName val="대치판정"/>
      <sheetName val="CABLE SIZE-3"/>
      <sheetName val="EQUIP-H"/>
      <sheetName val="경비_원본"/>
      <sheetName val="가감수량"/>
      <sheetName val="맨홀수량산출"/>
      <sheetName val="기초코드"/>
      <sheetName val="하수급견적대비"/>
      <sheetName val="총괄내역서"/>
      <sheetName val="일위대가 집계표"/>
      <sheetName val="횡배수관토공수량"/>
      <sheetName val="원가"/>
      <sheetName val="지급자재"/>
      <sheetName val="부안일위"/>
      <sheetName val="7.1유효폭"/>
      <sheetName val="유기공정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정화조동내역"/>
      <sheetName val="BLOCK(1)"/>
      <sheetName val="단면치수"/>
      <sheetName val="DATE"/>
      <sheetName val="원가계산서"/>
      <sheetName val="원형1호맨홀토공수량"/>
      <sheetName val="하중계산"/>
      <sheetName val="공사기본자료"/>
      <sheetName val="전기혼잡제경비(45)"/>
      <sheetName val="기술자료 (연수)"/>
      <sheetName val="교량하부공"/>
      <sheetName val="70%"/>
      <sheetName val="NOMUBI"/>
      <sheetName val="sw1"/>
      <sheetName val="와동25-3(변경)"/>
      <sheetName val="기계"/>
      <sheetName val="본체"/>
      <sheetName val="T6-6(2)"/>
      <sheetName val="시가지우회도로공내역서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TYPE-A"/>
      <sheetName val="예산갑지"/>
      <sheetName val="부속동"/>
      <sheetName val="단가조사서"/>
      <sheetName val="적용(기계)"/>
      <sheetName val="CTEMCOST"/>
      <sheetName val="Mc1"/>
      <sheetName val="2000,9월 일위"/>
    </sheetNames>
    <definedNames>
      <definedName name="Macro13"/>
      <definedName name="Macro6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본(갑지)"/>
      <sheetName val="단가"/>
      <sheetName val="중강당 내역"/>
      <sheetName val="총괄표"/>
      <sheetName val="2-1. 경관조명 내역총괄표"/>
      <sheetName val="일위대가(가설)"/>
      <sheetName val="단가산출"/>
      <sheetName val="근로자자료입력"/>
      <sheetName val="분전함신설"/>
      <sheetName val="접지1종"/>
      <sheetName val="일위대가(1)"/>
      <sheetName val="제-노임"/>
      <sheetName val="제직재"/>
      <sheetName val="XL4Poppy"/>
      <sheetName val="수량산출"/>
      <sheetName val="N賃率-職"/>
      <sheetName val="일위"/>
      <sheetName val="연습"/>
      <sheetName val="실행철강하도"/>
      <sheetName val="전신환매도율"/>
      <sheetName val="테이블"/>
      <sheetName val="#REF"/>
      <sheetName val="대림경상68억"/>
      <sheetName val="신우"/>
      <sheetName val="노임단가"/>
      <sheetName val="DATE"/>
      <sheetName val="데이타"/>
      <sheetName val="직접경비"/>
      <sheetName val="직접인건비"/>
      <sheetName val="조명시설"/>
      <sheetName val="장비집계"/>
      <sheetName val="매곡역사"/>
      <sheetName val="원가서"/>
      <sheetName val="골조시행"/>
      <sheetName val="총괄내역서"/>
      <sheetName val="전기단가조사서"/>
      <sheetName val="토목"/>
      <sheetName val="1.수인터널"/>
      <sheetName val="2000년1차"/>
      <sheetName val="내역"/>
      <sheetName val="공사개요"/>
      <sheetName val="빗물받이(910-510-410)"/>
      <sheetName val="간접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기계경비(시간당)"/>
      <sheetName val="램머"/>
      <sheetName val="저"/>
      <sheetName val="연결관암거"/>
      <sheetName val="내역서(삼호)"/>
      <sheetName val="Sheet1"/>
      <sheetName val="내역"/>
      <sheetName val="교각토공"/>
      <sheetName val="가로등내역서"/>
      <sheetName val="노임단가"/>
      <sheetName val="철거산출근거"/>
      <sheetName val="단가조사"/>
      <sheetName val="MOTOR"/>
      <sheetName val="차액보증"/>
      <sheetName val="내역서"/>
      <sheetName val="통일일위1"/>
      <sheetName val="전선 및 전선관"/>
      <sheetName val="일위대가"/>
      <sheetName val="Y-WORK"/>
      <sheetName val="일반전기C"/>
      <sheetName val="분전반"/>
      <sheetName val="공종별내역서"/>
      <sheetName val="내역서 (1차)"/>
      <sheetName val="일위대가목차"/>
      <sheetName val="Sheet5"/>
      <sheetName val="터파기및재료"/>
      <sheetName val="전기일위대가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산출(토공)"/>
      <sheetName val="기계내역"/>
      <sheetName val="물가자료"/>
      <sheetName val="경산"/>
      <sheetName val="배관내역"/>
      <sheetName val="#REF"/>
      <sheetName val="sw1"/>
      <sheetName val="NOMUBI"/>
      <sheetName val="데리네이타현황"/>
      <sheetName val="BOQ(전체)"/>
      <sheetName val="자재단가"/>
      <sheetName val="적용건축"/>
      <sheetName val="1.수인터널"/>
      <sheetName val="용산1(해보)"/>
      <sheetName val="중기사용료산출근거"/>
      <sheetName val="단가 및 재료비"/>
      <sheetName val="70%"/>
      <sheetName val="기초자료입력"/>
      <sheetName val="내역1공구"/>
      <sheetName val="단가"/>
      <sheetName val="요율"/>
      <sheetName val="자재대"/>
      <sheetName val="일위대가표"/>
      <sheetName val="간접비"/>
      <sheetName val="단가산출"/>
      <sheetName val="산출-설비"/>
      <sheetName val="BID"/>
      <sheetName val="FB25JN"/>
      <sheetName val="DATA(광속)"/>
      <sheetName val="부대내역"/>
      <sheetName val="표지"/>
      <sheetName val="WEIGHT LIST"/>
      <sheetName val="POL6차-PIPING"/>
      <sheetName val="산#2-1 (2)"/>
      <sheetName val="산#3-1"/>
      <sheetName val="5지진시"/>
      <sheetName val="신공"/>
      <sheetName val="골조시행"/>
      <sheetName val="wall"/>
      <sheetName val="Sheet3"/>
      <sheetName val="도급내역서"/>
      <sheetName val=" 냉각수펌프"/>
      <sheetName val="수량산출"/>
      <sheetName val="공조기휀"/>
      <sheetName val="AHU집계"/>
      <sheetName val="2공구산출내역"/>
      <sheetName val="내역(100%)"/>
      <sheetName val="견적서1"/>
      <sheetName val="사당"/>
      <sheetName val="배선DATA"/>
      <sheetName val="평가데이터"/>
      <sheetName val="I一般比"/>
      <sheetName val="변압기 및 발전기 용량"/>
      <sheetName val="공사원가계산서"/>
      <sheetName val="도급예산내역서총괄표"/>
      <sheetName val="외주비"/>
      <sheetName val="TANK견적대지"/>
      <sheetName val="표지1"/>
      <sheetName val="사업부배부A"/>
      <sheetName val="b_balju_cho"/>
      <sheetName val="설계"/>
      <sheetName val="옥외 전력간선공사"/>
      <sheetName val="집계"/>
      <sheetName val="입찰안"/>
      <sheetName val="COL"/>
      <sheetName val="1공구내역"/>
      <sheetName val="2.고용보험료산출근거"/>
      <sheetName val="Base"/>
      <sheetName val="내역표지"/>
      <sheetName val="설계기준"/>
      <sheetName val="내역1"/>
      <sheetName val="공사예산하조서(O.K)"/>
      <sheetName val="설비"/>
      <sheetName val="SAMPLE"/>
      <sheetName val="재료단가"/>
      <sheetName val="설직재-1"/>
      <sheetName val="Macro1"/>
      <sheetName val="별표"/>
      <sheetName val="일위(설)"/>
      <sheetName val="내역서1"/>
      <sheetName val="토목공사"/>
      <sheetName val="총괄"/>
      <sheetName val="수량집계"/>
      <sheetName val="잡비계산"/>
      <sheetName val="익산"/>
      <sheetName val="현장경비"/>
      <sheetName val="Sheet2"/>
      <sheetName val="Sheet4"/>
      <sheetName val="1.설계조건"/>
      <sheetName val="부대공"/>
      <sheetName val="포장공"/>
      <sheetName val="토공"/>
      <sheetName val="일반공사"/>
      <sheetName val="연결관단위"/>
      <sheetName val="아파트건축"/>
      <sheetName val="청천내"/>
      <sheetName val="건축기성"/>
      <sheetName val="명세서"/>
      <sheetName val="본사업"/>
      <sheetName val="참조"/>
      <sheetName val="계정"/>
      <sheetName val="N賃率-職"/>
      <sheetName val="현장관리비데이타"/>
      <sheetName val="하부철근수량"/>
      <sheetName val="부대공-수량증감 내역서"/>
      <sheetName val="2공구하도급내역서"/>
      <sheetName val="집계표"/>
      <sheetName val="DATA1"/>
      <sheetName val="참조(X)"/>
      <sheetName val="4.  단락전류의 계산"/>
      <sheetName val="설계서을"/>
      <sheetName val="원가계산서"/>
      <sheetName val="2. 조도계산"/>
      <sheetName val="구천"/>
      <sheetName val="기둥(원형)"/>
      <sheetName val="기초공"/>
      <sheetName val="A LINE"/>
      <sheetName val="A_LINE"/>
      <sheetName val="일위대가(건축)"/>
      <sheetName val="설계내역서"/>
      <sheetName val="토공사(흙막이)"/>
      <sheetName val="평내중"/>
      <sheetName val="총괄내역"/>
      <sheetName val="도급예산내역서봉투"/>
      <sheetName val="설계산출표지"/>
      <sheetName val="을부담운반비"/>
      <sheetName val="운반비산출"/>
      <sheetName val="조명시설"/>
      <sheetName val="원가"/>
      <sheetName val="단위중량"/>
      <sheetName val="토목"/>
      <sheetName val="공사개요"/>
      <sheetName val="구리토평1전기"/>
      <sheetName val="도급양식"/>
      <sheetName val="카렌스센터계량기설치공사"/>
      <sheetName val="직노"/>
      <sheetName val="통로box전기"/>
      <sheetName val="오수관추가공사비"/>
      <sheetName val="설계산출기초"/>
      <sheetName val="급수"/>
      <sheetName val="일위_파일"/>
      <sheetName val="목록"/>
      <sheetName val="합천내역"/>
      <sheetName val="내역서(설비+소방)"/>
      <sheetName val="1단계"/>
      <sheetName val="교통표지판설치조서"/>
      <sheetName val="교각1"/>
      <sheetName val="공내역"/>
      <sheetName val="날개벽"/>
      <sheetName val="갑지"/>
      <sheetName val="물가대비표"/>
      <sheetName val="DATE"/>
      <sheetName val="건축"/>
      <sheetName val="대비"/>
      <sheetName val="단가비교"/>
      <sheetName val="전차선로 물량표"/>
      <sheetName val="PAC"/>
      <sheetName val="BOX전기내역"/>
      <sheetName val="단면제원"/>
      <sheetName val="가도공"/>
      <sheetName val="토공집계표"/>
      <sheetName val="견적내역"/>
      <sheetName val="산출내역서집계표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인원계획-미화"/>
      <sheetName val="견적단가"/>
      <sheetName val="단가(1)"/>
      <sheetName val="전기변내역"/>
      <sheetName val="NAI"/>
      <sheetName val="도시가스현황"/>
      <sheetName val="견적서"/>
      <sheetName val="30집계표"/>
      <sheetName val="ELECTRIC"/>
      <sheetName val="표지 (2)"/>
      <sheetName val="성남여성복지내역"/>
      <sheetName val="인건비 "/>
      <sheetName val="견적내역서"/>
      <sheetName val="은대내역서"/>
      <sheetName val="붙임8(당초)"/>
      <sheetName val="결과조달"/>
      <sheetName val="금액내역서"/>
      <sheetName val="밸브설치"/>
      <sheetName val="경상비"/>
      <sheetName val="건축내역"/>
      <sheetName val="부안일위"/>
      <sheetName val="도급"/>
      <sheetName val="실행대비"/>
      <sheetName val="도급내역"/>
      <sheetName val="세부내역"/>
      <sheetName val="연결임시"/>
      <sheetName val="구조물공"/>
      <sheetName val="2000년1차"/>
      <sheetName val="투찰추정"/>
      <sheetName val="도급내역5+800"/>
      <sheetName val="수목표준대가"/>
      <sheetName val="JUCKEYK"/>
      <sheetName val="도급금액"/>
      <sheetName val="재노경"/>
      <sheetName val="일위대가(가설)"/>
      <sheetName val="배수공"/>
      <sheetName val="실행철강하도"/>
      <sheetName val="일위대가(1)"/>
      <sheetName val="총공사내역서"/>
      <sheetName val="200"/>
      <sheetName val="설 계"/>
      <sheetName val="공사비예산서(토목분)"/>
      <sheetName val="CODE"/>
      <sheetName val="전기"/>
      <sheetName val="WORK"/>
      <sheetName val="노임"/>
      <sheetName val="충주"/>
      <sheetName val="입출재고현황 (2)"/>
      <sheetName val="2000전체분"/>
      <sheetName val="구조물철거타공정이월"/>
      <sheetName val="데이타"/>
      <sheetName val="식재인부"/>
      <sheetName val="Macro3"/>
      <sheetName val="data"/>
      <sheetName val="열린교실"/>
      <sheetName val="기술조건"/>
      <sheetName val="토적단위"/>
      <sheetName val="단위수량산출"/>
      <sheetName val="일위대가 집계표"/>
      <sheetName val="소비자가"/>
      <sheetName val="기자재비"/>
      <sheetName val="1.2 동력설비 부하계산서"/>
      <sheetName val="1.1 부하집계표"/>
      <sheetName val="초기화면"/>
      <sheetName val="관급자재"/>
      <sheetName val="일위목록"/>
      <sheetName val="제조노임"/>
      <sheetName val="가입망 선번"/>
      <sheetName val="단위량"/>
      <sheetName val="재료집계표2"/>
      <sheetName val="토적집계표"/>
      <sheetName val="BACKDATA1"/>
      <sheetName val="(참조)조명율"/>
      <sheetName val="(참조)케이블"/>
      <sheetName val="설명"/>
      <sheetName val="토사(PE)"/>
      <sheetName val="도급FORM"/>
      <sheetName val="실행내역 "/>
      <sheetName val="전기외주내역"/>
      <sheetName val="위치조서"/>
      <sheetName val="대비표"/>
      <sheetName val="일위대가 "/>
      <sheetName val="전담운영PM"/>
      <sheetName val="물량"/>
      <sheetName val="시설물기초"/>
      <sheetName val="Total"/>
      <sheetName val="도근좌표"/>
      <sheetName val="Mc1"/>
      <sheetName val="전체공내역서"/>
      <sheetName val="부재리스트"/>
      <sheetName val="설비2차"/>
      <sheetName val="PSCbeam설계"/>
      <sheetName val="남양시작동자105노65기1.3화1.2"/>
      <sheetName val="노무비지급명세"/>
      <sheetName val="수량산출근거(본선)"/>
      <sheetName val="노임이"/>
      <sheetName val="Sheet2 (2)"/>
      <sheetName val="L_RPTB02_01"/>
      <sheetName val="증감대비"/>
      <sheetName val="부표(010427)"/>
      <sheetName val="공통가설"/>
      <sheetName val="건축공사 집계표"/>
      <sheetName val="골조"/>
      <sheetName val="CTEMCOST"/>
      <sheetName val="캔개발배경"/>
      <sheetName val="시장"/>
      <sheetName val="일정표"/>
      <sheetName val="5사남"/>
      <sheetName val="검수기타설비금액"/>
      <sheetName val="개요"/>
      <sheetName val="부대tu"/>
      <sheetName val="노무비"/>
      <sheetName val="설계예산서"/>
      <sheetName val="정산"/>
      <sheetName val="AS포장복구 "/>
      <sheetName val="설계명세서"/>
      <sheetName val="자료입력"/>
      <sheetName val="예산명세서"/>
      <sheetName val="전기내역1"/>
      <sheetName val="원가계산서 "/>
      <sheetName val="단"/>
      <sheetName val="사통"/>
      <sheetName val="갑지(추정)"/>
      <sheetName val="99총공사내역서"/>
      <sheetName val="입력"/>
      <sheetName val="경비"/>
      <sheetName val="상선"/>
      <sheetName val="8.PILE  (돌출)"/>
      <sheetName val="수공기"/>
      <sheetName val="L_RPTB~1"/>
      <sheetName val="변수값"/>
      <sheetName val="중기상차"/>
      <sheetName val="AS복구"/>
      <sheetName val="중기터파기"/>
      <sheetName val="3.공통공사대비"/>
      <sheetName val="1차 내역서"/>
      <sheetName val="자재테이블1"/>
      <sheetName val="값"/>
      <sheetName val="6호기"/>
      <sheetName val="(포장)BOQ-실적공사"/>
      <sheetName val="이름정의"/>
      <sheetName val="01AA&amp;AB"/>
      <sheetName val="준검 내역서"/>
      <sheetName val="일단의 주택지"/>
      <sheetName val="ITEM"/>
      <sheetName val="BEND LOSS"/>
      <sheetName val="수량산출서"/>
      <sheetName val="통신물량"/>
      <sheetName val="가설공사내역"/>
      <sheetName val="세부내역서(소방)"/>
      <sheetName val="금액"/>
      <sheetName val="참조-(1)"/>
      <sheetName val="배관단가조사서"/>
      <sheetName val="허용전류"/>
      <sheetName val="조견표"/>
      <sheetName val="원가계산서(공사)"/>
      <sheetName val="S&amp;R"/>
      <sheetName val="단가산출서"/>
      <sheetName val="공종별자재"/>
      <sheetName val="관급자재대"/>
      <sheetName val="1구간BOQ"/>
      <sheetName val="설계서"/>
      <sheetName val="내역서2안"/>
      <sheetName val="실행"/>
      <sheetName val="양수장(기계)"/>
      <sheetName val="호표"/>
      <sheetName val="공량산출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효성CB 1P기초"/>
      <sheetName val="YES"/>
      <sheetName val="산출내역서집계표"/>
      <sheetName val="수량산출"/>
      <sheetName val="자재단가"/>
      <sheetName val="선로정수계산"/>
      <sheetName val="Total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일위대가"/>
      <sheetName val="총괄표"/>
      <sheetName val="분전함신설"/>
      <sheetName val="접지1종"/>
      <sheetName val="여과지동"/>
      <sheetName val="기초자료"/>
      <sheetName val="guard(mac)"/>
      <sheetName val="실내건축일위대가"/>
      <sheetName val="자재"/>
      <sheetName val="5.단가대비표"/>
      <sheetName val="원본(갑지)"/>
      <sheetName val="인건비"/>
      <sheetName val="노임"/>
      <sheetName val="예총"/>
      <sheetName val="자재운반단가일람표"/>
      <sheetName val="전등부하"/>
      <sheetName val="플랜트 설치"/>
      <sheetName val="대치판정"/>
      <sheetName val="제-노임"/>
      <sheetName val="제직재"/>
      <sheetName val="1.수인터널"/>
      <sheetName val="STORAGE"/>
      <sheetName val="Y-WORK"/>
      <sheetName val="토사(PE)"/>
      <sheetName val="#REF"/>
      <sheetName val="내역서"/>
      <sheetName val="Sheet1"/>
      <sheetName val="Macro1"/>
      <sheetName val="Macro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기안"/>
      <sheetName val="갑지"/>
      <sheetName val="견적서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JUCK"/>
      <sheetName val="N賃率-職"/>
      <sheetName val="간선계산"/>
      <sheetName val="일반공사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입찰안"/>
      <sheetName val="단가산출"/>
      <sheetName val="직노"/>
      <sheetName val="실행내역"/>
      <sheetName val="200"/>
      <sheetName val="견적조건"/>
      <sheetName val="견적조건(을지)"/>
      <sheetName val="내역"/>
      <sheetName val="을지"/>
      <sheetName val="DATA"/>
      <sheetName val="기초단가"/>
      <sheetName val="98지급계획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노무비"/>
      <sheetName val="2F 회의실견적(5_14 일대)"/>
      <sheetName val="지주목시비량산출서"/>
      <sheetName val="단가조사"/>
      <sheetName val="NOMUBI"/>
      <sheetName val="손익분석"/>
      <sheetName val="부대내역"/>
      <sheetName val="부하계산서"/>
      <sheetName val="0.집계"/>
      <sheetName val="정부노임단가"/>
      <sheetName val="원가"/>
      <sheetName val="C3"/>
      <sheetName val="MOTOR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설계예산서"/>
      <sheetName val="수량집계"/>
      <sheetName val="토목"/>
      <sheetName val="가로등내역서"/>
      <sheetName val="수량산출서"/>
      <sheetName val="ITEM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가공비"/>
      <sheetName val="개요"/>
      <sheetName val="주방환기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2000.11월설계내역"/>
      <sheetName val="집계표"/>
      <sheetName val="터파기및재료"/>
      <sheetName val="단가"/>
      <sheetName val="말뚝지지력산정"/>
      <sheetName val="전선 및 전선관"/>
      <sheetName val="실행철강하도"/>
      <sheetName val="조명율표"/>
      <sheetName val="내역서2안"/>
      <sheetName val="소야공정계획표"/>
      <sheetName val="봉양~조차장간고하개명(신설)"/>
      <sheetName val="준검 내역서"/>
      <sheetName val="6호기"/>
      <sheetName val="기계경비"/>
      <sheetName val="bid"/>
      <sheetName val="보증수수료산출"/>
      <sheetName val="하조서"/>
      <sheetName val="INPUT"/>
      <sheetName val="공사비예산서(토목분)"/>
      <sheetName val="각형맨홀"/>
      <sheetName val="수목단가"/>
      <sheetName val="시설수량표"/>
      <sheetName val="식재수량표"/>
      <sheetName val="일위목록"/>
      <sheetName val="가로등"/>
      <sheetName val="단가 및 재료비"/>
      <sheetName val="수목데이타 "/>
      <sheetName val="변압기 및 발전기 용량"/>
      <sheetName val="ASP포장"/>
      <sheetName val="일위대가표"/>
      <sheetName val="2000년1차"/>
      <sheetName val="주상도"/>
      <sheetName val="표지 (2)"/>
      <sheetName val="내역서(전기)"/>
      <sheetName val="점수계산1-2"/>
      <sheetName val="내역(설계)"/>
      <sheetName val="부대공사비"/>
      <sheetName val="현장관리비집계표"/>
      <sheetName val="3BL공동구 수량"/>
      <sheetName val="에너지동"/>
      <sheetName val="연습"/>
      <sheetName val="교각1"/>
      <sheetName val="단가산출서(기계)"/>
      <sheetName val="설계내역서"/>
      <sheetName val="- INFORMATION -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기계경비시간당손료목록"/>
      <sheetName val="동력부하(도산)"/>
      <sheetName val="건축개요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일위대가(목록)"/>
      <sheetName val="재료비"/>
      <sheetName val="보차도경계석"/>
      <sheetName val="터널조도"/>
      <sheetName val="건축공사"/>
      <sheetName val="BOX전기내역"/>
      <sheetName val="간접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요율"/>
      <sheetName val="일위목록-기"/>
      <sheetName val="지수"/>
      <sheetName val="기계설비"/>
      <sheetName val="기계내역"/>
      <sheetName val="Baby일위대가"/>
      <sheetName val="기계경비(시간당)"/>
      <sheetName val="램머"/>
      <sheetName val="대구실행"/>
      <sheetName val="입찰보고"/>
      <sheetName val="타공종이기"/>
      <sheetName val="철거집계"/>
      <sheetName val="가설건물"/>
      <sheetName val="노무비단가"/>
      <sheetName val="일위대가(가설)"/>
      <sheetName val="가로등부표"/>
      <sheetName val="제경비율"/>
      <sheetName val="재료"/>
      <sheetName val="조도계산서 (도서)"/>
      <sheetName val="LOPCALC"/>
      <sheetName val="MAIN_TABLE"/>
      <sheetName val="1.설계조건"/>
      <sheetName val="매립"/>
      <sheetName val="3-1.CB"/>
      <sheetName val="식생블럭단위수량"/>
      <sheetName val="일위대가목차"/>
      <sheetName val="아산추가1220"/>
      <sheetName val="당초"/>
      <sheetName val="XL4Poppy"/>
      <sheetName val="본공사"/>
      <sheetName val="DANGA"/>
      <sheetName val="BQ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단가일람"/>
      <sheetName val="unit 4"/>
      <sheetName val="Summary Sheets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공량산출서"/>
      <sheetName val="전차선로 물량표"/>
      <sheetName val="데이타"/>
      <sheetName val="실행내역서"/>
      <sheetName val="48전력선로일위"/>
      <sheetName val="96보완계획7.12"/>
      <sheetName val="1차설계변경내역"/>
      <sheetName val="율촌법률사무소2내역"/>
      <sheetName val="인건-측정"/>
      <sheetName val="우배수"/>
      <sheetName val="맨홀"/>
      <sheetName val="금호"/>
      <sheetName val="BID-도로"/>
      <sheetName val="001"/>
      <sheetName val="총계"/>
      <sheetName val="내력서"/>
      <sheetName val="본선차로수량집계표"/>
      <sheetName val="3.공통공사대비"/>
      <sheetName val="토공"/>
      <sheetName val="90.03실행 "/>
      <sheetName val="자료입력"/>
      <sheetName val="조명시설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금리계산"/>
      <sheetName val="지급자재"/>
      <sheetName val="99총공사내역서"/>
      <sheetName val="한강운반비"/>
      <sheetName val="공통(20-91)"/>
      <sheetName val="계수시트"/>
      <sheetName val="차액보증"/>
      <sheetName val="수주현황2월"/>
      <sheetName val="단면 (2)"/>
      <sheetName val="토공유동표"/>
      <sheetName val="교각계산"/>
      <sheetName val="WORK"/>
      <sheetName val="DATA1"/>
      <sheetName val="전기일위대가"/>
      <sheetName val="참고"/>
      <sheetName val="공사개요"/>
      <sheetName val="수입"/>
      <sheetName val="조건표"/>
      <sheetName val="JJ"/>
      <sheetName val="설계"/>
      <sheetName val="설 계"/>
      <sheetName val="코드표"/>
      <sheetName val="Sheet1 (2)"/>
      <sheetName val="단면(RW1)"/>
      <sheetName val="시설물일위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현황CODE"/>
      <sheetName val="손익현황"/>
      <sheetName val="3차설계"/>
      <sheetName val="기둥(원형)"/>
      <sheetName val="ABUT수량-A1"/>
      <sheetName val="주형"/>
      <sheetName val="밸브설치"/>
      <sheetName val="3.바닥판설계"/>
      <sheetName val="자재대"/>
      <sheetName val="기자재비"/>
      <sheetName val="현장관리비내역서"/>
      <sheetName val="포장복구집계"/>
      <sheetName val="금액내역서"/>
      <sheetName val="내역."/>
      <sheetName val="부대"/>
      <sheetName val="장비"/>
      <sheetName val="ETC"/>
      <sheetName val="SRC-B3U2"/>
      <sheetName val="현대물량"/>
      <sheetName val="신우"/>
      <sheetName val="변경비교-을"/>
      <sheetName val="참조-(1)"/>
      <sheetName val="점검총괄"/>
      <sheetName val="2000_11월설계내역"/>
      <sheetName val="부속동"/>
      <sheetName val="일위대가표(유단가)"/>
      <sheetName val="가감수량"/>
      <sheetName val="맨홀수량산출"/>
      <sheetName val="초기화면"/>
      <sheetName val="이름정의"/>
      <sheetName val="초기화면1"/>
      <sheetName val="2006기계경비산출표"/>
      <sheetName val="자재목록"/>
      <sheetName val="AIR SHOWER(3인용)"/>
      <sheetName val="MFAB"/>
      <sheetName val="MFRT"/>
      <sheetName val="MPKG"/>
      <sheetName val="MPRD"/>
      <sheetName val="일위"/>
      <sheetName val="금액"/>
      <sheetName val="돌망태단위수량"/>
      <sheetName val="말뚝물량"/>
      <sheetName val="(A)내역서"/>
      <sheetName val="약품공급2"/>
      <sheetName val="건축내역"/>
      <sheetName val="13LPMCC"/>
      <sheetName val="2000전체분"/>
      <sheetName val="sub"/>
      <sheetName val="조경일람"/>
      <sheetName val="3련 BOX"/>
      <sheetName val="5.정산서"/>
      <sheetName val="전력구구조물산근"/>
      <sheetName val="1"/>
      <sheetName val="토공(우물통,기타) "/>
      <sheetName val="공문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단위수량"/>
      <sheetName val="마장"/>
      <sheetName val="투찰가"/>
      <sheetName val="교대(A1)"/>
      <sheetName val="배수문수량산출(3)"/>
      <sheetName val="적현로"/>
      <sheetName val="토목주소"/>
      <sheetName val="프랜트면허"/>
      <sheetName val="첨부1"/>
      <sheetName val="3.하중산정4.지지력"/>
      <sheetName val="토목내역"/>
      <sheetName val="물량산출근거"/>
      <sheetName val="CONCRETE"/>
      <sheetName val="연령현황"/>
      <sheetName val="일위대가목록"/>
      <sheetName val="D-3503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CABLE SIZE-3"/>
      <sheetName val="공구원가계산"/>
      <sheetName val="1차증가원가계산"/>
      <sheetName val="간접1"/>
      <sheetName val="입찰결과(DATA)"/>
      <sheetName val="통장출금액"/>
      <sheetName val="소요자재"/>
      <sheetName val="노무산출서"/>
      <sheetName val="입출재고현황 (2)"/>
      <sheetName val="우수맨홀공제단위수량"/>
      <sheetName val="스톱로그내역"/>
      <sheetName val="JUCKEYK"/>
      <sheetName val="SG"/>
      <sheetName val="EQUIP-H"/>
      <sheetName val="경비_원본"/>
      <sheetName val="BASIC (2)"/>
      <sheetName val=" 상부공통집계(총괄)"/>
      <sheetName val="AS포장복구 "/>
      <sheetName val="20관리비율"/>
      <sheetName val="총괄집계표"/>
      <sheetName val="견적의뢰서"/>
      <sheetName val="상수도토공집계표"/>
      <sheetName val="견적대비"/>
      <sheetName val="9-1차이내역"/>
      <sheetName val="연결관산출조서"/>
      <sheetName val="포장공"/>
      <sheetName val="PO-BOQ"/>
      <sheetName val="옹벽수량집계"/>
      <sheetName val="1SPAN"/>
      <sheetName val="의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 refreshError="1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산출표지"/>
      <sheetName val="설계산출기초"/>
      <sheetName val="공사원가계산서"/>
      <sheetName val="도급예산내역서봉투"/>
      <sheetName val="도급예산내역서총괄표"/>
      <sheetName val="운반비산출"/>
      <sheetName val="을부담운반비"/>
      <sheetName val="laroux"/>
      <sheetName val="숫자"/>
      <sheetName val="전압강하율"/>
      <sheetName val="개소별명세표 (2)"/>
      <sheetName val="인공"/>
      <sheetName val="도면치수"/>
      <sheetName val="마지막일위대가표"/>
      <sheetName val="도급예산내역서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주포터널"/>
      <sheetName val="기본단가표"/>
      <sheetName val="청천내"/>
      <sheetName val="전선 및 전선관"/>
      <sheetName val="철거산출근거"/>
      <sheetName val="노임"/>
      <sheetName val="원가계산서 "/>
      <sheetName val="Sheet1"/>
      <sheetName val="확약서"/>
      <sheetName val="수량-가로등"/>
      <sheetName val="기초입력 DATA"/>
      <sheetName val="중강당 내역"/>
      <sheetName val="총괄표"/>
      <sheetName val="설계명세서"/>
      <sheetName val="일위대가"/>
      <sheetName val="노임단가"/>
      <sheetName val="자재단가_사급"/>
      <sheetName val="중기적산목록"/>
      <sheetName val="식재수량표"/>
      <sheetName val="내역서"/>
      <sheetName val="해평견적"/>
      <sheetName val="우수받이"/>
      <sheetName val="전기"/>
      <sheetName val="직재"/>
      <sheetName val="데이타"/>
      <sheetName val="목차"/>
      <sheetName val="1.설계설명서"/>
      <sheetName val="평가데이터"/>
      <sheetName val="설계내역서"/>
      <sheetName val="내역"/>
      <sheetName val="견적단가"/>
      <sheetName val="단가대비"/>
      <sheetName val="기자재비"/>
      <sheetName val="단가 (2)"/>
      <sheetName val="총괄내역서"/>
      <sheetName val="2-1. 경관조명 내역총괄표"/>
      <sheetName val="단가"/>
      <sheetName val="공량산출서"/>
      <sheetName val="2011공임"/>
      <sheetName val="기중"/>
      <sheetName val="1"/>
      <sheetName val="DATE"/>
      <sheetName val="조명시설"/>
      <sheetName val="현장경비"/>
      <sheetName val="전동기"/>
      <sheetName val="2.1 전선굵기"/>
      <sheetName val="가시설단위수량"/>
      <sheetName val="SORCE1"/>
      <sheetName val="단위수량"/>
      <sheetName val="소방"/>
      <sheetName val="실행대비"/>
      <sheetName val="단가조사-2"/>
      <sheetName val="효성CB 1P기초"/>
      <sheetName val="총괄설계내역서"/>
      <sheetName val="물집"/>
      <sheetName val="분전반계산서(석관)"/>
      <sheetName val="SAM"/>
      <sheetName val="총 원가계산"/>
      <sheetName val="대조표(0108)"/>
      <sheetName val="공사원가계산서 "/>
      <sheetName val="현장경상비"/>
      <sheetName val="한일양산"/>
      <sheetName val="관접합및부설"/>
      <sheetName val="아파트기별"/>
      <sheetName val="공리일"/>
      <sheetName val="산출3-동력"/>
      <sheetName val="산출4-전등"/>
      <sheetName val="일위대가표"/>
      <sheetName val="입력"/>
      <sheetName val="데리네이타현황"/>
      <sheetName val="DATA"/>
      <sheetName val="원가계산"/>
      <sheetName val="수량산출"/>
      <sheetName val="수량산출서"/>
      <sheetName val="단가(자재)"/>
      <sheetName val="단가(노임)"/>
      <sheetName val="기초목록"/>
      <sheetName val="Sheet5"/>
      <sheetName val="내역을"/>
      <sheetName val="VALUATESheet13"/>
      <sheetName val="참조"/>
      <sheetName val="일위대가 "/>
      <sheetName val="2.재료비"/>
      <sheetName val="12.보오링"/>
      <sheetName val="18.공내수압탄성자연"/>
      <sheetName val="최종견"/>
      <sheetName val="DATA1"/>
      <sheetName val="한강운반비"/>
      <sheetName val=""/>
      <sheetName val="부표총괄"/>
      <sheetName val="3월팀계 "/>
      <sheetName val="수안보-MBR1"/>
      <sheetName val="설계예산서"/>
      <sheetName val="예산내역서"/>
      <sheetName val="소상 &quot;1&quot;"/>
      <sheetName val="동원인원"/>
      <sheetName val="대치판정"/>
      <sheetName val="중기사용료산출근거"/>
      <sheetName val="단가 및 재료비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정수장감시"/>
      <sheetName val="배수지감시"/>
      <sheetName val="보안내역"/>
      <sheetName val="계측기집계"/>
      <sheetName val="감시단가"/>
      <sheetName val="감시수량계"/>
      <sheetName val="감시수량"/>
      <sheetName val="보안단가"/>
      <sheetName val="보안수량"/>
      <sheetName val="보안노무비"/>
      <sheetName val="목차"/>
      <sheetName val="일위표"/>
      <sheetName val="노임"/>
      <sheetName val="공급물품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5">
          <cell r="R5" t="str">
            <v>PROCESS CONTROL STATION(4차 송수펌프장)</v>
          </cell>
        </row>
        <row r="26">
          <cell r="R26" t="str">
            <v>PROCESS CONTROL STATION(3차 송수펌프장)</v>
          </cell>
        </row>
        <row r="39">
          <cell r="R39" t="str">
            <v>DATAWAY용 광접속자재</v>
          </cell>
        </row>
        <row r="55">
          <cell r="R55" t="str">
            <v>기존 설비 철거 및 정리작업</v>
          </cell>
        </row>
        <row r="59">
          <cell r="R59" t="str">
            <v>DCS &amp; PLC ENGINEERING FEE</v>
          </cell>
        </row>
        <row r="63">
          <cell r="R63" t="str">
            <v>SYSTEM SPARE PARTS(DCS)</v>
          </cell>
        </row>
        <row r="85">
          <cell r="R85" t="str">
            <v>TM/TC(PLC) PANEL</v>
          </cell>
        </row>
        <row r="101">
          <cell r="R101" t="str">
            <v>UPS &amp; BATTERY PANEL</v>
          </cell>
        </row>
        <row r="108">
          <cell r="R108" t="str">
            <v>POWER</v>
          </cell>
        </row>
        <row r="109">
          <cell r="R109" t="str">
            <v>SIGNAL</v>
          </cell>
        </row>
        <row r="110">
          <cell r="R110" t="str">
            <v>초음파수위계</v>
          </cell>
        </row>
        <row r="111">
          <cell r="R111" t="str">
            <v>초음파수위계용변환기박스</v>
          </cell>
        </row>
        <row r="112">
          <cell r="R112" t="str">
            <v>휴대용 잔류염소계</v>
          </cell>
        </row>
        <row r="113">
          <cell r="R113" t="str">
            <v>오뚜기식 L/S</v>
          </cell>
        </row>
        <row r="124">
          <cell r="R124" t="str">
            <v>유지 관리용 공구 및 예비 자재</v>
          </cell>
        </row>
        <row r="125">
          <cell r="R125" t="str">
            <v>SPARE PARTS</v>
          </cell>
        </row>
        <row r="135">
          <cell r="R135" t="str">
            <v>유지관리공구 및 예비자재</v>
          </cell>
        </row>
        <row r="145">
          <cell r="Q145" t="str">
            <v>CV 3Cx2.0sq</v>
          </cell>
          <cell r="R145">
            <v>478</v>
          </cell>
        </row>
        <row r="146">
          <cell r="Q146" t="str">
            <v>CVV 4Cx2.0sq</v>
          </cell>
          <cell r="R146">
            <v>598</v>
          </cell>
        </row>
        <row r="147">
          <cell r="Q147" t="str">
            <v>CVV-SB 2Cx2.0sq</v>
          </cell>
          <cell r="R147">
            <v>684</v>
          </cell>
        </row>
        <row r="148">
          <cell r="Q148" t="str">
            <v>CVV-SB 4Cx2.0sq</v>
          </cell>
          <cell r="R148">
            <v>979</v>
          </cell>
        </row>
        <row r="149">
          <cell r="Q149" t="str">
            <v>10C-HFL</v>
          </cell>
          <cell r="R149">
            <v>1118</v>
          </cell>
        </row>
        <row r="150">
          <cell r="Q150" t="str">
            <v>HDG 22mm</v>
          </cell>
          <cell r="R150">
            <v>1288</v>
          </cell>
        </row>
        <row r="151">
          <cell r="Q151" t="str">
            <v>HDG 28mm</v>
          </cell>
          <cell r="R151">
            <v>1685</v>
          </cell>
        </row>
        <row r="152">
          <cell r="Q152" t="str">
            <v>PLICA TUBE #24</v>
          </cell>
          <cell r="R152">
            <v>4900</v>
          </cell>
        </row>
        <row r="153">
          <cell r="Q153" t="str">
            <v>PLICA TUBE #30</v>
          </cell>
          <cell r="R153">
            <v>6400</v>
          </cell>
        </row>
        <row r="154">
          <cell r="Q154" t="str">
            <v>ELP 30mm</v>
          </cell>
          <cell r="R154">
            <v>330</v>
          </cell>
        </row>
        <row r="155">
          <cell r="Q155" t="str">
            <v>ELP 40mm</v>
          </cell>
          <cell r="R155">
            <v>510</v>
          </cell>
        </row>
        <row r="156">
          <cell r="Q156" t="str">
            <v>ELP 50mm</v>
          </cell>
          <cell r="R156">
            <v>620</v>
          </cell>
        </row>
        <row r="157">
          <cell r="Q157" t="str">
            <v>ELP 65mm</v>
          </cell>
          <cell r="R157">
            <v>850</v>
          </cell>
        </row>
        <row r="158">
          <cell r="Q158" t="str">
            <v>ELP 80mm</v>
          </cell>
          <cell r="R158">
            <v>1190</v>
          </cell>
        </row>
        <row r="159">
          <cell r="Q159" t="str">
            <v>난연 PE 전선관</v>
          </cell>
          <cell r="R159">
            <v>1280</v>
          </cell>
        </row>
        <row r="160">
          <cell r="Q160" t="str">
            <v>200x200x100</v>
          </cell>
          <cell r="R160">
            <v>3230</v>
          </cell>
        </row>
        <row r="161">
          <cell r="Q161" t="str">
            <v>300x300x200</v>
          </cell>
          <cell r="R161">
            <v>6800</v>
          </cell>
        </row>
        <row r="163">
          <cell r="Q163" t="str">
            <v>외경 9.6mm, 1.0t</v>
          </cell>
          <cell r="R163">
            <v>1010</v>
          </cell>
        </row>
        <row r="164">
          <cell r="Q164" t="str">
            <v>스프링와셔</v>
          </cell>
          <cell r="R164">
            <v>34.5</v>
          </cell>
        </row>
        <row r="165">
          <cell r="Q165" t="str">
            <v>너트</v>
          </cell>
          <cell r="R165">
            <v>56</v>
          </cell>
        </row>
        <row r="166">
          <cell r="Q166" t="str">
            <v>앵커볼트</v>
          </cell>
          <cell r="R166">
            <v>1100</v>
          </cell>
        </row>
        <row r="167">
          <cell r="Q167" t="str">
            <v>레미콘 135-40-8</v>
          </cell>
          <cell r="R167">
            <v>36700</v>
          </cell>
        </row>
        <row r="168">
          <cell r="Q168" t="str">
            <v>FOC 6C</v>
          </cell>
          <cell r="R168">
            <v>3347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>
        <row r="2">
          <cell r="G2" t="str">
            <v>항      목</v>
          </cell>
          <cell r="H2" t="str">
            <v>수량</v>
          </cell>
          <cell r="I2" t="str">
            <v>단위</v>
          </cell>
          <cell r="J2" t="str">
            <v>합 계</v>
          </cell>
          <cell r="K2" t="str">
            <v>노 무 비</v>
          </cell>
          <cell r="M2" t="str">
            <v>재 료 비</v>
          </cell>
          <cell r="O2" t="str">
            <v>경     비</v>
          </cell>
          <cell r="Q2" t="str">
            <v>비고</v>
          </cell>
        </row>
        <row r="3">
          <cell r="K3" t="str">
            <v>단가</v>
          </cell>
          <cell r="L3" t="str">
            <v>금액</v>
          </cell>
          <cell r="M3" t="str">
            <v>단가</v>
          </cell>
          <cell r="N3" t="str">
            <v>금액</v>
          </cell>
          <cell r="O3" t="str">
            <v>단가</v>
          </cell>
          <cell r="P3" t="str">
            <v>금액</v>
          </cell>
        </row>
        <row r="4">
          <cell r="G4" t="str">
            <v>CV 3Cx2.0sq</v>
          </cell>
          <cell r="H4">
            <v>1</v>
          </cell>
          <cell r="I4" t="str">
            <v>M</v>
          </cell>
          <cell r="J4">
            <v>1949</v>
          </cell>
          <cell r="K4">
            <v>1406</v>
          </cell>
          <cell r="L4">
            <v>1406</v>
          </cell>
          <cell r="M4">
            <v>501</v>
          </cell>
          <cell r="N4">
            <v>501</v>
          </cell>
          <cell r="O4">
            <v>42</v>
          </cell>
          <cell r="P4">
            <v>42</v>
          </cell>
          <cell r="R4">
            <v>1</v>
          </cell>
        </row>
        <row r="5">
          <cell r="G5" t="str">
            <v>CVV 4Cx2.0sq</v>
          </cell>
          <cell r="H5">
            <v>1</v>
          </cell>
          <cell r="I5" t="str">
            <v>M</v>
          </cell>
          <cell r="J5">
            <v>2608</v>
          </cell>
          <cell r="K5">
            <v>1924</v>
          </cell>
          <cell r="L5">
            <v>1924</v>
          </cell>
          <cell r="M5">
            <v>627</v>
          </cell>
          <cell r="N5">
            <v>627</v>
          </cell>
          <cell r="O5">
            <v>57</v>
          </cell>
          <cell r="P5">
            <v>57</v>
          </cell>
          <cell r="R5">
            <v>2</v>
          </cell>
        </row>
        <row r="6">
          <cell r="G6" t="str">
            <v>CVV-SB 2Cx2.0sq</v>
          </cell>
          <cell r="H6">
            <v>1</v>
          </cell>
          <cell r="I6" t="str">
            <v>M</v>
          </cell>
          <cell r="J6">
            <v>2013</v>
          </cell>
          <cell r="K6">
            <v>1258</v>
          </cell>
          <cell r="L6">
            <v>1258</v>
          </cell>
          <cell r="M6">
            <v>718</v>
          </cell>
          <cell r="N6">
            <v>718</v>
          </cell>
          <cell r="O6">
            <v>37</v>
          </cell>
          <cell r="P6">
            <v>37</v>
          </cell>
          <cell r="R6">
            <v>3</v>
          </cell>
        </row>
        <row r="7">
          <cell r="G7" t="str">
            <v>CVV-SB 4Cx2.0sq</v>
          </cell>
          <cell r="H7">
            <v>1</v>
          </cell>
          <cell r="I7" t="str">
            <v>M</v>
          </cell>
          <cell r="J7">
            <v>3466</v>
          </cell>
          <cell r="K7">
            <v>2368</v>
          </cell>
          <cell r="L7">
            <v>2368</v>
          </cell>
          <cell r="M7">
            <v>1027</v>
          </cell>
          <cell r="N7">
            <v>1027</v>
          </cell>
          <cell r="O7">
            <v>71</v>
          </cell>
          <cell r="P7">
            <v>71</v>
          </cell>
          <cell r="R7">
            <v>4</v>
          </cell>
        </row>
        <row r="8">
          <cell r="G8" t="str">
            <v>10C-HFL</v>
          </cell>
          <cell r="H8">
            <v>1</v>
          </cell>
          <cell r="I8" t="str">
            <v>M</v>
          </cell>
          <cell r="J8">
            <v>2226</v>
          </cell>
          <cell r="K8">
            <v>1023</v>
          </cell>
          <cell r="L8">
            <v>1023</v>
          </cell>
          <cell r="M8">
            <v>1173</v>
          </cell>
          <cell r="N8">
            <v>1173</v>
          </cell>
          <cell r="O8">
            <v>30</v>
          </cell>
          <cell r="P8">
            <v>30</v>
          </cell>
          <cell r="R8">
            <v>5</v>
          </cell>
        </row>
        <row r="9">
          <cell r="G9" t="str">
            <v>HDG 22mm</v>
          </cell>
          <cell r="H9">
            <v>1</v>
          </cell>
          <cell r="I9" t="str">
            <v>M</v>
          </cell>
          <cell r="J9">
            <v>7777</v>
          </cell>
          <cell r="K9">
            <v>6176</v>
          </cell>
          <cell r="L9">
            <v>6176</v>
          </cell>
          <cell r="M9">
            <v>1416</v>
          </cell>
          <cell r="N9">
            <v>1416</v>
          </cell>
          <cell r="O9">
            <v>185</v>
          </cell>
          <cell r="P9">
            <v>185</v>
          </cell>
          <cell r="R9">
            <v>6</v>
          </cell>
        </row>
        <row r="10">
          <cell r="G10" t="str">
            <v>HDG 28mm</v>
          </cell>
          <cell r="H10">
            <v>1</v>
          </cell>
          <cell r="I10" t="str">
            <v>M</v>
          </cell>
          <cell r="J10">
            <v>9948</v>
          </cell>
          <cell r="K10">
            <v>7860</v>
          </cell>
          <cell r="L10">
            <v>7860</v>
          </cell>
          <cell r="M10">
            <v>1853</v>
          </cell>
          <cell r="N10">
            <v>1853</v>
          </cell>
          <cell r="O10">
            <v>235</v>
          </cell>
          <cell r="P10">
            <v>235</v>
          </cell>
          <cell r="R10">
            <v>7</v>
          </cell>
        </row>
        <row r="11">
          <cell r="G11" t="str">
            <v>ELP 30mm</v>
          </cell>
          <cell r="H11">
            <v>1</v>
          </cell>
          <cell r="I11" t="str">
            <v>M</v>
          </cell>
          <cell r="J11">
            <v>3499</v>
          </cell>
          <cell r="K11">
            <v>3068</v>
          </cell>
          <cell r="L11">
            <v>3068</v>
          </cell>
          <cell r="M11">
            <v>339</v>
          </cell>
          <cell r="N11">
            <v>339</v>
          </cell>
          <cell r="O11">
            <v>92</v>
          </cell>
          <cell r="P11">
            <v>92</v>
          </cell>
          <cell r="R11">
            <v>8</v>
          </cell>
        </row>
        <row r="12">
          <cell r="G12" t="str">
            <v>ELP 40mm</v>
          </cell>
          <cell r="H12">
            <v>1</v>
          </cell>
          <cell r="I12" t="str">
            <v>M</v>
          </cell>
          <cell r="J12">
            <v>3685</v>
          </cell>
          <cell r="K12">
            <v>3068</v>
          </cell>
          <cell r="L12">
            <v>3068</v>
          </cell>
          <cell r="M12">
            <v>525</v>
          </cell>
          <cell r="N12">
            <v>525</v>
          </cell>
          <cell r="O12">
            <v>92</v>
          </cell>
          <cell r="P12">
            <v>92</v>
          </cell>
          <cell r="R12">
            <v>9</v>
          </cell>
        </row>
        <row r="13">
          <cell r="G13" t="str">
            <v>ELP 50mm</v>
          </cell>
          <cell r="H13">
            <v>1</v>
          </cell>
          <cell r="I13" t="str">
            <v>M</v>
          </cell>
          <cell r="J13">
            <v>3798</v>
          </cell>
          <cell r="K13">
            <v>3068</v>
          </cell>
          <cell r="L13">
            <v>3068</v>
          </cell>
          <cell r="M13">
            <v>638</v>
          </cell>
          <cell r="N13">
            <v>638</v>
          </cell>
          <cell r="O13">
            <v>92</v>
          </cell>
          <cell r="P13">
            <v>92</v>
          </cell>
          <cell r="R13">
            <v>10</v>
          </cell>
        </row>
        <row r="14">
          <cell r="G14" t="str">
            <v>ELP 65mm</v>
          </cell>
          <cell r="H14">
            <v>1</v>
          </cell>
          <cell r="I14" t="str">
            <v>M</v>
          </cell>
          <cell r="J14">
            <v>4773</v>
          </cell>
          <cell r="K14">
            <v>3785</v>
          </cell>
          <cell r="L14">
            <v>3785</v>
          </cell>
          <cell r="M14">
            <v>875</v>
          </cell>
          <cell r="N14">
            <v>875</v>
          </cell>
          <cell r="O14">
            <v>113</v>
          </cell>
          <cell r="P14">
            <v>113</v>
          </cell>
          <cell r="R14">
            <v>11</v>
          </cell>
        </row>
        <row r="15">
          <cell r="G15" t="str">
            <v>ELP 80mm</v>
          </cell>
          <cell r="H15">
            <v>1</v>
          </cell>
          <cell r="I15" t="str">
            <v>M</v>
          </cell>
          <cell r="J15">
            <v>5123</v>
          </cell>
          <cell r="K15">
            <v>3785</v>
          </cell>
          <cell r="L15">
            <v>3785</v>
          </cell>
          <cell r="M15">
            <v>1225</v>
          </cell>
          <cell r="N15">
            <v>1225</v>
          </cell>
          <cell r="O15">
            <v>113</v>
          </cell>
          <cell r="P15">
            <v>113</v>
          </cell>
          <cell r="R15">
            <v>12</v>
          </cell>
        </row>
        <row r="16">
          <cell r="G16" t="str">
            <v>PLICA TUBE #24</v>
          </cell>
          <cell r="H16">
            <v>1</v>
          </cell>
          <cell r="I16" t="str">
            <v>M</v>
          </cell>
          <cell r="J16">
            <v>9783</v>
          </cell>
          <cell r="K16">
            <v>4266</v>
          </cell>
          <cell r="L16">
            <v>4266</v>
          </cell>
          <cell r="M16">
            <v>5390</v>
          </cell>
          <cell r="N16">
            <v>5390</v>
          </cell>
          <cell r="O16">
            <v>127</v>
          </cell>
          <cell r="P16">
            <v>127</v>
          </cell>
          <cell r="R16">
            <v>13</v>
          </cell>
        </row>
        <row r="17">
          <cell r="G17" t="str">
            <v>PLICA TUBE #30</v>
          </cell>
          <cell r="H17">
            <v>1</v>
          </cell>
          <cell r="I17" t="str">
            <v>M</v>
          </cell>
          <cell r="J17">
            <v>11433</v>
          </cell>
          <cell r="K17">
            <v>4266</v>
          </cell>
          <cell r="L17">
            <v>4266</v>
          </cell>
          <cell r="M17">
            <v>7040</v>
          </cell>
          <cell r="N17">
            <v>7040</v>
          </cell>
          <cell r="O17">
            <v>127</v>
          </cell>
          <cell r="P17">
            <v>127</v>
          </cell>
          <cell r="R17">
            <v>14</v>
          </cell>
        </row>
        <row r="18">
          <cell r="G18" t="str">
            <v>PULL BOX(200x200x100)</v>
          </cell>
          <cell r="H18">
            <v>1</v>
          </cell>
          <cell r="I18" t="str">
            <v>EA</v>
          </cell>
          <cell r="J18">
            <v>41395</v>
          </cell>
          <cell r="K18">
            <v>37054</v>
          </cell>
          <cell r="L18">
            <v>37054</v>
          </cell>
          <cell r="M18">
            <v>3230</v>
          </cell>
          <cell r="N18">
            <v>3230</v>
          </cell>
          <cell r="O18">
            <v>1111</v>
          </cell>
          <cell r="P18">
            <v>1111</v>
          </cell>
          <cell r="R18">
            <v>15</v>
          </cell>
        </row>
        <row r="19">
          <cell r="G19" t="str">
            <v>PULL BOX(300x300x200)</v>
          </cell>
          <cell r="H19">
            <v>1</v>
          </cell>
          <cell r="I19" t="str">
            <v>EA</v>
          </cell>
          <cell r="J19">
            <v>44965</v>
          </cell>
          <cell r="K19">
            <v>37054</v>
          </cell>
          <cell r="L19">
            <v>37054</v>
          </cell>
          <cell r="M19">
            <v>6800</v>
          </cell>
          <cell r="N19">
            <v>6800</v>
          </cell>
          <cell r="O19">
            <v>1111</v>
          </cell>
          <cell r="P19">
            <v>1111</v>
          </cell>
          <cell r="R19">
            <v>16</v>
          </cell>
        </row>
        <row r="20">
          <cell r="G20" t="str">
            <v>HAND HALL(800x800x1000)</v>
          </cell>
          <cell r="H20">
            <v>1</v>
          </cell>
          <cell r="I20" t="str">
            <v>EA</v>
          </cell>
          <cell r="J20">
            <v>534456</v>
          </cell>
          <cell r="K20">
            <v>339893</v>
          </cell>
          <cell r="L20">
            <v>339893</v>
          </cell>
          <cell r="M20">
            <v>190923</v>
          </cell>
          <cell r="N20">
            <v>190923</v>
          </cell>
          <cell r="O20">
            <v>3640</v>
          </cell>
          <cell r="P20">
            <v>3640</v>
          </cell>
          <cell r="R20">
            <v>17</v>
          </cell>
        </row>
        <row r="21">
          <cell r="G21" t="str">
            <v>PE 28mm</v>
          </cell>
          <cell r="H21">
            <v>1</v>
          </cell>
          <cell r="I21" t="str">
            <v>M</v>
          </cell>
          <cell r="J21">
            <v>1801</v>
          </cell>
          <cell r="K21">
            <v>506</v>
          </cell>
          <cell r="L21">
            <v>506</v>
          </cell>
          <cell r="M21">
            <v>1280</v>
          </cell>
          <cell r="N21">
            <v>1280</v>
          </cell>
          <cell r="O21">
            <v>15</v>
          </cell>
          <cell r="P21">
            <v>15</v>
          </cell>
          <cell r="R21">
            <v>18</v>
          </cell>
        </row>
        <row r="22">
          <cell r="G22" t="str">
            <v>FOC 6C(감시제어용)</v>
          </cell>
          <cell r="H22">
            <v>1</v>
          </cell>
          <cell r="I22" t="str">
            <v>1192M</v>
          </cell>
          <cell r="J22">
            <v>7442268</v>
          </cell>
          <cell r="K22">
            <v>3238349</v>
          </cell>
          <cell r="L22">
            <v>3238349</v>
          </cell>
          <cell r="M22">
            <v>4106769</v>
          </cell>
          <cell r="N22">
            <v>4106769</v>
          </cell>
          <cell r="O22">
            <v>97150</v>
          </cell>
          <cell r="P22">
            <v>97150</v>
          </cell>
          <cell r="R22">
            <v>19</v>
          </cell>
        </row>
        <row r="23">
          <cell r="G23" t="str">
            <v>FOC 6C(보안설비및예비용)</v>
          </cell>
          <cell r="H23">
            <v>1</v>
          </cell>
          <cell r="I23" t="str">
            <v>1192M</v>
          </cell>
          <cell r="J23">
            <v>6747836</v>
          </cell>
          <cell r="K23">
            <v>2564143</v>
          </cell>
          <cell r="L23">
            <v>2564143</v>
          </cell>
          <cell r="M23">
            <v>4106769</v>
          </cell>
          <cell r="N23">
            <v>4106769</v>
          </cell>
          <cell r="O23">
            <v>76924</v>
          </cell>
          <cell r="P23">
            <v>76924</v>
          </cell>
          <cell r="R23">
            <v>20</v>
          </cell>
        </row>
        <row r="24">
          <cell r="G24" t="str">
            <v>현장 변환기박스 기초</v>
          </cell>
          <cell r="H24">
            <v>1</v>
          </cell>
          <cell r="I24" t="str">
            <v>개소</v>
          </cell>
          <cell r="J24">
            <v>58783</v>
          </cell>
          <cell r="K24">
            <v>33958</v>
          </cell>
          <cell r="L24">
            <v>33958</v>
          </cell>
          <cell r="M24">
            <v>24704</v>
          </cell>
          <cell r="N24">
            <v>24704</v>
          </cell>
          <cell r="O24">
            <v>121</v>
          </cell>
          <cell r="P24">
            <v>121</v>
          </cell>
          <cell r="R24">
            <v>21</v>
          </cell>
        </row>
        <row r="25">
          <cell r="G25" t="str">
            <v>변환기박스 설치</v>
          </cell>
          <cell r="H25">
            <v>1</v>
          </cell>
          <cell r="I25" t="str">
            <v>개소</v>
          </cell>
          <cell r="J25">
            <v>119492</v>
          </cell>
          <cell r="K25">
            <v>116012</v>
          </cell>
          <cell r="L25">
            <v>116012</v>
          </cell>
          <cell r="M25">
            <v>0</v>
          </cell>
          <cell r="N25">
            <v>0</v>
          </cell>
          <cell r="O25">
            <v>3480</v>
          </cell>
          <cell r="P25">
            <v>3480</v>
          </cell>
          <cell r="R25">
            <v>22</v>
          </cell>
        </row>
        <row r="26">
          <cell r="G26" t="str">
            <v>초음파 수위계</v>
          </cell>
          <cell r="H26">
            <v>1</v>
          </cell>
          <cell r="I26" t="str">
            <v>SET</v>
          </cell>
          <cell r="J26">
            <v>243743</v>
          </cell>
          <cell r="K26">
            <v>213532</v>
          </cell>
          <cell r="L26">
            <v>213532</v>
          </cell>
          <cell r="M26">
            <v>24704</v>
          </cell>
          <cell r="N26">
            <v>24704</v>
          </cell>
          <cell r="O26">
            <v>5507</v>
          </cell>
          <cell r="P26">
            <v>5507</v>
          </cell>
          <cell r="R26">
            <v>23</v>
          </cell>
        </row>
        <row r="27">
          <cell r="G27" t="str">
            <v>오뚜기식 레벨스위치(2P)</v>
          </cell>
          <cell r="H27">
            <v>1</v>
          </cell>
          <cell r="I27" t="str">
            <v>SET</v>
          </cell>
          <cell r="J27">
            <v>45540</v>
          </cell>
          <cell r="K27">
            <v>44214</v>
          </cell>
          <cell r="L27">
            <v>44214</v>
          </cell>
          <cell r="M27">
            <v>0</v>
          </cell>
          <cell r="N27">
            <v>0</v>
          </cell>
          <cell r="O27">
            <v>1326</v>
          </cell>
          <cell r="P27">
            <v>1326</v>
          </cell>
          <cell r="R27">
            <v>24</v>
          </cell>
        </row>
        <row r="28">
          <cell r="G28" t="str">
            <v>터파기</v>
          </cell>
          <cell r="H28">
            <v>1</v>
          </cell>
          <cell r="I28" t="str">
            <v>m3</v>
          </cell>
          <cell r="J28">
            <v>1317</v>
          </cell>
          <cell r="K28">
            <v>958</v>
          </cell>
          <cell r="L28">
            <v>958</v>
          </cell>
          <cell r="M28">
            <v>161</v>
          </cell>
          <cell r="N28">
            <v>161</v>
          </cell>
          <cell r="O28">
            <v>198</v>
          </cell>
          <cell r="P28">
            <v>198</v>
          </cell>
          <cell r="R28">
            <v>25</v>
          </cell>
        </row>
        <row r="29">
          <cell r="G29" t="str">
            <v>되메우기</v>
          </cell>
          <cell r="H29">
            <v>1</v>
          </cell>
          <cell r="I29" t="str">
            <v>m3</v>
          </cell>
          <cell r="J29">
            <v>1965</v>
          </cell>
          <cell r="K29">
            <v>1620</v>
          </cell>
          <cell r="L29">
            <v>1620</v>
          </cell>
          <cell r="M29">
            <v>172</v>
          </cell>
          <cell r="N29">
            <v>172</v>
          </cell>
          <cell r="O29">
            <v>173</v>
          </cell>
          <cell r="P29">
            <v>173</v>
          </cell>
          <cell r="R29">
            <v>26</v>
          </cell>
        </row>
        <row r="30">
          <cell r="G30" t="str">
            <v>잔토처리</v>
          </cell>
          <cell r="H30">
            <v>1</v>
          </cell>
          <cell r="I30" t="str">
            <v>m3</v>
          </cell>
          <cell r="J30">
            <v>8184</v>
          </cell>
          <cell r="K30">
            <v>8184</v>
          </cell>
          <cell r="L30">
            <v>8184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R30">
            <v>27</v>
          </cell>
        </row>
        <row r="31">
          <cell r="G31" t="str">
            <v>UPS &amp; BATTERY PANEL</v>
          </cell>
          <cell r="H31">
            <v>1</v>
          </cell>
          <cell r="I31" t="str">
            <v>개</v>
          </cell>
          <cell r="J31">
            <v>539851</v>
          </cell>
          <cell r="K31">
            <v>524128</v>
          </cell>
          <cell r="L31">
            <v>524128</v>
          </cell>
          <cell r="M31">
            <v>0</v>
          </cell>
          <cell r="N31">
            <v>0</v>
          </cell>
          <cell r="O31">
            <v>15723</v>
          </cell>
          <cell r="P31">
            <v>15723</v>
          </cell>
          <cell r="R31">
            <v>28</v>
          </cell>
        </row>
        <row r="32">
          <cell r="R32">
            <v>0</v>
          </cell>
        </row>
      </sheetData>
      <sheetData sheetId="12" refreshError="1"/>
      <sheetData sheetId="13">
        <row r="1">
          <cell r="B1" t="str">
            <v>2002년 상반기 - 01.9</v>
          </cell>
        </row>
        <row r="2">
          <cell r="B2" t="str">
            <v>건축목공</v>
          </cell>
          <cell r="C2">
            <v>69086</v>
          </cell>
        </row>
        <row r="3">
          <cell r="B3" t="str">
            <v>형틀목공</v>
          </cell>
          <cell r="C3">
            <v>71251</v>
          </cell>
        </row>
        <row r="4">
          <cell r="B4" t="str">
            <v>철공</v>
          </cell>
          <cell r="C4">
            <v>63963</v>
          </cell>
        </row>
        <row r="5">
          <cell r="B5" t="str">
            <v>철근공</v>
          </cell>
          <cell r="C5">
            <v>73192</v>
          </cell>
        </row>
        <row r="6">
          <cell r="B6" t="str">
            <v>비계공</v>
          </cell>
          <cell r="C6">
            <v>75140</v>
          </cell>
        </row>
        <row r="7">
          <cell r="B7" t="str">
            <v>미장공</v>
          </cell>
        </row>
        <row r="8">
          <cell r="B8" t="str">
            <v>방수공</v>
          </cell>
        </row>
        <row r="9">
          <cell r="B9" t="str">
            <v>콘크리트공</v>
          </cell>
        </row>
        <row r="10">
          <cell r="B10" t="str">
            <v>배관공</v>
          </cell>
          <cell r="C10">
            <v>60590</v>
          </cell>
        </row>
        <row r="11">
          <cell r="B11" t="str">
            <v>도장공</v>
          </cell>
          <cell r="C11">
            <v>59780</v>
          </cell>
        </row>
        <row r="12">
          <cell r="B12" t="str">
            <v>송전전공</v>
          </cell>
        </row>
        <row r="13">
          <cell r="B13" t="str">
            <v>배전전공</v>
          </cell>
          <cell r="C13">
            <v>156907</v>
          </cell>
        </row>
        <row r="14">
          <cell r="B14" t="str">
            <v>플랜트전공</v>
          </cell>
          <cell r="C14">
            <v>59669</v>
          </cell>
        </row>
        <row r="15">
          <cell r="B15" t="str">
            <v>내선전공</v>
          </cell>
          <cell r="C15">
            <v>56143</v>
          </cell>
        </row>
        <row r="16">
          <cell r="B16" t="str">
            <v>고압케이블전공</v>
          </cell>
        </row>
        <row r="17">
          <cell r="B17" t="str">
            <v>저압케이블전공</v>
          </cell>
          <cell r="C17">
            <v>73973</v>
          </cell>
        </row>
        <row r="18">
          <cell r="B18" t="str">
            <v>계장공</v>
          </cell>
          <cell r="C18">
            <v>62012</v>
          </cell>
        </row>
        <row r="19">
          <cell r="B19" t="str">
            <v>통신외선공</v>
          </cell>
          <cell r="C19">
            <v>90961</v>
          </cell>
        </row>
        <row r="20">
          <cell r="B20" t="str">
            <v>통신설비공</v>
          </cell>
          <cell r="C20">
            <v>77401</v>
          </cell>
        </row>
        <row r="21">
          <cell r="B21" t="str">
            <v>통신내선공</v>
          </cell>
          <cell r="C21">
            <v>63806</v>
          </cell>
        </row>
        <row r="22">
          <cell r="B22" t="str">
            <v>통신케이블공</v>
          </cell>
          <cell r="C22">
            <v>95424</v>
          </cell>
        </row>
        <row r="23">
          <cell r="B23" t="str">
            <v>무선안테나공</v>
          </cell>
          <cell r="C23">
            <v>95000</v>
          </cell>
        </row>
        <row r="24">
          <cell r="B24" t="str">
            <v>목도공</v>
          </cell>
          <cell r="C24">
            <v>67725</v>
          </cell>
        </row>
        <row r="25">
          <cell r="B25" t="str">
            <v>특별인부</v>
          </cell>
          <cell r="C25">
            <v>55970</v>
          </cell>
        </row>
        <row r="26">
          <cell r="B26" t="str">
            <v>보통인부</v>
          </cell>
          <cell r="C26">
            <v>40922</v>
          </cell>
        </row>
        <row r="27">
          <cell r="B27" t="str">
            <v>건설기계운전기사</v>
          </cell>
        </row>
        <row r="28">
          <cell r="B28" t="str">
            <v>건설기계조장</v>
          </cell>
        </row>
        <row r="29">
          <cell r="B29" t="str">
            <v>건설기계운전조수</v>
          </cell>
        </row>
        <row r="30">
          <cell r="B30" t="str">
            <v>기계설치공</v>
          </cell>
        </row>
        <row r="31">
          <cell r="B31" t="str">
            <v>기계공</v>
          </cell>
          <cell r="C31">
            <v>49113</v>
          </cell>
        </row>
        <row r="32">
          <cell r="B32" t="str">
            <v>용접공</v>
          </cell>
          <cell r="C32">
            <v>63468</v>
          </cell>
        </row>
        <row r="33">
          <cell r="B33" t="str">
            <v>통신관련기사</v>
          </cell>
          <cell r="C33">
            <v>92355</v>
          </cell>
        </row>
        <row r="34">
          <cell r="B34" t="str">
            <v>통신관련산업기사</v>
          </cell>
          <cell r="C34">
            <v>91949</v>
          </cell>
        </row>
        <row r="35">
          <cell r="B35" t="str">
            <v>전기공사기사</v>
          </cell>
          <cell r="C35">
            <v>64800</v>
          </cell>
        </row>
        <row r="36">
          <cell r="B36" t="str">
            <v>전기공사산업기사</v>
          </cell>
          <cell r="C36">
            <v>62990</v>
          </cell>
        </row>
        <row r="37">
          <cell r="B37" t="str">
            <v>H/W 설치사</v>
          </cell>
          <cell r="C37">
            <v>82720</v>
          </cell>
        </row>
        <row r="38">
          <cell r="B38" t="str">
            <v>H/W 시험사</v>
          </cell>
          <cell r="C38">
            <v>89846</v>
          </cell>
        </row>
        <row r="39">
          <cell r="B39" t="str">
            <v>S/W 시험사</v>
          </cell>
          <cell r="C39">
            <v>98026</v>
          </cell>
        </row>
        <row r="40">
          <cell r="B40" t="str">
            <v>CPU 시험사</v>
          </cell>
          <cell r="C40">
            <v>88355</v>
          </cell>
        </row>
        <row r="41">
          <cell r="B41" t="str">
            <v>광케이블설치사</v>
          </cell>
          <cell r="C41">
            <v>104231</v>
          </cell>
        </row>
        <row r="42">
          <cell r="B42" t="str">
            <v>신호공</v>
          </cell>
          <cell r="C42">
            <v>91681</v>
          </cell>
        </row>
      </sheetData>
      <sheetData sheetId="1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비교표"/>
      <sheetName val="단가산출-1"/>
      <sheetName val="단가산출-2"/>
      <sheetName val="되메우기"/>
      <sheetName val="노무비 근거"/>
      <sheetName val="물가대비표"/>
      <sheetName val="요율"/>
      <sheetName val="노임"/>
      <sheetName val="감시단가"/>
      <sheetName val="목차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특별교실"/>
      <sheetName val="기숙사"/>
      <sheetName val="화장실"/>
      <sheetName val="총집계-1"/>
      <sheetName val="총집계-2"/>
      <sheetName val="원가-1"/>
      <sheetName val="원가-2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기안"/>
      <sheetName val="갑지"/>
      <sheetName val="견적서"/>
      <sheetName val="내역서"/>
      <sheetName val="4월 실적추정(건축+토목)"/>
      <sheetName val="4월 실적추정(건축)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무비"/>
      <sheetName val="Macro(전선)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일반공사"/>
      <sheetName val="JUCK"/>
      <sheetName val="말뚝지지력산정"/>
      <sheetName val="N賃率-職"/>
      <sheetName val="간선계산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표지 (2)"/>
      <sheetName val="단가산출"/>
      <sheetName val="일위대가"/>
      <sheetName val="남양시작동자105노65기1.3화1.2"/>
      <sheetName val="을"/>
      <sheetName val="FILE1"/>
      <sheetName val="입찰안"/>
      <sheetName val="Baby일위대가"/>
      <sheetName val="대구실행"/>
      <sheetName val="0.집계"/>
      <sheetName val="1.수변전설비공사"/>
      <sheetName val="매립"/>
      <sheetName val="토공"/>
      <sheetName val="ITEM"/>
      <sheetName val="조명율표"/>
      <sheetName val="을지"/>
      <sheetName val="보차도경계석"/>
      <sheetName val="부하계산서"/>
      <sheetName val="일위대가목차"/>
      <sheetName val="48전력선로일위"/>
      <sheetName val="98지급계획"/>
      <sheetName val="MOTOR"/>
      <sheetName val="직노"/>
      <sheetName val="실행내역"/>
      <sheetName val="DATA"/>
      <sheetName val="기초단가"/>
      <sheetName val="아산추가1220"/>
      <sheetName val="200"/>
      <sheetName val="인건비"/>
      <sheetName val="당초"/>
      <sheetName val="3-1.CB"/>
      <sheetName val="부대내역"/>
      <sheetName val="unit 4"/>
      <sheetName val="제-노임"/>
      <sheetName val="제직재"/>
      <sheetName val="I一般比"/>
      <sheetName val="조도계산서 (도서)"/>
      <sheetName val="49-119"/>
      <sheetName val="전선"/>
      <sheetName val="CABLE"/>
      <sheetName val="일위대가(가설)"/>
      <sheetName val="자재단가"/>
      <sheetName val="2F 회의실견적(5_14 일대)"/>
      <sheetName val="공사원가계산서)"/>
      <sheetName val="내역집계표"/>
      <sheetName val="전기내역"/>
      <sheetName val="산출근거"/>
      <sheetName val="대가집계표"/>
      <sheetName val="대가전기"/>
      <sheetName val="자료"/>
      <sheetName val="집계표(관급)"/>
      <sheetName val="전기내역관급"/>
      <sheetName val="DANGA"/>
      <sheetName val="연부97-1"/>
      <sheetName val="갑지1"/>
      <sheetName val="수량산출"/>
      <sheetName val="입찰보고"/>
      <sheetName val="Macro1"/>
      <sheetName val="#REF"/>
      <sheetName val="내역"/>
      <sheetName val="재료"/>
      <sheetName val="내역(설계)"/>
      <sheetName val="식생블럭단위수량"/>
      <sheetName val="MAIN_TABLE"/>
      <sheetName val="1.설계조건"/>
      <sheetName val="LOPCALC"/>
      <sheetName val="가로등부표"/>
      <sheetName val="제경비율"/>
      <sheetName val="XL4Poppy"/>
      <sheetName val="준검 내역서"/>
      <sheetName val="96보완계획7.12"/>
      <sheetName val="부대공Ⅱ"/>
      <sheetName val="신우"/>
      <sheetName val="발신정보"/>
      <sheetName val="재집"/>
      <sheetName val="직재"/>
      <sheetName val="부하(성남)"/>
      <sheetName val="J直材4"/>
      <sheetName val="대치판정"/>
      <sheetName val="AIR SHOWER(3인용)"/>
      <sheetName val="설계내역서"/>
      <sheetName val="본공사"/>
      <sheetName val="대비"/>
      <sheetName val="연습"/>
      <sheetName val="전선 및 전선관"/>
      <sheetName val="구역화물"/>
      <sheetName val="단가일람"/>
      <sheetName val="기계경비(시간당)"/>
      <sheetName val="램머"/>
      <sheetName val="중기일위대가"/>
      <sheetName val="단위단가"/>
      <sheetName val="노무비단가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STORAGE"/>
      <sheetName val="Y-WORK"/>
      <sheetName val="설계예산서"/>
      <sheetName val="수량집계"/>
      <sheetName val="토목"/>
      <sheetName val="가로등내역서"/>
      <sheetName val="수량산출서"/>
      <sheetName val="2000.11월설계내역"/>
      <sheetName val="터파기및재료"/>
      <sheetName val="점수계산1-2"/>
      <sheetName val="BID"/>
      <sheetName val="부대공사비"/>
      <sheetName val="현장관리비집계표"/>
      <sheetName val="1.수인터널"/>
      <sheetName val="BQ"/>
      <sheetName val="CA지입"/>
      <sheetName val="손익분석"/>
      <sheetName val="노임"/>
      <sheetName val="ITB COST"/>
      <sheetName val="집계표"/>
      <sheetName val="Sheet17"/>
      <sheetName val="U-TYPE(1)"/>
      <sheetName val="자료입력"/>
      <sheetName val="예산명세서"/>
      <sheetName val="단가조사"/>
      <sheetName val="우배수"/>
      <sheetName val="맨홀"/>
      <sheetName val="금호"/>
      <sheetName val="정부노임단가"/>
      <sheetName val="단가"/>
      <sheetName val="총괄표"/>
      <sheetName val="실행철강하도"/>
      <sheetName val="내역서2안"/>
      <sheetName val="소야공정계획표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본선차로수량집계표"/>
      <sheetName val="수주현황2월"/>
      <sheetName val="단면 (2)"/>
      <sheetName val="토공유동표"/>
      <sheetName val="교각계산"/>
      <sheetName val="실행내역서"/>
      <sheetName val="INPUT"/>
      <sheetName val="적용공정"/>
      <sheetName val="L_RPTB02_01"/>
      <sheetName val="1차설계변경내역"/>
      <sheetName val="수량"/>
      <sheetName val="노원열병합  건축공사기성내역서"/>
      <sheetName val="설직재-1"/>
      <sheetName val="CTEMCOST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경상직원"/>
      <sheetName val="금리계산"/>
      <sheetName val="C3"/>
      <sheetName val="설계명세서"/>
      <sheetName val="6PILE  (돌출)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공종별내역서"/>
      <sheetName val="데이타"/>
      <sheetName val="율촌법률사무소2내역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ÀÔÂû¾È"/>
      <sheetName val="ºÎÇÏ°è»ê¼­"/>
      <sheetName val="À»Áö"/>
      <sheetName val="Á¶µµ°è»ê¼­ (µµ¼­)"/>
      <sheetName val="´Ü°¡»êÃâ"/>
      <sheetName val="°ßÀûÁ¶°Ç"/>
      <sheetName val="°ßÀûÁ¶°Ç(À»Áö)"/>
      <sheetName val="Á÷³ë"/>
      <sheetName val="½ÇÇà³»¿ª"/>
      <sheetName val="토량산출서"/>
      <sheetName val="철거집계"/>
      <sheetName val="건축공사"/>
      <sheetName val="가설건물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목차"/>
      <sheetName val=" 견적서"/>
      <sheetName val="산출내역서"/>
      <sheetName val="고분전시관"/>
      <sheetName val="설비"/>
      <sheetName val="원가계산서"/>
      <sheetName val="지급자재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DATE"/>
      <sheetName val="철거산출근거"/>
      <sheetName val="설비내역서"/>
      <sheetName val="건축내역서"/>
      <sheetName val="전기내역서"/>
      <sheetName val="001"/>
      <sheetName val="총계"/>
      <sheetName val="99총공사내역서"/>
      <sheetName val="98NS-N"/>
      <sheetName val="Summary Sheets"/>
      <sheetName val="요율"/>
      <sheetName val="일위목록-기"/>
      <sheetName val="Module11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L_RPTA05_목록"/>
      <sheetName val="지진시"/>
      <sheetName val="Total"/>
      <sheetName val="BID-도로"/>
      <sheetName val="내력서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3.공통공사대비"/>
      <sheetName val="90.03실행 "/>
      <sheetName val="기계경비"/>
      <sheetName val="봉양~조차장간고하개명(신설)"/>
      <sheetName val="단가 및 재료비"/>
      <sheetName val="주상도"/>
      <sheetName val="6호기"/>
      <sheetName val="하조서"/>
      <sheetName val="보증수수료산출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인건-측정"/>
      <sheetName val="접지수량"/>
      <sheetName val="20관리비율"/>
      <sheetName val="입적표"/>
      <sheetName val="지주목시비량산출서"/>
      <sheetName val="암거날개벽재료집계"/>
      <sheetName val="위치조서"/>
      <sheetName val="등록자료"/>
      <sheetName val="입력정보"/>
      <sheetName val="주사무실종합"/>
      <sheetName val="조명시설"/>
      <sheetName val="본부소개"/>
      <sheetName val="기초자료"/>
      <sheetName val="여과지동"/>
      <sheetName val="내역표지"/>
      <sheetName val="현관"/>
      <sheetName val="포장공"/>
      <sheetName val="내역서(전기)"/>
      <sheetName val="빌딩 안내"/>
      <sheetName val="케이블"/>
      <sheetName val="전체"/>
      <sheetName val="TOT"/>
      <sheetName val="단  가  대  비  표"/>
      <sheetName val="일  위  대  가  목  록"/>
      <sheetName val="자재"/>
      <sheetName val="백암비스타내역"/>
      <sheetName val="전차선로 물량표"/>
      <sheetName val="한강운반비"/>
      <sheetName val="공통(20-91)"/>
      <sheetName val="계수시트"/>
      <sheetName val="차액보증"/>
      <sheetName val="간접비"/>
      <sheetName val="세목전체"/>
      <sheetName val="맨홀수량산출"/>
      <sheetName val="1공구 건정토건 토공"/>
      <sheetName val="역T형교대(말뚝기초)"/>
      <sheetName val="고등학교"/>
      <sheetName val="총괄내역서"/>
      <sheetName val="수입"/>
      <sheetName val="조건표"/>
      <sheetName val="JJ"/>
      <sheetName val="설계"/>
      <sheetName val="설 계"/>
      <sheetName val="ASP포장"/>
      <sheetName val="3BL공동구 수량"/>
      <sheetName val="일위대가표"/>
      <sheetName val="단가산출서(기계)"/>
      <sheetName val="에너지동"/>
      <sheetName val="코드표"/>
      <sheetName val="Sheet1 (2)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적상기초자료"/>
      <sheetName val="대림경상68억"/>
      <sheetName val="MBR9"/>
      <sheetName val="기계경비일람"/>
      <sheetName val="단"/>
      <sheetName val="Macro2"/>
      <sheetName val="3련 BOX"/>
      <sheetName val="토목주소"/>
      <sheetName val="프랜트면허"/>
      <sheetName val="점검총괄"/>
      <sheetName val="CABLE SIZE-3"/>
      <sheetName val="공구원가계산"/>
      <sheetName val="1차증가원가계산"/>
      <sheetName val="경산"/>
      <sheetName val="SLAB&quot;1&quot;"/>
      <sheetName val="품셈"/>
      <sheetName val="부대시설"/>
      <sheetName val="Apt내역"/>
      <sheetName val="입찰결과(DATA)"/>
      <sheetName val="일위대가표(유단가)"/>
      <sheetName val="기계경비시간당손료목록"/>
      <sheetName val="동력부하(도산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¼Ò¾ß°øÁ¤°èÈ¹Ç¥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TABLE"/>
      <sheetName val="계산식"/>
    </sheetNames>
    <definedNames>
      <definedName name="Macro1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 refreshError="1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 refreshError="1"/>
      <sheetData sheetId="199" refreshError="1"/>
      <sheetData sheetId="200" refreshError="1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단가"/>
      <sheetName val="단가조사"/>
      <sheetName val="노임단가"/>
      <sheetName val="일위"/>
      <sheetName val="교각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"/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"/>
      <sheetName val="Baby일위대가"/>
      <sheetName val="집계"/>
      <sheetName val="단가"/>
      <sheetName val="내역서"/>
      <sheetName val="설계실행투찰"/>
      <sheetName val="기계경비(시간당)"/>
      <sheetName val="BID"/>
      <sheetName val="진천,증평(9.3)"/>
      <sheetName val="내역서(원본)"/>
      <sheetName val="45,46"/>
      <sheetName val="DATE"/>
      <sheetName val="#REF"/>
      <sheetName val="Sheet3"/>
      <sheetName val="수량산출"/>
      <sheetName val="자재"/>
      <sheetName val="전등부하"/>
      <sheetName val="노임"/>
      <sheetName val="Sheet6"/>
      <sheetName val="산출근거#2-3"/>
      <sheetName val="밸브설치"/>
      <sheetName val="집계표"/>
      <sheetName val="8.수량산출 (2)"/>
      <sheetName val="분전함신설"/>
      <sheetName val="접지1종"/>
      <sheetName val="노무"/>
      <sheetName val="교통대책내역"/>
      <sheetName val="내역"/>
      <sheetName val="재료비"/>
      <sheetName val="일위대가표"/>
      <sheetName val="기자재수량"/>
      <sheetName val="노임단가"/>
      <sheetName val="건축내역(트럼프수성)"/>
      <sheetName val="수간보호"/>
      <sheetName val="PIPE(UG)내역"/>
      <sheetName val="맨홀수량"/>
      <sheetName val="토목"/>
      <sheetName val="Y-WORK"/>
      <sheetName val="mat"/>
      <sheetName val="산출내역서집계표"/>
      <sheetName val="Ekog10"/>
      <sheetName val="조직"/>
      <sheetName val="부대내역"/>
      <sheetName val="70%"/>
      <sheetName val="가시설관급자재"/>
      <sheetName val="기계내역"/>
      <sheetName val="본공사"/>
      <sheetName val="확약서"/>
      <sheetName val="목차임시"/>
      <sheetName val="견적대비"/>
      <sheetName val="감시제어"/>
      <sheetName val="설직재-1"/>
      <sheetName val="공비대비"/>
      <sheetName val="DATA"/>
      <sheetName val="16.1 IO-LIST"/>
      <sheetName val="허용전류-IEC DATA"/>
      <sheetName val="예총"/>
      <sheetName val="가계부"/>
      <sheetName val="제품목록"/>
      <sheetName val="매입매출관리"/>
      <sheetName val="일위대가"/>
      <sheetName val="설계"/>
      <sheetName val="견적서"/>
      <sheetName val="인공LIST"/>
      <sheetName val="CABLE SIZE-1"/>
      <sheetName val="개소별수량산출"/>
      <sheetName val="const."/>
      <sheetName val="단가산출서"/>
      <sheetName val="1.2.1 동력설비 부하계산서(고압부하)"/>
      <sheetName val="주공 갑지"/>
      <sheetName val="1.설계조건"/>
      <sheetName val="조명시설"/>
      <sheetName val="자재단가 산출근거"/>
      <sheetName val="터파기및재료"/>
      <sheetName val="부대공사비"/>
      <sheetName val="현장관리비집계표"/>
      <sheetName val="Macro1"/>
      <sheetName val="간접비계산"/>
      <sheetName val="단가조사"/>
      <sheetName val="토목주소"/>
      <sheetName val="위치조서"/>
      <sheetName val="입력"/>
      <sheetName val="DDC1~5"/>
      <sheetName val="DDC-6~10"/>
      <sheetName val="1"/>
      <sheetName val="4차원가계산서"/>
      <sheetName val="조건"/>
      <sheetName val="일위대가목차"/>
      <sheetName val="경산"/>
      <sheetName val="J直材4"/>
      <sheetName val="소방사항"/>
      <sheetName val="직노"/>
      <sheetName val="철거산출근거"/>
      <sheetName val="도급내역서"/>
      <sheetName val="토목수량(공정)"/>
      <sheetName val="설계명세서"/>
      <sheetName val="작업내역산출1"/>
      <sheetName val="설계예산서"/>
      <sheetName val="빗물받이(910-510-410)"/>
      <sheetName val="별표집계"/>
      <sheetName val="시설장비"/>
      <sheetName val="사업총괄"/>
      <sheetName val="내역작성"/>
      <sheetName val="굴착현장"/>
      <sheetName val="자재단가비교표"/>
      <sheetName val="송전재료비"/>
      <sheetName val="건축일"/>
      <sheetName val="건축토목내역"/>
      <sheetName val="실행"/>
      <sheetName val="저"/>
      <sheetName val="총괄"/>
      <sheetName val="인수공"/>
      <sheetName val="배수장토목공사비"/>
      <sheetName val="총괄-1"/>
      <sheetName val="갑지(추정)"/>
      <sheetName val="공량산출서"/>
      <sheetName val="수주현황2월"/>
      <sheetName val="공내역"/>
      <sheetName val="가로등내역서"/>
      <sheetName val="공종구간"/>
      <sheetName val="1.변압기용량"/>
      <sheetName val="산출내역서"/>
      <sheetName val="일위_파일"/>
      <sheetName val="제1장"/>
      <sheetName val="소형레이카"/>
      <sheetName val="공조배관"/>
      <sheetName val="CABLE"/>
      <sheetName val="속성DB"/>
      <sheetName val="수량인공"/>
      <sheetName val="케이불1"/>
      <sheetName val="조명율표"/>
      <sheetName val="차도조도계산"/>
      <sheetName val="01AC"/>
      <sheetName val="인수공규격"/>
      <sheetName val="목록"/>
      <sheetName val="총집계표"/>
      <sheetName val="gyun"/>
      <sheetName val="암반깨기(0_4)"/>
      <sheetName val="G_R300합계"/>
      <sheetName val="G_R300경비"/>
      <sheetName val="관_지_벽_공정집계표"/>
      <sheetName val="진천,증평(9_3)"/>
      <sheetName val="손익계획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준검 내역서"/>
      <sheetName val="Total"/>
      <sheetName val="단가 및 재료비"/>
      <sheetName val="값"/>
      <sheetName val="재료값"/>
      <sheetName val="전기일위대가"/>
      <sheetName val="마산월령동골조물량변경"/>
      <sheetName val="연결관암거"/>
      <sheetName val="시점교대"/>
      <sheetName val="평가데이터"/>
      <sheetName val="결산용"/>
      <sheetName val="식재수량표"/>
      <sheetName val="청주(철골발주의뢰서)"/>
      <sheetName val="유효폭의 계산"/>
      <sheetName val="중기손료"/>
      <sheetName val="데이터(삭제 및 수정금지)"/>
      <sheetName val="Sheet1 (2)"/>
      <sheetName val="a1.시중노임및물가시세"/>
      <sheetName val="사유서제출현황-2"/>
      <sheetName val="일위대가 "/>
      <sheetName val="36신설수량"/>
      <sheetName val="수량산출서-2"/>
      <sheetName val="현황"/>
      <sheetName val="을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목록"/>
      <sheetName val="발안전력구"/>
      <sheetName val="Macro(동력)"/>
      <sheetName val="풀박스표지"/>
      <sheetName val="전선"/>
      <sheetName val="Macro(배관)"/>
      <sheetName val="광속"/>
      <sheetName val="복구일위대가표"/>
      <sheetName val="설계서을"/>
      <sheetName val="수량계산"/>
      <sheetName val="일위산출"/>
      <sheetName val="2.1 부하계산서"/>
      <sheetName val="1.1 부하집계표"/>
      <sheetName val="MCC제원"/>
      <sheetName val="N賃率-職"/>
      <sheetName val="실행대비"/>
      <sheetName val="A LINE"/>
      <sheetName val="제품"/>
      <sheetName val="자재단가"/>
      <sheetName val="9GNG운반"/>
      <sheetName val="수량산출서OS"/>
      <sheetName val="매출채권"/>
      <sheetName val="식재일위대가"/>
      <sheetName val="A 견적"/>
      <sheetName val="9509"/>
      <sheetName val="Sheet1"/>
      <sheetName val="세동별비상"/>
      <sheetName val="표지 (2)"/>
      <sheetName val="교량,선로"/>
      <sheetName val="가시설흙막이"/>
      <sheetName val=" 냉각수펌프"/>
      <sheetName val="단위단가"/>
      <sheetName val="BOQ.vts"/>
      <sheetName val="자재단가표"/>
      <sheetName val="설계서"/>
      <sheetName val="사급정리분"/>
      <sheetName val="일반부표"/>
      <sheetName val="0"/>
      <sheetName val="실행내역"/>
      <sheetName val="2.가정단면"/>
      <sheetName val="차액보증"/>
      <sheetName val="인건-측정"/>
      <sheetName val="유림총괄"/>
      <sheetName val="강관 및 부속"/>
      <sheetName val="연결관산출조서"/>
      <sheetName val="건축내역"/>
      <sheetName val="건축원가계산서"/>
      <sheetName val="배수관토공산출"/>
      <sheetName val="역T형"/>
      <sheetName val="PILE"/>
      <sheetName val="TOTAL3"/>
      <sheetName val="6호기"/>
      <sheetName val="입찰안"/>
      <sheetName val="할증"/>
      <sheetName val="근로명부"/>
      <sheetName val="노임대장"/>
      <sheetName val="대비"/>
      <sheetName val="원가(건축)"/>
      <sheetName val="보합"/>
      <sheetName val="출력X"/>
      <sheetName val="001"/>
      <sheetName val="손익코드"/>
      <sheetName val="설치설계서"/>
      <sheetName val="철거설계서"/>
      <sheetName val="코드표"/>
      <sheetName val="산출"/>
      <sheetName val="가설공사내역"/>
      <sheetName val="다곡2교"/>
      <sheetName val="노임단가(2000하반기)"/>
      <sheetName val="투찰가"/>
      <sheetName val="토공정보"/>
      <sheetName val="토공집계표"/>
      <sheetName val="건축공사"/>
      <sheetName val="부재리스트"/>
      <sheetName val="도봉2지구"/>
      <sheetName val="소야공정계획표"/>
      <sheetName val="건축"/>
      <sheetName val="물량입력"/>
      <sheetName val="매출"/>
      <sheetName val="청천내"/>
      <sheetName val="구천"/>
      <sheetName val="98NS-N"/>
      <sheetName val="유지관리"/>
      <sheetName val="FAB별"/>
      <sheetName val="시장성초안camera"/>
      <sheetName val="토목내역"/>
      <sheetName val="투찰추정"/>
      <sheetName val="중기"/>
      <sheetName val="점검총괄"/>
      <sheetName val="경상직원"/>
      <sheetName val="1.2 처리장 동력설비 부하계산서"/>
      <sheetName val="MOTOR"/>
      <sheetName val="입찰"/>
      <sheetName val="현경"/>
      <sheetName val="DB구축"/>
      <sheetName val="물집"/>
      <sheetName val="상부집계표"/>
      <sheetName val="테이블"/>
      <sheetName val="건축일위()"/>
      <sheetName val="공사개요"/>
      <sheetName val="내역1"/>
      <sheetName val="옥내소화전계산서"/>
      <sheetName val="배선DATA"/>
      <sheetName val="공제구간조서"/>
      <sheetName val="백호우계수"/>
      <sheetName val="소비자가"/>
      <sheetName val="Sheet5"/>
      <sheetName val="화해(함평)"/>
      <sheetName val="화해(장성)"/>
      <sheetName val="품셈TABLE"/>
      <sheetName val="Macro3"/>
      <sheetName val="Macro2"/>
      <sheetName val="손익차9월2"/>
      <sheetName val="투찰"/>
      <sheetName val="01상노임"/>
      <sheetName val="시중노임단가"/>
      <sheetName val="b_balju_cho"/>
      <sheetName val="수설계"/>
      <sheetName val="기본일위"/>
      <sheetName val="48일위"/>
      <sheetName val="상수구조화편집부표"/>
      <sheetName val="NEYOK"/>
      <sheetName val="개요"/>
      <sheetName val="CTEMCOST"/>
      <sheetName val="인원0223"/>
      <sheetName val="PAINT"/>
      <sheetName val="현장"/>
      <sheetName val="경비"/>
      <sheetName val="Job Assign"/>
      <sheetName val="이토변실"/>
      <sheetName val="전선 및 전선관"/>
      <sheetName val="전도품의"/>
      <sheetName val="타공종이기"/>
      <sheetName val="TIE-IN"/>
      <sheetName val="신내택지내역서"/>
      <sheetName val="주요물량"/>
      <sheetName val="제경비율"/>
      <sheetName val="도근좌표"/>
      <sheetName val="공통가설(기준안)"/>
      <sheetName val="내역을"/>
      <sheetName val="48산출 "/>
      <sheetName val="7-8.수량집계(전체)"/>
      <sheetName val="완도-군외"/>
      <sheetName val="설비비1"/>
      <sheetName val="배차"/>
      <sheetName val="총물량"/>
      <sheetName val="산출-설비"/>
      <sheetName val="1.2 동력설비 부하계산서"/>
      <sheetName val="기준"/>
      <sheetName val="4.2유효폭의 계산"/>
      <sheetName val="Lumen"/>
      <sheetName val="북제주-표지"/>
      <sheetName val="설비비3"/>
      <sheetName val="스파이더산출근거"/>
      <sheetName val="코드"/>
      <sheetName val="전국현황"/>
      <sheetName val="물량산출"/>
      <sheetName val="공사예산하조서(O.K)"/>
      <sheetName val="산출명세서"/>
      <sheetName val="골조시행"/>
      <sheetName val="부하계산"/>
      <sheetName val="내역(대광)"/>
      <sheetName val="★도급내역"/>
      <sheetName val="자재(원원+원대)"/>
      <sheetName val="관급자재"/>
      <sheetName val="실행갑지"/>
      <sheetName val="경비2내역"/>
      <sheetName val="학생내역"/>
      <sheetName val="기술조건"/>
      <sheetName val="현장관리비데이타"/>
      <sheetName val="내역표지"/>
      <sheetName val="갑지_추정_"/>
      <sheetName val="강교(당초수량)"/>
      <sheetName val="남양내역"/>
      <sheetName val="단가표"/>
      <sheetName val="시중노임"/>
      <sheetName val="부대공"/>
      <sheetName val="토공"/>
      <sheetName val="포장공"/>
      <sheetName val="Sheet3 (22)"/>
      <sheetName val="플랜트 설치"/>
      <sheetName val="설비내역서"/>
      <sheetName val="전기내역서"/>
      <sheetName val="100만평"/>
      <sheetName val="합의경상"/>
      <sheetName val="교육종류"/>
      <sheetName val="고양관재"/>
      <sheetName val="공사비증감"/>
      <sheetName val="상-교대(A1-A2)"/>
      <sheetName val="원가계산서"/>
      <sheetName val="정보"/>
      <sheetName val="공사설계서"/>
      <sheetName val="상하차비용"/>
      <sheetName val="직접비"/>
      <sheetName val="Sheet7(ㅅ)"/>
      <sheetName val="별표 "/>
      <sheetName val="설계내역서"/>
      <sheetName val="b_balju"/>
      <sheetName val="2002하반기노임기준"/>
      <sheetName val="일반공사"/>
      <sheetName val="BOQ(전체)"/>
      <sheetName val="소화배관"/>
      <sheetName val="S0"/>
      <sheetName val="기성내역서표지"/>
      <sheetName val="JUCKEYK"/>
      <sheetName val="갑지"/>
      <sheetName val="계획집계"/>
      <sheetName val="조직공사중"/>
      <sheetName val="토공유동표"/>
      <sheetName val="물가대비표"/>
      <sheetName val="견적서1"/>
      <sheetName val="단1"/>
      <sheetName val="부경대총괄내역서"/>
      <sheetName val="실행철강하도"/>
      <sheetName val="1~69"/>
      <sheetName val="1차 내역서"/>
      <sheetName val="Sheet15"/>
      <sheetName val="TANK견적대지"/>
      <sheetName val="8.PILE  (돌출)"/>
      <sheetName val="변경내역"/>
      <sheetName val="콘_재료분리(1)"/>
      <sheetName val="자료"/>
      <sheetName val="데리네이타현황"/>
      <sheetName val="노무비"/>
      <sheetName val="설계예산서(2_소천우회토목)"/>
      <sheetName val="포장공수량집계표"/>
      <sheetName val="토적표"/>
      <sheetName val="2공구산출내역"/>
      <sheetName val="기초자료"/>
      <sheetName val="4.  단락전류의 계산"/>
      <sheetName val="48산출"/>
      <sheetName val="개산공사비"/>
      <sheetName val="DATA1"/>
      <sheetName val="40집계"/>
      <sheetName val="횡배수관"/>
      <sheetName val="공사노임"/>
      <sheetName val="직재"/>
      <sheetName val="산출금액내역"/>
      <sheetName val="건설노임단가"/>
      <sheetName val="횡배수관집현황(2공구)"/>
      <sheetName val="수원공사비"/>
      <sheetName val="5지구단위"/>
      <sheetName val="상하차비용(기계상차)"/>
      <sheetName val="운반비"/>
      <sheetName val="단가비교표_공통1"/>
      <sheetName val="I一般比"/>
      <sheetName val="기초자료입력"/>
      <sheetName val="내역서(삼호)"/>
      <sheetName val="산출근거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2"/>
      <sheetName val="간접비"/>
      <sheetName val="자재집계표지"/>
      <sheetName val="일위대가목록"/>
      <sheetName val="공양식"/>
      <sheetName val="단위중량"/>
      <sheetName val="인원계획-미화"/>
      <sheetName val="중기 부표"/>
      <sheetName val="일위"/>
      <sheetName val="WEIGHT LIST"/>
      <sheetName val="POL6차-PIPING"/>
      <sheetName val="물량"/>
      <sheetName val="산#2-1 (2)"/>
      <sheetName val="산#3-1"/>
      <sheetName val="피엘"/>
      <sheetName val="토공산근"/>
      <sheetName val="결재갑지"/>
      <sheetName val="건축기성"/>
      <sheetName val="소방"/>
      <sheetName val="기성내역서"/>
      <sheetName val="단위수량산출"/>
      <sheetName val="48신설단가"/>
      <sheetName val="일위(PN)"/>
      <sheetName val="기성고조서"/>
      <sheetName val="수량산출내역1115"/>
      <sheetName val="토공(우물통,기타) "/>
      <sheetName val="견적서양식"/>
      <sheetName val="대로근거"/>
      <sheetName val="중로근거"/>
      <sheetName val="공사기본내용입력"/>
      <sheetName val="신규 품"/>
      <sheetName val="설계1내역서"/>
      <sheetName val="시설기별"/>
      <sheetName val="단가비교표"/>
      <sheetName val="백룡교차로"/>
      <sheetName val="산정교차로"/>
      <sheetName val="신영교차로"/>
      <sheetName val="직접인건비(요율)"/>
      <sheetName val="산출1"/>
      <sheetName val="기초"/>
      <sheetName val="식재인부"/>
      <sheetName val="입찰견적보고서"/>
      <sheetName val="요율"/>
      <sheetName val="등록자료"/>
      <sheetName val="설계서(8)"/>
      <sheetName val="예산서(7)"/>
      <sheetName val="총공사비"/>
      <sheetName val="내역(중앙)"/>
      <sheetName val="내역(창신)"/>
      <sheetName val="일위대가목록(020311)"/>
      <sheetName val="기초단가"/>
      <sheetName val="ELECTRIC"/>
      <sheetName val="단위수량"/>
      <sheetName val="원가"/>
      <sheetName val="수량 산출서(당초)"/>
      <sheetName val="설계명세"/>
      <sheetName val="미드수량"/>
      <sheetName val="변경산출서"/>
      <sheetName val="(4-2)열관류값-2"/>
      <sheetName val="일위대가(가설)"/>
      <sheetName val="도급자재"/>
      <sheetName val="일반수량총괄"/>
      <sheetName val="공통비(전체)"/>
      <sheetName val="기본사항"/>
      <sheetName val="구조물토적"/>
      <sheetName val="흄관기초"/>
      <sheetName val="노임이"/>
      <sheetName val="허용전류"/>
      <sheetName val="D.B"/>
      <sheetName val="2공구자재집"/>
      <sheetName val="명단"/>
      <sheetName val="노무비 근거"/>
      <sheetName val="sub"/>
      <sheetName val="인테리어내역"/>
      <sheetName val="3.공통공사대비"/>
      <sheetName val="설계산출기초"/>
      <sheetName val="자판실행"/>
      <sheetName val="(1)본선수량집계"/>
      <sheetName val="자재대"/>
      <sheetName val="무효전력"/>
      <sheetName val="전력사용량-집계"/>
      <sheetName val="공통가설"/>
      <sheetName val="관리,공감"/>
      <sheetName val="조건별분양가"/>
      <sheetName val="내역서적용수량"/>
      <sheetName val="적용건축"/>
      <sheetName val="Sheet13"/>
      <sheetName val="변압기용량산정"/>
      <sheetName val="12호기내역서(건축분)"/>
      <sheetName val="PAN"/>
      <sheetName val="총괄표"/>
      <sheetName val="6PILE  (돌출)"/>
      <sheetName val="수량"/>
      <sheetName val="지급(1)"/>
      <sheetName val="새공통(96임금인상기준)"/>
      <sheetName val="공조기휀"/>
      <sheetName val="AHU집계"/>
      <sheetName val="제작운반"/>
      <sheetName val="제작운반변경"/>
      <sheetName val="사리부설"/>
      <sheetName val="퍼스트"/>
      <sheetName val="설-원가"/>
      <sheetName val="설치자재"/>
      <sheetName val="단중"/>
      <sheetName val="유리"/>
      <sheetName val="BSD (2)"/>
      <sheetName val="guard(mac)"/>
      <sheetName val="배관BM(일반)"/>
      <sheetName val="참조"/>
      <sheetName val="포장총괄집계표"/>
      <sheetName val="사급자재(1단계)"/>
      <sheetName val="ABUT수량-A1"/>
      <sheetName val="공정량산출내역서 "/>
      <sheetName val="돈암사업"/>
      <sheetName val="POL6차_PIPING"/>
      <sheetName val="9."/>
      <sheetName val="48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노임"/>
      <sheetName val="단가조사"/>
      <sheetName val="부하계산서"/>
      <sheetName val="1호인버트수량"/>
      <sheetName val="계수시트"/>
      <sheetName val="자재단가"/>
      <sheetName val="CTEMCOST"/>
      <sheetName val="기계경비(시간당)"/>
      <sheetName val="램머"/>
      <sheetName val="단가산출"/>
      <sheetName val="오수토공"/>
      <sheetName val="토사(PE)"/>
      <sheetName val="내역서"/>
      <sheetName val="공사개요"/>
      <sheetName val="설명"/>
      <sheetName val="수량집계"/>
      <sheetName val="Total"/>
      <sheetName val="조도계산서 (도서)"/>
      <sheetName val="공량산출서"/>
      <sheetName val="견적의뢰"/>
      <sheetName val="설계명세서"/>
      <sheetName val="일위목록"/>
      <sheetName val="Customer Databas"/>
      <sheetName val="일위대가"/>
      <sheetName val="관로토공"/>
      <sheetName val="교사기준면적(초등)"/>
      <sheetName val="내역"/>
      <sheetName val="정부노임단가"/>
      <sheetName val="#REF"/>
      <sheetName val="홍보비디오"/>
      <sheetName val="내역서2안"/>
      <sheetName val="직노"/>
      <sheetName val="도급내역"/>
      <sheetName val="DATE"/>
      <sheetName val="일위대가 "/>
      <sheetName val="관급_File"/>
      <sheetName val="Y-WORK"/>
      <sheetName val="내역서관로"/>
      <sheetName val="내역서설비"/>
      <sheetName val="내역서케이블"/>
      <sheetName val="수량산출"/>
      <sheetName val="내역서01"/>
      <sheetName val="평가데이터"/>
      <sheetName val="단가"/>
      <sheetName val="6.관급자재조서"/>
      <sheetName val="데이타"/>
      <sheetName val="공종"/>
      <sheetName val="21301동"/>
      <sheetName val="성곽내역서"/>
      <sheetName val="원가+내역"/>
      <sheetName val="투찰금액"/>
      <sheetName val="Baby일위대가"/>
      <sheetName val="2.고용보험료산출근거"/>
      <sheetName val="한일양산"/>
      <sheetName val="조명율표"/>
      <sheetName val="관급총괄"/>
      <sheetName val="당사"/>
      <sheetName val="22신설수량"/>
      <sheetName val="공사비산출서"/>
      <sheetName val="관로부문"/>
      <sheetName val="재료"/>
      <sheetName val="작성"/>
      <sheetName val="내역(토목)"/>
      <sheetName val="토목공사일반"/>
      <sheetName val="전력구구조물산근"/>
      <sheetName val="전선 및 전선관"/>
      <sheetName val="기둥(원형)"/>
      <sheetName val="총괄집계표"/>
      <sheetName val="효성CB 1P기초"/>
      <sheetName val="인건비"/>
      <sheetName val="프랜트면허"/>
      <sheetName val="wall"/>
      <sheetName val="원가계산서"/>
      <sheetName val="단가비교표"/>
      <sheetName val="파일의이용"/>
      <sheetName val="참조"/>
      <sheetName val="2000년1차"/>
      <sheetName val="2000전체분"/>
      <sheetName val="1.토공집계"/>
      <sheetName val="경산"/>
      <sheetName val="자재"/>
      <sheetName val="임대견적서"/>
      <sheetName val="재노경"/>
      <sheetName val="출력X"/>
      <sheetName val="실행기초"/>
      <sheetName val="순공사비"/>
      <sheetName val="한전일위"/>
      <sheetName val="총괄내역서"/>
      <sheetName val="관급자재"/>
      <sheetName val="변경관급자재"/>
      <sheetName val="우수관로집계"/>
      <sheetName val="01"/>
      <sheetName val="도급기성"/>
      <sheetName val="data"/>
      <sheetName val="옥외외등집계표"/>
      <sheetName val="구조물공집계"/>
      <sheetName val="공통가설"/>
      <sheetName val="본사공가현황"/>
      <sheetName val="단"/>
      <sheetName val="부하(성남)"/>
      <sheetName val="일산실행내역"/>
      <sheetName val="시행예산"/>
      <sheetName val="공종구간"/>
      <sheetName val="공종목록표"/>
      <sheetName val="기본자료입력"/>
      <sheetName val="구천"/>
      <sheetName val="요율"/>
      <sheetName val="자재대"/>
      <sheetName val="빌딩 안내"/>
      <sheetName val="Sheet1"/>
      <sheetName val="설계예산서"/>
      <sheetName val="예비"/>
      <sheetName val="예산조서"/>
      <sheetName val="물품구매"/>
      <sheetName val="기계경비"/>
      <sheetName val="경상"/>
      <sheetName val="가설"/>
      <sheetName val="상호참고자료"/>
      <sheetName val="공정집계"/>
      <sheetName val="9.운반비산출"/>
      <sheetName val="제경비"/>
      <sheetName val="원가계산"/>
      <sheetName val="목차"/>
      <sheetName val="G.R300경비"/>
      <sheetName val="조명시설"/>
      <sheetName val="은평작업지시대장"/>
      <sheetName val="수안보-MBR1"/>
      <sheetName val="토사_PE_"/>
      <sheetName val="건축"/>
      <sheetName val="을"/>
      <sheetName val="설계예시"/>
      <sheetName val="수주추정"/>
      <sheetName val="표지"/>
      <sheetName val="전기"/>
      <sheetName val="단위수량"/>
      <sheetName val="공사원가계산서"/>
      <sheetName val="노임단가"/>
      <sheetName val="노무비"/>
      <sheetName val="총괄표"/>
      <sheetName val="XL4Poppy"/>
      <sheetName val="단가설계"/>
      <sheetName val="투찰가"/>
      <sheetName val="투찰내역"/>
      <sheetName val="1-최종안"/>
      <sheetName val="사업분석-분양가결정"/>
      <sheetName val="부대공"/>
      <sheetName val="포장공"/>
      <sheetName val="토공"/>
      <sheetName val="판매시설"/>
      <sheetName val="주민복지관"/>
      <sheetName val="지하주차장"/>
      <sheetName val="청천내"/>
      <sheetName val="실행간접비용"/>
      <sheetName val="단가 및 재료비"/>
      <sheetName val="중기사용료산출근거"/>
      <sheetName val="단위단가"/>
      <sheetName val="도급"/>
      <sheetName val="010101"/>
      <sheetName val="노임(1차)"/>
      <sheetName val="약품공급2"/>
      <sheetName val="기계경비_시간당_"/>
      <sheetName val="(C)원내역"/>
      <sheetName val="말뚝물량"/>
      <sheetName val="하조서"/>
      <sheetName val="기본자료"/>
      <sheetName val="2-5. 예산조서"/>
      <sheetName val="인건-측정"/>
      <sheetName val="유림골조"/>
      <sheetName val="차도조도계산"/>
      <sheetName val="갑지"/>
      <sheetName val="집계표"/>
      <sheetName val="값"/>
      <sheetName val="GI-LIST"/>
      <sheetName val="물가자료"/>
      <sheetName val="관급자재내역서"/>
      <sheetName val="설계예산내역서"/>
      <sheetName val="일 위 대 가 표"/>
      <sheetName val="49"/>
      <sheetName val="도급예산내역서봉투"/>
      <sheetName val="설계산출표지"/>
      <sheetName val="도급예산내역서총괄표"/>
      <sheetName val="을부담운반비"/>
      <sheetName val="운반비산출"/>
      <sheetName val="증감대비"/>
      <sheetName val="공정코드"/>
      <sheetName val="Sheet9"/>
      <sheetName val="Sheet14"/>
      <sheetName val="Sheet13"/>
      <sheetName val="Sheet10"/>
      <sheetName val="전기자료"/>
      <sheetName val="허용전류"/>
      <sheetName val="MCC"/>
      <sheetName val="터파기및재료"/>
      <sheetName val="30신설일위대가"/>
      <sheetName val="9GNG운반"/>
      <sheetName val="연결임시"/>
      <sheetName val="2-1. 경관조명 내역총괄표"/>
      <sheetName val="가로등내역서"/>
      <sheetName val="인제내역"/>
      <sheetName val="실행견적"/>
      <sheetName val="적현로"/>
      <sheetName val="소비자가"/>
      <sheetName val="기초입력 DATA"/>
      <sheetName val="예산내역서"/>
      <sheetName val="도로구조공사비"/>
      <sheetName val="도로토공공사비"/>
      <sheetName val="여수토공사비"/>
      <sheetName val="여과지동"/>
      <sheetName val="기초자료"/>
      <sheetName val="2009년설계(안)"/>
      <sheetName val="관접합및부설"/>
      <sheetName val="기초단가"/>
      <sheetName val="관급단가"/>
      <sheetName val="굴착현장"/>
      <sheetName val="연장(직관)"/>
      <sheetName val="설비"/>
      <sheetName val="익산-"/>
      <sheetName val="Sheet5"/>
      <sheetName val="주요자재단가"/>
      <sheetName val="1"/>
      <sheetName val="준검 내역서"/>
      <sheetName val="견적단가"/>
      <sheetName val="시설물"/>
      <sheetName val="식재출력용"/>
      <sheetName val="유지관리"/>
      <sheetName val="을지"/>
      <sheetName val="산출금액내역"/>
      <sheetName val="설계산출기초"/>
      <sheetName val="1.변압기용량"/>
      <sheetName val="투자비"/>
      <sheetName val="조성원가DATA"/>
      <sheetName val="사업비"/>
      <sheetName val="품셈TABLE"/>
      <sheetName val="가시설단위수량"/>
      <sheetName val="SORCE1"/>
      <sheetName val="설계내역(2000)"/>
      <sheetName val="산근"/>
      <sheetName val="공사비_NDE"/>
      <sheetName val="노무비 근거"/>
      <sheetName val="Macro1"/>
      <sheetName val="공정표"/>
      <sheetName val="c_balju"/>
      <sheetName val=" 견적서"/>
      <sheetName val="손익분석"/>
      <sheetName val="대가표(품셈)"/>
      <sheetName val="갑지1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일위대가목차"/>
      <sheetName val="일위(열차무선)"/>
      <sheetName val="대구-교대(A1)"/>
      <sheetName val="OPGW기별"/>
      <sheetName val="N賃率-職"/>
      <sheetName val="코드표"/>
      <sheetName val="자재코드"/>
      <sheetName val="database"/>
      <sheetName val="배관표"/>
      <sheetName val="설비원가"/>
      <sheetName val="단가대비표"/>
      <sheetName val="부대집계"/>
      <sheetName val="소방"/>
      <sheetName val="전기공사일위대가"/>
      <sheetName val="Macro(차단기)"/>
      <sheetName val="원가 계산"/>
      <sheetName val="샤워실위생"/>
      <sheetName val="재정비직인"/>
      <sheetName val="재정비내역"/>
      <sheetName val="지적고시내역"/>
      <sheetName val="계림(함평)"/>
      <sheetName val="계림(장성)"/>
      <sheetName val="조경"/>
      <sheetName val="기자재비"/>
      <sheetName val="대전-교대(A1-A2)"/>
      <sheetName val="70%"/>
      <sheetName val="단면치수"/>
      <sheetName val="전통건설"/>
      <sheetName val="구조물철거타공정이월"/>
      <sheetName val="기계공사물량집계"/>
      <sheetName val="국내총괄"/>
      <sheetName val="토공사"/>
      <sheetName val="제경비율"/>
      <sheetName val="VII-2현장경비"/>
      <sheetName val="Ⅴ-2.공종별내역"/>
      <sheetName val="변경내역서"/>
      <sheetName val="방식총괄"/>
      <sheetName val="Inst."/>
      <sheetName val="철거산출근거"/>
      <sheetName val="서대문대장"/>
      <sheetName val="몰탈콘크리트"/>
      <sheetName val="철근집계"/>
      <sheetName val="개요"/>
      <sheetName val="건축내역"/>
      <sheetName val="설계내역2"/>
      <sheetName val="기본단가표"/>
      <sheetName val="견적대비"/>
      <sheetName val="협력업체"/>
      <sheetName val="설계내역서"/>
      <sheetName val="시중노임"/>
      <sheetName val="품셈표"/>
      <sheetName val="도급내역5+800"/>
      <sheetName val="도급금액"/>
      <sheetName val="물집"/>
      <sheetName val="내역서1999.8최종"/>
      <sheetName val="공종단가"/>
      <sheetName val="분전함신설"/>
      <sheetName val="접지1종"/>
      <sheetName val="현장관리비"/>
      <sheetName val="설비(제출)"/>
      <sheetName val="터널조도"/>
      <sheetName val="2003 일위대가"/>
      <sheetName val="설변내역서"/>
      <sheetName val="우수관로터파기고"/>
      <sheetName val="5지구단위"/>
      <sheetName val="교차로(1) "/>
      <sheetName val="배수공"/>
      <sheetName val="기본단가"/>
      <sheetName val="인건비단가"/>
      <sheetName val="총괄"/>
      <sheetName val="ITEM"/>
      <sheetName val="WORK"/>
      <sheetName val="대비"/>
      <sheetName val="I一般比"/>
      <sheetName val="2공구산출내역"/>
      <sheetName val="입적6-10"/>
      <sheetName val="4차공사"/>
      <sheetName val="변경증감(물량)대비표"/>
      <sheetName val="INPUT"/>
      <sheetName val="일(4)"/>
      <sheetName val="Sheet3"/>
      <sheetName val="인건비기준"/>
      <sheetName val="용역비내역-진짜"/>
      <sheetName val="공사명입력"/>
      <sheetName val="근로자자료입력"/>
      <sheetName val="참고자료"/>
      <sheetName val="남양시작동010313100%"/>
      <sheetName val="공리일"/>
      <sheetName val="양식"/>
      <sheetName val="간선계산"/>
      <sheetName val="전기일위대가"/>
      <sheetName val="신영교차로"/>
      <sheetName val="산출"/>
      <sheetName val="관경별내역서"/>
      <sheetName val="편입용지조서"/>
      <sheetName val="수량집계표"/>
      <sheetName val="공종별수량집계"/>
      <sheetName val="산출내역서집계표"/>
      <sheetName val="자재물량.XLS"/>
      <sheetName val="%EC%9E%90%EC%9E%AC%EB%AC%BC%EB%"/>
      <sheetName val="실행대비"/>
      <sheetName val="실행철강하도"/>
      <sheetName val="Hauptdaten"/>
      <sheetName val="기성내역서표지"/>
      <sheetName val="변경내역서간지"/>
      <sheetName val=""/>
      <sheetName val="지중자재단가"/>
      <sheetName val="직재"/>
      <sheetName val="재집"/>
      <sheetName val="지급자재내역서"/>
      <sheetName val="주소"/>
      <sheetName val="현장경비"/>
      <sheetName val="1차 내역서"/>
      <sheetName val="시설물일위"/>
      <sheetName val="가로등"/>
      <sheetName val="설치자재"/>
      <sheetName val="건축내역서"/>
      <sheetName val="설비내역서"/>
      <sheetName val="전기내역서"/>
      <sheetName val="골조시행"/>
      <sheetName val="초기화면"/>
      <sheetName val="유림총괄"/>
      <sheetName val="건축일"/>
      <sheetName val="SG"/>
      <sheetName val="건축2"/>
      <sheetName val="S0"/>
      <sheetName val="금액내역서"/>
      <sheetName val="단면 (2)"/>
      <sheetName val="용소리교"/>
      <sheetName val="변수값"/>
      <sheetName val="산출내역"/>
      <sheetName val="DATA1"/>
      <sheetName val="단가표"/>
      <sheetName val="노임단가적용"/>
      <sheetName val="일위총괄"/>
      <sheetName val="라멘본체수량"/>
      <sheetName val="범례표"/>
      <sheetName val="서울대규장각(가시설흙막이)"/>
      <sheetName val="공사착공계"/>
      <sheetName val="설계서"/>
      <sheetName val="NEYOK"/>
      <sheetName val="총 원가계산"/>
      <sheetName val="APT"/>
      <sheetName val="구리토평1전기"/>
      <sheetName val="동원인원"/>
      <sheetName val="단가 (2)"/>
      <sheetName val="총괄변경내역서"/>
      <sheetName val="ABUT수량-A1"/>
      <sheetName val="시운전연료"/>
      <sheetName val="1월"/>
      <sheetName val="공통비(전체)"/>
      <sheetName val="출자한도"/>
      <sheetName val="사업수지"/>
      <sheetName val="별표 "/>
      <sheetName val="이형관"/>
      <sheetName val="투입내역"/>
      <sheetName val="간접"/>
      <sheetName val="본사업"/>
      <sheetName val="공사비"/>
      <sheetName val="1.1.1.7 소방설비공사"/>
      <sheetName val="1.1.1.5 전등설비"/>
      <sheetName val="03전반노무비"/>
      <sheetName val="물량산출서"/>
      <sheetName val="견적서을"/>
      <sheetName val="공토공단위당"/>
      <sheetName val="대가 (보완)"/>
      <sheetName val="백룡교차로"/>
      <sheetName val="산정교차로"/>
      <sheetName val="잡비계산"/>
      <sheetName val="중기"/>
      <sheetName val="CB"/>
      <sheetName val="Option"/>
      <sheetName val="1회갑지"/>
      <sheetName val="2회내역"/>
      <sheetName val="도색및표지판 단위수량"/>
      <sheetName val="견적서"/>
      <sheetName val="물가대비표"/>
      <sheetName val="세금자료"/>
      <sheetName val="3BL공동구 수량"/>
      <sheetName val="입력DATA"/>
      <sheetName val="바닥판"/>
      <sheetName val="말뚝지지력산정"/>
      <sheetName val="내역서(사업소)"/>
      <sheetName val="단가산출2"/>
      <sheetName val="단가산출1"/>
      <sheetName val="C.배수관공"/>
      <sheetName val="토목순공사비1차분"/>
      <sheetName val="주현(해보)"/>
      <sheetName val="주현(영광)"/>
      <sheetName val="화해(함평)"/>
      <sheetName val="화해(장성)"/>
      <sheetName val="환경기계공정표 (3)"/>
      <sheetName val="일위대가표"/>
      <sheetName val="보성조서"/>
      <sheetName val="기초목록"/>
      <sheetName val="2차변경"/>
      <sheetName val="토목공사"/>
      <sheetName val="초"/>
      <sheetName val="도봉2지구"/>
      <sheetName val="BSD (2)"/>
      <sheetName val="자단"/>
      <sheetName val="표층포설및다짐"/>
      <sheetName val="[자재물량.XLS][자재물량.XLS][자재물량.XLS]["/>
      <sheetName val="[자재물량.XLS][자재물량.XLS][자재물량.XLS]\"/>
      <sheetName val="[자재물량.XLS][자재물량.XLS]\\유기한1\c\MA"/>
      <sheetName val="[자재물량.XLS]\\유기한1\c\MAYBE\자재물량.X"/>
      <sheetName val="사통"/>
      <sheetName val="업종코드"/>
      <sheetName val="토공사(흙막이)"/>
      <sheetName val="공사원가"/>
      <sheetName val="일위대가목록"/>
      <sheetName val="기기리스트"/>
      <sheetName val="월래"/>
      <sheetName val="부대공Ⅱ"/>
      <sheetName val="코스모공장 (어음)"/>
      <sheetName val="cal"/>
      <sheetName val="총내역서"/>
      <sheetName val="TEL"/>
      <sheetName val="갑지(추정)"/>
      <sheetName val="빙장비사양"/>
      <sheetName val="장비사양"/>
      <sheetName val="PIPE"/>
      <sheetName val="시중노임단가"/>
      <sheetName val="전선 및 전선관-자유로"/>
      <sheetName val="관로터파기-자유로"/>
      <sheetName val="기계공사"/>
      <sheetName val="견적가"/>
      <sheetName val="본선및홈복구"/>
      <sheetName val="Factor"/>
      <sheetName val="계장 품셈표"/>
      <sheetName val="조건표"/>
      <sheetName val="4 노임단가"/>
      <sheetName val="장비비기준"/>
      <sheetName val="경비대가"/>
      <sheetName val="경비산출"/>
      <sheetName val="총괄설계내역서"/>
      <sheetName val="6PILE  (돌출)"/>
      <sheetName val="토질조사"/>
      <sheetName val="DS0 단위"/>
      <sheetName val="DS1 단위"/>
      <sheetName val="Sheet2"/>
      <sheetName val="실적원가"/>
      <sheetName val="연결관연장산출"/>
      <sheetName val="내력서"/>
      <sheetName val="설계설명서"/>
      <sheetName val="우배수"/>
      <sheetName val="계산식"/>
      <sheetName val="부대내역"/>
      <sheetName val="99총공사내역서"/>
      <sheetName val="제품별"/>
      <sheetName val="[자재물량.XLS]_____1_c_MAYBE______2"/>
      <sheetName val="현장소운반"/>
      <sheetName val="관구보호몰탈"/>
      <sheetName val="[자재물량.XLS]_____1_c_MAYBE______3"/>
      <sheetName val="공통비총괄표"/>
      <sheetName val="SCHEDULE"/>
      <sheetName val="hvac(제어동)"/>
      <sheetName val="냉난방(부대공사)"/>
      <sheetName val="2003상반기노임기준"/>
      <sheetName val="일위목차"/>
      <sheetName val="자료입력"/>
      <sheetName val="산출1-수변전"/>
      <sheetName val="슬래브"/>
      <sheetName val="중사"/>
      <sheetName val="노단"/>
      <sheetName val="단산"/>
      <sheetName val="명세"/>
      <sheetName val="일대"/>
      <sheetName val="계약내역서"/>
      <sheetName val="금액"/>
      <sheetName val="표지 (2)"/>
      <sheetName val="Gia vat tu"/>
      <sheetName val="기안"/>
      <sheetName val="뚝토공"/>
      <sheetName val="감액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 refreshError="1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효성CB 1P기초"/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분전함신설"/>
      <sheetName val="접지1종"/>
      <sheetName val="기계경비(시간당)"/>
      <sheetName val="램머"/>
      <sheetName val="설비"/>
      <sheetName val="일위대가"/>
      <sheetName val="전선 및 전선관"/>
      <sheetName val="월래"/>
      <sheetName val="빗물받이(910-510-410)"/>
      <sheetName val="일반부표"/>
      <sheetName val="단가 (2)"/>
      <sheetName val="자재단가"/>
      <sheetName val="노임"/>
      <sheetName val="일위단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조명율표"/>
      <sheetName val="동원인원"/>
      <sheetName val="산출금액내역"/>
      <sheetName val="기초자료입력"/>
      <sheetName val="준공정산"/>
      <sheetName val="사통"/>
      <sheetName val="내역서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조명시설"/>
      <sheetName val="#REF"/>
      <sheetName val="준검 내역서"/>
      <sheetName val="공사개요"/>
      <sheetName val="순공사비"/>
      <sheetName val="증산변경"/>
      <sheetName val="자재대"/>
      <sheetName val="경산"/>
      <sheetName val="견적단가"/>
      <sheetName val="Baby일위대가"/>
      <sheetName val="말뚝물량"/>
      <sheetName val="공사현황"/>
      <sheetName val="평가데이터"/>
      <sheetName val="원가계산 (2)"/>
      <sheetName val="청천내"/>
      <sheetName val="현장소운반"/>
      <sheetName val="관구보호몰탈"/>
      <sheetName val="2. 공원조도"/>
      <sheetName val="공리일"/>
      <sheetName val="노임단가"/>
      <sheetName val="data spec"/>
      <sheetName val="데이타"/>
      <sheetName val="설계명세서"/>
      <sheetName val="총괄메뉴"/>
      <sheetName val="용수량(생활용수)"/>
      <sheetName val="wall"/>
      <sheetName val="조경"/>
      <sheetName val="기계경비_시간당_"/>
      <sheetName val="DATE"/>
      <sheetName val="직재"/>
      <sheetName val="공종목록표"/>
      <sheetName val="총투입계"/>
      <sheetName val="원가계산서 "/>
      <sheetName val="원가+내역"/>
      <sheetName val="평내중"/>
      <sheetName val="공구"/>
      <sheetName val="입력"/>
      <sheetName val="단가"/>
      <sheetName val="Sheet1"/>
      <sheetName val="철거산출근거"/>
      <sheetName val="본공사"/>
      <sheetName val="단가조사-2"/>
      <sheetName val="토목"/>
      <sheetName val="공사노임"/>
      <sheetName val="갑지"/>
      <sheetName val="본서하반기"/>
      <sheetName val="하반기(지구대)"/>
      <sheetName val="Sheet6"/>
      <sheetName val="기안"/>
      <sheetName val="내역_FILE"/>
      <sheetName val="점검총괄"/>
      <sheetName val="30집계표"/>
      <sheetName val="설계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단가산출"/>
      <sheetName val="분당전기"/>
      <sheetName val="N賃率-職"/>
      <sheetName val="단가"/>
      <sheetName val="전선 및 전선관"/>
      <sheetName val="수로단위수량"/>
      <sheetName val="산출"/>
      <sheetName val="내역"/>
      <sheetName val="건물"/>
      <sheetName val="자재단가"/>
      <sheetName val="수량산출"/>
      <sheetName val="옥외 전력간선공사"/>
      <sheetName val="부대내역"/>
      <sheetName val="전차선로 물량표"/>
      <sheetName val="입찰안"/>
      <sheetName val="DATA"/>
      <sheetName val="데이타"/>
      <sheetName val="공량산출서"/>
      <sheetName val="일위산출"/>
      <sheetName val="원가계산서 "/>
      <sheetName val="MOTOR"/>
      <sheetName val="쌍송교"/>
      <sheetName val="요율"/>
      <sheetName val="손익분석"/>
      <sheetName val="LIST"/>
      <sheetName val="말뚝물량"/>
      <sheetName val="부대공"/>
      <sheetName val="포장공"/>
      <sheetName val="토공"/>
      <sheetName val="램머"/>
      <sheetName val="기계경비(시간당)"/>
      <sheetName val="예비"/>
      <sheetName val="수량산출(강변)"/>
      <sheetName val="수량산출(검수고)"/>
      <sheetName val="수량산출(공항)"/>
      <sheetName val="수량산출(구봉)"/>
      <sheetName val="수량산출(기지내)"/>
      <sheetName val="수량산출(대사)"/>
      <sheetName val="수량산출(도서관앞)"/>
      <sheetName val="수량산출(모타카고)"/>
      <sheetName val="수량산출(변전소)"/>
      <sheetName val="수량산출(본선설비)"/>
      <sheetName val="수량산출(봉황)"/>
      <sheetName val="수량산출(부원)"/>
      <sheetName val="수량산출(사상)"/>
      <sheetName val="수량산출(서연정)"/>
      <sheetName val="수량산출(수위실)"/>
      <sheetName val="수량산출(신명)"/>
      <sheetName val="수량산출(안동)"/>
      <sheetName val="수량산출(연지)"/>
      <sheetName val="수량산출(자재창고1)"/>
      <sheetName val="수량산출(자재창고2)"/>
      <sheetName val="수량산출(종합관리동)"/>
      <sheetName val="ELECTRIC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BEND LOSS"/>
      <sheetName val="가로등내역서"/>
      <sheetName val="프랜트면허"/>
      <sheetName val="토목주소"/>
      <sheetName val="수목표준대가"/>
      <sheetName val="INPUT"/>
      <sheetName val="전국현황"/>
      <sheetName val="BOX전기내역"/>
      <sheetName val="집계표"/>
      <sheetName val="패널"/>
      <sheetName val="터파기및재료"/>
      <sheetName val="내역서"/>
      <sheetName val="일위대가(가설)"/>
      <sheetName val="1차 내역서"/>
      <sheetName val="간선계산"/>
      <sheetName val="SAMPLE"/>
      <sheetName val="교각1"/>
      <sheetName val="98지급계획"/>
      <sheetName val="설비2차"/>
      <sheetName val="용수개거 내역수량집계표"/>
      <sheetName val="guard(mac)"/>
      <sheetName val="49일위"/>
      <sheetName val="48일위"/>
      <sheetName val="CTEMCOST"/>
      <sheetName val="덤프트럭계수"/>
      <sheetName val="이식운반"/>
      <sheetName val="단가대비표"/>
      <sheetName val="전기일위대가"/>
      <sheetName val="Baby일위대가"/>
      <sheetName val="직노"/>
      <sheetName val="갑지"/>
      <sheetName val="노임단가"/>
      <sheetName val="200"/>
      <sheetName val="배관배선 단가조사"/>
      <sheetName val="Sheet1"/>
      <sheetName val="일위대가"/>
      <sheetName val="2공구산출내역"/>
      <sheetName val="1.설계기준"/>
      <sheetName val="工관리비율"/>
      <sheetName val="工완성공사율"/>
      <sheetName val="중기사용료산출근거"/>
      <sheetName val="단가 및 재료비"/>
      <sheetName val="명일작업계획 (3)"/>
      <sheetName val="2000시행총괄"/>
      <sheetName val="wall"/>
      <sheetName val="ABUT수량-A1"/>
      <sheetName val="건축공사 집계표"/>
      <sheetName val="골조"/>
      <sheetName val="자재표"/>
      <sheetName val="설계조건"/>
      <sheetName val="용산1(해보)"/>
      <sheetName val="J直材4"/>
      <sheetName val="전기변내역"/>
      <sheetName val="3.내역서"/>
      <sheetName val="정산"/>
      <sheetName val="도로단위당"/>
      <sheetName val="단가표"/>
      <sheetName val="첨부1-1"/>
      <sheetName val="캔개발배경"/>
      <sheetName val="시장"/>
      <sheetName val="일정표"/>
      <sheetName val="1안"/>
      <sheetName val="수량집계"/>
      <sheetName val="잡비계산"/>
      <sheetName val="금액내역서"/>
      <sheetName val="토목"/>
      <sheetName val="물가대비표"/>
      <sheetName val="일위대가(출입)"/>
      <sheetName val="설계명세서"/>
      <sheetName val="공리공제"/>
      <sheetName val="공문"/>
      <sheetName val="시설물기초"/>
      <sheetName val="요약&amp;결과"/>
      <sheetName val="DATE"/>
      <sheetName val="주소"/>
      <sheetName val="재집"/>
      <sheetName val="직재"/>
      <sheetName val="빌딩 안내"/>
      <sheetName val="연부97-1"/>
      <sheetName val="갑지1"/>
      <sheetName val="당사"/>
      <sheetName val="문학간접"/>
      <sheetName val="#REF"/>
      <sheetName val="설비"/>
      <sheetName val="자재목록"/>
      <sheetName val="고압큐비클"/>
      <sheetName val="기자재비"/>
      <sheetName val="9811"/>
      <sheetName val="건축내역"/>
      <sheetName val="변압기 및 발전기 용량"/>
      <sheetName val="대목"/>
      <sheetName val="일위목록"/>
      <sheetName val="등타입"/>
      <sheetName val="DATA 입력란"/>
      <sheetName val="1. 설계조건 2.단면가정 3. 하중계산"/>
      <sheetName val="갑지(추정)"/>
      <sheetName val="BID"/>
      <sheetName val="노무비"/>
      <sheetName val="부안일위"/>
      <sheetName val="단가조사서"/>
      <sheetName val="일위대가 집계표"/>
      <sheetName val="S1,3"/>
      <sheetName val="토사(PE)"/>
      <sheetName val="공사비증감"/>
      <sheetName val="값"/>
      <sheetName val="실행내역서"/>
      <sheetName val="CABLE SIZE-1"/>
      <sheetName val="단가최종"/>
      <sheetName val="대가목록"/>
      <sheetName val="인건비"/>
      <sheetName val="I一般比"/>
      <sheetName val="분전함신설"/>
      <sheetName val="접지1종"/>
      <sheetName val="8설7발"/>
      <sheetName val="조도계산(가로등NEW)"/>
      <sheetName val="조명율데이타"/>
      <sheetName val="70%"/>
      <sheetName val="중기손료"/>
      <sheetName val="기초단가"/>
      <sheetName val="재료값"/>
      <sheetName val="Sheet6"/>
      <sheetName val="조견표"/>
      <sheetName val="내역5"/>
      <sheetName val="수정"/>
      <sheetName val="공통가설"/>
      <sheetName val="통장출금액"/>
      <sheetName val="4-7.중앙전기실(노임단가)"/>
      <sheetName val="노임9월"/>
      <sheetName val="공내역"/>
      <sheetName val="표지"/>
      <sheetName val="설비내역서"/>
      <sheetName val="건축내역서"/>
      <sheetName val="전기내역서"/>
      <sheetName val="사업수지"/>
      <sheetName val="견적서"/>
      <sheetName val="물가자료"/>
      <sheetName val="Macro1"/>
      <sheetName val="일위대가목록"/>
      <sheetName val="단가산출-기,교"/>
      <sheetName val="일위목록-기"/>
      <sheetName val="제경비"/>
      <sheetName val="Macro"/>
      <sheetName val="명단"/>
      <sheetName val="터널조도"/>
      <sheetName val="토적표"/>
      <sheetName val="단가및재료비"/>
      <sheetName val="총괄내역서"/>
      <sheetName val="부하계산서"/>
      <sheetName val="공종구간"/>
      <sheetName val="자료"/>
      <sheetName val="목록"/>
      <sheetName val="copy"/>
      <sheetName val="서식"/>
      <sheetName val="Total"/>
      <sheetName val="일위대가표"/>
      <sheetName val="SLAB"/>
      <sheetName val="J형측구단위수량"/>
      <sheetName val="슬래브"/>
      <sheetName val="산출기초"/>
      <sheetName val="계약원가"/>
      <sheetName val="49단가"/>
      <sheetName val=""/>
      <sheetName val="투찰추정"/>
      <sheetName val="통로box전기"/>
      <sheetName val="청천내"/>
      <sheetName val="공사비명세서"/>
      <sheetName val="삼동내역서적용수량"/>
      <sheetName val="구리토평1전기"/>
      <sheetName val="Sheet5"/>
      <sheetName val="단"/>
      <sheetName val="전기BOX내역서"/>
      <sheetName val="조명율표"/>
      <sheetName val="도근좌표"/>
      <sheetName val="JUCKEYK"/>
      <sheetName val="데리네이타현황"/>
      <sheetName val="수목데이타 "/>
      <sheetName val="단가일람"/>
      <sheetName val="조경일람"/>
      <sheetName val="토건"/>
      <sheetName val="단중표"/>
      <sheetName val="호표"/>
      <sheetName val="하부철근수량"/>
      <sheetName val="시점교대"/>
      <sheetName val="공사개요"/>
      <sheetName val="도급양식"/>
      <sheetName val="내역서2안"/>
      <sheetName val="CON'C"/>
      <sheetName val="22일위"/>
      <sheetName val="49수량"/>
      <sheetName val="총괄표"/>
      <sheetName val="내역-2"/>
      <sheetName val="익산"/>
      <sheetName val="Sheet3"/>
      <sheetName val="가공"/>
      <sheetName val="인원계획-미화"/>
      <sheetName val="수량산출서 갑지"/>
      <sheetName val="실행철강하도"/>
      <sheetName val="노임이"/>
      <sheetName val="골조시행"/>
      <sheetName val="Sheet1 (2)"/>
      <sheetName val="도급FORM"/>
      <sheetName val="자재"/>
      <sheetName val="96작생능"/>
      <sheetName val="예산내역"/>
      <sheetName val="총괄수지표"/>
      <sheetName val="신청서"/>
      <sheetName val="구조대가"/>
      <sheetName val="포설대가1"/>
      <sheetName val="부대대가"/>
      <sheetName val="1.수인터널"/>
      <sheetName val="도급자재"/>
      <sheetName val="설계예시"/>
      <sheetName val=" 내역"/>
      <sheetName val="대공종"/>
      <sheetName val="철거산출근거"/>
      <sheetName val="조명시설"/>
      <sheetName val="공정량산출내역서 "/>
      <sheetName val="1000 DB구축 부표"/>
      <sheetName val="b_balju_cho"/>
      <sheetName val="옥내등-형광등"/>
      <sheetName val="동원인원산출"/>
      <sheetName val="노임"/>
      <sheetName val="비사급자재산출내역서 "/>
      <sheetName val="준검 내역서"/>
      <sheetName val="효성CB 1P기초"/>
      <sheetName val="해외생산"/>
      <sheetName val="가설대가"/>
      <sheetName val="토공대가"/>
      <sheetName val="세부내역서(소방)"/>
      <sheetName val="48단가"/>
      <sheetName val="인건비_VOICE_"/>
      <sheetName val="운반비"/>
      <sheetName val="자단"/>
      <sheetName val="맨홀수량집계"/>
      <sheetName val="말뚝지지력산정"/>
      <sheetName val="우수공"/>
      <sheetName val="우각부보강"/>
      <sheetName val="WORK"/>
      <sheetName val="정산내역서"/>
      <sheetName val="내역서1999.8최종"/>
      <sheetName val="원가계산설계서 "/>
      <sheetName val="일위대가표(유단가)"/>
      <sheetName val="유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원가"/>
      <sheetName val="단가산출"/>
      <sheetName val="공통(20-91)"/>
      <sheetName val="단가"/>
      <sheetName val="재료비"/>
      <sheetName val="기본일위"/>
      <sheetName val="#REF"/>
      <sheetName val="매곡역사"/>
      <sheetName val="옥외외등집계표"/>
      <sheetName val="원가서"/>
      <sheetName val="조명율표"/>
      <sheetName val="일위대가(1)"/>
      <sheetName val="실행철강하도"/>
      <sheetName val="대치판정"/>
      <sheetName val="감액총괄표"/>
      <sheetName val="집계표"/>
      <sheetName val="간접"/>
      <sheetName val="터파기및재료"/>
      <sheetName val="파이프류"/>
      <sheetName val="현장별"/>
      <sheetName val="품셈TABLE"/>
      <sheetName val="신고조서"/>
    </sheetNames>
    <sheetDataSet>
      <sheetData sheetId="0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공케이블신설(터널)"/>
      <sheetName val="가공케이블신설(터널) (2)"/>
      <sheetName val="#REF"/>
      <sheetName val="DATE"/>
      <sheetName val="공구"/>
      <sheetName val="진주방향"/>
      <sheetName val="데이타"/>
      <sheetName val="도급예산내역서봉투"/>
      <sheetName val="공사원가계산서"/>
      <sheetName val="설계산출기초"/>
      <sheetName val="도급예산내역서총괄표"/>
      <sheetName val="설계산출표지"/>
      <sheetName val="을부담운반비"/>
      <sheetName val="운반비산출"/>
      <sheetName val="자판실행"/>
      <sheetName val="노임"/>
      <sheetName val="자재단가"/>
      <sheetName val="단가비교"/>
      <sheetName val="단가조사"/>
      <sheetName val="일위대가"/>
      <sheetName val="1.수인터널"/>
      <sheetName val="철거산출근거"/>
      <sheetName val="계산서(곡선부)"/>
      <sheetName val="포장재료집계표"/>
      <sheetName val="계장 품셈표"/>
      <sheetName val="청천내"/>
      <sheetName val="관접합및부설"/>
      <sheetName val="단가"/>
      <sheetName val="각형맨홀"/>
      <sheetName val="전선 및 전선관"/>
      <sheetName val="값"/>
      <sheetName val="계정"/>
      <sheetName val="직접경비"/>
      <sheetName val="직접인건비"/>
      <sheetName val="직재"/>
      <sheetName val="기초입력 DATA"/>
      <sheetName val="기계경비(시간당)"/>
      <sheetName val="램머"/>
      <sheetName val="원가계산서 "/>
      <sheetName val="한강운반비"/>
      <sheetName val="장비집계"/>
      <sheetName val="전차선로 물량표"/>
      <sheetName val="자재"/>
      <sheetName val="21301동"/>
      <sheetName val="일위산출"/>
      <sheetName val="을"/>
      <sheetName val="요율"/>
      <sheetName val="총괄내역서"/>
      <sheetName val="공사개요"/>
      <sheetName val="물가대비표"/>
      <sheetName val="설계예산서"/>
      <sheetName val="예산내역서"/>
      <sheetName val="-치수표(곡선부)"/>
      <sheetName val="설계예시"/>
      <sheetName val="집계표(정리)"/>
      <sheetName val="변수값"/>
      <sheetName val="중기상차"/>
      <sheetName val="AS복구"/>
      <sheetName val="중기터파기"/>
      <sheetName val="Sheet1"/>
      <sheetName val="A 견적"/>
      <sheetName val="표지"/>
      <sheetName val="Total"/>
      <sheetName val="여과지동"/>
      <sheetName val="기초자료"/>
      <sheetName val="사통"/>
      <sheetName val=""/>
      <sheetName val="금액"/>
      <sheetName val="노임단가표"/>
      <sheetName val="용수량(생활용수)"/>
      <sheetName val="효성CB 1P기초"/>
    </sheetNames>
    <definedNames>
      <definedName name="Macro10"/>
    </defined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접지1종"/>
      <sheetName val="분전함신설"/>
      <sheetName val="접지3종"/>
      <sheetName val="개폐기신설"/>
      <sheetName val="맨홀신설"/>
      <sheetName val="백열신설"/>
      <sheetName val="백열신설 (2)"/>
      <sheetName val="자재단가"/>
      <sheetName val="Sheet6"/>
      <sheetName val="빗물받이(910-510-410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산출2-전력"/>
      <sheetName val="산출3-동력"/>
      <sheetName val="산출4-전등"/>
      <sheetName val="산출9-TRAY"/>
      <sheetName val="점검총괄"/>
      <sheetName val="NP-총정리"/>
      <sheetName val="노무비"/>
      <sheetName val="설계명세서"/>
      <sheetName val="설계산출기초"/>
      <sheetName val="수량산출"/>
      <sheetName val="4.2유효폭의 계산"/>
      <sheetName val="가격조사서"/>
      <sheetName val="전력설계"/>
      <sheetName val="본공사"/>
      <sheetName val="노임"/>
      <sheetName val="일반부표"/>
      <sheetName val="기초일위"/>
      <sheetName val="부하계산"/>
      <sheetName val="공비대비"/>
      <sheetName val="부대"/>
      <sheetName val="일위CODE"/>
      <sheetName val="집계표"/>
      <sheetName val="N賃率-職"/>
      <sheetName val="내역서"/>
      <sheetName val="서울대규장각(가시설흙막이)"/>
      <sheetName val="data"/>
      <sheetName val="원가계산 (2)"/>
      <sheetName val="일위대가 "/>
      <sheetName val="시중노임"/>
      <sheetName val="Macro(차단기)"/>
      <sheetName val="시점교대"/>
      <sheetName val="설계"/>
      <sheetName val="단가조사-2"/>
      <sheetName val="기계경비(시간당)"/>
      <sheetName val="램머"/>
      <sheetName val="일위대가표"/>
      <sheetName val="공사개요"/>
      <sheetName val="단가"/>
      <sheetName val="입찰안"/>
      <sheetName val="Sheet1 (2)"/>
      <sheetName val="중기사용료산출근거"/>
      <sheetName val="TIE-IN"/>
      <sheetName val="노임단가"/>
      <sheetName val="조명율"/>
      <sheetName val="9GNG운반"/>
      <sheetName val="원가계산서 "/>
      <sheetName val="DATA1"/>
      <sheetName val="내역(중앙)"/>
      <sheetName val="내역(창신)"/>
      <sheetName val="배수공 내역서 적용수량"/>
      <sheetName val="내   역"/>
      <sheetName val="1-1"/>
      <sheetName val="1-2"/>
      <sheetName val="1-3"/>
      <sheetName val="1-4"/>
      <sheetName val="일위대가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목차"/>
      <sheetName val="총물량"/>
      <sheetName val="실행내역"/>
      <sheetName val="설비단가표"/>
      <sheetName val="간접비"/>
      <sheetName val="유효폭의 계산"/>
      <sheetName val="#REF"/>
      <sheetName val="품셈"/>
      <sheetName val="국내조달(통합-1)"/>
      <sheetName val="은행"/>
      <sheetName val="별표집계"/>
      <sheetName val="4-7.중앙전기실(노임단가)"/>
      <sheetName val="전등부하"/>
      <sheetName val="마산월령동골조물량변경"/>
      <sheetName val="단가 및 재료비"/>
      <sheetName val="Baby일위대가"/>
      <sheetName val="투찰"/>
      <sheetName val="수량산출서"/>
      <sheetName val="목차임시"/>
      <sheetName val="견적대비"/>
      <sheetName val="감시제어"/>
      <sheetName val="명세서"/>
      <sheetName val="일위대가표지"/>
      <sheetName val="SH.R설치"/>
      <sheetName val="교통시설물단가표"/>
      <sheetName val="Macro_차단기_"/>
      <sheetName val="gyun"/>
      <sheetName val="백룡교차로"/>
      <sheetName val="산정교차로"/>
      <sheetName val="신영교차로"/>
      <sheetName val="CT"/>
      <sheetName val="직재"/>
      <sheetName val="식재인부"/>
      <sheetName val="Sheet1"/>
      <sheetName val="백호우계수"/>
      <sheetName val="형틀공사"/>
      <sheetName val="현장목표"/>
      <sheetName val="토목공사"/>
      <sheetName val="코드"/>
      <sheetName val="청천내"/>
      <sheetName val="자재단가비교표"/>
      <sheetName val="SP-B1"/>
      <sheetName val="DATE"/>
      <sheetName val="데이타"/>
      <sheetName val="공내역"/>
      <sheetName val="종배수관"/>
      <sheetName val="b_balju_ch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단가"/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옥외외등집계표"/>
      <sheetName val="매곡역사"/>
      <sheetName val="인건비 "/>
      <sheetName val="인건비"/>
      <sheetName val="터파기및재료"/>
      <sheetName val="시운전연료비"/>
      <sheetName val="노임단가"/>
      <sheetName val="목록"/>
      <sheetName val="총괄내역서"/>
      <sheetName val="개요"/>
      <sheetName val="실행철강하도"/>
    </sheetNames>
    <sheetDataSet>
      <sheetData sheetId="0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 계산(전기,경관분리)"/>
      <sheetName val="내 역 서(1)"/>
      <sheetName val="내 역 서(2)"/>
      <sheetName val="한전수탁비"/>
      <sheetName val="일위대가"/>
      <sheetName val="단가조사"/>
      <sheetName val="가로등 수량집계"/>
      <sheetName val="공원등 수량집계"/>
      <sheetName val="신호등 수량집계"/>
      <sheetName val="기초단가"/>
      <sheetName val="NOTE"/>
      <sheetName val="노무비 근거"/>
      <sheetName val="단가산출"/>
      <sheetName val="자재단가"/>
    </sheetNames>
    <sheetDataSet>
      <sheetData sheetId="0"/>
      <sheetData sheetId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STORAGE"/>
      <sheetName val="YES"/>
      <sheetName val="설계예산서"/>
      <sheetName val="수량집계"/>
      <sheetName val="수량산출"/>
      <sheetName val="총괄"/>
      <sheetName val="토목"/>
      <sheetName val="가로등내역서"/>
      <sheetName val="수량산출서"/>
      <sheetName val="DATA"/>
      <sheetName val="2000.11월설계내역"/>
      <sheetName val="일위대가"/>
      <sheetName val="#REF"/>
      <sheetName val="터파기및재료"/>
      <sheetName val="집계표"/>
      <sheetName val="단가"/>
      <sheetName val="총괄표"/>
      <sheetName val="말뚝지지력산정"/>
      <sheetName val="전선 및 전선관"/>
      <sheetName val="조명율표"/>
      <sheetName val="실행철강하도"/>
      <sheetName val="내역서"/>
      <sheetName val="단가산출"/>
      <sheetName val="소야공정계획표"/>
      <sheetName val="내역서2안"/>
      <sheetName val="6호기"/>
      <sheetName val="입찰안"/>
      <sheetName val="준검 내역서"/>
      <sheetName val="봉양~조차장간고하개명(신설)"/>
      <sheetName val="하조서"/>
      <sheetName val="내역"/>
      <sheetName val="보증수수료산출"/>
      <sheetName val="bid"/>
      <sheetName val="기계경비"/>
      <sheetName val="1.수인터널"/>
      <sheetName val="가로등"/>
      <sheetName val="수목데이타 "/>
      <sheetName val="변압기 및 발전기 용량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ASP포장"/>
      <sheetName val="단가산출서(기계)"/>
      <sheetName val="JUCK"/>
      <sheetName val="INPUT"/>
      <sheetName val="교각1"/>
      <sheetName val="부대내역"/>
      <sheetName val="단가조사"/>
      <sheetName val="일위대가표"/>
      <sheetName val="참조-(1)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단가 및 재료비"/>
      <sheetName val="신우"/>
      <sheetName val="단가비교표"/>
      <sheetName val="점검총괄"/>
      <sheetName val="자재목록"/>
      <sheetName val="대치판정"/>
      <sheetName val="제수변수량"/>
      <sheetName val="공기변수량"/>
      <sheetName val="상수도토공집계표"/>
      <sheetName val="일위대가(목록)"/>
      <sheetName val="재료비"/>
      <sheetName val="2000년1차"/>
      <sheetName val="MACRO(MCC)"/>
      <sheetName val="내역서(전기)"/>
      <sheetName val="에너지동"/>
      <sheetName val="연습"/>
      <sheetName val="표지 (2)"/>
      <sheetName val="정부노임단가"/>
      <sheetName val="3BL공동구 수량"/>
      <sheetName val="ETC"/>
      <sheetName val="돌망태단위수량"/>
      <sheetName val="예산변경사항"/>
      <sheetName val="본선차로수량집계표"/>
      <sheetName val="설계내역서"/>
      <sheetName val="일반공사"/>
      <sheetName val="대비"/>
      <sheetName val="참고"/>
      <sheetName val="공사개요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을"/>
      <sheetName val="FILE1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Total"/>
      <sheetName val="원가계산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기계내역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산출내역서집계표"/>
      <sheetName val="입찰결과(DATA)"/>
      <sheetName val="일위대가표(유단가)"/>
      <sheetName val="기계경비시간당손료목록"/>
      <sheetName val="AILC004"/>
      <sheetName val="부속동"/>
      <sheetName val="Sheet1 (2)"/>
      <sheetName val="MOTOR"/>
      <sheetName val="코드표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단가일람"/>
      <sheetName val="조경일람"/>
      <sheetName val="일위대가목록"/>
      <sheetName val="물가자료"/>
      <sheetName val="품의서"/>
      <sheetName val="부하계산서"/>
      <sheetName val="물가시세"/>
      <sheetName val="SG"/>
      <sheetName val="전신환매도율"/>
      <sheetName val="EACT10"/>
      <sheetName val="원가계산서 (총괄)"/>
      <sheetName val="원가계산서 (건축)"/>
      <sheetName val="(총괄집계)"/>
      <sheetName val="건축공사"/>
      <sheetName val="방음벽기초(H=4m)"/>
      <sheetName val="BOX전기내역"/>
      <sheetName val="CABLE SIZE-3"/>
      <sheetName val="공구원가계산"/>
      <sheetName val="1차증가원가계산"/>
      <sheetName val="기계경비(시간당)"/>
      <sheetName val="램머"/>
      <sheetName val="견적조건"/>
      <sheetName val="견적조건(을지)"/>
      <sheetName val="식생블럭단위수량"/>
      <sheetName val="을지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대구실행"/>
      <sheetName val="Baby일위대가"/>
      <sheetName val="0.집계"/>
      <sheetName val="N賃率-職"/>
      <sheetName val="가로등부표"/>
      <sheetName val="설계조건"/>
      <sheetName val="날개벽(TYPE3)"/>
      <sheetName val="동원(3)"/>
      <sheetName val="예정(3)"/>
      <sheetName val="주형"/>
      <sheetName val="가감수량"/>
      <sheetName val="맨홀수량산출"/>
      <sheetName val="요율"/>
      <sheetName val="자재대"/>
      <sheetName val="간접1"/>
      <sheetName val="입출재고현황 (2)"/>
      <sheetName val="변경비교-을"/>
      <sheetName val="통장출금액"/>
      <sheetName val="인건비"/>
      <sheetName val="소요자재"/>
      <sheetName val="노무산출서"/>
      <sheetName val="동력부하(도산)"/>
      <sheetName val="1.설계조건"/>
      <sheetName val="일위대가목차"/>
      <sheetName val="노무비단가"/>
      <sheetName val="매립"/>
      <sheetName val="3-1.CB"/>
      <sheetName val="MAIN_TABLE"/>
      <sheetName val="재료"/>
      <sheetName val="제경비율"/>
      <sheetName val="조도계산서 (도서)"/>
      <sheetName val="LOPCALC"/>
      <sheetName val="입찰보고"/>
      <sheetName val="아산추가1220"/>
      <sheetName val="당초"/>
      <sheetName val="토공"/>
      <sheetName val="우수맨홀공제단위수량"/>
      <sheetName val="JUCKEYK"/>
      <sheetName val="EQUIP-H"/>
      <sheetName val="경비_원본"/>
      <sheetName val="BASIC (2)"/>
      <sheetName val=" 상부공통집계(총괄)"/>
      <sheetName val="AS포장복구 "/>
      <sheetName val="2006기계경비산출표"/>
      <sheetName val="20관리비율"/>
      <sheetName val="총괄집계표"/>
      <sheetName val="DATA1"/>
      <sheetName val="말뚝물량"/>
      <sheetName val="견적의뢰서"/>
      <sheetName val="2000전체분"/>
      <sheetName val="포장공"/>
      <sheetName val="PO-BOQ"/>
      <sheetName val="옹벽수량집계"/>
      <sheetName val="1SPAN"/>
      <sheetName val="견적대비"/>
      <sheetName val="ABUT수량-A1"/>
      <sheetName val="9-1차이내역"/>
      <sheetName val="연결관산출조서"/>
      <sheetName val="의왕내역"/>
      <sheetName val="일반수량"/>
      <sheetName val="VA_code"/>
      <sheetName val="공종별원가계산"/>
      <sheetName val="말고개터널조명전압강하"/>
      <sheetName val="조건표"/>
      <sheetName val="JJ"/>
      <sheetName val="설계"/>
      <sheetName val="설 계"/>
      <sheetName val="BQ"/>
      <sheetName val="전기일위대가"/>
      <sheetName val="단면(RW1)"/>
      <sheetName val="WORK"/>
      <sheetName val="시설물일위"/>
      <sheetName val="비교표"/>
      <sheetName val="소비자가"/>
      <sheetName val="ilch"/>
      <sheetName val="XL4Poppy"/>
      <sheetName val="98지급계획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1.설계기준"/>
      <sheetName val="터널조도"/>
      <sheetName val="노임"/>
      <sheetName val="현황CODE"/>
      <sheetName val="손익현황"/>
      <sheetName val="3차설계"/>
      <sheetName val="기둥(원형)"/>
      <sheetName val="밸브설치"/>
      <sheetName val="3.바닥판설계"/>
      <sheetName val="안정계산"/>
      <sheetName val="단면검토"/>
      <sheetName val="원가"/>
      <sheetName val="외주"/>
      <sheetName val="제품별"/>
      <sheetName val="Macro(차단기)"/>
      <sheetName val="구조물철거타공정이월"/>
      <sheetName val="예산갑지"/>
      <sheetName val="하수급견적대비"/>
      <sheetName val="간접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001"/>
      <sheetName val="가설건물"/>
      <sheetName val="일위집계표"/>
      <sheetName val="수로교총재료집계"/>
      <sheetName val="약품설비"/>
      <sheetName val="기초코드"/>
      <sheetName val="5.정산서"/>
      <sheetName val="공사별 가중치 산출근거(토목)"/>
      <sheetName val="가중치근거(조경)"/>
      <sheetName val="2공구산출내역"/>
      <sheetName val="기자재대비표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노무비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총계"/>
      <sheetName val="8. 안정검토"/>
      <sheetName val="제-노임"/>
      <sheetName val="제직재"/>
      <sheetName val="96보완계획7.12"/>
      <sheetName val="지진시"/>
      <sheetName val="일위대가(가설)"/>
      <sheetName val="실행내역서"/>
      <sheetName val="BID-도로"/>
      <sheetName val="내력서"/>
      <sheetName val="1차설계변경내역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부대공Ⅱ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철거산출근거"/>
      <sheetName val="단위단가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LP-S"/>
      <sheetName val="원가계산서"/>
      <sheetName val="목동1절주.bh01"/>
      <sheetName val="48일위"/>
      <sheetName val="48수량"/>
      <sheetName val="22수량"/>
      <sheetName val="49일위"/>
      <sheetName val="22일위"/>
      <sheetName val="49수량"/>
      <sheetName val="실행(표지,갑,을)"/>
      <sheetName val="2000,9월 일위"/>
      <sheetName val="금액결정"/>
      <sheetName val="평교-내역"/>
      <sheetName val="건축내역(진해석동)"/>
      <sheetName val="15"/>
      <sheetName val="물량표"/>
      <sheetName val="36신설수량"/>
      <sheetName val="cost"/>
      <sheetName val="몰탈재료산출"/>
      <sheetName val="단위목록"/>
      <sheetName val="기계경비목록"/>
      <sheetName val="관급"/>
      <sheetName val="DATE"/>
      <sheetName val="22단가(철거)"/>
      <sheetName val="49단가"/>
      <sheetName val="49단가(철거)"/>
      <sheetName val="22단가"/>
      <sheetName val="실행갑지"/>
      <sheetName val="대창(함평)-창열"/>
      <sheetName val="대창(장성)"/>
      <sheetName val="정화조동내역"/>
      <sheetName val="토사(PE)"/>
      <sheetName val="전차선로 물량표"/>
      <sheetName val="LD일"/>
      <sheetName val="FA설치명세"/>
      <sheetName val="FD"/>
      <sheetName val="증감대비"/>
      <sheetName val="공종단가"/>
      <sheetName val="단가조사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unit 4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적용(기계)"/>
      <sheetName val="관로"/>
      <sheetName val="제수"/>
      <sheetName val="공기"/>
      <sheetName val="백호우계수"/>
      <sheetName val="일반수량총괄"/>
      <sheetName val="대,유,램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직공비"/>
      <sheetName val="주관사업"/>
      <sheetName val="수문일1"/>
      <sheetName val="발주설계서(당초)"/>
      <sheetName val="금액내역서"/>
      <sheetName val="단가목록"/>
      <sheetName val="인건비 "/>
      <sheetName val="고창터널(고창방향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/>
      <sheetData sheetId="289"/>
      <sheetData sheetId="290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/>
      <sheetData sheetId="620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/>
      <sheetData sheetId="637"/>
      <sheetData sheetId="638"/>
      <sheetData sheetId="639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/>
      <sheetData sheetId="648"/>
      <sheetData sheetId="649"/>
      <sheetData sheetId="650"/>
      <sheetData sheetId="651"/>
      <sheetData sheetId="652"/>
      <sheetData sheetId="653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내역서"/>
      <sheetName val="내역서-지급자재"/>
      <sheetName val="수배전및분전반-집계표"/>
      <sheetName val="수배전반및분전반-총괄표"/>
      <sheetName val="수배전반및분전반-내역서"/>
      <sheetName val="수배전반및분전반-설치원가"/>
      <sheetName val="수배전반및분전반-설치내역서"/>
      <sheetName val="1.특고인입및수변전설비공사"/>
      <sheetName val="2.전력간선및분전반설비공사"/>
      <sheetName val="3.전등설비공사"/>
      <sheetName val="4.전열설비공사"/>
      <sheetName val="5.냉난방설비공사"/>
      <sheetName val="6.수변전설비철거공사"/>
      <sheetName val="일위대가"/>
      <sheetName val="전기인입공사비"/>
      <sheetName val="#REF"/>
      <sheetName val="가로등 수량집계"/>
      <sheetName val="조명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6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3.emf"/><Relationship Id="rId4" Type="http://schemas.openxmlformats.org/officeDocument/2006/relationships/oleObject" Target="../embeddings/oleObject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1E2EE-857A-42EE-8346-BAD184C9E9C7}">
  <sheetPr>
    <tabColor rgb="FFFFFF00"/>
  </sheetPr>
  <dimension ref="A1:AP35"/>
  <sheetViews>
    <sheetView view="pageBreakPreview" zoomScale="85" zoomScaleSheetLayoutView="85" workbookViewId="0">
      <selection activeCell="B8" sqref="B8:AM9"/>
    </sheetView>
  </sheetViews>
  <sheetFormatPr defaultColWidth="3.109375" defaultRowHeight="14.25"/>
  <cols>
    <col min="1" max="33" width="3.5546875" style="1064" customWidth="1"/>
    <col min="34" max="34" width="3.109375" style="1064" customWidth="1"/>
    <col min="35" max="39" width="3.5546875" style="1064" customWidth="1"/>
    <col min="40" max="40" width="3.109375" style="1064" customWidth="1"/>
    <col min="41" max="41" width="8.109375" style="1064" customWidth="1"/>
    <col min="42" max="42" width="3.77734375" style="1065" bestFit="1" customWidth="1"/>
    <col min="43" max="16384" width="3.109375" style="1064"/>
  </cols>
  <sheetData>
    <row r="1" spans="1:42" ht="25.9" customHeight="1">
      <c r="A1" s="1279" t="s">
        <v>961</v>
      </c>
      <c r="B1" s="1304"/>
      <c r="C1" s="1304"/>
      <c r="D1" s="1304"/>
      <c r="E1" s="1304"/>
      <c r="F1" s="1304"/>
      <c r="G1" s="1304"/>
      <c r="H1" s="1305"/>
      <c r="I1" s="1296" t="s">
        <v>934</v>
      </c>
      <c r="J1" s="1297"/>
      <c r="K1" s="1287"/>
      <c r="L1" s="1288"/>
      <c r="M1" s="1288"/>
      <c r="N1" s="1288"/>
      <c r="O1" s="1288"/>
      <c r="P1" s="1289"/>
      <c r="Q1" s="1296" t="s">
        <v>935</v>
      </c>
      <c r="R1" s="1297"/>
      <c r="S1" s="1287"/>
      <c r="T1" s="1288"/>
      <c r="U1" s="1288"/>
      <c r="V1" s="1288"/>
      <c r="W1" s="1288"/>
      <c r="X1" s="1289"/>
      <c r="Y1" s="1296" t="s">
        <v>936</v>
      </c>
      <c r="Z1" s="1297"/>
      <c r="AA1" s="1287"/>
      <c r="AB1" s="1288"/>
      <c r="AC1" s="1288"/>
      <c r="AD1" s="1288"/>
      <c r="AE1" s="1288"/>
      <c r="AF1" s="1289"/>
      <c r="AG1" s="1296" t="s">
        <v>937</v>
      </c>
      <c r="AH1" s="1297"/>
      <c r="AI1" s="1287"/>
      <c r="AJ1" s="1288"/>
      <c r="AK1" s="1288"/>
      <c r="AL1" s="1288"/>
      <c r="AM1" s="1288"/>
      <c r="AN1" s="1289"/>
    </row>
    <row r="2" spans="1:42" ht="25.9" customHeight="1">
      <c r="A2" s="1281"/>
      <c r="B2" s="1306"/>
      <c r="C2" s="1306"/>
      <c r="D2" s="1306"/>
      <c r="E2" s="1306"/>
      <c r="F2" s="1306"/>
      <c r="G2" s="1306"/>
      <c r="H2" s="1307"/>
      <c r="I2" s="1298"/>
      <c r="J2" s="1299"/>
      <c r="K2" s="1290"/>
      <c r="L2" s="1291"/>
      <c r="M2" s="1291"/>
      <c r="N2" s="1291"/>
      <c r="O2" s="1291"/>
      <c r="P2" s="1292"/>
      <c r="Q2" s="1298"/>
      <c r="R2" s="1299"/>
      <c r="S2" s="1290"/>
      <c r="T2" s="1291"/>
      <c r="U2" s="1291"/>
      <c r="V2" s="1291"/>
      <c r="W2" s="1291"/>
      <c r="X2" s="1292"/>
      <c r="Y2" s="1298"/>
      <c r="Z2" s="1299"/>
      <c r="AA2" s="1290"/>
      <c r="AB2" s="1291"/>
      <c r="AC2" s="1291"/>
      <c r="AD2" s="1291"/>
      <c r="AE2" s="1291"/>
      <c r="AF2" s="1292"/>
      <c r="AG2" s="1298"/>
      <c r="AH2" s="1299"/>
      <c r="AI2" s="1290"/>
      <c r="AJ2" s="1291"/>
      <c r="AK2" s="1291"/>
      <c r="AL2" s="1291"/>
      <c r="AM2" s="1291"/>
      <c r="AN2" s="1292"/>
    </row>
    <row r="3" spans="1:42" ht="25.9" customHeight="1">
      <c r="A3" s="1281"/>
      <c r="B3" s="1306"/>
      <c r="C3" s="1306"/>
      <c r="D3" s="1306"/>
      <c r="E3" s="1306"/>
      <c r="F3" s="1306"/>
      <c r="G3" s="1306"/>
      <c r="H3" s="1307"/>
      <c r="I3" s="1298"/>
      <c r="J3" s="1299"/>
      <c r="K3" s="1290"/>
      <c r="L3" s="1291"/>
      <c r="M3" s="1291"/>
      <c r="N3" s="1291"/>
      <c r="O3" s="1291"/>
      <c r="P3" s="1292"/>
      <c r="Q3" s="1298"/>
      <c r="R3" s="1299"/>
      <c r="S3" s="1290"/>
      <c r="T3" s="1291"/>
      <c r="U3" s="1291"/>
      <c r="V3" s="1291"/>
      <c r="W3" s="1291"/>
      <c r="X3" s="1292"/>
      <c r="Y3" s="1298"/>
      <c r="Z3" s="1299"/>
      <c r="AA3" s="1290"/>
      <c r="AB3" s="1291"/>
      <c r="AC3" s="1291"/>
      <c r="AD3" s="1291"/>
      <c r="AE3" s="1291"/>
      <c r="AF3" s="1292"/>
      <c r="AG3" s="1298"/>
      <c r="AH3" s="1299"/>
      <c r="AI3" s="1290"/>
      <c r="AJ3" s="1291"/>
      <c r="AK3" s="1291"/>
      <c r="AL3" s="1291"/>
      <c r="AM3" s="1291"/>
      <c r="AN3" s="1292"/>
    </row>
    <row r="4" spans="1:42" ht="25.9" customHeight="1" thickBot="1">
      <c r="A4" s="1308"/>
      <c r="B4" s="1309"/>
      <c r="C4" s="1309"/>
      <c r="D4" s="1309"/>
      <c r="E4" s="1309"/>
      <c r="F4" s="1309"/>
      <c r="G4" s="1309"/>
      <c r="H4" s="1310"/>
      <c r="I4" s="1300"/>
      <c r="J4" s="1301"/>
      <c r="K4" s="1293"/>
      <c r="L4" s="1294"/>
      <c r="M4" s="1294"/>
      <c r="N4" s="1294"/>
      <c r="O4" s="1294"/>
      <c r="P4" s="1295"/>
      <c r="Q4" s="1300"/>
      <c r="R4" s="1301"/>
      <c r="S4" s="1293"/>
      <c r="T4" s="1294"/>
      <c r="U4" s="1294"/>
      <c r="V4" s="1294"/>
      <c r="W4" s="1294"/>
      <c r="X4" s="1295"/>
      <c r="Y4" s="1300"/>
      <c r="Z4" s="1301"/>
      <c r="AA4" s="1293"/>
      <c r="AB4" s="1294"/>
      <c r="AC4" s="1294"/>
      <c r="AD4" s="1294"/>
      <c r="AE4" s="1294"/>
      <c r="AF4" s="1295"/>
      <c r="AG4" s="1300"/>
      <c r="AH4" s="1301"/>
      <c r="AI4" s="1293"/>
      <c r="AJ4" s="1294"/>
      <c r="AK4" s="1294"/>
      <c r="AL4" s="1294"/>
      <c r="AM4" s="1294"/>
      <c r="AN4" s="1295"/>
    </row>
    <row r="5" spans="1:42" ht="25.9" customHeight="1">
      <c r="A5" s="1066"/>
      <c r="AN5" s="1067"/>
    </row>
    <row r="6" spans="1:42" ht="25.9" customHeight="1">
      <c r="A6" s="1066"/>
      <c r="B6" s="1064" t="s">
        <v>962</v>
      </c>
      <c r="AM6" s="1068" t="str">
        <f>" 위 치 : "&amp;AP6</f>
        <v xml:space="preserve"> 위 치 : 충북 단양군 단양읍 상진리 313-13 일원</v>
      </c>
      <c r="AN6" s="1067"/>
      <c r="AP6" s="1065" t="s">
        <v>1166</v>
      </c>
    </row>
    <row r="7" spans="1:42" ht="12.95" customHeight="1">
      <c r="A7" s="1066"/>
      <c r="AN7" s="1067"/>
    </row>
    <row r="8" spans="1:42" ht="25.9" customHeight="1">
      <c r="A8" s="1066"/>
      <c r="B8" s="1302" t="s">
        <v>1165</v>
      </c>
      <c r="C8" s="1302"/>
      <c r="D8" s="1302"/>
      <c r="E8" s="1302"/>
      <c r="F8" s="1302"/>
      <c r="G8" s="1302"/>
      <c r="H8" s="1302"/>
      <c r="I8" s="1302"/>
      <c r="J8" s="1302"/>
      <c r="K8" s="1302"/>
      <c r="L8" s="1302"/>
      <c r="M8" s="1302"/>
      <c r="N8" s="1302"/>
      <c r="O8" s="1302"/>
      <c r="P8" s="1302"/>
      <c r="Q8" s="1302"/>
      <c r="R8" s="1302"/>
      <c r="S8" s="1302"/>
      <c r="T8" s="1302"/>
      <c r="U8" s="1302"/>
      <c r="V8" s="1302"/>
      <c r="W8" s="1302"/>
      <c r="X8" s="1302"/>
      <c r="Y8" s="1302"/>
      <c r="Z8" s="1302"/>
      <c r="AA8" s="1302"/>
      <c r="AB8" s="1302"/>
      <c r="AC8" s="1302"/>
      <c r="AD8" s="1302"/>
      <c r="AE8" s="1302"/>
      <c r="AF8" s="1302"/>
      <c r="AG8" s="1302"/>
      <c r="AH8" s="1302"/>
      <c r="AI8" s="1302"/>
      <c r="AJ8" s="1302"/>
      <c r="AK8" s="1302"/>
      <c r="AL8" s="1302"/>
      <c r="AM8" s="1302"/>
      <c r="AN8" s="1067"/>
    </row>
    <row r="9" spans="1:42" ht="25.9" customHeight="1">
      <c r="A9" s="1066"/>
      <c r="B9" s="1302"/>
      <c r="C9" s="1302"/>
      <c r="D9" s="1302"/>
      <c r="E9" s="1302"/>
      <c r="F9" s="1302"/>
      <c r="G9" s="1302"/>
      <c r="H9" s="1302"/>
      <c r="I9" s="1302"/>
      <c r="J9" s="1302"/>
      <c r="K9" s="1302"/>
      <c r="L9" s="1302"/>
      <c r="M9" s="1302"/>
      <c r="N9" s="1302"/>
      <c r="O9" s="1302"/>
      <c r="P9" s="1302"/>
      <c r="Q9" s="1302"/>
      <c r="R9" s="1302"/>
      <c r="S9" s="1302"/>
      <c r="T9" s="1302"/>
      <c r="U9" s="1302"/>
      <c r="V9" s="1302"/>
      <c r="W9" s="1302"/>
      <c r="X9" s="1302"/>
      <c r="Y9" s="1302"/>
      <c r="Z9" s="1302"/>
      <c r="AA9" s="1302"/>
      <c r="AB9" s="1302"/>
      <c r="AC9" s="1302"/>
      <c r="AD9" s="1302"/>
      <c r="AE9" s="1302"/>
      <c r="AF9" s="1302"/>
      <c r="AG9" s="1302"/>
      <c r="AH9" s="1302"/>
      <c r="AI9" s="1302"/>
      <c r="AJ9" s="1302"/>
      <c r="AK9" s="1302"/>
      <c r="AL9" s="1302"/>
      <c r="AM9" s="1302"/>
      <c r="AN9" s="1067"/>
    </row>
    <row r="10" spans="1:42" ht="25.9" customHeight="1">
      <c r="A10" s="1066"/>
      <c r="AN10" s="1067"/>
      <c r="AP10" s="1069"/>
    </row>
    <row r="11" spans="1:42" ht="25.9" customHeight="1">
      <c r="A11" s="1066"/>
      <c r="C11" s="1303" t="s">
        <v>938</v>
      </c>
      <c r="D11" s="1303"/>
      <c r="E11" s="1303"/>
      <c r="F11" s="1303"/>
      <c r="G11" s="1303"/>
      <c r="H11" s="1303"/>
      <c r="I11" s="1277" t="s">
        <v>1169</v>
      </c>
      <c r="J11" s="1277"/>
      <c r="K11" s="1277"/>
      <c r="L11" s="1277"/>
      <c r="M11" s="1277"/>
      <c r="N11" s="1277"/>
      <c r="O11" s="1277"/>
      <c r="P11" s="1277"/>
      <c r="Q11" s="1277"/>
      <c r="R11" s="1277"/>
      <c r="S11" s="1277"/>
      <c r="T11" s="1277"/>
      <c r="U11" s="1277"/>
      <c r="V11" s="1277"/>
      <c r="W11" s="1277"/>
      <c r="X11" s="1277"/>
      <c r="Y11" s="1277"/>
      <c r="Z11" s="1277"/>
      <c r="AA11" s="1277"/>
      <c r="AB11" s="1277"/>
      <c r="AC11" s="1277"/>
      <c r="AD11" s="1277"/>
      <c r="AE11" s="1277"/>
      <c r="AF11" s="1277"/>
      <c r="AG11" s="1277"/>
      <c r="AN11" s="1067"/>
      <c r="AO11" s="1064" t="e">
        <f>#REF!</f>
        <v>#REF!</v>
      </c>
      <c r="AP11" s="1069"/>
    </row>
    <row r="12" spans="1:42" ht="25.9" customHeight="1">
      <c r="A12" s="1066"/>
      <c r="C12" s="1070"/>
      <c r="D12" s="1070"/>
      <c r="E12" s="1070"/>
      <c r="F12" s="1070"/>
      <c r="G12" s="1070"/>
      <c r="H12" s="1070"/>
      <c r="I12" s="1277" t="s">
        <v>1170</v>
      </c>
      <c r="J12" s="1277"/>
      <c r="K12" s="1277"/>
      <c r="L12" s="1277"/>
      <c r="M12" s="1277"/>
      <c r="N12" s="1277"/>
      <c r="O12" s="1277"/>
      <c r="P12" s="1277"/>
      <c r="Q12" s="1277"/>
      <c r="R12" s="1277"/>
      <c r="S12" s="1277"/>
      <c r="T12" s="1277"/>
      <c r="U12" s="1277"/>
      <c r="V12" s="1277"/>
      <c r="W12" s="1277"/>
      <c r="X12" s="1277"/>
      <c r="Y12" s="1277"/>
      <c r="Z12" s="1277"/>
      <c r="AA12" s="1277"/>
      <c r="AB12" s="1277"/>
      <c r="AC12" s="1277"/>
      <c r="AD12" s="1277"/>
      <c r="AE12" s="1277"/>
      <c r="AF12" s="1277"/>
      <c r="AG12" s="1277"/>
      <c r="AN12" s="1067"/>
      <c r="AO12" s="1064" t="e">
        <f>#REF!</f>
        <v>#REF!</v>
      </c>
      <c r="AP12" s="1069"/>
    </row>
    <row r="13" spans="1:42" ht="25.9" customHeight="1">
      <c r="A13" s="1066"/>
      <c r="C13" s="1070"/>
      <c r="D13" s="1070"/>
      <c r="E13" s="1070"/>
      <c r="F13" s="1070"/>
      <c r="G13" s="1070"/>
      <c r="H13" s="1070"/>
      <c r="I13" s="1277" t="s">
        <v>1173</v>
      </c>
      <c r="J13" s="1277"/>
      <c r="K13" s="1277"/>
      <c r="L13" s="1277"/>
      <c r="M13" s="1277"/>
      <c r="N13" s="1277"/>
      <c r="O13" s="1277"/>
      <c r="P13" s="1277"/>
      <c r="Q13" s="1277"/>
      <c r="R13" s="1277"/>
      <c r="S13" s="1277"/>
      <c r="T13" s="1277"/>
      <c r="U13" s="1277"/>
      <c r="V13" s="1277"/>
      <c r="W13" s="1277"/>
      <c r="X13" s="1277"/>
      <c r="Y13" s="1277"/>
      <c r="Z13" s="1277"/>
      <c r="AA13" s="1277"/>
      <c r="AB13" s="1277"/>
      <c r="AC13" s="1277"/>
      <c r="AD13" s="1277"/>
      <c r="AE13" s="1277"/>
      <c r="AF13" s="1277"/>
      <c r="AG13" s="1277"/>
      <c r="AN13" s="1067"/>
      <c r="AO13" s="1064" t="e">
        <f>#REF!</f>
        <v>#REF!</v>
      </c>
      <c r="AP13" s="1069"/>
    </row>
    <row r="14" spans="1:42" ht="25.9" customHeight="1">
      <c r="A14" s="1066"/>
      <c r="C14" s="1070"/>
      <c r="D14" s="1070"/>
      <c r="E14" s="1070"/>
      <c r="F14" s="1070"/>
      <c r="G14" s="1070"/>
      <c r="H14" s="1070"/>
      <c r="I14" s="1277" t="s">
        <v>1171</v>
      </c>
      <c r="J14" s="1277"/>
      <c r="K14" s="1277"/>
      <c r="L14" s="1277"/>
      <c r="M14" s="1277"/>
      <c r="N14" s="1277"/>
      <c r="O14" s="1277"/>
      <c r="P14" s="1277"/>
      <c r="Q14" s="1277"/>
      <c r="R14" s="1277"/>
      <c r="S14" s="1277"/>
      <c r="T14" s="1277"/>
      <c r="U14" s="1277"/>
      <c r="V14" s="1277"/>
      <c r="W14" s="1277"/>
      <c r="X14" s="1277"/>
      <c r="Y14" s="1277"/>
      <c r="Z14" s="1277"/>
      <c r="AA14" s="1277"/>
      <c r="AB14" s="1277"/>
      <c r="AC14" s="1277"/>
      <c r="AD14" s="1277"/>
      <c r="AE14" s="1277"/>
      <c r="AF14" s="1277"/>
      <c r="AG14" s="1277"/>
      <c r="AN14" s="1067"/>
      <c r="AO14" s="1064" t="e">
        <f>#REF!</f>
        <v>#REF!</v>
      </c>
      <c r="AP14" s="1069"/>
    </row>
    <row r="15" spans="1:42" ht="25.9" customHeight="1">
      <c r="A15" s="1066"/>
      <c r="C15" s="1070"/>
      <c r="D15" s="1070"/>
      <c r="E15" s="1070"/>
      <c r="F15" s="1070"/>
      <c r="G15" s="1070"/>
      <c r="H15" s="1070"/>
      <c r="I15" s="1277" t="s">
        <v>1172</v>
      </c>
      <c r="J15" s="1277"/>
      <c r="K15" s="1277"/>
      <c r="L15" s="1277"/>
      <c r="M15" s="1277"/>
      <c r="N15" s="1277"/>
      <c r="O15" s="1277"/>
      <c r="P15" s="1277"/>
      <c r="Q15" s="1277"/>
      <c r="R15" s="1277"/>
      <c r="S15" s="1277"/>
      <c r="T15" s="1277"/>
      <c r="U15" s="1277"/>
      <c r="V15" s="1277"/>
      <c r="W15" s="1277"/>
      <c r="X15" s="1277"/>
      <c r="Y15" s="1277"/>
      <c r="Z15" s="1277"/>
      <c r="AA15" s="1277"/>
      <c r="AB15" s="1277"/>
      <c r="AC15" s="1277"/>
      <c r="AD15" s="1277"/>
      <c r="AE15" s="1277"/>
      <c r="AF15" s="1277"/>
      <c r="AG15" s="1277"/>
      <c r="AN15" s="1067"/>
      <c r="AO15" s="1064" t="e">
        <f>#REF!</f>
        <v>#REF!</v>
      </c>
      <c r="AP15" s="1069"/>
    </row>
    <row r="16" spans="1:42" ht="25.9" customHeight="1">
      <c r="A16" s="1066"/>
      <c r="C16" s="1070"/>
      <c r="D16" s="1070"/>
      <c r="E16" s="1070"/>
      <c r="F16" s="1070"/>
      <c r="G16" s="1070"/>
      <c r="H16" s="1070"/>
      <c r="I16" s="1277" t="s">
        <v>1174</v>
      </c>
      <c r="J16" s="1277"/>
      <c r="K16" s="1277"/>
      <c r="L16" s="1277"/>
      <c r="M16" s="1277"/>
      <c r="N16" s="1277"/>
      <c r="O16" s="1277"/>
      <c r="P16" s="1277"/>
      <c r="Q16" s="1277"/>
      <c r="R16" s="1277"/>
      <c r="S16" s="1277"/>
      <c r="T16" s="1277"/>
      <c r="U16" s="1277"/>
      <c r="V16" s="1277"/>
      <c r="W16" s="1277"/>
      <c r="X16" s="1277"/>
      <c r="Y16" s="1277"/>
      <c r="Z16" s="1277"/>
      <c r="AA16" s="1277"/>
      <c r="AB16" s="1277"/>
      <c r="AC16" s="1277"/>
      <c r="AD16" s="1277"/>
      <c r="AE16" s="1277"/>
      <c r="AF16" s="1277"/>
      <c r="AG16" s="1277"/>
      <c r="AN16" s="1067"/>
      <c r="AO16" s="1064" t="e">
        <f>#REF!</f>
        <v>#REF!</v>
      </c>
      <c r="AP16" s="1069"/>
    </row>
    <row r="17" spans="1:42" ht="25.9" customHeight="1">
      <c r="A17" s="1066"/>
      <c r="C17" s="1070"/>
      <c r="D17" s="1070"/>
      <c r="E17" s="1070"/>
      <c r="F17" s="1070"/>
      <c r="G17" s="1070"/>
      <c r="H17" s="1070"/>
      <c r="I17" s="1277" t="s">
        <v>1175</v>
      </c>
      <c r="J17" s="1277"/>
      <c r="K17" s="1277"/>
      <c r="L17" s="1277"/>
      <c r="M17" s="1277"/>
      <c r="N17" s="1277"/>
      <c r="O17" s="1277"/>
      <c r="P17" s="1277"/>
      <c r="Q17" s="1277"/>
      <c r="R17" s="1277"/>
      <c r="S17" s="1277"/>
      <c r="T17" s="1277"/>
      <c r="U17" s="1277"/>
      <c r="V17" s="1277"/>
      <c r="W17" s="1277"/>
      <c r="X17" s="1277"/>
      <c r="Y17" s="1277"/>
      <c r="Z17" s="1277"/>
      <c r="AA17" s="1277"/>
      <c r="AB17" s="1277"/>
      <c r="AC17" s="1277"/>
      <c r="AD17" s="1277"/>
      <c r="AE17" s="1277"/>
      <c r="AF17" s="1277"/>
      <c r="AG17" s="1277"/>
      <c r="AN17" s="1067"/>
      <c r="AO17" s="1064" t="e">
        <f>#REF!</f>
        <v>#REF!</v>
      </c>
      <c r="AP17" s="1069"/>
    </row>
    <row r="18" spans="1:42" ht="25.9" customHeight="1">
      <c r="A18" s="1066"/>
      <c r="C18" s="1070"/>
      <c r="D18" s="1070"/>
      <c r="E18" s="1070"/>
      <c r="F18" s="1070"/>
      <c r="G18" s="1070"/>
      <c r="H18" s="1070"/>
      <c r="I18" s="1277" t="s">
        <v>963</v>
      </c>
      <c r="J18" s="1277"/>
      <c r="K18" s="1277"/>
      <c r="L18" s="1277"/>
      <c r="M18" s="1277"/>
      <c r="N18" s="1277"/>
      <c r="O18" s="1277"/>
      <c r="P18" s="1277"/>
      <c r="Q18" s="1277"/>
      <c r="R18" s="1277"/>
      <c r="S18" s="1277"/>
      <c r="T18" s="1277"/>
      <c r="U18" s="1277"/>
      <c r="V18" s="1277"/>
      <c r="W18" s="1277"/>
      <c r="X18" s="1277"/>
      <c r="Y18" s="1277"/>
      <c r="Z18" s="1277"/>
      <c r="AA18" s="1277"/>
      <c r="AB18" s="1277"/>
      <c r="AC18" s="1277"/>
      <c r="AD18" s="1277"/>
      <c r="AE18" s="1277"/>
      <c r="AF18" s="1277"/>
      <c r="AG18" s="1277"/>
      <c r="AN18" s="1067"/>
      <c r="AO18" s="1064" t="e">
        <f>#REF!</f>
        <v>#REF!</v>
      </c>
      <c r="AP18" s="1069"/>
    </row>
    <row r="19" spans="1:42" ht="12.95" customHeight="1">
      <c r="A19" s="1066"/>
      <c r="AN19" s="1067"/>
    </row>
    <row r="20" spans="1:42" ht="38.1" customHeight="1">
      <c r="A20" s="1066"/>
      <c r="C20" s="1286" t="s">
        <v>939</v>
      </c>
      <c r="D20" s="1286"/>
      <c r="E20" s="1286"/>
      <c r="F20" s="1286"/>
      <c r="G20" s="1286"/>
      <c r="H20" s="1286"/>
      <c r="I20" s="1276" t="e">
        <f>NUMBERSTRING(Z20,1)</f>
        <v>#REF!</v>
      </c>
      <c r="J20" s="1276"/>
      <c r="K20" s="1276"/>
      <c r="L20" s="1276"/>
      <c r="M20" s="1276"/>
      <c r="N20" s="1276"/>
      <c r="O20" s="1276"/>
      <c r="P20" s="1276"/>
      <c r="Q20" s="1276"/>
      <c r="R20" s="1276"/>
      <c r="S20" s="1276"/>
      <c r="T20" s="1276"/>
      <c r="U20" s="1276"/>
      <c r="V20" s="1276"/>
      <c r="W20" s="1276"/>
      <c r="X20" s="1277" t="s">
        <v>940</v>
      </c>
      <c r="Y20" s="1277"/>
      <c r="Z20" s="1278" t="e">
        <f>Z21+Z22+Z23</f>
        <v>#REF!</v>
      </c>
      <c r="AA20" s="1278"/>
      <c r="AB20" s="1278"/>
      <c r="AC20" s="1278"/>
      <c r="AD20" s="1278"/>
      <c r="AE20" s="1278"/>
      <c r="AF20" s="1278"/>
      <c r="AG20" s="1278"/>
      <c r="AN20" s="1067"/>
    </row>
    <row r="21" spans="1:42" ht="38.1" customHeight="1">
      <c r="A21" s="1066"/>
      <c r="C21" s="1286" t="s">
        <v>952</v>
      </c>
      <c r="D21" s="1286"/>
      <c r="E21" s="1286"/>
      <c r="F21" s="1286"/>
      <c r="G21" s="1286"/>
      <c r="H21" s="1286"/>
      <c r="I21" s="1276" t="e">
        <f>NUMBERSTRING(Z21,1)</f>
        <v>#REF!</v>
      </c>
      <c r="J21" s="1276"/>
      <c r="K21" s="1276"/>
      <c r="L21" s="1276"/>
      <c r="M21" s="1276"/>
      <c r="N21" s="1276"/>
      <c r="O21" s="1276"/>
      <c r="P21" s="1276"/>
      <c r="Q21" s="1276"/>
      <c r="R21" s="1276"/>
      <c r="S21" s="1276"/>
      <c r="T21" s="1276"/>
      <c r="U21" s="1276"/>
      <c r="V21" s="1276"/>
      <c r="W21" s="1276"/>
      <c r="X21" s="1277" t="s">
        <v>940</v>
      </c>
      <c r="Y21" s="1277"/>
      <c r="Z21" s="1278" t="e">
        <f>#REF!</f>
        <v>#REF!</v>
      </c>
      <c r="AA21" s="1278"/>
      <c r="AB21" s="1278"/>
      <c r="AC21" s="1278"/>
      <c r="AD21" s="1278"/>
      <c r="AE21" s="1278"/>
      <c r="AF21" s="1278"/>
      <c r="AG21" s="1278"/>
      <c r="AN21" s="1067"/>
    </row>
    <row r="22" spans="1:42" ht="38.1" customHeight="1">
      <c r="A22" s="1066"/>
      <c r="C22" s="1286" t="s">
        <v>941</v>
      </c>
      <c r="D22" s="1286"/>
      <c r="E22" s="1286"/>
      <c r="F22" s="1286"/>
      <c r="G22" s="1286"/>
      <c r="H22" s="1286"/>
      <c r="I22" s="1276" t="e">
        <f>NUMBERSTRING(Z22,1)</f>
        <v>#REF!</v>
      </c>
      <c r="J22" s="1276"/>
      <c r="K22" s="1276"/>
      <c r="L22" s="1276"/>
      <c r="M22" s="1276"/>
      <c r="N22" s="1276"/>
      <c r="O22" s="1276"/>
      <c r="P22" s="1276"/>
      <c r="Q22" s="1276"/>
      <c r="R22" s="1276"/>
      <c r="S22" s="1276"/>
      <c r="T22" s="1276"/>
      <c r="U22" s="1276"/>
      <c r="V22" s="1276"/>
      <c r="W22" s="1276"/>
      <c r="X22" s="1277" t="s">
        <v>940</v>
      </c>
      <c r="Y22" s="1277"/>
      <c r="Z22" s="1278" t="e">
        <f>#REF!</f>
        <v>#REF!</v>
      </c>
      <c r="AA22" s="1278"/>
      <c r="AB22" s="1278"/>
      <c r="AC22" s="1278"/>
      <c r="AD22" s="1278"/>
      <c r="AE22" s="1278"/>
      <c r="AF22" s="1278"/>
      <c r="AG22" s="1278"/>
      <c r="AN22" s="1067"/>
    </row>
    <row r="23" spans="1:42" ht="38.1" customHeight="1">
      <c r="A23" s="1066"/>
      <c r="C23" s="1275" t="s">
        <v>942</v>
      </c>
      <c r="D23" s="1275"/>
      <c r="E23" s="1275"/>
      <c r="F23" s="1275"/>
      <c r="G23" s="1275"/>
      <c r="H23" s="1275"/>
      <c r="I23" s="1276" t="e">
        <f>NUMBERSTRING(Z23,1)</f>
        <v>#REF!</v>
      </c>
      <c r="J23" s="1276"/>
      <c r="K23" s="1276"/>
      <c r="L23" s="1276"/>
      <c r="M23" s="1276"/>
      <c r="N23" s="1276"/>
      <c r="O23" s="1276"/>
      <c r="P23" s="1276"/>
      <c r="Q23" s="1276"/>
      <c r="R23" s="1276"/>
      <c r="S23" s="1276"/>
      <c r="T23" s="1276"/>
      <c r="U23" s="1276"/>
      <c r="V23" s="1276"/>
      <c r="W23" s="1276"/>
      <c r="X23" s="1277" t="s">
        <v>940</v>
      </c>
      <c r="Y23" s="1277"/>
      <c r="Z23" s="1278" t="e">
        <f>#REF!</f>
        <v>#REF!</v>
      </c>
      <c r="AA23" s="1278"/>
      <c r="AB23" s="1278"/>
      <c r="AC23" s="1278"/>
      <c r="AD23" s="1278"/>
      <c r="AE23" s="1278"/>
      <c r="AF23" s="1278"/>
      <c r="AG23" s="1278"/>
      <c r="AN23" s="1067"/>
    </row>
    <row r="24" spans="1:42" ht="25.9" customHeight="1" thickBot="1">
      <c r="A24" s="1071"/>
      <c r="B24" s="1072"/>
      <c r="C24" s="1072"/>
      <c r="D24" s="1072"/>
      <c r="E24" s="1072"/>
      <c r="F24" s="1072"/>
      <c r="G24" s="1072"/>
      <c r="H24" s="1072"/>
      <c r="I24" s="1072"/>
      <c r="J24" s="1072"/>
      <c r="K24" s="1072"/>
      <c r="L24" s="1072"/>
      <c r="M24" s="1072"/>
      <c r="N24" s="1072"/>
      <c r="O24" s="1072"/>
      <c r="P24" s="1072"/>
      <c r="Q24" s="1072"/>
      <c r="R24" s="1072"/>
      <c r="S24" s="1072"/>
      <c r="T24" s="1072"/>
      <c r="U24" s="1072"/>
      <c r="V24" s="1072"/>
      <c r="W24" s="1072"/>
      <c r="X24" s="1072"/>
      <c r="Y24" s="1072"/>
      <c r="Z24" s="1072"/>
      <c r="AA24" s="1072"/>
      <c r="AB24" s="1072"/>
      <c r="AC24" s="1072"/>
      <c r="AD24" s="1072"/>
      <c r="AE24" s="1072"/>
      <c r="AF24" s="1072"/>
      <c r="AG24" s="1072"/>
      <c r="AH24" s="1072"/>
      <c r="AI24" s="1072"/>
      <c r="AJ24" s="1072"/>
      <c r="AK24" s="1072"/>
      <c r="AL24" s="1072"/>
      <c r="AM24" s="1072"/>
      <c r="AN24" s="1073"/>
    </row>
    <row r="28" spans="1:42">
      <c r="A28" s="1279" t="s">
        <v>943</v>
      </c>
      <c r="B28" s="1280"/>
      <c r="C28" s="1270"/>
      <c r="D28" s="1270"/>
      <c r="E28" s="1270"/>
      <c r="F28" s="1270"/>
      <c r="G28" s="1270"/>
      <c r="H28" s="1270"/>
      <c r="I28" s="1273" t="s">
        <v>944</v>
      </c>
      <c r="J28" s="1270"/>
      <c r="K28" s="1270"/>
      <c r="L28" s="1270"/>
      <c r="M28" s="1270"/>
      <c r="N28" s="1270"/>
      <c r="O28" s="1270"/>
      <c r="P28" s="1270"/>
      <c r="Q28" s="1273" t="s">
        <v>945</v>
      </c>
      <c r="R28" s="1270"/>
      <c r="S28" s="1270"/>
      <c r="T28" s="1270"/>
      <c r="U28" s="1270"/>
      <c r="V28" s="1270"/>
      <c r="W28" s="1270"/>
      <c r="X28" s="1270"/>
      <c r="Y28" s="1273" t="s">
        <v>946</v>
      </c>
      <c r="Z28" s="1270"/>
      <c r="AA28" s="1270"/>
      <c r="AB28" s="1270"/>
      <c r="AC28" s="1270"/>
      <c r="AD28" s="1270"/>
      <c r="AE28" s="1270"/>
      <c r="AF28" s="1270"/>
      <c r="AG28" s="1273" t="s">
        <v>947</v>
      </c>
      <c r="AH28" s="1270"/>
      <c r="AI28" s="1270"/>
      <c r="AJ28" s="1270"/>
      <c r="AK28" s="1270"/>
      <c r="AL28" s="1270"/>
      <c r="AM28" s="1270"/>
      <c r="AN28" s="1270"/>
    </row>
    <row r="29" spans="1:42">
      <c r="A29" s="1281"/>
      <c r="B29" s="1282"/>
      <c r="C29" s="1271"/>
      <c r="D29" s="1271"/>
      <c r="E29" s="1271"/>
      <c r="F29" s="1271"/>
      <c r="G29" s="1271"/>
      <c r="H29" s="1271"/>
      <c r="I29" s="1274"/>
      <c r="J29" s="1271"/>
      <c r="K29" s="1271"/>
      <c r="L29" s="1271"/>
      <c r="M29" s="1271"/>
      <c r="N29" s="1271"/>
      <c r="O29" s="1271"/>
      <c r="P29" s="1271"/>
      <c r="Q29" s="1274"/>
      <c r="R29" s="1271"/>
      <c r="S29" s="1271"/>
      <c r="T29" s="1271"/>
      <c r="U29" s="1271"/>
      <c r="V29" s="1271"/>
      <c r="W29" s="1271"/>
      <c r="X29" s="1271"/>
      <c r="Y29" s="1274"/>
      <c r="Z29" s="1271"/>
      <c r="AA29" s="1271"/>
      <c r="AB29" s="1271"/>
      <c r="AC29" s="1271"/>
      <c r="AD29" s="1271"/>
      <c r="AE29" s="1271"/>
      <c r="AF29" s="1271"/>
      <c r="AG29" s="1274"/>
      <c r="AH29" s="1271"/>
      <c r="AI29" s="1271"/>
      <c r="AJ29" s="1271"/>
      <c r="AK29" s="1271"/>
      <c r="AL29" s="1271"/>
      <c r="AM29" s="1271"/>
      <c r="AN29" s="1271"/>
    </row>
    <row r="30" spans="1:42">
      <c r="A30" s="1283"/>
      <c r="B30" s="1282"/>
      <c r="C30" s="1271"/>
      <c r="D30" s="1271"/>
      <c r="E30" s="1271"/>
      <c r="F30" s="1271"/>
      <c r="G30" s="1271"/>
      <c r="H30" s="1271"/>
      <c r="I30" s="1271"/>
      <c r="J30" s="1271"/>
      <c r="K30" s="1271"/>
      <c r="L30" s="1271"/>
      <c r="M30" s="1271"/>
      <c r="N30" s="1271"/>
      <c r="O30" s="1271"/>
      <c r="P30" s="1271"/>
      <c r="Q30" s="1271"/>
      <c r="R30" s="1271"/>
      <c r="S30" s="1271"/>
      <c r="T30" s="1271"/>
      <c r="U30" s="1271"/>
      <c r="V30" s="1271"/>
      <c r="W30" s="1271"/>
      <c r="X30" s="1271"/>
      <c r="Y30" s="1271"/>
      <c r="Z30" s="1271"/>
      <c r="AA30" s="1271"/>
      <c r="AB30" s="1271"/>
      <c r="AC30" s="1271"/>
      <c r="AD30" s="1271"/>
      <c r="AE30" s="1271"/>
      <c r="AF30" s="1271"/>
      <c r="AG30" s="1271"/>
      <c r="AH30" s="1271"/>
      <c r="AI30" s="1271"/>
      <c r="AJ30" s="1271"/>
      <c r="AK30" s="1271"/>
      <c r="AL30" s="1271"/>
      <c r="AM30" s="1271"/>
      <c r="AN30" s="1271"/>
    </row>
    <row r="31" spans="1:42" ht="15" thickBot="1">
      <c r="A31" s="1284"/>
      <c r="B31" s="1285"/>
      <c r="C31" s="1272"/>
      <c r="D31" s="1272"/>
      <c r="E31" s="1272"/>
      <c r="F31" s="1272"/>
      <c r="G31" s="1272"/>
      <c r="H31" s="1272"/>
      <c r="I31" s="1272"/>
      <c r="J31" s="1272"/>
      <c r="K31" s="1272"/>
      <c r="L31" s="1272"/>
      <c r="M31" s="1272"/>
      <c r="N31" s="1272"/>
      <c r="O31" s="1272"/>
      <c r="P31" s="1272"/>
      <c r="Q31" s="1272"/>
      <c r="R31" s="1272"/>
      <c r="S31" s="1272"/>
      <c r="T31" s="1272"/>
      <c r="U31" s="1272"/>
      <c r="V31" s="1272"/>
      <c r="W31" s="1272"/>
      <c r="X31" s="1272"/>
      <c r="Y31" s="1272"/>
      <c r="Z31" s="1272"/>
      <c r="AA31" s="1272"/>
      <c r="AB31" s="1272"/>
      <c r="AC31" s="1272"/>
      <c r="AD31" s="1272"/>
      <c r="AE31" s="1272"/>
      <c r="AF31" s="1272"/>
      <c r="AG31" s="1272"/>
      <c r="AH31" s="1272"/>
      <c r="AI31" s="1272"/>
      <c r="AJ31" s="1272"/>
      <c r="AK31" s="1272"/>
      <c r="AL31" s="1272"/>
      <c r="AM31" s="1272"/>
      <c r="AN31" s="1272"/>
    </row>
    <row r="32" spans="1:42">
      <c r="A32" s="1270" t="s">
        <v>948</v>
      </c>
      <c r="B32" s="1270"/>
      <c r="C32" s="1270"/>
      <c r="D32" s="1270"/>
      <c r="E32" s="1270"/>
      <c r="F32" s="1270"/>
      <c r="G32" s="1270"/>
      <c r="H32" s="1270"/>
      <c r="I32" s="1270"/>
      <c r="J32" s="1270"/>
      <c r="K32" s="1270" t="s">
        <v>949</v>
      </c>
      <c r="L32" s="1270"/>
      <c r="M32" s="1270"/>
      <c r="N32" s="1270"/>
      <c r="O32" s="1270"/>
      <c r="P32" s="1270"/>
      <c r="Q32" s="1270"/>
      <c r="R32" s="1270"/>
      <c r="S32" s="1270"/>
      <c r="T32" s="1270"/>
      <c r="U32" s="1270" t="s">
        <v>950</v>
      </c>
      <c r="V32" s="1270"/>
      <c r="W32" s="1270"/>
      <c r="X32" s="1270"/>
      <c r="Y32" s="1270"/>
      <c r="Z32" s="1270"/>
      <c r="AA32" s="1270"/>
      <c r="AB32" s="1270"/>
      <c r="AC32" s="1270"/>
      <c r="AD32" s="1270"/>
      <c r="AE32" s="1270" t="s">
        <v>951</v>
      </c>
      <c r="AF32" s="1270"/>
      <c r="AG32" s="1270"/>
      <c r="AH32" s="1270"/>
      <c r="AI32" s="1270"/>
      <c r="AJ32" s="1270"/>
      <c r="AK32" s="1270"/>
      <c r="AL32" s="1270"/>
      <c r="AM32" s="1270"/>
      <c r="AN32" s="1270"/>
    </row>
    <row r="33" spans="1:40">
      <c r="A33" s="1271"/>
      <c r="B33" s="1271"/>
      <c r="C33" s="1271"/>
      <c r="D33" s="1271"/>
      <c r="E33" s="1271"/>
      <c r="F33" s="1271"/>
      <c r="G33" s="1271"/>
      <c r="H33" s="1271"/>
      <c r="I33" s="1271"/>
      <c r="J33" s="1271"/>
      <c r="K33" s="1271"/>
      <c r="L33" s="1271"/>
      <c r="M33" s="1271"/>
      <c r="N33" s="1271"/>
      <c r="O33" s="1271"/>
      <c r="P33" s="1271"/>
      <c r="Q33" s="1271"/>
      <c r="R33" s="1271"/>
      <c r="S33" s="1271"/>
      <c r="T33" s="1271"/>
      <c r="U33" s="1271"/>
      <c r="V33" s="1271"/>
      <c r="W33" s="1271"/>
      <c r="X33" s="1271"/>
      <c r="Y33" s="1271"/>
      <c r="Z33" s="1271"/>
      <c r="AA33" s="1271"/>
      <c r="AB33" s="1271"/>
      <c r="AC33" s="1271"/>
      <c r="AD33" s="1271"/>
      <c r="AE33" s="1271"/>
      <c r="AF33" s="1271"/>
      <c r="AG33" s="1271"/>
      <c r="AH33" s="1271"/>
      <c r="AI33" s="1271"/>
      <c r="AJ33" s="1271"/>
      <c r="AK33" s="1271"/>
      <c r="AL33" s="1271"/>
      <c r="AM33" s="1271"/>
      <c r="AN33" s="1271"/>
    </row>
    <row r="34" spans="1:40">
      <c r="A34" s="1271"/>
      <c r="B34" s="1271"/>
      <c r="C34" s="1271"/>
      <c r="D34" s="1271"/>
      <c r="E34" s="1271"/>
      <c r="F34" s="1271"/>
      <c r="G34" s="1271"/>
      <c r="H34" s="1271"/>
      <c r="I34" s="1271"/>
      <c r="J34" s="1271"/>
      <c r="K34" s="1271"/>
      <c r="L34" s="1271"/>
      <c r="M34" s="1271"/>
      <c r="N34" s="1271"/>
      <c r="O34" s="1271"/>
      <c r="P34" s="1271"/>
      <c r="Q34" s="1271"/>
      <c r="R34" s="1271"/>
      <c r="S34" s="1271"/>
      <c r="T34" s="1271"/>
      <c r="U34" s="1271"/>
      <c r="V34" s="1271"/>
      <c r="W34" s="1271"/>
      <c r="X34" s="1271"/>
      <c r="Y34" s="1271"/>
      <c r="Z34" s="1271"/>
      <c r="AA34" s="1271"/>
      <c r="AB34" s="1271"/>
      <c r="AC34" s="1271"/>
      <c r="AD34" s="1271"/>
      <c r="AE34" s="1271"/>
      <c r="AF34" s="1271"/>
      <c r="AG34" s="1271"/>
      <c r="AH34" s="1271"/>
      <c r="AI34" s="1271"/>
      <c r="AJ34" s="1271"/>
      <c r="AK34" s="1271"/>
      <c r="AL34" s="1271"/>
      <c r="AM34" s="1271"/>
      <c r="AN34" s="1271"/>
    </row>
    <row r="35" spans="1:40" ht="15" thickBot="1">
      <c r="A35" s="1272"/>
      <c r="B35" s="1272"/>
      <c r="C35" s="1272"/>
      <c r="D35" s="1272"/>
      <c r="E35" s="1272"/>
      <c r="F35" s="1272"/>
      <c r="G35" s="1272"/>
      <c r="H35" s="1272"/>
      <c r="I35" s="1272"/>
      <c r="J35" s="1272"/>
      <c r="K35" s="1272"/>
      <c r="L35" s="1272"/>
      <c r="M35" s="1272"/>
      <c r="N35" s="1272"/>
      <c r="O35" s="1272"/>
      <c r="P35" s="1272"/>
      <c r="Q35" s="1272"/>
      <c r="R35" s="1272"/>
      <c r="S35" s="1272"/>
      <c r="T35" s="1272"/>
      <c r="U35" s="1272"/>
      <c r="V35" s="1272"/>
      <c r="W35" s="1272"/>
      <c r="X35" s="1272"/>
      <c r="Y35" s="1272"/>
      <c r="Z35" s="1272"/>
      <c r="AA35" s="1272"/>
      <c r="AB35" s="1272"/>
      <c r="AC35" s="1272"/>
      <c r="AD35" s="1272"/>
      <c r="AE35" s="1272"/>
      <c r="AF35" s="1272"/>
      <c r="AG35" s="1272"/>
      <c r="AH35" s="1272"/>
      <c r="AI35" s="1272"/>
      <c r="AJ35" s="1272"/>
      <c r="AK35" s="1272"/>
      <c r="AL35" s="1272"/>
      <c r="AM35" s="1272"/>
      <c r="AN35" s="1272"/>
    </row>
  </sheetData>
  <mergeCells count="53">
    <mergeCell ref="AA1:AF4"/>
    <mergeCell ref="AG1:AH4"/>
    <mergeCell ref="AI1:AN4"/>
    <mergeCell ref="B8:AM9"/>
    <mergeCell ref="C11:H11"/>
    <mergeCell ref="I11:AG11"/>
    <mergeCell ref="A1:H4"/>
    <mergeCell ref="I1:J4"/>
    <mergeCell ref="K1:P4"/>
    <mergeCell ref="Q1:R4"/>
    <mergeCell ref="S1:X4"/>
    <mergeCell ref="Y1:Z4"/>
    <mergeCell ref="I12:AG12"/>
    <mergeCell ref="I14:AG14"/>
    <mergeCell ref="C20:H20"/>
    <mergeCell ref="I20:W20"/>
    <mergeCell ref="X20:Y20"/>
    <mergeCell ref="Z20:AG20"/>
    <mergeCell ref="I13:AG13"/>
    <mergeCell ref="I15:AG15"/>
    <mergeCell ref="I16:AG16"/>
    <mergeCell ref="I17:AG17"/>
    <mergeCell ref="I18:AG18"/>
    <mergeCell ref="C21:H21"/>
    <mergeCell ref="I21:W21"/>
    <mergeCell ref="X21:Y21"/>
    <mergeCell ref="Z21:AG21"/>
    <mergeCell ref="C22:H22"/>
    <mergeCell ref="I22:W22"/>
    <mergeCell ref="X22:Y22"/>
    <mergeCell ref="Z22:AG22"/>
    <mergeCell ref="C23:H23"/>
    <mergeCell ref="I23:W23"/>
    <mergeCell ref="X23:Y23"/>
    <mergeCell ref="Z23:AG23"/>
    <mergeCell ref="A28:B31"/>
    <mergeCell ref="C28:H31"/>
    <mergeCell ref="I28:J31"/>
    <mergeCell ref="K28:P31"/>
    <mergeCell ref="Q28:R31"/>
    <mergeCell ref="S28:X31"/>
    <mergeCell ref="A32:D35"/>
    <mergeCell ref="E32:J35"/>
    <mergeCell ref="K32:N35"/>
    <mergeCell ref="O32:T35"/>
    <mergeCell ref="U32:X35"/>
    <mergeCell ref="AE32:AH35"/>
    <mergeCell ref="AI32:AN35"/>
    <mergeCell ref="Y28:Z31"/>
    <mergeCell ref="AA28:AF31"/>
    <mergeCell ref="AG28:AH31"/>
    <mergeCell ref="AI28:AN31"/>
    <mergeCell ref="Y32:AD35"/>
  </mergeCells>
  <phoneticPr fontId="4" type="noConversion"/>
  <printOptions horizontalCentered="1" verticalCentered="1"/>
  <pageMargins left="0.59055118110236227" right="0.47244094488188981" top="0.43307086614173229" bottom="0.43307086614173229" header="0.19685039370078741" footer="0.19685039370078741"/>
  <pageSetup paperSize="9" scale="8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/>
  <dimension ref="A1:Q32"/>
  <sheetViews>
    <sheetView view="pageBreakPreview" zoomScale="42" zoomScaleSheetLayoutView="42" workbookViewId="0">
      <selection activeCell="A10" sqref="A10"/>
    </sheetView>
  </sheetViews>
  <sheetFormatPr defaultColWidth="8.88671875" defaultRowHeight="13.5"/>
  <cols>
    <col min="1" max="15" width="7.44140625" style="2" customWidth="1"/>
    <col min="16" max="16" width="2.88671875" style="2" customWidth="1"/>
    <col min="17" max="17" width="13.6640625" style="2" customWidth="1"/>
    <col min="18" max="18" width="10.5546875" style="2" bestFit="1" customWidth="1"/>
    <col min="19" max="16384" width="8.88671875" style="2"/>
  </cols>
  <sheetData>
    <row r="1" spans="1:17" ht="27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7" ht="27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7" ht="27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7" ht="27" customHeight="1">
      <c r="A4" s="9"/>
      <c r="B4" s="10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7" ht="21.75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7" ht="22.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7" s="6" customFormat="1" ht="40.5" customHeight="1">
      <c r="A7" s="1320" t="s">
        <v>278</v>
      </c>
      <c r="B7" s="1320"/>
      <c r="C7" s="1320"/>
      <c r="D7" s="1320"/>
      <c r="E7" s="1320"/>
      <c r="F7" s="1320"/>
      <c r="G7" s="1320"/>
      <c r="H7" s="1320"/>
      <c r="I7" s="1320"/>
      <c r="J7" s="1320"/>
      <c r="K7" s="1320"/>
      <c r="L7" s="1320"/>
      <c r="M7" s="1320"/>
      <c r="N7" s="1320"/>
      <c r="O7" s="1320"/>
    </row>
    <row r="8" spans="1:17" ht="20.25" customHeight="1">
      <c r="A8" s="9"/>
      <c r="B8" s="11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7" ht="27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7" ht="27" customHeight="1">
      <c r="A10" s="9"/>
      <c r="B10" s="12"/>
      <c r="C10" s="9"/>
      <c r="D10" s="9"/>
      <c r="E10" s="9"/>
      <c r="F10" s="9"/>
      <c r="G10" s="9"/>
      <c r="H10" s="11"/>
      <c r="I10" s="9"/>
      <c r="J10" s="9"/>
      <c r="K10" s="9"/>
      <c r="L10" s="9"/>
      <c r="M10" s="9"/>
      <c r="N10" s="9"/>
      <c r="O10" s="9"/>
      <c r="Q10" s="7"/>
    </row>
    <row r="11" spans="1:17" ht="27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Q11" s="8"/>
    </row>
    <row r="12" spans="1:17" ht="27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Q12" s="8"/>
    </row>
    <row r="13" spans="1:17" ht="27" customHeight="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Q13" s="8"/>
    </row>
    <row r="14" spans="1:17" ht="27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Q14" s="8"/>
    </row>
    <row r="15" spans="1:17" ht="27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7" ht="27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3:3" ht="27" customHeight="1"/>
    <row r="18" spans="3:3" ht="27" customHeight="1"/>
    <row r="19" spans="3:3" ht="27" customHeight="1"/>
    <row r="20" spans="3:3" ht="27" customHeight="1"/>
    <row r="21" spans="3:3" ht="27" customHeight="1"/>
    <row r="22" spans="3:3" ht="27" customHeight="1">
      <c r="C22" s="9"/>
    </row>
    <row r="23" spans="3:3" ht="27" customHeight="1"/>
    <row r="24" spans="3:3" ht="27" customHeight="1"/>
    <row r="25" spans="3:3" ht="27" customHeight="1"/>
    <row r="26" spans="3:3" ht="27" customHeight="1"/>
    <row r="27" spans="3:3" ht="27" customHeight="1"/>
    <row r="28" spans="3:3" ht="27" customHeight="1"/>
    <row r="29" spans="3:3" ht="27" customHeight="1"/>
    <row r="30" spans="3:3" ht="27" customHeight="1"/>
    <row r="31" spans="3:3" ht="27" customHeight="1"/>
    <row r="32" spans="3:3" ht="27" customHeight="1"/>
  </sheetData>
  <mergeCells count="1">
    <mergeCell ref="A7:O7"/>
  </mergeCells>
  <phoneticPr fontId="4" type="noConversion"/>
  <pageMargins left="0.9" right="0.64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CCEBD-3CC0-439A-B819-0FC41E4CC56E}">
  <sheetPr codeName="Sheet27"/>
  <dimension ref="B1:T35"/>
  <sheetViews>
    <sheetView showGridLines="0" showZeros="0" view="pageBreakPreview" zoomScaleSheetLayoutView="100" workbookViewId="0">
      <selection activeCell="I15" sqref="I15:AG15"/>
    </sheetView>
  </sheetViews>
  <sheetFormatPr defaultColWidth="8.88671875" defaultRowHeight="18" customHeight="1"/>
  <cols>
    <col min="1" max="1" width="8.88671875" style="1008"/>
    <col min="2" max="2" width="5.77734375" style="1008" customWidth="1"/>
    <col min="3" max="3" width="15.77734375" style="1008" customWidth="1"/>
    <col min="4" max="4" width="25.77734375" style="1008" customWidth="1"/>
    <col min="5" max="7" width="13.77734375" style="1008" customWidth="1"/>
    <col min="8" max="8" width="35.77734375" style="1008" customWidth="1"/>
    <col min="9" max="9" width="9.6640625" style="1008" customWidth="1"/>
    <col min="10" max="10" width="7.6640625" style="1008" customWidth="1"/>
    <col min="11" max="11" width="12.88671875" style="1007" customWidth="1"/>
    <col min="12" max="12" width="10.33203125" style="1007" customWidth="1"/>
    <col min="13" max="13" width="12.21875" style="1007" customWidth="1"/>
    <col min="14" max="14" width="10" style="1007" customWidth="1"/>
    <col min="15" max="15" width="8.88671875" style="1007" customWidth="1"/>
    <col min="16" max="18" width="8.88671875" style="1007"/>
    <col min="19" max="16384" width="8.88671875" style="1008"/>
  </cols>
  <sheetData>
    <row r="1" spans="2:20" ht="31.5" customHeight="1">
      <c r="B1" s="1311" t="s">
        <v>884</v>
      </c>
      <c r="C1" s="1311"/>
      <c r="D1" s="1311"/>
      <c r="E1" s="1311"/>
      <c r="F1" s="1311"/>
      <c r="G1" s="1311"/>
      <c r="H1" s="1311"/>
      <c r="I1" s="1311"/>
      <c r="J1" s="1006"/>
    </row>
    <row r="2" spans="2:20" ht="18.95" customHeight="1">
      <c r="B2" s="1009" t="e">
        <f>#REF!</f>
        <v>#REF!</v>
      </c>
      <c r="C2" s="1010"/>
      <c r="D2" s="1010"/>
      <c r="E2" s="1010"/>
      <c r="F2" s="1010"/>
      <c r="G2" s="1010"/>
      <c r="H2" s="1007"/>
      <c r="I2" s="1011" t="s">
        <v>1159</v>
      </c>
      <c r="J2" s="1007"/>
      <c r="K2" s="1312"/>
      <c r="L2" s="1312"/>
      <c r="M2" s="1312"/>
      <c r="N2" s="1312"/>
    </row>
    <row r="3" spans="2:20" ht="20.100000000000001" customHeight="1">
      <c r="B3" s="1012" t="s">
        <v>885</v>
      </c>
      <c r="C3" s="1313" t="s">
        <v>886</v>
      </c>
      <c r="D3" s="1313"/>
      <c r="E3" s="1013" t="s">
        <v>1162</v>
      </c>
      <c r="F3" s="1206" t="s">
        <v>1163</v>
      </c>
      <c r="G3" s="1013" t="s">
        <v>1164</v>
      </c>
      <c r="H3" s="1013" t="s">
        <v>887</v>
      </c>
      <c r="I3" s="1013" t="s">
        <v>888</v>
      </c>
      <c r="J3" s="60"/>
      <c r="K3" s="1014"/>
      <c r="L3" s="1015"/>
      <c r="M3" s="1014" t="s">
        <v>889</v>
      </c>
      <c r="N3" s="1016" t="s">
        <v>890</v>
      </c>
    </row>
    <row r="4" spans="2:20" ht="19.5" customHeight="1">
      <c r="B4" s="1314" t="s">
        <v>891</v>
      </c>
      <c r="C4" s="1315" t="s">
        <v>892</v>
      </c>
      <c r="D4" s="1017" t="s">
        <v>893</v>
      </c>
      <c r="E4" s="1018">
        <v>25599965</v>
      </c>
      <c r="F4" s="1204" t="e">
        <f>#REF!</f>
        <v>#REF!</v>
      </c>
      <c r="G4" s="1207" t="e">
        <f>F4-E4</f>
        <v>#REF!</v>
      </c>
      <c r="H4" s="1019"/>
      <c r="I4" s="1019"/>
      <c r="J4" s="1020"/>
      <c r="K4" s="1019" t="s">
        <v>894</v>
      </c>
      <c r="L4" s="1021">
        <v>0.17499999999999999</v>
      </c>
      <c r="M4" s="1019"/>
      <c r="N4" s="1019"/>
    </row>
    <row r="5" spans="2:20" ht="19.5" customHeight="1">
      <c r="B5" s="1314"/>
      <c r="C5" s="1315"/>
      <c r="D5" s="1017" t="s">
        <v>895</v>
      </c>
      <c r="E5" s="1018"/>
      <c r="F5" s="1204"/>
      <c r="G5" s="1207"/>
      <c r="H5" s="1019"/>
      <c r="I5" s="1019"/>
      <c r="J5" s="1020"/>
      <c r="K5" s="1019" t="s">
        <v>896</v>
      </c>
      <c r="L5" s="1022">
        <v>3.56E-2</v>
      </c>
      <c r="M5" s="1019"/>
      <c r="N5" s="1019"/>
    </row>
    <row r="6" spans="2:20" ht="19.5" customHeight="1">
      <c r="B6" s="1314"/>
      <c r="C6" s="1315"/>
      <c r="D6" s="1017" t="s">
        <v>897</v>
      </c>
      <c r="E6" s="1018">
        <v>25599965</v>
      </c>
      <c r="F6" s="1204" t="e">
        <f>SUM(F4:F5)</f>
        <v>#REF!</v>
      </c>
      <c r="G6" s="1207" t="e">
        <f t="shared" ref="G6:G16" si="0">F6-E6</f>
        <v>#REF!</v>
      </c>
      <c r="H6" s="1019"/>
      <c r="I6" s="1019"/>
      <c r="J6" s="1020"/>
      <c r="K6" s="1019" t="s">
        <v>898</v>
      </c>
      <c r="L6" s="1022">
        <v>1.01E-2</v>
      </c>
      <c r="M6" s="1019"/>
      <c r="N6" s="1019"/>
      <c r="O6" s="1023"/>
    </row>
    <row r="7" spans="2:20" ht="19.5" customHeight="1">
      <c r="B7" s="1314"/>
      <c r="C7" s="1315" t="s">
        <v>899</v>
      </c>
      <c r="D7" s="1017" t="s">
        <v>900</v>
      </c>
      <c r="E7" s="1018">
        <v>66537959</v>
      </c>
      <c r="F7" s="1204" t="e">
        <f>#REF!</f>
        <v>#REF!</v>
      </c>
      <c r="G7" s="1207" t="e">
        <f t="shared" si="0"/>
        <v>#REF!</v>
      </c>
      <c r="H7" s="1019"/>
      <c r="I7" s="1019"/>
      <c r="J7" s="1024"/>
      <c r="K7" s="1019" t="s">
        <v>901</v>
      </c>
      <c r="L7" s="1025">
        <v>3.5950000000000003E-2</v>
      </c>
      <c r="M7" s="1019"/>
      <c r="N7" s="1019"/>
      <c r="O7" s="1023"/>
    </row>
    <row r="8" spans="2:20" s="1031" customFormat="1" ht="19.5" customHeight="1">
      <c r="B8" s="1314"/>
      <c r="C8" s="1315"/>
      <c r="D8" s="1017" t="s">
        <v>894</v>
      </c>
      <c r="E8" s="1018">
        <v>11644142</v>
      </c>
      <c r="F8" s="1204" t="e">
        <f>INT($F$7*$L$4)</f>
        <v>#REF!</v>
      </c>
      <c r="G8" s="1207" t="e">
        <f t="shared" si="0"/>
        <v>#REF!</v>
      </c>
      <c r="H8" s="1019" t="str">
        <f>CONCATENATE("&lt;직접노무비&gt; x ",L4*100,"%")</f>
        <v>&lt;직접노무비&gt; x 17.5%</v>
      </c>
      <c r="I8" s="1019"/>
      <c r="J8" s="1026"/>
      <c r="K8" s="1027" t="s">
        <v>902</v>
      </c>
      <c r="L8" s="1028">
        <v>4.7500000000000001E-2</v>
      </c>
      <c r="M8" s="1029"/>
      <c r="N8" s="1029"/>
      <c r="O8" s="1030"/>
      <c r="R8" s="1032"/>
    </row>
    <row r="9" spans="2:20" ht="19.5" customHeight="1">
      <c r="B9" s="1314"/>
      <c r="C9" s="1315"/>
      <c r="D9" s="1017" t="s">
        <v>897</v>
      </c>
      <c r="E9" s="1018">
        <v>78182101</v>
      </c>
      <c r="F9" s="1204" t="e">
        <f>SUM(F7:F8)</f>
        <v>#REF!</v>
      </c>
      <c r="G9" s="1207" t="e">
        <f t="shared" si="0"/>
        <v>#REF!</v>
      </c>
      <c r="H9" s="1019"/>
      <c r="I9" s="1019"/>
      <c r="J9" s="1020"/>
      <c r="K9" s="1019" t="s">
        <v>903</v>
      </c>
      <c r="L9" s="1022">
        <v>0.13139999999999999</v>
      </c>
      <c r="M9" s="1033"/>
      <c r="N9" s="1033"/>
      <c r="O9" s="1023"/>
      <c r="P9" s="1008"/>
      <c r="Q9" s="1008"/>
    </row>
    <row r="10" spans="2:20" ht="19.5" customHeight="1">
      <c r="B10" s="1314"/>
      <c r="C10" s="1315" t="s">
        <v>904</v>
      </c>
      <c r="D10" s="1017" t="s">
        <v>905</v>
      </c>
      <c r="E10" s="1018">
        <v>1613239</v>
      </c>
      <c r="F10" s="1204" t="e">
        <f>#REF!</f>
        <v>#REF!</v>
      </c>
      <c r="G10" s="1209" t="e">
        <f t="shared" si="0"/>
        <v>#REF!</v>
      </c>
      <c r="H10" s="1019"/>
      <c r="I10" s="1019"/>
      <c r="J10" s="1020"/>
      <c r="K10" s="1034" t="s">
        <v>906</v>
      </c>
      <c r="L10" s="1022">
        <v>2.3E-2</v>
      </c>
      <c r="M10" s="1019"/>
      <c r="N10" s="1019"/>
      <c r="O10" s="1035" t="s">
        <v>907</v>
      </c>
      <c r="P10" s="1008"/>
      <c r="Q10" s="1008"/>
    </row>
    <row r="11" spans="2:20" ht="19.5" customHeight="1">
      <c r="B11" s="1314"/>
      <c r="C11" s="1315"/>
      <c r="D11" s="1017" t="s">
        <v>896</v>
      </c>
      <c r="E11" s="1018">
        <v>2783282</v>
      </c>
      <c r="F11" s="1204" t="e">
        <f>INT($F$9*$L$5)</f>
        <v>#REF!</v>
      </c>
      <c r="G11" s="1207" t="e">
        <f t="shared" si="0"/>
        <v>#REF!</v>
      </c>
      <c r="H11" s="1019" t="str">
        <f>CONCATENATE("&lt;노무비&gt; x ",L5*100,"%")</f>
        <v>&lt;노무비&gt; x 3.56%</v>
      </c>
      <c r="I11" s="1019"/>
      <c r="J11" s="1020"/>
      <c r="K11" s="1019" t="s">
        <v>908</v>
      </c>
      <c r="L11" s="1022">
        <v>2.07E-2</v>
      </c>
      <c r="M11" s="1014"/>
      <c r="N11" s="1014" t="s">
        <v>909</v>
      </c>
      <c r="O11" s="1023" t="s">
        <v>910</v>
      </c>
      <c r="P11" s="1008"/>
      <c r="Q11" s="1008"/>
      <c r="S11" s="1036"/>
      <c r="T11" s="1007"/>
    </row>
    <row r="12" spans="2:20" ht="19.5" customHeight="1">
      <c r="B12" s="1314"/>
      <c r="C12" s="1315"/>
      <c r="D12" s="1017" t="s">
        <v>898</v>
      </c>
      <c r="E12" s="1018">
        <v>789639</v>
      </c>
      <c r="F12" s="1204" t="e">
        <f>INT($F$9*$L$6)</f>
        <v>#REF!</v>
      </c>
      <c r="G12" s="1207" t="e">
        <f t="shared" si="0"/>
        <v>#REF!</v>
      </c>
      <c r="H12" s="1019" t="str">
        <f>CONCATENATE("&lt;노무비&gt; x ",L6*100,"%")</f>
        <v>&lt;노무비&gt; x 1.01%</v>
      </c>
      <c r="I12" s="1019"/>
      <c r="J12" s="1037"/>
      <c r="K12" s="1019" t="s">
        <v>911</v>
      </c>
      <c r="L12" s="1038"/>
      <c r="M12" s="1014"/>
      <c r="N12" s="1039"/>
    </row>
    <row r="13" spans="2:20" ht="19.5" customHeight="1">
      <c r="B13" s="1314"/>
      <c r="C13" s="1315"/>
      <c r="D13" s="1017" t="s">
        <v>901</v>
      </c>
      <c r="E13" s="1018">
        <v>2392039</v>
      </c>
      <c r="F13" s="1204" t="e">
        <f>INT($F$7*$L$7)</f>
        <v>#REF!</v>
      </c>
      <c r="G13" s="1207" t="e">
        <f t="shared" si="0"/>
        <v>#REF!</v>
      </c>
      <c r="H13" s="1019" t="str">
        <f>CONCATENATE("&lt;직접노무비&gt; x ",L7*100,"%")</f>
        <v>&lt;직접노무비&gt; x 3.595%</v>
      </c>
      <c r="I13" s="1019"/>
      <c r="J13" s="1020"/>
      <c r="K13" s="1019" t="s">
        <v>912</v>
      </c>
      <c r="L13" s="1021">
        <v>0.05</v>
      </c>
      <c r="M13" s="1014" t="s">
        <v>913</v>
      </c>
      <c r="N13" s="1040"/>
      <c r="P13" s="1008"/>
      <c r="Q13" s="1008"/>
      <c r="S13" s="1007"/>
      <c r="T13" s="1007"/>
    </row>
    <row r="14" spans="2:20" ht="19.5" customHeight="1">
      <c r="B14" s="1314"/>
      <c r="C14" s="1315"/>
      <c r="D14" s="1017" t="s">
        <v>902</v>
      </c>
      <c r="E14" s="1018">
        <v>3160553</v>
      </c>
      <c r="F14" s="1204" t="e">
        <f>INT($F$7*$L$8)</f>
        <v>#REF!</v>
      </c>
      <c r="G14" s="1207" t="e">
        <f t="shared" si="0"/>
        <v>#REF!</v>
      </c>
      <c r="H14" s="1019" t="str">
        <f>CONCATENATE("&lt;직접노무비&gt; x ",L8*100,"%")</f>
        <v>&lt;직접노무비&gt; x 4.75%</v>
      </c>
      <c r="I14" s="1019"/>
      <c r="J14" s="1020"/>
      <c r="K14" s="1019" t="s">
        <v>914</v>
      </c>
      <c r="L14" s="1022">
        <v>0.08</v>
      </c>
      <c r="M14" s="1033"/>
      <c r="N14" s="1033"/>
      <c r="O14" s="1008"/>
      <c r="P14" s="1008"/>
      <c r="Q14" s="1008"/>
    </row>
    <row r="15" spans="2:20" ht="19.5" customHeight="1">
      <c r="B15" s="1314"/>
      <c r="C15" s="1315"/>
      <c r="D15" s="1017" t="s">
        <v>865</v>
      </c>
      <c r="E15" s="1018">
        <v>314313</v>
      </c>
      <c r="F15" s="1204" t="e">
        <f>INT($F$13*$L$9)</f>
        <v>#REF!</v>
      </c>
      <c r="G15" s="1207" t="e">
        <f t="shared" si="0"/>
        <v>#REF!</v>
      </c>
      <c r="H15" s="1019" t="str">
        <f>CONCATENATE("&lt;건강보험료&gt; x ",L9*100,"%")</f>
        <v>&lt;건강보험료&gt; x 13.14%</v>
      </c>
      <c r="I15" s="1019"/>
      <c r="J15" s="1020"/>
      <c r="K15" s="1019" t="s">
        <v>915</v>
      </c>
      <c r="L15" s="1041">
        <v>0.13700000000000001</v>
      </c>
      <c r="M15" s="1015" t="s">
        <v>916</v>
      </c>
      <c r="N15" s="1042"/>
      <c r="O15" s="1023" t="s">
        <v>917</v>
      </c>
      <c r="P15" s="1043"/>
    </row>
    <row r="16" spans="2:20" ht="19.5" customHeight="1">
      <c r="B16" s="1314"/>
      <c r="C16" s="1315"/>
      <c r="D16" s="1017" t="s">
        <v>918</v>
      </c>
      <c r="E16" s="1018">
        <v>1530373</v>
      </c>
      <c r="F16" s="1204" t="e">
        <f>INT($F$7*$L$10)</f>
        <v>#REF!</v>
      </c>
      <c r="G16" s="1207" t="e">
        <f t="shared" si="0"/>
        <v>#REF!</v>
      </c>
      <c r="H16" s="1019" t="str">
        <f>CONCATENATE("&lt;직접노무비&gt; x ",L10*100,"%")</f>
        <v>&lt;직접노무비&gt; x 2.3%</v>
      </c>
      <c r="I16" s="1014"/>
      <c r="J16" s="1007"/>
      <c r="K16" s="1008"/>
      <c r="L16" s="1044">
        <f>L15</f>
        <v>0.13700000000000001</v>
      </c>
      <c r="M16" s="1008" t="s">
        <v>919</v>
      </c>
      <c r="N16" s="1008"/>
    </row>
    <row r="17" spans="2:18" ht="19.5" customHeight="1">
      <c r="B17" s="1314"/>
      <c r="C17" s="1315"/>
      <c r="D17" s="1316" t="s">
        <v>908</v>
      </c>
      <c r="E17" s="1317">
        <v>2288706</v>
      </c>
      <c r="F17" s="1321" t="e">
        <f>MIN(L23,L22)</f>
        <v>#REF!</v>
      </c>
      <c r="G17" s="1322">
        <v>-1047</v>
      </c>
      <c r="H17" s="1019" t="e">
        <f>IF($L$12=0,"(재료비＋직접노무비+도급자관급)×"&amp;$L$11*100&amp;"%="&amp;TEXT($L$22,"#,###"),"(재료비＋직접노무비+관급자재비)×"&amp;$L$11*100&amp;"%＋"&amp;TEXT($L$12,"#,###")&amp;" = "&amp;TEXT($L$22,"#,###"))</f>
        <v>#REF!</v>
      </c>
      <c r="I17" s="1019"/>
      <c r="J17" s="1007"/>
      <c r="K17" s="1019" t="s">
        <v>920</v>
      </c>
      <c r="L17" s="1022">
        <v>0.1</v>
      </c>
      <c r="M17" s="1033"/>
      <c r="N17" s="1033"/>
      <c r="O17" s="1008"/>
      <c r="P17" s="1008"/>
      <c r="Q17" s="1008"/>
      <c r="R17" s="1008"/>
    </row>
    <row r="18" spans="2:18" ht="19.5" customHeight="1">
      <c r="B18" s="1314"/>
      <c r="C18" s="1315"/>
      <c r="D18" s="1316"/>
      <c r="E18" s="1317"/>
      <c r="F18" s="1321"/>
      <c r="G18" s="1322"/>
      <c r="H18" s="1019" t="e">
        <f>IF($L$12=0,"[(재료비＋직접노무비)×"&amp;$L$11*100&amp;"%]×1.2="&amp;TEXT($L$23,"#,###"),"[(재료비＋직접노무비)×"&amp;$L$11*100&amp;"%＋"&amp;TEXT($L$12,"#,###")&amp;"]×1.2 = "&amp;TEXT($L$23,"#,###"))</f>
        <v>#REF!</v>
      </c>
      <c r="I18" s="1019"/>
      <c r="J18" s="1007"/>
      <c r="K18" s="1045" t="s">
        <v>921</v>
      </c>
      <c r="L18" s="1018" t="e">
        <f>#REF!</f>
        <v>#REF!</v>
      </c>
      <c r="M18" s="1018"/>
      <c r="N18" s="1019"/>
      <c r="Q18" s="1008"/>
      <c r="R18" s="1008"/>
    </row>
    <row r="19" spans="2:18" s="1031" customFormat="1" ht="19.5" customHeight="1">
      <c r="B19" s="1314"/>
      <c r="C19" s="1315"/>
      <c r="D19" s="1017" t="s">
        <v>912</v>
      </c>
      <c r="E19" s="1018">
        <v>5189103</v>
      </c>
      <c r="F19" s="1204" t="e">
        <f>INT(($F$6+$F$9)*$L$13)</f>
        <v>#REF!</v>
      </c>
      <c r="G19" s="1207" t="e">
        <f t="shared" ref="G19:G31" si="1">F19-E19</f>
        <v>#REF!</v>
      </c>
      <c r="H19" s="1019" t="str">
        <f>CONCATENATE("&lt;재료비＋노무비&gt; x ",L13*100,"%")</f>
        <v>&lt;재료비＋노무비&gt; x 5%</v>
      </c>
      <c r="I19" s="1019"/>
      <c r="J19" s="1032"/>
      <c r="K19" s="1032"/>
      <c r="L19" s="1032"/>
      <c r="M19" s="1032"/>
      <c r="N19" s="1032"/>
      <c r="O19" s="1032"/>
      <c r="P19" s="1032"/>
      <c r="Q19" s="1032"/>
      <c r="R19" s="1032"/>
    </row>
    <row r="20" spans="2:18" s="1031" customFormat="1" ht="19.5" customHeight="1">
      <c r="B20" s="1314"/>
      <c r="C20" s="1315"/>
      <c r="D20" s="1017" t="s">
        <v>957</v>
      </c>
      <c r="E20" s="1018">
        <v>4690</v>
      </c>
      <c r="F20" s="1204" t="e">
        <f>INT($F$9*0.006%)</f>
        <v>#REF!</v>
      </c>
      <c r="G20" s="1207" t="e">
        <f t="shared" si="1"/>
        <v>#REF!</v>
      </c>
      <c r="H20" s="1019" t="s">
        <v>959</v>
      </c>
      <c r="I20" s="1019"/>
      <c r="J20" s="1032"/>
      <c r="K20" s="1032"/>
      <c r="L20" s="1032"/>
      <c r="M20" s="1032"/>
      <c r="N20" s="1032"/>
      <c r="O20" s="1032"/>
      <c r="P20" s="1032"/>
      <c r="Q20" s="1032"/>
      <c r="R20" s="1032"/>
    </row>
    <row r="21" spans="2:18" s="1031" customFormat="1" ht="19.5" customHeight="1">
      <c r="B21" s="1314"/>
      <c r="C21" s="1315"/>
      <c r="D21" s="1017" t="s">
        <v>958</v>
      </c>
      <c r="E21" s="1018">
        <v>70363</v>
      </c>
      <c r="F21" s="1204" t="e">
        <f>INT($F$9*0.09%)</f>
        <v>#REF!</v>
      </c>
      <c r="G21" s="1207" t="e">
        <f t="shared" si="1"/>
        <v>#REF!</v>
      </c>
      <c r="H21" s="1019" t="s">
        <v>960</v>
      </c>
      <c r="I21" s="1019"/>
      <c r="J21" s="1032"/>
      <c r="K21" s="1032"/>
      <c r="L21" s="1032"/>
      <c r="M21" s="1032"/>
      <c r="N21" s="1032"/>
      <c r="O21" s="1032"/>
      <c r="P21" s="1032"/>
      <c r="Q21" s="1032"/>
      <c r="R21" s="1032"/>
    </row>
    <row r="22" spans="2:18" ht="19.5" customHeight="1">
      <c r="B22" s="1314"/>
      <c r="C22" s="1315"/>
      <c r="D22" s="1017" t="s">
        <v>897</v>
      </c>
      <c r="E22" s="1018">
        <v>20136300</v>
      </c>
      <c r="F22" s="1204" t="e">
        <f>SUM(F10:F21)</f>
        <v>#REF!</v>
      </c>
      <c r="G22" s="1207" t="e">
        <f t="shared" si="1"/>
        <v>#REF!</v>
      </c>
      <c r="H22" s="1019"/>
      <c r="I22" s="1019"/>
      <c r="J22" s="1007"/>
      <c r="K22" s="1019" t="s">
        <v>922</v>
      </c>
      <c r="L22" s="1018" t="e">
        <f>IF($L$12=0,INT(($F$6+$F$7+$L$18)*$L$11),INT(($F$6+$F$7+$L$18)*$L$11)+$L$12)</f>
        <v>#REF!</v>
      </c>
      <c r="M22" s="1019" t="e">
        <f>IF($L$12=0,"(재료비＋직접노무비+관급자재비)×"&amp;$L$11*100&amp;"%="&amp;TEXT($L$22,"#,###"),"(재료비＋직접노무비+관급자재비)×"&amp;$L$11*100&amp;"%＋"&amp;TEXT($L$12,"#,###")&amp;" = "&amp;TEXT($L$22,"#,###"))</f>
        <v>#REF!</v>
      </c>
      <c r="N22" s="1019"/>
      <c r="O22" s="1019"/>
      <c r="P22" s="1046"/>
      <c r="Q22" s="1047"/>
    </row>
    <row r="23" spans="2:18" ht="19.5" customHeight="1">
      <c r="B23" s="1314"/>
      <c r="C23" s="1316" t="s">
        <v>923</v>
      </c>
      <c r="D23" s="1316"/>
      <c r="E23" s="1018">
        <v>123918366</v>
      </c>
      <c r="F23" s="1204" t="e">
        <f>F6+F9+F22</f>
        <v>#REF!</v>
      </c>
      <c r="G23" s="1207" t="e">
        <f t="shared" si="1"/>
        <v>#REF!</v>
      </c>
      <c r="H23" s="1019"/>
      <c r="I23" s="1019"/>
      <c r="J23" s="1007"/>
      <c r="K23" s="1019" t="s">
        <v>924</v>
      </c>
      <c r="L23" s="1018" t="e">
        <f>IF($L$12=0,INT(($F$6+$F$7)*$L$11*1.2),INT((($F$6+$F$7)*$L$11+$L$12)*1.2))</f>
        <v>#REF!</v>
      </c>
      <c r="M23" s="1019" t="e">
        <f>IF($L$12=0,"[(재료비＋직접노무비)×"&amp;$L$11*100&amp;"%]×1.2="&amp;TEXT($L$23,"#,###"),"[(재료비＋직접노무비)×"&amp;$L$11*100&amp;"%＋"&amp;TEXT($L$12,"#,###")&amp;"]×1.2 = "&amp;TEXT($L$23,"#,###"))</f>
        <v>#REF!</v>
      </c>
      <c r="N23" s="1019"/>
      <c r="O23" s="1019"/>
      <c r="P23" s="1046"/>
      <c r="Q23" s="1047"/>
    </row>
    <row r="24" spans="2:18" ht="19.5" customHeight="1">
      <c r="B24" s="1316" t="s">
        <v>914</v>
      </c>
      <c r="C24" s="1316"/>
      <c r="D24" s="1316"/>
      <c r="E24" s="1018">
        <v>9913469</v>
      </c>
      <c r="F24" s="1204" t="e">
        <f>INT($F$23*$L$14)</f>
        <v>#REF!</v>
      </c>
      <c r="G24" s="1207" t="e">
        <f t="shared" si="1"/>
        <v>#REF!</v>
      </c>
      <c r="H24" s="1019" t="str">
        <f>CONCATENATE("&lt;재료비＋노무비＋경비&gt; x ",L14*100,"%")</f>
        <v>&lt;재료비＋노무비＋경비&gt; x 8%</v>
      </c>
      <c r="I24" s="1019"/>
      <c r="J24" s="1007"/>
    </row>
    <row r="25" spans="2:18" ht="19.5" customHeight="1">
      <c r="B25" s="1316" t="s">
        <v>915</v>
      </c>
      <c r="C25" s="1316"/>
      <c r="D25" s="1316"/>
      <c r="E25" s="1018">
        <v>14759075</v>
      </c>
      <c r="F25" s="1204" t="e">
        <f>INT((F9+F22+F24)*L15-(79000/1.1))</f>
        <v>#REF!</v>
      </c>
      <c r="G25" s="1207" t="e">
        <f t="shared" si="1"/>
        <v>#REF!</v>
      </c>
      <c r="H25" s="1019" t="str">
        <f>CONCATENATE("&lt;노무비＋경비＋일반관리비&gt; x ",L15*100,"%")</f>
        <v>&lt;노무비＋경비＋일반관리비&gt; x 13.7%</v>
      </c>
      <c r="I25" s="1048"/>
      <c r="J25" s="1049"/>
    </row>
    <row r="26" spans="2:18" ht="19.5" customHeight="1">
      <c r="B26" s="1316" t="s">
        <v>866</v>
      </c>
      <c r="C26" s="1316"/>
      <c r="D26" s="1316"/>
      <c r="E26" s="1018">
        <v>148590910</v>
      </c>
      <c r="F26" s="1204" t="e">
        <f>SUM(F23:F25)</f>
        <v>#REF!</v>
      </c>
      <c r="G26" s="1207" t="e">
        <f t="shared" si="1"/>
        <v>#REF!</v>
      </c>
      <c r="H26" s="1019"/>
      <c r="I26" s="1019"/>
      <c r="J26" s="1007"/>
      <c r="K26" s="1008"/>
      <c r="L26" s="1008"/>
    </row>
    <row r="27" spans="2:18" ht="19.5" customHeight="1">
      <c r="B27" s="1316" t="s">
        <v>925</v>
      </c>
      <c r="C27" s="1316"/>
      <c r="D27" s="1316"/>
      <c r="E27" s="1018">
        <v>14859091</v>
      </c>
      <c r="F27" s="1204" t="e">
        <f>INT(F26*$L$17)</f>
        <v>#REF!</v>
      </c>
      <c r="G27" s="1207" t="e">
        <f t="shared" si="1"/>
        <v>#REF!</v>
      </c>
      <c r="H27" s="1019" t="str">
        <f>CONCATENATE("&lt;공급가액&gt; x ",L17*100,"%")</f>
        <v>&lt;공급가액&gt; x 10%</v>
      </c>
      <c r="I27" s="1019"/>
      <c r="J27" s="1007"/>
    </row>
    <row r="28" spans="2:18" ht="19.5" customHeight="1">
      <c r="B28" s="1318" t="s">
        <v>926</v>
      </c>
      <c r="C28" s="1318"/>
      <c r="D28" s="1318"/>
      <c r="E28" s="1050">
        <v>163450000</v>
      </c>
      <c r="F28" s="1205" t="e">
        <f>ROUNDDOWN((SUM(F26:F27)),-3)</f>
        <v>#REF!</v>
      </c>
      <c r="G28" s="1208" t="e">
        <f t="shared" si="1"/>
        <v>#REF!</v>
      </c>
      <c r="H28" s="1019" t="s">
        <v>927</v>
      </c>
      <c r="I28" s="1014"/>
      <c r="J28" s="1007"/>
    </row>
    <row r="29" spans="2:18" ht="19.5" customHeight="1">
      <c r="B29" s="1318" t="s">
        <v>928</v>
      </c>
      <c r="C29" s="1318"/>
      <c r="D29" s="1318"/>
      <c r="E29" s="1050">
        <v>116210000</v>
      </c>
      <c r="F29" s="1205" t="e">
        <f>L18</f>
        <v>#REF!</v>
      </c>
      <c r="G29" s="1208" t="e">
        <f t="shared" si="1"/>
        <v>#REF!</v>
      </c>
      <c r="H29" s="1019"/>
      <c r="I29" s="1018"/>
      <c r="J29" s="1049"/>
    </row>
    <row r="30" spans="2:18" ht="19.5" customHeight="1">
      <c r="B30" s="1318" t="s">
        <v>953</v>
      </c>
      <c r="C30" s="1318"/>
      <c r="D30" s="1318"/>
      <c r="E30" s="1050">
        <v>340000</v>
      </c>
      <c r="F30" s="1205" t="e">
        <f>#REF!</f>
        <v>#REF!</v>
      </c>
      <c r="G30" s="1208" t="e">
        <f t="shared" si="1"/>
        <v>#REF!</v>
      </c>
      <c r="H30" s="1019"/>
      <c r="I30" s="1018"/>
      <c r="J30" s="1049"/>
    </row>
    <row r="31" spans="2:18" ht="19.5" customHeight="1">
      <c r="B31" s="1318" t="s">
        <v>929</v>
      </c>
      <c r="C31" s="1318"/>
      <c r="D31" s="1318"/>
      <c r="E31" s="1050">
        <f>SUM(E28:E30)</f>
        <v>280000000</v>
      </c>
      <c r="F31" s="1205" t="e">
        <f>SUM(F28:F30)</f>
        <v>#REF!</v>
      </c>
      <c r="G31" s="1208" t="e">
        <f t="shared" si="1"/>
        <v>#REF!</v>
      </c>
      <c r="H31" s="1019"/>
      <c r="I31" s="1019"/>
      <c r="J31" s="1007"/>
      <c r="K31" s="1008"/>
      <c r="L31" s="1008"/>
    </row>
    <row r="32" spans="2:18" ht="18" customHeight="1">
      <c r="B32" s="1319"/>
      <c r="C32" s="1319"/>
      <c r="D32" s="1319"/>
      <c r="E32" s="1203"/>
      <c r="F32" s="1051"/>
      <c r="G32" s="1051"/>
      <c r="H32" s="1007"/>
      <c r="I32" s="1007"/>
      <c r="J32" s="1007"/>
      <c r="L32" s="1052"/>
      <c r="N32" s="1052"/>
      <c r="Q32" s="1008"/>
    </row>
    <row r="33" spans="6:8" ht="18" customHeight="1">
      <c r="F33" s="1053"/>
      <c r="G33" s="1053"/>
    </row>
    <row r="34" spans="6:8" ht="18" customHeight="1">
      <c r="F34" s="1053"/>
      <c r="G34" s="1053"/>
    </row>
    <row r="35" spans="6:8" ht="18" customHeight="1">
      <c r="F35" s="1054"/>
      <c r="G35" s="1054"/>
      <c r="H35" s="1055"/>
    </row>
  </sheetData>
  <mergeCells count="21">
    <mergeCell ref="B30:D30"/>
    <mergeCell ref="B31:D31"/>
    <mergeCell ref="B32:D32"/>
    <mergeCell ref="E17:E18"/>
    <mergeCell ref="G17:G18"/>
    <mergeCell ref="B24:D24"/>
    <mergeCell ref="B25:D25"/>
    <mergeCell ref="B26:D26"/>
    <mergeCell ref="B27:D27"/>
    <mergeCell ref="B28:D28"/>
    <mergeCell ref="B29:D29"/>
    <mergeCell ref="B1:I1"/>
    <mergeCell ref="K2:N2"/>
    <mergeCell ref="C3:D3"/>
    <mergeCell ref="B4:B23"/>
    <mergeCell ref="C4:C6"/>
    <mergeCell ref="C7:C9"/>
    <mergeCell ref="C10:C22"/>
    <mergeCell ref="D17:D18"/>
    <mergeCell ref="F17:F18"/>
    <mergeCell ref="C23:D23"/>
  </mergeCells>
  <phoneticPr fontId="4" type="noConversion"/>
  <printOptions horizontalCentered="1" verticalCentered="1"/>
  <pageMargins left="0.59055118110236227" right="0.39370078740157483" top="0.31496062992125984" bottom="0.31496062992125984" header="0.19685039370078741" footer="0.39370078740157483"/>
  <pageSetup paperSize="9" scale="8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0"/>
  <dimension ref="A1:O167"/>
  <sheetViews>
    <sheetView showZeros="0" view="pageBreakPreview" zoomScale="85" zoomScaleNormal="100" zoomScaleSheetLayoutView="85" workbookViewId="0">
      <pane xSplit="1" ySplit="4" topLeftCell="B117" activePane="bottomRight" state="frozen"/>
      <selection activeCell="A3" sqref="A3:J3"/>
      <selection pane="topRight" activeCell="A3" sqref="A3:J3"/>
      <selection pane="bottomLeft" activeCell="A3" sqref="A3:J3"/>
      <selection pane="bottomRight" activeCell="C128" sqref="C128"/>
    </sheetView>
  </sheetViews>
  <sheetFormatPr defaultColWidth="8.88671875" defaultRowHeight="12"/>
  <cols>
    <col min="1" max="1" width="30.77734375" style="1245" customWidth="1"/>
    <col min="2" max="2" width="20.77734375" style="1246" customWidth="1"/>
    <col min="3" max="3" width="5.77734375" style="472" customWidth="1"/>
    <col min="4" max="4" width="5.77734375" style="1210" customWidth="1"/>
    <col min="5" max="5" width="6.77734375" style="473" customWidth="1"/>
    <col min="6" max="6" width="8.77734375" style="473" customWidth="1"/>
    <col min="7" max="7" width="6.77734375" style="473" customWidth="1"/>
    <col min="8" max="8" width="8.77734375" style="473" customWidth="1"/>
    <col min="9" max="9" width="6.77734375" style="473" customWidth="1"/>
    <col min="10" max="10" width="8.77734375" style="473" customWidth="1"/>
    <col min="11" max="11" width="6.77734375" style="473" customWidth="1"/>
    <col min="12" max="12" width="8.77734375" style="473" customWidth="1"/>
    <col min="13" max="13" width="10.77734375" style="1247" customWidth="1"/>
    <col min="14" max="14" width="8.88671875" style="1214"/>
    <col min="15" max="15" width="10.44140625" style="473" bestFit="1" customWidth="1"/>
    <col min="16" max="16384" width="8.88671875" style="473"/>
  </cols>
  <sheetData>
    <row r="1" spans="1:15" ht="11.25" customHeight="1">
      <c r="A1" s="482"/>
      <c r="B1" s="1210"/>
      <c r="C1" s="1211"/>
      <c r="E1" s="1212"/>
      <c r="F1" s="1212"/>
      <c r="G1" s="1212"/>
      <c r="H1" s="1212"/>
      <c r="I1" s="1212"/>
      <c r="J1" s="1212"/>
      <c r="K1" s="1212"/>
      <c r="L1" s="1212"/>
      <c r="M1" s="1213"/>
    </row>
    <row r="2" spans="1:15" ht="23.1" customHeight="1">
      <c r="A2" s="1331" t="s">
        <v>1188</v>
      </c>
      <c r="B2" s="1332"/>
      <c r="C2" s="1332"/>
      <c r="D2" s="1332"/>
      <c r="E2" s="1332"/>
      <c r="F2" s="1332"/>
      <c r="G2" s="1332"/>
      <c r="H2" s="1332"/>
      <c r="I2" s="1332"/>
      <c r="J2" s="1332"/>
      <c r="K2" s="1332"/>
      <c r="L2" s="1332"/>
      <c r="M2" s="1332"/>
      <c r="N2" s="1327" t="e">
        <f>#REF!</f>
        <v>#REF!</v>
      </c>
      <c r="O2" s="1327"/>
    </row>
    <row r="3" spans="1:15" ht="23.1" customHeight="1">
      <c r="A3" s="1339" t="s">
        <v>511</v>
      </c>
      <c r="B3" s="1337" t="s">
        <v>512</v>
      </c>
      <c r="C3" s="1333" t="s">
        <v>506</v>
      </c>
      <c r="D3" s="1337" t="s">
        <v>513</v>
      </c>
      <c r="E3" s="1333" t="s">
        <v>507</v>
      </c>
      <c r="F3" s="1333"/>
      <c r="G3" s="1333" t="s">
        <v>508</v>
      </c>
      <c r="H3" s="1333"/>
      <c r="I3" s="1333" t="s">
        <v>514</v>
      </c>
      <c r="J3" s="1333"/>
      <c r="K3" s="1333" t="s">
        <v>509</v>
      </c>
      <c r="L3" s="1333"/>
      <c r="M3" s="1334" t="s">
        <v>515</v>
      </c>
    </row>
    <row r="4" spans="1:15" ht="23.1" customHeight="1">
      <c r="A4" s="1340"/>
      <c r="B4" s="1338"/>
      <c r="C4" s="1336"/>
      <c r="D4" s="1338"/>
      <c r="E4" s="1215" t="s">
        <v>516</v>
      </c>
      <c r="F4" s="1215" t="s">
        <v>510</v>
      </c>
      <c r="G4" s="1215" t="s">
        <v>516</v>
      </c>
      <c r="H4" s="1215" t="s">
        <v>510</v>
      </c>
      <c r="I4" s="1215" t="s">
        <v>516</v>
      </c>
      <c r="J4" s="1215" t="s">
        <v>510</v>
      </c>
      <c r="K4" s="1215" t="s">
        <v>516</v>
      </c>
      <c r="L4" s="1215" t="s">
        <v>510</v>
      </c>
      <c r="M4" s="1335"/>
      <c r="O4" s="951">
        <v>1</v>
      </c>
    </row>
    <row r="5" spans="1:15" ht="18" customHeight="1">
      <c r="A5" s="1328" t="s">
        <v>880</v>
      </c>
      <c r="B5" s="1329"/>
      <c r="C5" s="1329"/>
      <c r="D5" s="1329"/>
      <c r="E5" s="1329"/>
      <c r="F5" s="1329"/>
      <c r="G5" s="1329"/>
      <c r="H5" s="1329"/>
      <c r="I5" s="1329"/>
      <c r="J5" s="1329"/>
      <c r="K5" s="1329"/>
      <c r="L5" s="1329"/>
      <c r="M5" s="1330"/>
      <c r="O5" s="537"/>
    </row>
    <row r="6" spans="1:15" s="1219" customFormat="1" ht="18" customHeight="1">
      <c r="A6" s="934" t="s">
        <v>1204</v>
      </c>
      <c r="B6" s="1216"/>
      <c r="C6" s="1216"/>
      <c r="D6" s="1216"/>
      <c r="E6" s="1216"/>
      <c r="F6" s="1216"/>
      <c r="G6" s="1216"/>
      <c r="H6" s="1216"/>
      <c r="I6" s="1216"/>
      <c r="J6" s="1216"/>
      <c r="K6" s="1216"/>
      <c r="L6" s="1216"/>
      <c r="M6" s="1217"/>
      <c r="N6" s="1218"/>
      <c r="O6" s="539"/>
    </row>
    <row r="7" spans="1:15" s="539" customFormat="1" ht="18" customHeight="1">
      <c r="A7" s="956" t="s">
        <v>1205</v>
      </c>
      <c r="B7" s="1151" t="s">
        <v>1206</v>
      </c>
      <c r="C7" s="957" t="s">
        <v>1191</v>
      </c>
      <c r="D7" s="1220"/>
      <c r="E7" s="1221"/>
      <c r="F7" s="1221"/>
      <c r="G7" s="1221"/>
      <c r="H7" s="1221"/>
      <c r="I7" s="1221"/>
      <c r="J7" s="1221"/>
      <c r="K7" s="1222"/>
      <c r="L7" s="1221"/>
      <c r="M7" s="1223"/>
      <c r="N7" s="643"/>
    </row>
    <row r="8" spans="1:15" s="539" customFormat="1" ht="18" customHeight="1">
      <c r="A8" s="956" t="s">
        <v>1205</v>
      </c>
      <c r="B8" s="1151" t="s">
        <v>1207</v>
      </c>
      <c r="C8" s="957" t="s">
        <v>1191</v>
      </c>
      <c r="D8" s="1220"/>
      <c r="E8" s="1221"/>
      <c r="F8" s="1221"/>
      <c r="G8" s="1221"/>
      <c r="H8" s="1221"/>
      <c r="I8" s="1221"/>
      <c r="J8" s="1221"/>
      <c r="K8" s="1222"/>
      <c r="L8" s="1221"/>
      <c r="M8" s="1223"/>
      <c r="N8" s="643"/>
    </row>
    <row r="9" spans="1:15" s="539" customFormat="1" ht="18" customHeight="1">
      <c r="A9" s="956" t="s">
        <v>1208</v>
      </c>
      <c r="B9" s="1151" t="s">
        <v>1209</v>
      </c>
      <c r="C9" s="957" t="s">
        <v>1191</v>
      </c>
      <c r="D9" s="1220"/>
      <c r="E9" s="1221"/>
      <c r="F9" s="1221"/>
      <c r="G9" s="1221"/>
      <c r="H9" s="1221"/>
      <c r="I9" s="1221"/>
      <c r="J9" s="1221"/>
      <c r="K9" s="1222"/>
      <c r="L9" s="1221"/>
      <c r="M9" s="1223"/>
      <c r="N9" s="643"/>
    </row>
    <row r="10" spans="1:15" s="539" customFormat="1" ht="18" customHeight="1">
      <c r="A10" s="956" t="s">
        <v>1210</v>
      </c>
      <c r="B10" s="1151" t="s">
        <v>1211</v>
      </c>
      <c r="C10" s="957" t="s">
        <v>1191</v>
      </c>
      <c r="D10" s="1220"/>
      <c r="E10" s="1221"/>
      <c r="F10" s="1221"/>
      <c r="G10" s="1221"/>
      <c r="H10" s="1221"/>
      <c r="I10" s="1221"/>
      <c r="J10" s="1221"/>
      <c r="K10" s="1222"/>
      <c r="L10" s="1221"/>
      <c r="M10" s="1223"/>
      <c r="N10" s="643"/>
    </row>
    <row r="11" spans="1:15" s="539" customFormat="1" ht="18" customHeight="1">
      <c r="A11" s="956" t="s">
        <v>1212</v>
      </c>
      <c r="B11" s="1151" t="s">
        <v>1213</v>
      </c>
      <c r="C11" s="957" t="s">
        <v>177</v>
      </c>
      <c r="D11" s="1220"/>
      <c r="E11" s="1221"/>
      <c r="F11" s="1221"/>
      <c r="G11" s="1221"/>
      <c r="H11" s="1221"/>
      <c r="I11" s="1221"/>
      <c r="J11" s="1221"/>
      <c r="K11" s="1222"/>
      <c r="L11" s="1221"/>
      <c r="M11" s="1223"/>
      <c r="N11" s="643"/>
    </row>
    <row r="12" spans="1:15" s="539" customFormat="1" ht="18" customHeight="1">
      <c r="A12" s="956" t="s">
        <v>1214</v>
      </c>
      <c r="B12" s="1151" t="s">
        <v>1215</v>
      </c>
      <c r="C12" s="957" t="s">
        <v>1191</v>
      </c>
      <c r="D12" s="1220"/>
      <c r="E12" s="1221"/>
      <c r="F12" s="1221"/>
      <c r="G12" s="1221"/>
      <c r="H12" s="1221"/>
      <c r="I12" s="1221"/>
      <c r="J12" s="1221"/>
      <c r="K12" s="1222"/>
      <c r="L12" s="1221"/>
      <c r="M12" s="1223"/>
      <c r="N12" s="643"/>
    </row>
    <row r="13" spans="1:15" s="539" customFormat="1" ht="18" customHeight="1">
      <c r="A13" s="956" t="s">
        <v>1214</v>
      </c>
      <c r="B13" s="1151" t="s">
        <v>1216</v>
      </c>
      <c r="C13" s="957" t="s">
        <v>1191</v>
      </c>
      <c r="D13" s="1220"/>
      <c r="E13" s="1221"/>
      <c r="F13" s="1221"/>
      <c r="G13" s="1221"/>
      <c r="H13" s="1221"/>
      <c r="I13" s="1221"/>
      <c r="J13" s="1221"/>
      <c r="K13" s="1222"/>
      <c r="L13" s="1221"/>
      <c r="M13" s="1223"/>
      <c r="N13" s="643"/>
    </row>
    <row r="14" spans="1:15" s="539" customFormat="1" ht="18" customHeight="1">
      <c r="A14" s="956" t="s">
        <v>1217</v>
      </c>
      <c r="B14" s="1151" t="s">
        <v>1218</v>
      </c>
      <c r="C14" s="957" t="s">
        <v>177</v>
      </c>
      <c r="D14" s="1220"/>
      <c r="E14" s="1221"/>
      <c r="F14" s="1221"/>
      <c r="G14" s="1221"/>
      <c r="H14" s="1221"/>
      <c r="I14" s="1221"/>
      <c r="J14" s="1221"/>
      <c r="K14" s="1222"/>
      <c r="L14" s="1221"/>
      <c r="M14" s="1223"/>
      <c r="N14" s="643"/>
    </row>
    <row r="15" spans="1:15" s="539" customFormat="1" ht="18" customHeight="1">
      <c r="A15" s="956" t="s">
        <v>1219</v>
      </c>
      <c r="B15" s="1151" t="s">
        <v>1220</v>
      </c>
      <c r="C15" s="957" t="s">
        <v>177</v>
      </c>
      <c r="D15" s="1220"/>
      <c r="E15" s="1221"/>
      <c r="F15" s="1221"/>
      <c r="G15" s="1221"/>
      <c r="H15" s="1221"/>
      <c r="I15" s="1221"/>
      <c r="J15" s="1221"/>
      <c r="K15" s="1222"/>
      <c r="L15" s="1221"/>
      <c r="M15" s="1223"/>
      <c r="N15" s="643"/>
    </row>
    <row r="16" spans="1:15" s="1225" customFormat="1" ht="18" customHeight="1">
      <c r="A16" s="956" t="s">
        <v>1221</v>
      </c>
      <c r="B16" s="1151" t="s">
        <v>1222</v>
      </c>
      <c r="C16" s="957" t="s">
        <v>1191</v>
      </c>
      <c r="D16" s="1220"/>
      <c r="E16" s="1221"/>
      <c r="F16" s="1221"/>
      <c r="G16" s="1221"/>
      <c r="H16" s="1221"/>
      <c r="I16" s="1221"/>
      <c r="J16" s="1221"/>
      <c r="K16" s="1222"/>
      <c r="L16" s="1221"/>
      <c r="M16" s="1223"/>
      <c r="N16" s="1224"/>
    </row>
    <row r="17" spans="1:14" s="539" customFormat="1" ht="18" customHeight="1">
      <c r="A17" s="956" t="s">
        <v>1221</v>
      </c>
      <c r="B17" s="1151" t="s">
        <v>1223</v>
      </c>
      <c r="C17" s="957" t="s">
        <v>1191</v>
      </c>
      <c r="D17" s="1220"/>
      <c r="E17" s="1221"/>
      <c r="F17" s="1221"/>
      <c r="G17" s="1221"/>
      <c r="H17" s="1221"/>
      <c r="I17" s="1221"/>
      <c r="J17" s="1221"/>
      <c r="K17" s="1222"/>
      <c r="L17" s="1221"/>
      <c r="M17" s="1223"/>
      <c r="N17" s="643"/>
    </row>
    <row r="18" spans="1:14" s="539" customFormat="1" ht="18" customHeight="1">
      <c r="A18" s="956" t="s">
        <v>1221</v>
      </c>
      <c r="B18" s="1151" t="s">
        <v>1224</v>
      </c>
      <c r="C18" s="957" t="s">
        <v>1191</v>
      </c>
      <c r="D18" s="1220"/>
      <c r="E18" s="1221"/>
      <c r="F18" s="1221"/>
      <c r="G18" s="1221"/>
      <c r="H18" s="1221"/>
      <c r="I18" s="1221"/>
      <c r="J18" s="1221"/>
      <c r="K18" s="1222"/>
      <c r="L18" s="1221"/>
      <c r="M18" s="1223"/>
      <c r="N18" s="643"/>
    </row>
    <row r="19" spans="1:14" s="539" customFormat="1" ht="18" customHeight="1">
      <c r="A19" s="956" t="s">
        <v>1221</v>
      </c>
      <c r="B19" s="1151" t="s">
        <v>1224</v>
      </c>
      <c r="C19" s="957" t="s">
        <v>1191</v>
      </c>
      <c r="D19" s="1220"/>
      <c r="E19" s="1221"/>
      <c r="F19" s="1221"/>
      <c r="G19" s="1221"/>
      <c r="H19" s="1221"/>
      <c r="I19" s="1221"/>
      <c r="J19" s="1221"/>
      <c r="K19" s="1222"/>
      <c r="L19" s="1221"/>
      <c r="M19" s="1223"/>
      <c r="N19" s="643"/>
    </row>
    <row r="20" spans="1:14" s="539" customFormat="1" ht="18" customHeight="1">
      <c r="A20" s="956" t="s">
        <v>1221</v>
      </c>
      <c r="B20" s="1151" t="s">
        <v>1225</v>
      </c>
      <c r="C20" s="957" t="s">
        <v>1191</v>
      </c>
      <c r="D20" s="1220"/>
      <c r="E20" s="1221"/>
      <c r="F20" s="1221"/>
      <c r="G20" s="1221"/>
      <c r="H20" s="1221"/>
      <c r="I20" s="1221"/>
      <c r="J20" s="1221"/>
      <c r="K20" s="1222"/>
      <c r="L20" s="1221"/>
      <c r="M20" s="1223"/>
      <c r="N20" s="643"/>
    </row>
    <row r="21" spans="1:14" s="539" customFormat="1" ht="18" customHeight="1">
      <c r="A21" s="956" t="s">
        <v>1221</v>
      </c>
      <c r="B21" s="1151" t="s">
        <v>1226</v>
      </c>
      <c r="C21" s="957" t="s">
        <v>1191</v>
      </c>
      <c r="D21" s="1220"/>
      <c r="E21" s="1221"/>
      <c r="F21" s="1221"/>
      <c r="G21" s="1221"/>
      <c r="H21" s="1221"/>
      <c r="I21" s="1221"/>
      <c r="J21" s="1221"/>
      <c r="K21" s="1222"/>
      <c r="L21" s="1221"/>
      <c r="M21" s="1223"/>
      <c r="N21" s="643"/>
    </row>
    <row r="22" spans="1:14" s="539" customFormat="1" ht="18" customHeight="1">
      <c r="A22" s="956" t="s">
        <v>1221</v>
      </c>
      <c r="B22" s="1151" t="s">
        <v>1227</v>
      </c>
      <c r="C22" s="957" t="s">
        <v>1191</v>
      </c>
      <c r="D22" s="1220"/>
      <c r="E22" s="1221"/>
      <c r="F22" s="1221"/>
      <c r="G22" s="1221"/>
      <c r="H22" s="1221"/>
      <c r="I22" s="1221"/>
      <c r="J22" s="1221"/>
      <c r="K22" s="1222"/>
      <c r="L22" s="1221"/>
      <c r="M22" s="1223"/>
      <c r="N22" s="643"/>
    </row>
    <row r="23" spans="1:14" s="1225" customFormat="1" ht="18" customHeight="1">
      <c r="A23" s="956" t="s">
        <v>1228</v>
      </c>
      <c r="B23" s="1151" t="s">
        <v>1229</v>
      </c>
      <c r="C23" s="957" t="s">
        <v>1191</v>
      </c>
      <c r="D23" s="1220"/>
      <c r="E23" s="1221"/>
      <c r="F23" s="1221"/>
      <c r="G23" s="1221"/>
      <c r="H23" s="1221"/>
      <c r="I23" s="1221"/>
      <c r="J23" s="1221"/>
      <c r="K23" s="1222"/>
      <c r="L23" s="1221"/>
      <c r="M23" s="1223"/>
      <c r="N23" s="1224"/>
    </row>
    <row r="24" spans="1:14" s="539" customFormat="1" ht="18" customHeight="1">
      <c r="A24" s="956" t="s">
        <v>1228</v>
      </c>
      <c r="B24" s="1151" t="s">
        <v>1230</v>
      </c>
      <c r="C24" s="957" t="s">
        <v>1191</v>
      </c>
      <c r="D24" s="1220"/>
      <c r="E24" s="1221"/>
      <c r="F24" s="1221"/>
      <c r="G24" s="1221"/>
      <c r="H24" s="1221"/>
      <c r="I24" s="1221"/>
      <c r="J24" s="1221"/>
      <c r="K24" s="1222"/>
      <c r="L24" s="1221"/>
      <c r="M24" s="1223"/>
      <c r="N24" s="643"/>
    </row>
    <row r="25" spans="1:14" s="539" customFormat="1" ht="18" customHeight="1">
      <c r="A25" s="956" t="s">
        <v>1228</v>
      </c>
      <c r="B25" s="1151" t="s">
        <v>1231</v>
      </c>
      <c r="C25" s="957" t="s">
        <v>1191</v>
      </c>
      <c r="D25" s="1220"/>
      <c r="E25" s="1221"/>
      <c r="F25" s="1221"/>
      <c r="G25" s="1221"/>
      <c r="H25" s="1221"/>
      <c r="I25" s="1221"/>
      <c r="J25" s="1221"/>
      <c r="K25" s="1222"/>
      <c r="L25" s="1221"/>
      <c r="M25" s="1223"/>
      <c r="N25" s="643"/>
    </row>
    <row r="26" spans="1:14" s="539" customFormat="1" ht="18" customHeight="1">
      <c r="A26" s="956" t="s">
        <v>1232</v>
      </c>
      <c r="B26" s="1151" t="s">
        <v>1233</v>
      </c>
      <c r="C26" s="957" t="s">
        <v>1234</v>
      </c>
      <c r="D26" s="1220"/>
      <c r="E26" s="1221"/>
      <c r="F26" s="1221"/>
      <c r="G26" s="1221"/>
      <c r="H26" s="1221"/>
      <c r="I26" s="1221"/>
      <c r="J26" s="1221"/>
      <c r="K26" s="1222"/>
      <c r="L26" s="1221"/>
      <c r="M26" s="1223"/>
      <c r="N26" s="643"/>
    </row>
    <row r="27" spans="1:14" s="539" customFormat="1" ht="18" customHeight="1">
      <c r="A27" s="956" t="s">
        <v>1235</v>
      </c>
      <c r="B27" s="1151" t="s">
        <v>1236</v>
      </c>
      <c r="C27" s="957" t="s">
        <v>1234</v>
      </c>
      <c r="D27" s="1220"/>
      <c r="E27" s="1221"/>
      <c r="F27" s="1221"/>
      <c r="G27" s="1221"/>
      <c r="H27" s="1221"/>
      <c r="I27" s="1221"/>
      <c r="J27" s="1221"/>
      <c r="K27" s="1222"/>
      <c r="L27" s="1221"/>
      <c r="M27" s="1223"/>
      <c r="N27" s="643"/>
    </row>
    <row r="28" spans="1:14" s="539" customFormat="1" ht="18" customHeight="1">
      <c r="A28" s="956" t="s">
        <v>1235</v>
      </c>
      <c r="B28" s="1151" t="s">
        <v>1237</v>
      </c>
      <c r="C28" s="957" t="s">
        <v>1234</v>
      </c>
      <c r="D28" s="1220"/>
      <c r="E28" s="1221"/>
      <c r="F28" s="1221"/>
      <c r="G28" s="1221"/>
      <c r="H28" s="1221"/>
      <c r="I28" s="1221"/>
      <c r="J28" s="1221"/>
      <c r="K28" s="1222"/>
      <c r="L28" s="1221"/>
      <c r="M28" s="1223"/>
      <c r="N28" s="643"/>
    </row>
    <row r="29" spans="1:14" s="539" customFormat="1" ht="18" customHeight="1">
      <c r="A29" s="956" t="s">
        <v>1235</v>
      </c>
      <c r="B29" s="1151" t="s">
        <v>1238</v>
      </c>
      <c r="C29" s="957" t="s">
        <v>1234</v>
      </c>
      <c r="D29" s="1220"/>
      <c r="E29" s="1221"/>
      <c r="F29" s="1221"/>
      <c r="G29" s="1221"/>
      <c r="H29" s="1221"/>
      <c r="I29" s="1221"/>
      <c r="J29" s="1221"/>
      <c r="K29" s="1222"/>
      <c r="L29" s="1221"/>
      <c r="M29" s="1223"/>
      <c r="N29" s="643"/>
    </row>
    <row r="30" spans="1:14" s="539" customFormat="1" ht="18" customHeight="1">
      <c r="A30" s="956" t="s">
        <v>1239</v>
      </c>
      <c r="B30" s="1151" t="s">
        <v>1240</v>
      </c>
      <c r="C30" s="957" t="s">
        <v>177</v>
      </c>
      <c r="D30" s="1220"/>
      <c r="E30" s="1221"/>
      <c r="F30" s="1221"/>
      <c r="G30" s="1221"/>
      <c r="H30" s="1221"/>
      <c r="I30" s="1221"/>
      <c r="J30" s="1221"/>
      <c r="K30" s="1222"/>
      <c r="L30" s="1221"/>
      <c r="M30" s="1223"/>
      <c r="N30" s="643"/>
    </row>
    <row r="31" spans="1:14" s="539" customFormat="1" ht="18" customHeight="1">
      <c r="A31" s="956" t="s">
        <v>1241</v>
      </c>
      <c r="B31" s="1151" t="s">
        <v>1242</v>
      </c>
      <c r="C31" s="957" t="s">
        <v>177</v>
      </c>
      <c r="D31" s="1220"/>
      <c r="E31" s="1221"/>
      <c r="F31" s="1221"/>
      <c r="G31" s="1221"/>
      <c r="H31" s="1221"/>
      <c r="I31" s="1221"/>
      <c r="J31" s="1221"/>
      <c r="K31" s="1222"/>
      <c r="L31" s="1221"/>
      <c r="M31" s="1223"/>
      <c r="N31" s="643"/>
    </row>
    <row r="32" spans="1:14" s="539" customFormat="1" ht="18" customHeight="1">
      <c r="A32" s="1233" t="s">
        <v>1243</v>
      </c>
      <c r="B32" s="1234" t="s">
        <v>1244</v>
      </c>
      <c r="C32" s="1235" t="s">
        <v>177</v>
      </c>
      <c r="D32" s="1249"/>
      <c r="E32" s="1236"/>
      <c r="F32" s="1236"/>
      <c r="G32" s="1236"/>
      <c r="H32" s="1236"/>
      <c r="I32" s="1236"/>
      <c r="J32" s="1236"/>
      <c r="K32" s="1237"/>
      <c r="L32" s="1236"/>
      <c r="M32" s="1238"/>
      <c r="N32" s="643"/>
    </row>
    <row r="33" spans="1:14" s="539" customFormat="1" ht="18" customHeight="1">
      <c r="A33" s="1239" t="s">
        <v>1245</v>
      </c>
      <c r="B33" s="1240" t="s">
        <v>1246</v>
      </c>
      <c r="C33" s="1241" t="s">
        <v>205</v>
      </c>
      <c r="D33" s="1248"/>
      <c r="E33" s="1242"/>
      <c r="F33" s="1242"/>
      <c r="G33" s="1242"/>
      <c r="H33" s="1242"/>
      <c r="I33" s="1242"/>
      <c r="J33" s="1242"/>
      <c r="K33" s="1243"/>
      <c r="L33" s="1242"/>
      <c r="M33" s="1244"/>
      <c r="N33" s="643"/>
    </row>
    <row r="34" spans="1:14" s="539" customFormat="1" ht="18" customHeight="1">
      <c r="A34" s="956" t="s">
        <v>1247</v>
      </c>
      <c r="B34" s="1151" t="s">
        <v>1248</v>
      </c>
      <c r="C34" s="957" t="s">
        <v>205</v>
      </c>
      <c r="D34" s="1220"/>
      <c r="E34" s="1221"/>
      <c r="F34" s="1221"/>
      <c r="G34" s="1221"/>
      <c r="H34" s="1221"/>
      <c r="I34" s="1221"/>
      <c r="J34" s="1221"/>
      <c r="K34" s="1222"/>
      <c r="L34" s="1221"/>
      <c r="M34" s="1223"/>
      <c r="N34" s="643"/>
    </row>
    <row r="35" spans="1:14" s="539" customFormat="1" ht="18" customHeight="1">
      <c r="A35" s="956" t="s">
        <v>1249</v>
      </c>
      <c r="B35" s="1151" t="s">
        <v>1250</v>
      </c>
      <c r="C35" s="957" t="s">
        <v>352</v>
      </c>
      <c r="D35" s="1220"/>
      <c r="E35" s="1221"/>
      <c r="F35" s="1221"/>
      <c r="G35" s="1221"/>
      <c r="H35" s="1221"/>
      <c r="I35" s="1221"/>
      <c r="J35" s="1221"/>
      <c r="K35" s="1222"/>
      <c r="L35" s="1221"/>
      <c r="M35" s="1223"/>
      <c r="N35" s="643"/>
    </row>
    <row r="36" spans="1:14" s="539" customFormat="1" ht="18" customHeight="1">
      <c r="A36" s="956"/>
      <c r="B36" s="1151"/>
      <c r="C36" s="957"/>
      <c r="D36" s="1220"/>
      <c r="E36" s="1221"/>
      <c r="F36" s="1221"/>
      <c r="G36" s="1221"/>
      <c r="H36" s="1221"/>
      <c r="I36" s="1221"/>
      <c r="J36" s="1221"/>
      <c r="K36" s="1222"/>
      <c r="L36" s="1221"/>
      <c r="M36" s="1223"/>
      <c r="N36" s="643"/>
    </row>
    <row r="37" spans="1:14" s="539" customFormat="1" ht="18" hidden="1" customHeight="1">
      <c r="A37" s="956"/>
      <c r="B37" s="1151"/>
      <c r="C37" s="957"/>
      <c r="D37" s="1220"/>
      <c r="E37" s="1221"/>
      <c r="F37" s="1221"/>
      <c r="G37" s="1221"/>
      <c r="H37" s="1221"/>
      <c r="I37" s="1221"/>
      <c r="J37" s="1221"/>
      <c r="K37" s="1222"/>
      <c r="L37" s="1221"/>
      <c r="M37" s="1223"/>
      <c r="N37" s="643"/>
    </row>
    <row r="38" spans="1:14" s="539" customFormat="1" ht="18" hidden="1" customHeight="1">
      <c r="A38" s="956"/>
      <c r="B38" s="1151"/>
      <c r="C38" s="957"/>
      <c r="D38" s="1220"/>
      <c r="E38" s="1221"/>
      <c r="F38" s="1221"/>
      <c r="G38" s="1221"/>
      <c r="H38" s="1221"/>
      <c r="I38" s="1221"/>
      <c r="J38" s="1221"/>
      <c r="K38" s="1222"/>
      <c r="L38" s="1221"/>
      <c r="M38" s="1223"/>
      <c r="N38" s="643"/>
    </row>
    <row r="39" spans="1:14" s="539" customFormat="1" ht="18" hidden="1" customHeight="1">
      <c r="A39" s="956"/>
      <c r="B39" s="1151"/>
      <c r="C39" s="957"/>
      <c r="D39" s="1220"/>
      <c r="E39" s="1221"/>
      <c r="F39" s="1221"/>
      <c r="G39" s="1221"/>
      <c r="H39" s="1221"/>
      <c r="I39" s="1221"/>
      <c r="J39" s="1221"/>
      <c r="K39" s="1222"/>
      <c r="L39" s="1221"/>
      <c r="M39" s="1223"/>
      <c r="N39" s="643"/>
    </row>
    <row r="40" spans="1:14" s="539" customFormat="1" ht="18" hidden="1" customHeight="1">
      <c r="A40" s="956"/>
      <c r="B40" s="1151"/>
      <c r="C40" s="957"/>
      <c r="D40" s="1220"/>
      <c r="E40" s="1221"/>
      <c r="F40" s="1221"/>
      <c r="G40" s="1221"/>
      <c r="H40" s="1221"/>
      <c r="I40" s="1221"/>
      <c r="J40" s="1221"/>
      <c r="K40" s="1222"/>
      <c r="L40" s="1221"/>
      <c r="M40" s="1223"/>
      <c r="N40" s="643"/>
    </row>
    <row r="41" spans="1:14" s="539" customFormat="1" ht="18" hidden="1" customHeight="1">
      <c r="A41" s="956"/>
      <c r="B41" s="1151"/>
      <c r="C41" s="957"/>
      <c r="D41" s="1220"/>
      <c r="E41" s="1221"/>
      <c r="F41" s="1221"/>
      <c r="G41" s="1221"/>
      <c r="H41" s="1221"/>
      <c r="I41" s="1221"/>
      <c r="J41" s="1221"/>
      <c r="K41" s="1222"/>
      <c r="L41" s="1221"/>
      <c r="M41" s="1223"/>
      <c r="N41" s="643"/>
    </row>
    <row r="42" spans="1:14" s="539" customFormat="1" ht="18" hidden="1" customHeight="1">
      <c r="A42" s="956"/>
      <c r="B42" s="1151"/>
      <c r="C42" s="957"/>
      <c r="D42" s="1220"/>
      <c r="E42" s="1221"/>
      <c r="F42" s="1221"/>
      <c r="G42" s="1221"/>
      <c r="H42" s="1221"/>
      <c r="I42" s="1221"/>
      <c r="J42" s="1221"/>
      <c r="K42" s="1222"/>
      <c r="L42" s="1221"/>
      <c r="M42" s="1223"/>
      <c r="N42" s="643"/>
    </row>
    <row r="43" spans="1:14" s="539" customFormat="1" ht="18" hidden="1" customHeight="1">
      <c r="A43" s="956"/>
      <c r="B43" s="1151"/>
      <c r="C43" s="957"/>
      <c r="D43" s="1220"/>
      <c r="E43" s="1221"/>
      <c r="F43" s="1221"/>
      <c r="G43" s="1221"/>
      <c r="H43" s="1221"/>
      <c r="I43" s="1221"/>
      <c r="J43" s="1221"/>
      <c r="K43" s="1222"/>
      <c r="L43" s="1221"/>
      <c r="M43" s="1223"/>
      <c r="N43" s="643"/>
    </row>
    <row r="44" spans="1:14" s="539" customFormat="1" ht="18" hidden="1" customHeight="1">
      <c r="A44" s="956"/>
      <c r="B44" s="1151"/>
      <c r="C44" s="957"/>
      <c r="D44" s="1220"/>
      <c r="E44" s="1221"/>
      <c r="F44" s="1221"/>
      <c r="G44" s="1221"/>
      <c r="H44" s="1221"/>
      <c r="I44" s="1221"/>
      <c r="J44" s="1221"/>
      <c r="K44" s="1222"/>
      <c r="L44" s="1221"/>
      <c r="M44" s="1223"/>
      <c r="N44" s="643"/>
    </row>
    <row r="45" spans="1:14" s="539" customFormat="1" ht="18" hidden="1" customHeight="1">
      <c r="A45" s="956"/>
      <c r="B45" s="1151"/>
      <c r="C45" s="957"/>
      <c r="D45" s="1220"/>
      <c r="E45" s="1221"/>
      <c r="F45" s="1221"/>
      <c r="G45" s="1221"/>
      <c r="H45" s="1221"/>
      <c r="I45" s="1221"/>
      <c r="J45" s="1221"/>
      <c r="K45" s="1222"/>
      <c r="L45" s="1221"/>
      <c r="M45" s="1223"/>
      <c r="N45" s="643"/>
    </row>
    <row r="46" spans="1:14" s="539" customFormat="1" ht="18" hidden="1" customHeight="1">
      <c r="A46" s="956"/>
      <c r="B46" s="1151"/>
      <c r="C46" s="957"/>
      <c r="D46" s="1220"/>
      <c r="E46" s="1221"/>
      <c r="F46" s="1221"/>
      <c r="G46" s="1221"/>
      <c r="H46" s="1221"/>
      <c r="I46" s="1221"/>
      <c r="J46" s="1221"/>
      <c r="K46" s="1222"/>
      <c r="L46" s="1221"/>
      <c r="M46" s="1223"/>
      <c r="N46" s="643"/>
    </row>
    <row r="47" spans="1:14" s="539" customFormat="1" ht="18" hidden="1" customHeight="1">
      <c r="A47" s="956"/>
      <c r="B47" s="1151"/>
      <c r="C47" s="957"/>
      <c r="D47" s="1220"/>
      <c r="E47" s="1221"/>
      <c r="F47" s="1221"/>
      <c r="G47" s="1221"/>
      <c r="H47" s="1221"/>
      <c r="I47" s="1221"/>
      <c r="J47" s="1221"/>
      <c r="K47" s="1222"/>
      <c r="L47" s="1221"/>
      <c r="M47" s="1223"/>
      <c r="N47" s="643"/>
    </row>
    <row r="48" spans="1:14" s="539" customFormat="1" ht="18" hidden="1" customHeight="1">
      <c r="A48" s="956"/>
      <c r="B48" s="1151"/>
      <c r="C48" s="957"/>
      <c r="D48" s="1220"/>
      <c r="E48" s="1221"/>
      <c r="F48" s="1221"/>
      <c r="G48" s="1221"/>
      <c r="H48" s="1221"/>
      <c r="I48" s="1221"/>
      <c r="J48" s="1221"/>
      <c r="K48" s="1222"/>
      <c r="L48" s="1221"/>
      <c r="M48" s="1223"/>
      <c r="N48" s="643"/>
    </row>
    <row r="49" spans="1:15" s="539" customFormat="1" ht="18" hidden="1" customHeight="1">
      <c r="A49" s="956"/>
      <c r="B49" s="1151"/>
      <c r="C49" s="957"/>
      <c r="D49" s="1220"/>
      <c r="E49" s="1221"/>
      <c r="F49" s="1221"/>
      <c r="G49" s="1221"/>
      <c r="H49" s="1221"/>
      <c r="I49" s="1221"/>
      <c r="J49" s="1221"/>
      <c r="K49" s="1222"/>
      <c r="L49" s="1221"/>
      <c r="M49" s="1223"/>
      <c r="N49" s="643"/>
    </row>
    <row r="50" spans="1:15" s="539" customFormat="1" ht="18" hidden="1" customHeight="1">
      <c r="A50" s="956"/>
      <c r="B50" s="1151"/>
      <c r="C50" s="957"/>
      <c r="D50" s="1220"/>
      <c r="E50" s="1221"/>
      <c r="F50" s="1221"/>
      <c r="G50" s="1221"/>
      <c r="H50" s="1221"/>
      <c r="I50" s="1221"/>
      <c r="J50" s="1221"/>
      <c r="K50" s="1222"/>
      <c r="L50" s="1221"/>
      <c r="M50" s="1223"/>
      <c r="N50" s="643"/>
    </row>
    <row r="51" spans="1:15" s="539" customFormat="1" ht="18" hidden="1" customHeight="1">
      <c r="A51" s="956"/>
      <c r="B51" s="1151"/>
      <c r="C51" s="957"/>
      <c r="D51" s="1220"/>
      <c r="E51" s="1221"/>
      <c r="F51" s="1221"/>
      <c r="G51" s="1221"/>
      <c r="H51" s="1221"/>
      <c r="I51" s="1221"/>
      <c r="J51" s="1221"/>
      <c r="K51" s="1222"/>
      <c r="L51" s="1221"/>
      <c r="M51" s="1223"/>
      <c r="N51" s="643"/>
    </row>
    <row r="52" spans="1:15" s="539" customFormat="1" ht="18" hidden="1" customHeight="1">
      <c r="A52" s="956"/>
      <c r="B52" s="1151"/>
      <c r="C52" s="957"/>
      <c r="D52" s="1220"/>
      <c r="E52" s="1221"/>
      <c r="F52" s="1221"/>
      <c r="G52" s="1221"/>
      <c r="H52" s="1221"/>
      <c r="I52" s="1221"/>
      <c r="J52" s="1221"/>
      <c r="K52" s="1222"/>
      <c r="L52" s="1221"/>
      <c r="M52" s="1223"/>
      <c r="N52" s="643"/>
    </row>
    <row r="53" spans="1:15" s="539" customFormat="1" ht="18" hidden="1" customHeight="1">
      <c r="A53" s="956"/>
      <c r="B53" s="1151"/>
      <c r="C53" s="957"/>
      <c r="D53" s="1220"/>
      <c r="E53" s="1221"/>
      <c r="F53" s="1221"/>
      <c r="G53" s="1221"/>
      <c r="H53" s="1221"/>
      <c r="I53" s="1221"/>
      <c r="J53" s="1221"/>
      <c r="K53" s="1222"/>
      <c r="L53" s="1221"/>
      <c r="M53" s="1223"/>
      <c r="N53" s="643"/>
    </row>
    <row r="54" spans="1:15" s="539" customFormat="1" ht="18" hidden="1" customHeight="1">
      <c r="A54" s="956"/>
      <c r="B54" s="1151"/>
      <c r="C54" s="957"/>
      <c r="D54" s="1220"/>
      <c r="E54" s="1221"/>
      <c r="F54" s="1221"/>
      <c r="G54" s="1221"/>
      <c r="H54" s="1221"/>
      <c r="I54" s="1221"/>
      <c r="J54" s="1221"/>
      <c r="K54" s="1222"/>
      <c r="L54" s="1221"/>
      <c r="M54" s="1223"/>
      <c r="N54" s="643"/>
    </row>
    <row r="55" spans="1:15" s="539" customFormat="1" ht="18" hidden="1" customHeight="1">
      <c r="A55" s="956"/>
      <c r="B55" s="1151"/>
      <c r="C55" s="957"/>
      <c r="D55" s="1220"/>
      <c r="E55" s="1221"/>
      <c r="F55" s="1221"/>
      <c r="G55" s="1221"/>
      <c r="H55" s="1221"/>
      <c r="I55" s="1221"/>
      <c r="J55" s="1221"/>
      <c r="K55" s="1222"/>
      <c r="L55" s="1221"/>
      <c r="M55" s="1223"/>
      <c r="N55" s="643"/>
    </row>
    <row r="56" spans="1:15" s="539" customFormat="1" ht="18" hidden="1" customHeight="1">
      <c r="A56" s="956"/>
      <c r="B56" s="1151"/>
      <c r="C56" s="957"/>
      <c r="D56" s="1220"/>
      <c r="E56" s="1221"/>
      <c r="F56" s="1221"/>
      <c r="G56" s="1221"/>
      <c r="H56" s="1221"/>
      <c r="I56" s="1221"/>
      <c r="J56" s="1221"/>
      <c r="K56" s="1222"/>
      <c r="L56" s="1221"/>
      <c r="M56" s="1223"/>
      <c r="N56" s="643"/>
    </row>
    <row r="57" spans="1:15" s="539" customFormat="1" ht="18" customHeight="1">
      <c r="A57" s="956"/>
      <c r="B57" s="1151"/>
      <c r="C57" s="957"/>
      <c r="D57" s="1220"/>
      <c r="E57" s="1221"/>
      <c r="F57" s="1221"/>
      <c r="G57" s="1221"/>
      <c r="H57" s="1221"/>
      <c r="I57" s="1221"/>
      <c r="J57" s="1221"/>
      <c r="K57" s="1222"/>
      <c r="L57" s="1221"/>
      <c r="M57" s="1223"/>
      <c r="N57" s="643"/>
    </row>
    <row r="58" spans="1:15" s="539" customFormat="1" ht="18" customHeight="1">
      <c r="A58" s="956"/>
      <c r="B58" s="1151"/>
      <c r="C58" s="957"/>
      <c r="D58" s="1220"/>
      <c r="E58" s="1221"/>
      <c r="F58" s="1221"/>
      <c r="G58" s="1221"/>
      <c r="H58" s="1221"/>
      <c r="I58" s="1221"/>
      <c r="J58" s="1221"/>
      <c r="K58" s="1222"/>
      <c r="L58" s="1221"/>
      <c r="M58" s="1223"/>
      <c r="N58" s="643"/>
    </row>
    <row r="59" spans="1:15" s="539" customFormat="1" ht="18" customHeight="1">
      <c r="A59" s="956"/>
      <c r="B59" s="1151"/>
      <c r="C59" s="957"/>
      <c r="D59" s="1220"/>
      <c r="E59" s="1221"/>
      <c r="F59" s="1221"/>
      <c r="G59" s="1221"/>
      <c r="H59" s="1221"/>
      <c r="I59" s="1221"/>
      <c r="J59" s="1221"/>
      <c r="K59" s="1222"/>
      <c r="L59" s="1221"/>
      <c r="M59" s="1223"/>
      <c r="N59" s="643"/>
    </row>
    <row r="60" spans="1:15" s="539" customFormat="1" ht="18" customHeight="1">
      <c r="A60" s="1325" t="s">
        <v>538</v>
      </c>
      <c r="B60" s="1326"/>
      <c r="C60" s="1226"/>
      <c r="D60" s="1227"/>
      <c r="E60" s="1228"/>
      <c r="F60" s="1228"/>
      <c r="G60" s="1228"/>
      <c r="H60" s="1228"/>
      <c r="I60" s="1228"/>
      <c r="J60" s="1228"/>
      <c r="K60" s="1229"/>
      <c r="L60" s="1228"/>
      <c r="M60" s="1230"/>
      <c r="N60" s="643"/>
    </row>
    <row r="61" spans="1:15" s="1219" customFormat="1" ht="18" customHeight="1">
      <c r="A61" s="953" t="s">
        <v>1251</v>
      </c>
      <c r="B61" s="1231"/>
      <c r="C61" s="1231"/>
      <c r="D61" s="1231"/>
      <c r="E61" s="1231"/>
      <c r="F61" s="1231"/>
      <c r="G61" s="1231"/>
      <c r="H61" s="1231"/>
      <c r="I61" s="1231"/>
      <c r="J61" s="1231"/>
      <c r="K61" s="1231"/>
      <c r="L61" s="1231"/>
      <c r="M61" s="1232"/>
      <c r="N61" s="1218"/>
      <c r="O61" s="539"/>
    </row>
    <row r="62" spans="1:15" s="539" customFormat="1" ht="18" customHeight="1">
      <c r="A62" s="956" t="s">
        <v>1252</v>
      </c>
      <c r="B62" s="1151" t="s">
        <v>1253</v>
      </c>
      <c r="C62" s="957" t="s">
        <v>1191</v>
      </c>
      <c r="D62" s="1220"/>
      <c r="E62" s="1221"/>
      <c r="F62" s="1221"/>
      <c r="G62" s="1221"/>
      <c r="H62" s="1221"/>
      <c r="I62" s="1221"/>
      <c r="J62" s="1221"/>
      <c r="K62" s="1222"/>
      <c r="L62" s="1221"/>
      <c r="M62" s="1223"/>
      <c r="N62" s="643"/>
    </row>
    <row r="63" spans="1:15" s="539" customFormat="1" ht="18" customHeight="1">
      <c r="A63" s="956" t="s">
        <v>1252</v>
      </c>
      <c r="B63" s="1151" t="s">
        <v>1254</v>
      </c>
      <c r="C63" s="957" t="s">
        <v>1191</v>
      </c>
      <c r="D63" s="1220"/>
      <c r="E63" s="1221"/>
      <c r="F63" s="1221"/>
      <c r="G63" s="1221"/>
      <c r="H63" s="1221"/>
      <c r="I63" s="1221"/>
      <c r="J63" s="1221"/>
      <c r="K63" s="1222"/>
      <c r="L63" s="1221"/>
      <c r="M63" s="1223"/>
      <c r="N63" s="643"/>
    </row>
    <row r="64" spans="1:15" s="539" customFormat="1" ht="18" customHeight="1">
      <c r="A64" s="956" t="s">
        <v>1212</v>
      </c>
      <c r="B64" s="1151" t="s">
        <v>1255</v>
      </c>
      <c r="C64" s="957" t="s">
        <v>1191</v>
      </c>
      <c r="D64" s="1220"/>
      <c r="E64" s="1221"/>
      <c r="F64" s="1221"/>
      <c r="G64" s="1221"/>
      <c r="H64" s="1221"/>
      <c r="I64" s="1221"/>
      <c r="J64" s="1221"/>
      <c r="K64" s="1222"/>
      <c r="L64" s="1221"/>
      <c r="M64" s="1223"/>
      <c r="N64" s="643"/>
    </row>
    <row r="65" spans="1:14" s="539" customFormat="1" ht="18" customHeight="1">
      <c r="A65" s="956" t="s">
        <v>1212</v>
      </c>
      <c r="B65" s="1151" t="s">
        <v>1256</v>
      </c>
      <c r="C65" s="957" t="s">
        <v>1191</v>
      </c>
      <c r="D65" s="1220"/>
      <c r="E65" s="1221"/>
      <c r="F65" s="1221"/>
      <c r="G65" s="1221"/>
      <c r="H65" s="1221"/>
      <c r="I65" s="1221"/>
      <c r="J65" s="1221"/>
      <c r="K65" s="1222"/>
      <c r="L65" s="1221"/>
      <c r="M65" s="1223"/>
      <c r="N65" s="643"/>
    </row>
    <row r="66" spans="1:14" s="539" customFormat="1" ht="18" customHeight="1">
      <c r="A66" s="956" t="s">
        <v>1221</v>
      </c>
      <c r="B66" s="1151" t="s">
        <v>1257</v>
      </c>
      <c r="C66" s="957" t="s">
        <v>1191</v>
      </c>
      <c r="D66" s="1220"/>
      <c r="E66" s="1221"/>
      <c r="F66" s="1221"/>
      <c r="G66" s="1221"/>
      <c r="H66" s="1221"/>
      <c r="I66" s="1221"/>
      <c r="J66" s="1221"/>
      <c r="K66" s="1222"/>
      <c r="L66" s="1221"/>
      <c r="M66" s="1223"/>
      <c r="N66" s="643"/>
    </row>
    <row r="67" spans="1:14" s="539" customFormat="1" ht="18" customHeight="1">
      <c r="A67" s="956" t="s">
        <v>1221</v>
      </c>
      <c r="B67" s="1151" t="s">
        <v>1226</v>
      </c>
      <c r="C67" s="957" t="s">
        <v>1191</v>
      </c>
      <c r="D67" s="1220"/>
      <c r="E67" s="1221"/>
      <c r="F67" s="1221"/>
      <c r="G67" s="1221"/>
      <c r="H67" s="1221"/>
      <c r="I67" s="1221"/>
      <c r="J67" s="1221"/>
      <c r="K67" s="1222"/>
      <c r="L67" s="1221"/>
      <c r="M67" s="1223"/>
      <c r="N67" s="643"/>
    </row>
    <row r="68" spans="1:14" s="539" customFormat="1" ht="18" customHeight="1">
      <c r="A68" s="956" t="s">
        <v>1221</v>
      </c>
      <c r="B68" s="1151" t="s">
        <v>1258</v>
      </c>
      <c r="C68" s="957" t="s">
        <v>1191</v>
      </c>
      <c r="D68" s="1220"/>
      <c r="E68" s="1221"/>
      <c r="F68" s="1221"/>
      <c r="G68" s="1221"/>
      <c r="H68" s="1221"/>
      <c r="I68" s="1221"/>
      <c r="J68" s="1221"/>
      <c r="K68" s="1222"/>
      <c r="L68" s="1221"/>
      <c r="M68" s="1223"/>
      <c r="N68" s="643"/>
    </row>
    <row r="69" spans="1:14" s="539" customFormat="1" ht="18" customHeight="1">
      <c r="A69" s="956" t="s">
        <v>1189</v>
      </c>
      <c r="B69" s="1151" t="s">
        <v>1190</v>
      </c>
      <c r="C69" s="957" t="s">
        <v>1191</v>
      </c>
      <c r="D69" s="1220"/>
      <c r="E69" s="1221"/>
      <c r="F69" s="1221"/>
      <c r="G69" s="1221"/>
      <c r="H69" s="1221"/>
      <c r="I69" s="1221"/>
      <c r="J69" s="1221"/>
      <c r="K69" s="1222"/>
      <c r="L69" s="1221"/>
      <c r="M69" s="1223"/>
      <c r="N69" s="643"/>
    </row>
    <row r="70" spans="1:14" s="539" customFormat="1" ht="18" customHeight="1">
      <c r="A70" s="956" t="s">
        <v>1221</v>
      </c>
      <c r="B70" s="1151" t="s">
        <v>1226</v>
      </c>
      <c r="C70" s="957" t="s">
        <v>1191</v>
      </c>
      <c r="D70" s="1220"/>
      <c r="E70" s="1221"/>
      <c r="F70" s="1221"/>
      <c r="G70" s="1221"/>
      <c r="H70" s="1221"/>
      <c r="I70" s="1221"/>
      <c r="J70" s="1221"/>
      <c r="K70" s="1222"/>
      <c r="L70" s="1221"/>
      <c r="M70" s="1223"/>
      <c r="N70" s="643"/>
    </row>
    <row r="71" spans="1:14" s="539" customFormat="1" ht="18" customHeight="1">
      <c r="A71" s="956" t="s">
        <v>1259</v>
      </c>
      <c r="B71" s="1151" t="s">
        <v>1260</v>
      </c>
      <c r="C71" s="957" t="s">
        <v>177</v>
      </c>
      <c r="D71" s="1220"/>
      <c r="E71" s="1221"/>
      <c r="F71" s="1221"/>
      <c r="G71" s="1221"/>
      <c r="H71" s="1221"/>
      <c r="I71" s="1221"/>
      <c r="J71" s="1221"/>
      <c r="K71" s="1222"/>
      <c r="L71" s="1221"/>
      <c r="M71" s="1223"/>
      <c r="N71" s="643"/>
    </row>
    <row r="72" spans="1:14" s="539" customFormat="1" ht="18" customHeight="1">
      <c r="A72" s="956"/>
      <c r="B72" s="1151"/>
      <c r="C72" s="957"/>
      <c r="D72" s="1220"/>
      <c r="E72" s="1221"/>
      <c r="F72" s="1221"/>
      <c r="G72" s="1221"/>
      <c r="H72" s="1221"/>
      <c r="I72" s="1221"/>
      <c r="J72" s="1221"/>
      <c r="K72" s="1222"/>
      <c r="L72" s="1221"/>
      <c r="M72" s="1223"/>
      <c r="N72" s="643"/>
    </row>
    <row r="73" spans="1:14" s="539" customFormat="1" ht="18" hidden="1" customHeight="1">
      <c r="A73" s="956"/>
      <c r="B73" s="1151"/>
      <c r="C73" s="957"/>
      <c r="D73" s="1220"/>
      <c r="E73" s="1221"/>
      <c r="F73" s="1221"/>
      <c r="G73" s="1221"/>
      <c r="H73" s="1221"/>
      <c r="I73" s="1221"/>
      <c r="J73" s="1221"/>
      <c r="K73" s="1222"/>
      <c r="L73" s="1221"/>
      <c r="M73" s="1223"/>
      <c r="N73" s="643"/>
    </row>
    <row r="74" spans="1:14" s="539" customFormat="1" ht="18" hidden="1" customHeight="1">
      <c r="A74" s="956"/>
      <c r="B74" s="1151"/>
      <c r="C74" s="957"/>
      <c r="D74" s="1220"/>
      <c r="E74" s="1221"/>
      <c r="F74" s="1221"/>
      <c r="G74" s="1221"/>
      <c r="H74" s="1221"/>
      <c r="I74" s="1221"/>
      <c r="J74" s="1221"/>
      <c r="K74" s="1222"/>
      <c r="L74" s="1221"/>
      <c r="M74" s="1223"/>
      <c r="N74" s="643"/>
    </row>
    <row r="75" spans="1:14" s="539" customFormat="1" ht="18" hidden="1" customHeight="1">
      <c r="A75" s="956"/>
      <c r="B75" s="1151"/>
      <c r="C75" s="957"/>
      <c r="D75" s="1220"/>
      <c r="E75" s="1221"/>
      <c r="F75" s="1221"/>
      <c r="G75" s="1221"/>
      <c r="H75" s="1221"/>
      <c r="I75" s="1221"/>
      <c r="J75" s="1221"/>
      <c r="K75" s="1222"/>
      <c r="L75" s="1221"/>
      <c r="M75" s="1223"/>
      <c r="N75" s="643"/>
    </row>
    <row r="76" spans="1:14" s="539" customFormat="1" ht="18" hidden="1" customHeight="1">
      <c r="A76" s="956"/>
      <c r="B76" s="1151"/>
      <c r="C76" s="957"/>
      <c r="D76" s="1220"/>
      <c r="E76" s="1221"/>
      <c r="F76" s="1221"/>
      <c r="G76" s="1221"/>
      <c r="H76" s="1221"/>
      <c r="I76" s="1221"/>
      <c r="J76" s="1221"/>
      <c r="K76" s="1222"/>
      <c r="L76" s="1221"/>
      <c r="M76" s="1223"/>
      <c r="N76" s="643"/>
    </row>
    <row r="77" spans="1:14" s="539" customFormat="1" ht="18" hidden="1" customHeight="1">
      <c r="A77" s="956"/>
      <c r="B77" s="1151"/>
      <c r="C77" s="957"/>
      <c r="D77" s="1220"/>
      <c r="E77" s="1221"/>
      <c r="F77" s="1221"/>
      <c r="G77" s="1221"/>
      <c r="H77" s="1221"/>
      <c r="I77" s="1221"/>
      <c r="J77" s="1221"/>
      <c r="K77" s="1222"/>
      <c r="L77" s="1221"/>
      <c r="M77" s="1223"/>
      <c r="N77" s="643"/>
    </row>
    <row r="78" spans="1:14" s="539" customFormat="1" ht="18" hidden="1" customHeight="1">
      <c r="A78" s="956"/>
      <c r="B78" s="1151"/>
      <c r="C78" s="957"/>
      <c r="D78" s="1220"/>
      <c r="E78" s="1221"/>
      <c r="F78" s="1221"/>
      <c r="G78" s="1221"/>
      <c r="H78" s="1221"/>
      <c r="I78" s="1221"/>
      <c r="J78" s="1221"/>
      <c r="K78" s="1222"/>
      <c r="L78" s="1221"/>
      <c r="M78" s="1223"/>
      <c r="N78" s="643"/>
    </row>
    <row r="79" spans="1:14" s="539" customFormat="1" ht="18" hidden="1" customHeight="1">
      <c r="A79" s="956"/>
      <c r="B79" s="1151"/>
      <c r="C79" s="957"/>
      <c r="D79" s="1220"/>
      <c r="E79" s="1221"/>
      <c r="F79" s="1221"/>
      <c r="G79" s="1221"/>
      <c r="H79" s="1221"/>
      <c r="I79" s="1221"/>
      <c r="J79" s="1221"/>
      <c r="K79" s="1222"/>
      <c r="L79" s="1221"/>
      <c r="M79" s="1223"/>
      <c r="N79" s="643"/>
    </row>
    <row r="80" spans="1:14" s="539" customFormat="1" ht="18" hidden="1" customHeight="1">
      <c r="A80" s="956"/>
      <c r="B80" s="1151"/>
      <c r="C80" s="957"/>
      <c r="D80" s="1220"/>
      <c r="E80" s="1221"/>
      <c r="F80" s="1221"/>
      <c r="G80" s="1221"/>
      <c r="H80" s="1221"/>
      <c r="I80" s="1221"/>
      <c r="J80" s="1221"/>
      <c r="K80" s="1222"/>
      <c r="L80" s="1221"/>
      <c r="M80" s="1223"/>
      <c r="N80" s="643"/>
    </row>
    <row r="81" spans="1:15" s="539" customFormat="1" ht="18" hidden="1" customHeight="1">
      <c r="A81" s="956"/>
      <c r="B81" s="1151"/>
      <c r="C81" s="957"/>
      <c r="D81" s="1220"/>
      <c r="E81" s="1221"/>
      <c r="F81" s="1221"/>
      <c r="G81" s="1221"/>
      <c r="H81" s="1221"/>
      <c r="I81" s="1221"/>
      <c r="J81" s="1221"/>
      <c r="K81" s="1222"/>
      <c r="L81" s="1221"/>
      <c r="M81" s="1223"/>
      <c r="N81" s="643"/>
    </row>
    <row r="82" spans="1:15" s="539" customFormat="1" ht="18" hidden="1" customHeight="1">
      <c r="A82" s="956"/>
      <c r="B82" s="1151"/>
      <c r="C82" s="957"/>
      <c r="D82" s="1220"/>
      <c r="E82" s="1221"/>
      <c r="F82" s="1221"/>
      <c r="G82" s="1221"/>
      <c r="H82" s="1221"/>
      <c r="I82" s="1221"/>
      <c r="J82" s="1221"/>
      <c r="K82" s="1222"/>
      <c r="L82" s="1221"/>
      <c r="M82" s="1223"/>
      <c r="N82" s="643"/>
    </row>
    <row r="83" spans="1:15" s="539" customFormat="1" ht="18" hidden="1" customHeight="1">
      <c r="A83" s="956"/>
      <c r="B83" s="1151"/>
      <c r="C83" s="957"/>
      <c r="D83" s="1220"/>
      <c r="E83" s="1221"/>
      <c r="F83" s="1221"/>
      <c r="G83" s="1221"/>
      <c r="H83" s="1221"/>
      <c r="I83" s="1221"/>
      <c r="J83" s="1221"/>
      <c r="K83" s="1222"/>
      <c r="L83" s="1221"/>
      <c r="M83" s="1223"/>
      <c r="N83" s="643"/>
    </row>
    <row r="84" spans="1:15" s="539" customFormat="1" ht="18" hidden="1" customHeight="1">
      <c r="A84" s="956"/>
      <c r="B84" s="1151"/>
      <c r="C84" s="957"/>
      <c r="D84" s="1220"/>
      <c r="E84" s="1221"/>
      <c r="F84" s="1221"/>
      <c r="G84" s="1221"/>
      <c r="H84" s="1221"/>
      <c r="I84" s="1221"/>
      <c r="J84" s="1221"/>
      <c r="K84" s="1222"/>
      <c r="L84" s="1221"/>
      <c r="M84" s="1223"/>
      <c r="N84" s="643"/>
    </row>
    <row r="85" spans="1:15" s="539" customFormat="1" ht="18" hidden="1" customHeight="1">
      <c r="A85" s="956"/>
      <c r="B85" s="1151"/>
      <c r="C85" s="957"/>
      <c r="D85" s="1220"/>
      <c r="E85" s="1221"/>
      <c r="F85" s="1221"/>
      <c r="G85" s="1221"/>
      <c r="H85" s="1221"/>
      <c r="I85" s="1221"/>
      <c r="J85" s="1221"/>
      <c r="K85" s="1222"/>
      <c r="L85" s="1221"/>
      <c r="M85" s="1223"/>
      <c r="N85" s="643"/>
    </row>
    <row r="86" spans="1:15" s="539" customFormat="1" ht="18" hidden="1" customHeight="1">
      <c r="A86" s="956"/>
      <c r="B86" s="1151"/>
      <c r="C86" s="957"/>
      <c r="D86" s="1220"/>
      <c r="E86" s="1221"/>
      <c r="F86" s="1221"/>
      <c r="G86" s="1221"/>
      <c r="H86" s="1221"/>
      <c r="I86" s="1221"/>
      <c r="J86" s="1221"/>
      <c r="K86" s="1222"/>
      <c r="L86" s="1221"/>
      <c r="M86" s="1223"/>
      <c r="N86" s="643"/>
    </row>
    <row r="87" spans="1:15" s="539" customFormat="1" ht="18" customHeight="1">
      <c r="A87" s="956"/>
      <c r="B87" s="1151"/>
      <c r="C87" s="957"/>
      <c r="D87" s="1220"/>
      <c r="E87" s="1221"/>
      <c r="F87" s="1221"/>
      <c r="G87" s="1221"/>
      <c r="H87" s="1221"/>
      <c r="I87" s="1221"/>
      <c r="J87" s="1221"/>
      <c r="K87" s="1222"/>
      <c r="L87" s="1221"/>
      <c r="M87" s="1223"/>
      <c r="N87" s="643"/>
    </row>
    <row r="88" spans="1:15" s="539" customFormat="1" ht="18" customHeight="1">
      <c r="A88" s="1325" t="s">
        <v>538</v>
      </c>
      <c r="B88" s="1326"/>
      <c r="C88" s="1226"/>
      <c r="D88" s="1227"/>
      <c r="E88" s="1228"/>
      <c r="F88" s="1228"/>
      <c r="G88" s="1228"/>
      <c r="H88" s="1228"/>
      <c r="I88" s="1228"/>
      <c r="J88" s="1228"/>
      <c r="K88" s="1229"/>
      <c r="L88" s="1228"/>
      <c r="M88" s="1230"/>
      <c r="N88" s="643"/>
    </row>
    <row r="89" spans="1:15" s="1219" customFormat="1" ht="18" customHeight="1">
      <c r="A89" s="953" t="s">
        <v>1261</v>
      </c>
      <c r="B89" s="1231"/>
      <c r="C89" s="1231"/>
      <c r="D89" s="1231"/>
      <c r="E89" s="1231"/>
      <c r="F89" s="1231"/>
      <c r="G89" s="1231"/>
      <c r="H89" s="1231"/>
      <c r="I89" s="1231"/>
      <c r="J89" s="1231"/>
      <c r="K89" s="1231"/>
      <c r="L89" s="1231"/>
      <c r="M89" s="1232"/>
      <c r="N89" s="1218"/>
      <c r="O89" s="539"/>
    </row>
    <row r="90" spans="1:15" s="539" customFormat="1" ht="18" customHeight="1">
      <c r="A90" s="956" t="s">
        <v>1252</v>
      </c>
      <c r="B90" s="1151" t="s">
        <v>1253</v>
      </c>
      <c r="C90" s="957" t="s">
        <v>1191</v>
      </c>
      <c r="D90" s="1220"/>
      <c r="E90" s="1221"/>
      <c r="F90" s="1221"/>
      <c r="G90" s="1221"/>
      <c r="H90" s="1221"/>
      <c r="I90" s="1221"/>
      <c r="J90" s="1221"/>
      <c r="K90" s="1222"/>
      <c r="L90" s="1221"/>
      <c r="M90" s="1223"/>
      <c r="N90" s="643"/>
    </row>
    <row r="91" spans="1:15" s="539" customFormat="1" ht="18" customHeight="1">
      <c r="A91" s="956" t="s">
        <v>1212</v>
      </c>
      <c r="B91" s="1151" t="s">
        <v>1255</v>
      </c>
      <c r="C91" s="957" t="s">
        <v>1191</v>
      </c>
      <c r="D91" s="1220"/>
      <c r="E91" s="1221"/>
      <c r="F91" s="1221"/>
      <c r="G91" s="1221"/>
      <c r="H91" s="1221"/>
      <c r="I91" s="1221"/>
      <c r="J91" s="1221"/>
      <c r="K91" s="1222"/>
      <c r="L91" s="1221"/>
      <c r="M91" s="1223"/>
      <c r="N91" s="643"/>
    </row>
    <row r="92" spans="1:15" s="539" customFormat="1" ht="18" customHeight="1">
      <c r="A92" s="956" t="s">
        <v>1221</v>
      </c>
      <c r="B92" s="1151" t="s">
        <v>1226</v>
      </c>
      <c r="C92" s="957" t="s">
        <v>1191</v>
      </c>
      <c r="D92" s="1220"/>
      <c r="E92" s="1221"/>
      <c r="F92" s="1221"/>
      <c r="G92" s="1221"/>
      <c r="H92" s="1221"/>
      <c r="I92" s="1221"/>
      <c r="J92" s="1221"/>
      <c r="K92" s="1222"/>
      <c r="L92" s="1221"/>
      <c r="M92" s="1223"/>
      <c r="N92" s="643"/>
    </row>
    <row r="93" spans="1:15" s="539" customFormat="1" ht="18" customHeight="1">
      <c r="A93" s="956" t="s">
        <v>1192</v>
      </c>
      <c r="B93" s="1151" t="s">
        <v>1193</v>
      </c>
      <c r="C93" s="957" t="s">
        <v>177</v>
      </c>
      <c r="D93" s="1220"/>
      <c r="E93" s="1221"/>
      <c r="F93" s="1221"/>
      <c r="G93" s="1221"/>
      <c r="H93" s="1221"/>
      <c r="I93" s="1221"/>
      <c r="J93" s="1221"/>
      <c r="K93" s="1222"/>
      <c r="L93" s="1221"/>
      <c r="M93" s="1223"/>
      <c r="N93" s="643"/>
    </row>
    <row r="94" spans="1:15" s="539" customFormat="1" ht="18" customHeight="1">
      <c r="A94" s="956" t="s">
        <v>1243</v>
      </c>
      <c r="B94" s="1151" t="s">
        <v>1244</v>
      </c>
      <c r="C94" s="957" t="s">
        <v>177</v>
      </c>
      <c r="D94" s="1220"/>
      <c r="E94" s="1221"/>
      <c r="F94" s="1221"/>
      <c r="G94" s="1221"/>
      <c r="H94" s="1221"/>
      <c r="I94" s="1221"/>
      <c r="J94" s="1221"/>
      <c r="K94" s="1222"/>
      <c r="L94" s="1221"/>
      <c r="M94" s="1223"/>
      <c r="N94" s="643"/>
    </row>
    <row r="95" spans="1:15" s="539" customFormat="1" ht="18" customHeight="1">
      <c r="A95" s="956" t="s">
        <v>1259</v>
      </c>
      <c r="B95" s="1151" t="s">
        <v>1262</v>
      </c>
      <c r="C95" s="957" t="s">
        <v>177</v>
      </c>
      <c r="D95" s="1220"/>
      <c r="E95" s="1221"/>
      <c r="F95" s="1221"/>
      <c r="G95" s="1221"/>
      <c r="H95" s="1221"/>
      <c r="I95" s="1221"/>
      <c r="J95" s="1221"/>
      <c r="K95" s="1222"/>
      <c r="L95" s="1221"/>
      <c r="M95" s="1223"/>
      <c r="N95" s="643"/>
    </row>
    <row r="96" spans="1:15" s="539" customFormat="1" ht="18" customHeight="1">
      <c r="A96" s="956" t="s">
        <v>1249</v>
      </c>
      <c r="B96" s="1151" t="s">
        <v>1250</v>
      </c>
      <c r="C96" s="957" t="s">
        <v>352</v>
      </c>
      <c r="D96" s="1220"/>
      <c r="E96" s="1221"/>
      <c r="F96" s="1221"/>
      <c r="G96" s="1221"/>
      <c r="H96" s="1221"/>
      <c r="I96" s="1221"/>
      <c r="J96" s="1221"/>
      <c r="K96" s="1222"/>
      <c r="L96" s="1221"/>
      <c r="M96" s="1223"/>
      <c r="N96" s="643"/>
    </row>
    <row r="97" spans="1:14" s="539" customFormat="1" ht="18" customHeight="1">
      <c r="A97" s="956"/>
      <c r="B97" s="1151"/>
      <c r="C97" s="957"/>
      <c r="D97" s="1220"/>
      <c r="E97" s="1221"/>
      <c r="F97" s="1221"/>
      <c r="G97" s="1221"/>
      <c r="H97" s="1221"/>
      <c r="I97" s="1221"/>
      <c r="J97" s="1221"/>
      <c r="K97" s="1222"/>
      <c r="L97" s="1221"/>
      <c r="M97" s="1223"/>
      <c r="N97" s="643"/>
    </row>
    <row r="98" spans="1:14" s="539" customFormat="1" ht="18" hidden="1" customHeight="1">
      <c r="A98" s="956"/>
      <c r="B98" s="1151"/>
      <c r="C98" s="957"/>
      <c r="D98" s="1220"/>
      <c r="E98" s="1221"/>
      <c r="F98" s="1221"/>
      <c r="G98" s="1221"/>
      <c r="H98" s="1221"/>
      <c r="I98" s="1221"/>
      <c r="J98" s="1221"/>
      <c r="K98" s="1222"/>
      <c r="L98" s="1221"/>
      <c r="M98" s="1223"/>
      <c r="N98" s="643"/>
    </row>
    <row r="99" spans="1:14" s="539" customFormat="1" ht="18" hidden="1" customHeight="1">
      <c r="A99" s="956"/>
      <c r="B99" s="1151"/>
      <c r="C99" s="957"/>
      <c r="D99" s="1220"/>
      <c r="E99" s="1221"/>
      <c r="F99" s="1221"/>
      <c r="G99" s="1221"/>
      <c r="H99" s="1221"/>
      <c r="I99" s="1221"/>
      <c r="J99" s="1221"/>
      <c r="K99" s="1222"/>
      <c r="L99" s="1221"/>
      <c r="M99" s="1223"/>
      <c r="N99" s="643"/>
    </row>
    <row r="100" spans="1:14" s="539" customFormat="1" ht="18" hidden="1" customHeight="1">
      <c r="A100" s="956"/>
      <c r="B100" s="1151"/>
      <c r="C100" s="957"/>
      <c r="D100" s="1220"/>
      <c r="E100" s="1221"/>
      <c r="F100" s="1221"/>
      <c r="G100" s="1221"/>
      <c r="H100" s="1221"/>
      <c r="I100" s="1221"/>
      <c r="J100" s="1221"/>
      <c r="K100" s="1222"/>
      <c r="L100" s="1221"/>
      <c r="M100" s="1223"/>
      <c r="N100" s="643"/>
    </row>
    <row r="101" spans="1:14" s="539" customFormat="1" ht="18" hidden="1" customHeight="1">
      <c r="A101" s="956"/>
      <c r="B101" s="1151"/>
      <c r="C101" s="957"/>
      <c r="D101" s="1220"/>
      <c r="E101" s="1221"/>
      <c r="F101" s="1221"/>
      <c r="G101" s="1221"/>
      <c r="H101" s="1221"/>
      <c r="I101" s="1221"/>
      <c r="J101" s="1221"/>
      <c r="K101" s="1222"/>
      <c r="L101" s="1221"/>
      <c r="M101" s="1223"/>
      <c r="N101" s="643"/>
    </row>
    <row r="102" spans="1:14" s="539" customFormat="1" ht="18" hidden="1" customHeight="1">
      <c r="A102" s="956"/>
      <c r="B102" s="1151"/>
      <c r="C102" s="957"/>
      <c r="D102" s="1220"/>
      <c r="E102" s="1221"/>
      <c r="F102" s="1221"/>
      <c r="G102" s="1221"/>
      <c r="H102" s="1221"/>
      <c r="I102" s="1221"/>
      <c r="J102" s="1221"/>
      <c r="K102" s="1222"/>
      <c r="L102" s="1221"/>
      <c r="M102" s="1223"/>
      <c r="N102" s="643"/>
    </row>
    <row r="103" spans="1:14" s="539" customFormat="1" ht="18" hidden="1" customHeight="1">
      <c r="A103" s="956"/>
      <c r="B103" s="1151"/>
      <c r="C103" s="957"/>
      <c r="D103" s="1220"/>
      <c r="E103" s="1221"/>
      <c r="F103" s="1221"/>
      <c r="G103" s="1221"/>
      <c r="H103" s="1221"/>
      <c r="I103" s="1221"/>
      <c r="J103" s="1221"/>
      <c r="K103" s="1222"/>
      <c r="L103" s="1221"/>
      <c r="M103" s="1223"/>
      <c r="N103" s="643"/>
    </row>
    <row r="104" spans="1:14" s="539" customFormat="1" ht="18" hidden="1" customHeight="1">
      <c r="A104" s="956"/>
      <c r="B104" s="1151"/>
      <c r="C104" s="957"/>
      <c r="D104" s="1220"/>
      <c r="E104" s="1221"/>
      <c r="F104" s="1221"/>
      <c r="G104" s="1221"/>
      <c r="H104" s="1221"/>
      <c r="I104" s="1221"/>
      <c r="J104" s="1221"/>
      <c r="K104" s="1222"/>
      <c r="L104" s="1221"/>
      <c r="M104" s="1223"/>
      <c r="N104" s="643"/>
    </row>
    <row r="105" spans="1:14" s="539" customFormat="1" ht="18" hidden="1" customHeight="1">
      <c r="A105" s="956"/>
      <c r="B105" s="1151"/>
      <c r="C105" s="957"/>
      <c r="D105" s="1220"/>
      <c r="E105" s="1221"/>
      <c r="F105" s="1221"/>
      <c r="G105" s="1221"/>
      <c r="H105" s="1221"/>
      <c r="I105" s="1221"/>
      <c r="J105" s="1221"/>
      <c r="K105" s="1222"/>
      <c r="L105" s="1221"/>
      <c r="M105" s="1223"/>
      <c r="N105" s="643"/>
    </row>
    <row r="106" spans="1:14" s="539" customFormat="1" ht="18" hidden="1" customHeight="1">
      <c r="A106" s="956"/>
      <c r="B106" s="1151"/>
      <c r="C106" s="957"/>
      <c r="D106" s="1220"/>
      <c r="E106" s="1221"/>
      <c r="F106" s="1221"/>
      <c r="G106" s="1221"/>
      <c r="H106" s="1221"/>
      <c r="I106" s="1221"/>
      <c r="J106" s="1221"/>
      <c r="K106" s="1222"/>
      <c r="L106" s="1221"/>
      <c r="M106" s="1223"/>
      <c r="N106" s="643"/>
    </row>
    <row r="107" spans="1:14" s="539" customFormat="1" ht="18" hidden="1" customHeight="1">
      <c r="A107" s="956"/>
      <c r="B107" s="1151"/>
      <c r="C107" s="957"/>
      <c r="D107" s="1220"/>
      <c r="E107" s="1221"/>
      <c r="F107" s="1221"/>
      <c r="G107" s="1221"/>
      <c r="H107" s="1221"/>
      <c r="I107" s="1221"/>
      <c r="J107" s="1221"/>
      <c r="K107" s="1222"/>
      <c r="L107" s="1221"/>
      <c r="M107" s="1223"/>
      <c r="N107" s="643"/>
    </row>
    <row r="108" spans="1:14" s="539" customFormat="1" ht="18" hidden="1" customHeight="1">
      <c r="A108" s="956"/>
      <c r="B108" s="1151"/>
      <c r="C108" s="957"/>
      <c r="D108" s="1220"/>
      <c r="E108" s="1221"/>
      <c r="F108" s="1221"/>
      <c r="G108" s="1221"/>
      <c r="H108" s="1221"/>
      <c r="I108" s="1221"/>
      <c r="J108" s="1221"/>
      <c r="K108" s="1222"/>
      <c r="L108" s="1221"/>
      <c r="M108" s="1223"/>
      <c r="N108" s="643"/>
    </row>
    <row r="109" spans="1:14" s="539" customFormat="1" ht="18" hidden="1" customHeight="1">
      <c r="A109" s="956"/>
      <c r="B109" s="1151"/>
      <c r="C109" s="957"/>
      <c r="D109" s="1220"/>
      <c r="E109" s="1221"/>
      <c r="F109" s="1221"/>
      <c r="G109" s="1221"/>
      <c r="H109" s="1221"/>
      <c r="I109" s="1221"/>
      <c r="J109" s="1221"/>
      <c r="K109" s="1222"/>
      <c r="L109" s="1221"/>
      <c r="M109" s="1223"/>
      <c r="N109" s="643"/>
    </row>
    <row r="110" spans="1:14" s="539" customFormat="1" ht="18" hidden="1" customHeight="1">
      <c r="A110" s="956"/>
      <c r="B110" s="1151"/>
      <c r="C110" s="957"/>
      <c r="D110" s="1220"/>
      <c r="E110" s="1221"/>
      <c r="F110" s="1221"/>
      <c r="G110" s="1221"/>
      <c r="H110" s="1221"/>
      <c r="I110" s="1221"/>
      <c r="J110" s="1221"/>
      <c r="K110" s="1222"/>
      <c r="L110" s="1221"/>
      <c r="M110" s="1223"/>
      <c r="N110" s="643"/>
    </row>
    <row r="111" spans="1:14" s="539" customFormat="1" ht="18" hidden="1" customHeight="1">
      <c r="A111" s="956"/>
      <c r="B111" s="1151"/>
      <c r="C111" s="957"/>
      <c r="D111" s="1220"/>
      <c r="E111" s="1221"/>
      <c r="F111" s="1221"/>
      <c r="G111" s="1221"/>
      <c r="H111" s="1221"/>
      <c r="I111" s="1221"/>
      <c r="J111" s="1221"/>
      <c r="K111" s="1222"/>
      <c r="L111" s="1221"/>
      <c r="M111" s="1223"/>
      <c r="N111" s="643"/>
    </row>
    <row r="112" spans="1:14" s="539" customFormat="1" ht="18" hidden="1" customHeight="1">
      <c r="A112" s="956"/>
      <c r="B112" s="1151"/>
      <c r="C112" s="957"/>
      <c r="D112" s="1220"/>
      <c r="E112" s="1221"/>
      <c r="F112" s="1221"/>
      <c r="G112" s="1221"/>
      <c r="H112" s="1221"/>
      <c r="I112" s="1221"/>
      <c r="J112" s="1221"/>
      <c r="K112" s="1222"/>
      <c r="L112" s="1221"/>
      <c r="M112" s="1223"/>
      <c r="N112" s="643"/>
    </row>
    <row r="113" spans="1:15" s="539" customFormat="1" ht="18" hidden="1" customHeight="1">
      <c r="A113" s="956"/>
      <c r="B113" s="1151"/>
      <c r="C113" s="957"/>
      <c r="D113" s="1220"/>
      <c r="E113" s="1221"/>
      <c r="F113" s="1221"/>
      <c r="G113" s="1221"/>
      <c r="H113" s="1221"/>
      <c r="I113" s="1221"/>
      <c r="J113" s="1221"/>
      <c r="K113" s="1222"/>
      <c r="L113" s="1221"/>
      <c r="M113" s="1223"/>
      <c r="N113" s="643"/>
    </row>
    <row r="114" spans="1:15" s="539" customFormat="1" ht="18" customHeight="1">
      <c r="A114" s="956"/>
      <c r="B114" s="1151"/>
      <c r="C114" s="957"/>
      <c r="D114" s="1220"/>
      <c r="E114" s="1221"/>
      <c r="F114" s="1221"/>
      <c r="G114" s="1221"/>
      <c r="H114" s="1221"/>
      <c r="I114" s="1221"/>
      <c r="J114" s="1221"/>
      <c r="K114" s="1222"/>
      <c r="L114" s="1221"/>
      <c r="M114" s="1223"/>
      <c r="N114" s="643"/>
    </row>
    <row r="115" spans="1:15" s="539" customFormat="1" ht="18" customHeight="1">
      <c r="A115" s="956"/>
      <c r="B115" s="1151"/>
      <c r="C115" s="957"/>
      <c r="D115" s="1220"/>
      <c r="E115" s="1221"/>
      <c r="F115" s="1221"/>
      <c r="G115" s="1221"/>
      <c r="H115" s="1221"/>
      <c r="I115" s="1221"/>
      <c r="J115" s="1221"/>
      <c r="K115" s="1222"/>
      <c r="L115" s="1221"/>
      <c r="M115" s="1223"/>
      <c r="N115" s="643"/>
    </row>
    <row r="116" spans="1:15" s="539" customFormat="1" ht="18" customHeight="1">
      <c r="A116" s="1325" t="s">
        <v>538</v>
      </c>
      <c r="B116" s="1326"/>
      <c r="C116" s="1226"/>
      <c r="D116" s="1227"/>
      <c r="E116" s="1228"/>
      <c r="F116" s="1228"/>
      <c r="G116" s="1228"/>
      <c r="H116" s="1228"/>
      <c r="I116" s="1228"/>
      <c r="J116" s="1228"/>
      <c r="K116" s="1229"/>
      <c r="L116" s="1228"/>
      <c r="M116" s="1230"/>
      <c r="N116" s="643"/>
    </row>
    <row r="117" spans="1:15" s="1219" customFormat="1" ht="18" customHeight="1">
      <c r="A117" s="953" t="s">
        <v>1263</v>
      </c>
      <c r="B117" s="1231"/>
      <c r="C117" s="1231"/>
      <c r="D117" s="1231"/>
      <c r="E117" s="1231"/>
      <c r="F117" s="1231"/>
      <c r="G117" s="1231"/>
      <c r="H117" s="1231"/>
      <c r="I117" s="1231"/>
      <c r="J117" s="1231"/>
      <c r="K117" s="1231"/>
      <c r="L117" s="1231"/>
      <c r="M117" s="1232"/>
      <c r="N117" s="1218"/>
      <c r="O117" s="539"/>
    </row>
    <row r="118" spans="1:15" s="539" customFormat="1" ht="18" customHeight="1">
      <c r="A118" s="956" t="s">
        <v>1252</v>
      </c>
      <c r="B118" s="1151" t="s">
        <v>1264</v>
      </c>
      <c r="C118" s="957" t="s">
        <v>1191</v>
      </c>
      <c r="D118" s="1220"/>
      <c r="E118" s="1221"/>
      <c r="F118" s="1221"/>
      <c r="G118" s="1221"/>
      <c r="H118" s="1221"/>
      <c r="I118" s="1221"/>
      <c r="J118" s="1221"/>
      <c r="K118" s="1222"/>
      <c r="L118" s="1221"/>
      <c r="M118" s="1223"/>
      <c r="N118" s="643"/>
    </row>
    <row r="119" spans="1:15" s="539" customFormat="1" ht="18" customHeight="1">
      <c r="A119" s="956" t="s">
        <v>1252</v>
      </c>
      <c r="B119" s="1151" t="s">
        <v>1253</v>
      </c>
      <c r="C119" s="957" t="s">
        <v>1191</v>
      </c>
      <c r="D119" s="1220"/>
      <c r="E119" s="1221"/>
      <c r="F119" s="1221"/>
      <c r="G119" s="1221"/>
      <c r="H119" s="1221"/>
      <c r="I119" s="1221"/>
      <c r="J119" s="1221"/>
      <c r="K119" s="1222"/>
      <c r="L119" s="1221"/>
      <c r="M119" s="1223"/>
      <c r="N119" s="643"/>
    </row>
    <row r="120" spans="1:15" s="1225" customFormat="1" ht="18" customHeight="1">
      <c r="A120" s="956" t="s">
        <v>1252</v>
      </c>
      <c r="B120" s="1151" t="s">
        <v>1254</v>
      </c>
      <c r="C120" s="957" t="s">
        <v>1191</v>
      </c>
      <c r="D120" s="1220"/>
      <c r="E120" s="1221"/>
      <c r="F120" s="1221"/>
      <c r="G120" s="1221"/>
      <c r="H120" s="1221"/>
      <c r="I120" s="1221"/>
      <c r="J120" s="1221"/>
      <c r="K120" s="1222"/>
      <c r="L120" s="1221"/>
      <c r="M120" s="1223"/>
      <c r="N120" s="1224"/>
    </row>
    <row r="121" spans="1:15" s="539" customFormat="1" ht="18" customHeight="1">
      <c r="A121" s="956" t="s">
        <v>1212</v>
      </c>
      <c r="B121" s="1151" t="s">
        <v>1265</v>
      </c>
      <c r="C121" s="957" t="s">
        <v>1191</v>
      </c>
      <c r="D121" s="1220"/>
      <c r="E121" s="1221"/>
      <c r="F121" s="1221"/>
      <c r="G121" s="1221"/>
      <c r="H121" s="1221"/>
      <c r="I121" s="1221"/>
      <c r="J121" s="1221"/>
      <c r="K121" s="1222"/>
      <c r="L121" s="1221"/>
      <c r="M121" s="1223"/>
      <c r="N121" s="643"/>
    </row>
    <row r="122" spans="1:15" s="539" customFormat="1" ht="18" customHeight="1">
      <c r="A122" s="956" t="s">
        <v>1212</v>
      </c>
      <c r="B122" s="1151" t="s">
        <v>1255</v>
      </c>
      <c r="C122" s="957" t="s">
        <v>1191</v>
      </c>
      <c r="D122" s="1220"/>
      <c r="E122" s="1221"/>
      <c r="F122" s="1221"/>
      <c r="G122" s="1221"/>
      <c r="H122" s="1221"/>
      <c r="I122" s="1221"/>
      <c r="J122" s="1221"/>
      <c r="K122" s="1222"/>
      <c r="L122" s="1221"/>
      <c r="M122" s="1223"/>
      <c r="N122" s="643"/>
    </row>
    <row r="123" spans="1:15" s="539" customFormat="1" ht="18" customHeight="1">
      <c r="A123" s="956" t="s">
        <v>1212</v>
      </c>
      <c r="B123" s="1151" t="s">
        <v>1256</v>
      </c>
      <c r="C123" s="957" t="s">
        <v>1191</v>
      </c>
      <c r="D123" s="1220"/>
      <c r="E123" s="1221"/>
      <c r="F123" s="1221"/>
      <c r="G123" s="1221"/>
      <c r="H123" s="1221"/>
      <c r="I123" s="1221"/>
      <c r="J123" s="1221"/>
      <c r="K123" s="1222"/>
      <c r="L123" s="1221"/>
      <c r="M123" s="1223"/>
      <c r="N123" s="643"/>
    </row>
    <row r="124" spans="1:15" s="539" customFormat="1" ht="18" customHeight="1">
      <c r="A124" s="956" t="s">
        <v>1221</v>
      </c>
      <c r="B124" s="1151" t="s">
        <v>1257</v>
      </c>
      <c r="C124" s="957" t="s">
        <v>1191</v>
      </c>
      <c r="D124" s="1220"/>
      <c r="E124" s="1221"/>
      <c r="F124" s="1221"/>
      <c r="G124" s="1221"/>
      <c r="H124" s="1221"/>
      <c r="I124" s="1221"/>
      <c r="J124" s="1221"/>
      <c r="K124" s="1222"/>
      <c r="L124" s="1221"/>
      <c r="M124" s="1223"/>
      <c r="N124" s="643"/>
    </row>
    <row r="125" spans="1:15" s="539" customFormat="1" ht="18" customHeight="1">
      <c r="A125" s="956" t="s">
        <v>1221</v>
      </c>
      <c r="B125" s="1151" t="s">
        <v>1258</v>
      </c>
      <c r="C125" s="957" t="s">
        <v>1191</v>
      </c>
      <c r="D125" s="1220"/>
      <c r="E125" s="1221"/>
      <c r="F125" s="1221"/>
      <c r="G125" s="1221"/>
      <c r="H125" s="1221"/>
      <c r="I125" s="1221"/>
      <c r="J125" s="1221"/>
      <c r="K125" s="1222"/>
      <c r="L125" s="1221"/>
      <c r="M125" s="1223"/>
      <c r="N125" s="643"/>
    </row>
    <row r="126" spans="1:15" s="539" customFormat="1" ht="18" customHeight="1">
      <c r="A126" s="956" t="s">
        <v>1228</v>
      </c>
      <c r="B126" s="1151" t="s">
        <v>1266</v>
      </c>
      <c r="C126" s="957" t="s">
        <v>1191</v>
      </c>
      <c r="D126" s="1220"/>
      <c r="E126" s="1221"/>
      <c r="F126" s="1221"/>
      <c r="G126" s="1221"/>
      <c r="H126" s="1221"/>
      <c r="I126" s="1221"/>
      <c r="J126" s="1221"/>
      <c r="K126" s="1222"/>
      <c r="L126" s="1221"/>
      <c r="M126" s="1223"/>
      <c r="N126" s="643"/>
    </row>
    <row r="127" spans="1:15" s="539" customFormat="1" ht="18" customHeight="1">
      <c r="A127" s="956" t="s">
        <v>1267</v>
      </c>
      <c r="B127" s="1151" t="s">
        <v>1268</v>
      </c>
      <c r="C127" s="957" t="s">
        <v>1191</v>
      </c>
      <c r="D127" s="1220"/>
      <c r="E127" s="1221"/>
      <c r="F127" s="1221"/>
      <c r="G127" s="1221"/>
      <c r="H127" s="1221"/>
      <c r="I127" s="1221"/>
      <c r="J127" s="1221"/>
      <c r="K127" s="1222"/>
      <c r="L127" s="1221"/>
      <c r="M127" s="1223"/>
      <c r="N127" s="643"/>
    </row>
    <row r="128" spans="1:15" s="539" customFormat="1" ht="18" customHeight="1">
      <c r="A128" s="956" t="s">
        <v>1194</v>
      </c>
      <c r="B128" s="1151" t="s">
        <v>1195</v>
      </c>
      <c r="C128" s="957" t="s">
        <v>1191</v>
      </c>
      <c r="D128" s="1220"/>
      <c r="E128" s="1221"/>
      <c r="F128" s="1221"/>
      <c r="G128" s="1221"/>
      <c r="H128" s="1221"/>
      <c r="I128" s="1221"/>
      <c r="J128" s="1221"/>
      <c r="K128" s="1222"/>
      <c r="L128" s="1221"/>
      <c r="M128" s="1223"/>
      <c r="N128" s="643"/>
    </row>
    <row r="129" spans="1:14" s="539" customFormat="1" ht="18" customHeight="1">
      <c r="A129" s="956" t="s">
        <v>1196</v>
      </c>
      <c r="B129" s="1151" t="s">
        <v>1197</v>
      </c>
      <c r="C129" s="957" t="s">
        <v>177</v>
      </c>
      <c r="D129" s="1220"/>
      <c r="E129" s="1221"/>
      <c r="F129" s="1221"/>
      <c r="G129" s="1221"/>
      <c r="H129" s="1221"/>
      <c r="I129" s="1221"/>
      <c r="J129" s="1221"/>
      <c r="K129" s="1222"/>
      <c r="L129" s="1221"/>
      <c r="M129" s="1223"/>
      <c r="N129" s="643"/>
    </row>
    <row r="130" spans="1:14" s="539" customFormat="1" ht="18" customHeight="1">
      <c r="A130" s="956" t="s">
        <v>1202</v>
      </c>
      <c r="B130" s="1151" t="s">
        <v>214</v>
      </c>
      <c r="C130" s="957" t="s">
        <v>177</v>
      </c>
      <c r="D130" s="1220"/>
      <c r="E130" s="1221"/>
      <c r="F130" s="1221"/>
      <c r="G130" s="1221"/>
      <c r="H130" s="1221"/>
      <c r="I130" s="1221"/>
      <c r="J130" s="1221"/>
      <c r="K130" s="1222"/>
      <c r="L130" s="1221"/>
      <c r="M130" s="1223"/>
      <c r="N130" s="643"/>
    </row>
    <row r="131" spans="1:14" s="539" customFormat="1" ht="18" customHeight="1">
      <c r="A131" s="956" t="s">
        <v>1203</v>
      </c>
      <c r="B131" s="1151" t="s">
        <v>214</v>
      </c>
      <c r="C131" s="957" t="s">
        <v>177</v>
      </c>
      <c r="D131" s="1220"/>
      <c r="E131" s="1221"/>
      <c r="F131" s="1221"/>
      <c r="G131" s="1221"/>
      <c r="H131" s="1221"/>
      <c r="I131" s="1221"/>
      <c r="J131" s="1221"/>
      <c r="K131" s="1222"/>
      <c r="L131" s="1221"/>
      <c r="M131" s="1223"/>
      <c r="N131" s="643"/>
    </row>
    <row r="132" spans="1:14" s="539" customFormat="1" ht="18" customHeight="1">
      <c r="A132" s="956" t="s">
        <v>1269</v>
      </c>
      <c r="B132" s="1151" t="s">
        <v>1270</v>
      </c>
      <c r="C132" s="957" t="s">
        <v>177</v>
      </c>
      <c r="D132" s="1220"/>
      <c r="E132" s="1221"/>
      <c r="F132" s="1221"/>
      <c r="G132" s="1221"/>
      <c r="H132" s="1221"/>
      <c r="I132" s="1221"/>
      <c r="J132" s="1221"/>
      <c r="K132" s="1222"/>
      <c r="L132" s="1221"/>
      <c r="M132" s="1223"/>
      <c r="N132" s="643"/>
    </row>
    <row r="133" spans="1:14" s="539" customFormat="1" ht="18" customHeight="1">
      <c r="A133" s="956" t="s">
        <v>1259</v>
      </c>
      <c r="B133" s="1151" t="s">
        <v>1260</v>
      </c>
      <c r="C133" s="957" t="s">
        <v>177</v>
      </c>
      <c r="D133" s="1220"/>
      <c r="E133" s="1221"/>
      <c r="F133" s="1221"/>
      <c r="G133" s="1221"/>
      <c r="H133" s="1221"/>
      <c r="I133" s="1221"/>
      <c r="J133" s="1221"/>
      <c r="K133" s="1222"/>
      <c r="L133" s="1221"/>
      <c r="M133" s="1223"/>
      <c r="N133" s="643"/>
    </row>
    <row r="134" spans="1:14" s="539" customFormat="1" ht="18" customHeight="1">
      <c r="A134" s="956" t="s">
        <v>1271</v>
      </c>
      <c r="B134" s="1151" t="s">
        <v>1272</v>
      </c>
      <c r="C134" s="957" t="s">
        <v>177</v>
      </c>
      <c r="D134" s="1220"/>
      <c r="E134" s="1221"/>
      <c r="F134" s="1221"/>
      <c r="G134" s="1221"/>
      <c r="H134" s="1221"/>
      <c r="I134" s="1221"/>
      <c r="J134" s="1221"/>
      <c r="K134" s="1222"/>
      <c r="L134" s="1221"/>
      <c r="M134" s="1223"/>
      <c r="N134" s="643"/>
    </row>
    <row r="135" spans="1:14" s="539" customFormat="1" ht="18" customHeight="1">
      <c r="A135" s="956" t="s">
        <v>1243</v>
      </c>
      <c r="B135" s="1151" t="s">
        <v>1273</v>
      </c>
      <c r="C135" s="957" t="s">
        <v>177</v>
      </c>
      <c r="D135" s="1220"/>
      <c r="E135" s="1221"/>
      <c r="F135" s="1221"/>
      <c r="G135" s="1221"/>
      <c r="H135" s="1221"/>
      <c r="I135" s="1221"/>
      <c r="J135" s="1221"/>
      <c r="K135" s="1222"/>
      <c r="L135" s="1221"/>
      <c r="M135" s="1223"/>
      <c r="N135" s="643"/>
    </row>
    <row r="136" spans="1:14" s="539" customFormat="1" ht="18" customHeight="1">
      <c r="A136" s="956" t="s">
        <v>1243</v>
      </c>
      <c r="B136" s="1151" t="s">
        <v>1244</v>
      </c>
      <c r="C136" s="957" t="s">
        <v>177</v>
      </c>
      <c r="D136" s="1220"/>
      <c r="E136" s="1221"/>
      <c r="F136" s="1221"/>
      <c r="G136" s="1221"/>
      <c r="H136" s="1221"/>
      <c r="I136" s="1221"/>
      <c r="J136" s="1221"/>
      <c r="K136" s="1222"/>
      <c r="L136" s="1221"/>
      <c r="M136" s="1223"/>
      <c r="N136" s="643"/>
    </row>
    <row r="137" spans="1:14" s="539" customFormat="1" ht="18" customHeight="1">
      <c r="A137" s="956" t="s">
        <v>1249</v>
      </c>
      <c r="B137" s="1151" t="s">
        <v>1250</v>
      </c>
      <c r="C137" s="957" t="s">
        <v>352</v>
      </c>
      <c r="D137" s="1220"/>
      <c r="E137" s="1221"/>
      <c r="F137" s="1221"/>
      <c r="G137" s="1221"/>
      <c r="H137" s="1221"/>
      <c r="I137" s="1221"/>
      <c r="J137" s="1221"/>
      <c r="K137" s="1222"/>
      <c r="L137" s="1221"/>
      <c r="M137" s="1223"/>
      <c r="N137" s="643"/>
    </row>
    <row r="138" spans="1:14" s="539" customFormat="1" ht="18" customHeight="1">
      <c r="A138" s="956" t="s">
        <v>1198</v>
      </c>
      <c r="B138" s="1151" t="s">
        <v>1199</v>
      </c>
      <c r="C138" s="957" t="s">
        <v>177</v>
      </c>
      <c r="D138" s="1220"/>
      <c r="E138" s="1221"/>
      <c r="F138" s="1221"/>
      <c r="G138" s="1221"/>
      <c r="H138" s="1221"/>
      <c r="I138" s="1221"/>
      <c r="J138" s="1221"/>
      <c r="K138" s="1222"/>
      <c r="L138" s="1221"/>
      <c r="M138" s="1223"/>
      <c r="N138" s="643"/>
    </row>
    <row r="139" spans="1:14" s="539" customFormat="1" ht="18" customHeight="1">
      <c r="A139" s="956" t="s">
        <v>1200</v>
      </c>
      <c r="B139" s="1151" t="s">
        <v>1201</v>
      </c>
      <c r="C139" s="957" t="s">
        <v>177</v>
      </c>
      <c r="D139" s="1220"/>
      <c r="E139" s="1221"/>
      <c r="F139" s="1221"/>
      <c r="G139" s="1221"/>
      <c r="H139" s="1221"/>
      <c r="I139" s="1221"/>
      <c r="J139" s="1221"/>
      <c r="K139" s="1222"/>
      <c r="L139" s="1221"/>
      <c r="M139" s="1223"/>
      <c r="N139" s="643"/>
    </row>
    <row r="140" spans="1:14" s="539" customFormat="1" ht="18" customHeight="1">
      <c r="A140" s="956"/>
      <c r="B140" s="1151"/>
      <c r="C140" s="957"/>
      <c r="D140" s="1220"/>
      <c r="E140" s="1221"/>
      <c r="F140" s="1221"/>
      <c r="G140" s="1221"/>
      <c r="H140" s="1221"/>
      <c r="I140" s="1221"/>
      <c r="J140" s="1221"/>
      <c r="K140" s="1222"/>
      <c r="L140" s="1221"/>
      <c r="M140" s="1223"/>
      <c r="N140" s="643"/>
    </row>
    <row r="141" spans="1:14" s="539" customFormat="1" ht="18" customHeight="1">
      <c r="A141" s="956"/>
      <c r="B141" s="1151"/>
      <c r="C141" s="957"/>
      <c r="D141" s="1220"/>
      <c r="E141" s="1221"/>
      <c r="F141" s="1221"/>
      <c r="G141" s="1221"/>
      <c r="H141" s="1221"/>
      <c r="I141" s="1221"/>
      <c r="J141" s="1221"/>
      <c r="K141" s="1222"/>
      <c r="L141" s="1221"/>
      <c r="M141" s="1223"/>
      <c r="N141" s="643"/>
    </row>
    <row r="142" spans="1:14" s="539" customFormat="1" ht="18" customHeight="1">
      <c r="A142" s="956"/>
      <c r="B142" s="1151"/>
      <c r="C142" s="957"/>
      <c r="D142" s="1220"/>
      <c r="E142" s="1221"/>
      <c r="F142" s="1221"/>
      <c r="G142" s="1221"/>
      <c r="H142" s="1221"/>
      <c r="I142" s="1221"/>
      <c r="J142" s="1221"/>
      <c r="K142" s="1222"/>
      <c r="L142" s="1221"/>
      <c r="M142" s="1223"/>
      <c r="N142" s="643"/>
    </row>
    <row r="143" spans="1:14" s="539" customFormat="1" ht="18" customHeight="1">
      <c r="A143" s="956"/>
      <c r="B143" s="1151"/>
      <c r="C143" s="957"/>
      <c r="D143" s="1220"/>
      <c r="E143" s="1221"/>
      <c r="F143" s="1221"/>
      <c r="G143" s="1221"/>
      <c r="H143" s="1221"/>
      <c r="I143" s="1221"/>
      <c r="J143" s="1221"/>
      <c r="K143" s="1222"/>
      <c r="L143" s="1221"/>
      <c r="M143" s="1223"/>
      <c r="N143" s="643"/>
    </row>
    <row r="144" spans="1:14" s="539" customFormat="1" ht="18" customHeight="1">
      <c r="A144" s="956"/>
      <c r="B144" s="1151"/>
      <c r="C144" s="957"/>
      <c r="D144" s="1220"/>
      <c r="E144" s="1221"/>
      <c r="F144" s="1221"/>
      <c r="G144" s="1221"/>
      <c r="H144" s="1221"/>
      <c r="I144" s="1221"/>
      <c r="J144" s="1221"/>
      <c r="K144" s="1222"/>
      <c r="L144" s="1221"/>
      <c r="M144" s="1223"/>
      <c r="N144" s="643"/>
    </row>
    <row r="145" spans="1:14" s="539" customFormat="1" ht="18" customHeight="1">
      <c r="A145" s="956"/>
      <c r="B145" s="1151"/>
      <c r="C145" s="957"/>
      <c r="D145" s="1220"/>
      <c r="E145" s="1221"/>
      <c r="F145" s="1221"/>
      <c r="G145" s="1221"/>
      <c r="H145" s="1221"/>
      <c r="I145" s="1221"/>
      <c r="J145" s="1221"/>
      <c r="K145" s="1222"/>
      <c r="L145" s="1221"/>
      <c r="M145" s="1223"/>
      <c r="N145" s="643"/>
    </row>
    <row r="146" spans="1:14" s="539" customFormat="1" ht="18" customHeight="1">
      <c r="A146" s="956"/>
      <c r="B146" s="1151"/>
      <c r="C146" s="957"/>
      <c r="D146" s="1220"/>
      <c r="E146" s="1221"/>
      <c r="F146" s="1221"/>
      <c r="G146" s="1221"/>
      <c r="H146" s="1221"/>
      <c r="I146" s="1221"/>
      <c r="J146" s="1221"/>
      <c r="K146" s="1222"/>
      <c r="L146" s="1221"/>
      <c r="M146" s="1223"/>
      <c r="N146" s="643"/>
    </row>
    <row r="147" spans="1:14" s="539" customFormat="1" ht="18" customHeight="1">
      <c r="A147" s="956"/>
      <c r="B147" s="1151"/>
      <c r="C147" s="957"/>
      <c r="D147" s="1220"/>
      <c r="E147" s="1221"/>
      <c r="F147" s="1221"/>
      <c r="G147" s="1221"/>
      <c r="H147" s="1221"/>
      <c r="I147" s="1221"/>
      <c r="J147" s="1221"/>
      <c r="K147" s="1222"/>
      <c r="L147" s="1221"/>
      <c r="M147" s="1223"/>
      <c r="N147" s="643"/>
    </row>
    <row r="148" spans="1:14" s="539" customFormat="1" ht="18" customHeight="1">
      <c r="A148" s="956"/>
      <c r="B148" s="1151"/>
      <c r="C148" s="957"/>
      <c r="D148" s="1220"/>
      <c r="E148" s="1221"/>
      <c r="F148" s="1221"/>
      <c r="G148" s="1221"/>
      <c r="H148" s="1221"/>
      <c r="I148" s="1221"/>
      <c r="J148" s="1221"/>
      <c r="K148" s="1222"/>
      <c r="L148" s="1221"/>
      <c r="M148" s="1223"/>
      <c r="N148" s="643"/>
    </row>
    <row r="149" spans="1:14" s="539" customFormat="1" ht="18" customHeight="1">
      <c r="A149" s="956"/>
      <c r="B149" s="1151"/>
      <c r="C149" s="957"/>
      <c r="D149" s="1220"/>
      <c r="E149" s="1221"/>
      <c r="F149" s="1221"/>
      <c r="G149" s="1221"/>
      <c r="H149" s="1221"/>
      <c r="I149" s="1221"/>
      <c r="J149" s="1221"/>
      <c r="K149" s="1222"/>
      <c r="L149" s="1221"/>
      <c r="M149" s="1223"/>
      <c r="N149" s="643"/>
    </row>
    <row r="150" spans="1:14" s="539" customFormat="1" ht="18" customHeight="1">
      <c r="A150" s="956"/>
      <c r="B150" s="1151"/>
      <c r="C150" s="957"/>
      <c r="D150" s="1220"/>
      <c r="E150" s="1221"/>
      <c r="F150" s="1221"/>
      <c r="G150" s="1221"/>
      <c r="H150" s="1221"/>
      <c r="I150" s="1221"/>
      <c r="J150" s="1221"/>
      <c r="K150" s="1222"/>
      <c r="L150" s="1221"/>
      <c r="M150" s="1223"/>
      <c r="N150" s="643"/>
    </row>
    <row r="151" spans="1:14" s="539" customFormat="1" ht="18" customHeight="1">
      <c r="A151" s="956"/>
      <c r="B151" s="1151"/>
      <c r="C151" s="957"/>
      <c r="D151" s="1220"/>
      <c r="E151" s="1221"/>
      <c r="F151" s="1221"/>
      <c r="G151" s="1221"/>
      <c r="H151" s="1221"/>
      <c r="I151" s="1221"/>
      <c r="J151" s="1221"/>
      <c r="K151" s="1222"/>
      <c r="L151" s="1221"/>
      <c r="M151" s="1223"/>
      <c r="N151" s="643"/>
    </row>
    <row r="152" spans="1:14" s="539" customFormat="1" ht="18" customHeight="1">
      <c r="A152" s="956"/>
      <c r="B152" s="1151"/>
      <c r="C152" s="957"/>
      <c r="D152" s="1220"/>
      <c r="E152" s="1221"/>
      <c r="F152" s="1221"/>
      <c r="G152" s="1221"/>
      <c r="H152" s="1221"/>
      <c r="I152" s="1221"/>
      <c r="J152" s="1221"/>
      <c r="K152" s="1222"/>
      <c r="L152" s="1221"/>
      <c r="M152" s="1223"/>
      <c r="N152" s="643"/>
    </row>
    <row r="153" spans="1:14" s="539" customFormat="1" ht="18" customHeight="1">
      <c r="A153" s="956"/>
      <c r="B153" s="1151"/>
      <c r="C153" s="957"/>
      <c r="D153" s="1220"/>
      <c r="E153" s="1221"/>
      <c r="F153" s="1221"/>
      <c r="G153" s="1221"/>
      <c r="H153" s="1221"/>
      <c r="I153" s="1221"/>
      <c r="J153" s="1221"/>
      <c r="K153" s="1222"/>
      <c r="L153" s="1221"/>
      <c r="M153" s="1223"/>
      <c r="N153" s="643"/>
    </row>
    <row r="154" spans="1:14" s="539" customFormat="1" ht="18" customHeight="1">
      <c r="A154" s="956"/>
      <c r="B154" s="1151"/>
      <c r="C154" s="957"/>
      <c r="D154" s="1220"/>
      <c r="E154" s="1221"/>
      <c r="F154" s="1221"/>
      <c r="G154" s="1221"/>
      <c r="H154" s="1221"/>
      <c r="I154" s="1221"/>
      <c r="J154" s="1221"/>
      <c r="K154" s="1222"/>
      <c r="L154" s="1221"/>
      <c r="M154" s="1223"/>
      <c r="N154" s="643"/>
    </row>
    <row r="155" spans="1:14" s="539" customFormat="1" ht="18" customHeight="1">
      <c r="A155" s="956"/>
      <c r="B155" s="1151"/>
      <c r="C155" s="957"/>
      <c r="D155" s="1220"/>
      <c r="E155" s="1221"/>
      <c r="F155" s="1221"/>
      <c r="G155" s="1221"/>
      <c r="H155" s="1221"/>
      <c r="I155" s="1221"/>
      <c r="J155" s="1221"/>
      <c r="K155" s="1222"/>
      <c r="L155" s="1221"/>
      <c r="M155" s="1223"/>
      <c r="N155" s="643"/>
    </row>
    <row r="156" spans="1:14" s="539" customFormat="1" ht="18" customHeight="1">
      <c r="A156" s="956"/>
      <c r="B156" s="1151"/>
      <c r="C156" s="957"/>
      <c r="D156" s="1220"/>
      <c r="E156" s="1221"/>
      <c r="F156" s="1221"/>
      <c r="G156" s="1221"/>
      <c r="H156" s="1221"/>
      <c r="I156" s="1221"/>
      <c r="J156" s="1221"/>
      <c r="K156" s="1222"/>
      <c r="L156" s="1221"/>
      <c r="M156" s="1223"/>
      <c r="N156" s="643"/>
    </row>
    <row r="157" spans="1:14" s="539" customFormat="1" ht="18" customHeight="1">
      <c r="A157" s="956"/>
      <c r="B157" s="1151"/>
      <c r="C157" s="957"/>
      <c r="D157" s="1220"/>
      <c r="E157" s="1221"/>
      <c r="F157" s="1221"/>
      <c r="G157" s="1221"/>
      <c r="H157" s="1221"/>
      <c r="I157" s="1221"/>
      <c r="J157" s="1221"/>
      <c r="K157" s="1222"/>
      <c r="L157" s="1221"/>
      <c r="M157" s="1223"/>
      <c r="N157" s="643"/>
    </row>
    <row r="158" spans="1:14" s="539" customFormat="1" ht="18" customHeight="1">
      <c r="A158" s="956"/>
      <c r="B158" s="1151"/>
      <c r="C158" s="957"/>
      <c r="D158" s="1220"/>
      <c r="E158" s="1221"/>
      <c r="F158" s="1221"/>
      <c r="G158" s="1221"/>
      <c r="H158" s="1221"/>
      <c r="I158" s="1221"/>
      <c r="J158" s="1221"/>
      <c r="K158" s="1222"/>
      <c r="L158" s="1221"/>
      <c r="M158" s="1223"/>
      <c r="N158" s="643"/>
    </row>
    <row r="159" spans="1:14" s="539" customFormat="1" ht="18" customHeight="1">
      <c r="A159" s="956"/>
      <c r="B159" s="1151"/>
      <c r="C159" s="957"/>
      <c r="D159" s="1220"/>
      <c r="E159" s="1221"/>
      <c r="F159" s="1221"/>
      <c r="G159" s="1221"/>
      <c r="H159" s="1221"/>
      <c r="I159" s="1221"/>
      <c r="J159" s="1221"/>
      <c r="K159" s="1222"/>
      <c r="L159" s="1221"/>
      <c r="M159" s="1223"/>
      <c r="N159" s="643"/>
    </row>
    <row r="160" spans="1:14" s="539" customFormat="1" ht="18" customHeight="1">
      <c r="A160" s="956"/>
      <c r="B160" s="1151"/>
      <c r="C160" s="957"/>
      <c r="D160" s="1220"/>
      <c r="E160" s="1221"/>
      <c r="F160" s="1221"/>
      <c r="G160" s="1221"/>
      <c r="H160" s="1221"/>
      <c r="I160" s="1221"/>
      <c r="J160" s="1221"/>
      <c r="K160" s="1222"/>
      <c r="L160" s="1221"/>
      <c r="M160" s="1223"/>
      <c r="N160" s="643"/>
    </row>
    <row r="161" spans="1:14" s="539" customFormat="1" ht="18" hidden="1" customHeight="1">
      <c r="A161" s="956"/>
      <c r="B161" s="1151"/>
      <c r="C161" s="957"/>
      <c r="D161" s="1220"/>
      <c r="E161" s="1221"/>
      <c r="F161" s="1221"/>
      <c r="G161" s="1221"/>
      <c r="H161" s="1221"/>
      <c r="I161" s="1221"/>
      <c r="J161" s="1221"/>
      <c r="K161" s="1222"/>
      <c r="L161" s="1221"/>
      <c r="M161" s="1223"/>
      <c r="N161" s="643"/>
    </row>
    <row r="162" spans="1:14" s="539" customFormat="1" ht="18" hidden="1" customHeight="1">
      <c r="A162" s="956"/>
      <c r="B162" s="1151"/>
      <c r="C162" s="957"/>
      <c r="D162" s="1220"/>
      <c r="E162" s="1221"/>
      <c r="F162" s="1221"/>
      <c r="G162" s="1221"/>
      <c r="H162" s="1221"/>
      <c r="I162" s="1221"/>
      <c r="J162" s="1221"/>
      <c r="K162" s="1222"/>
      <c r="L162" s="1221"/>
      <c r="M162" s="1223"/>
      <c r="N162" s="643"/>
    </row>
    <row r="163" spans="1:14" s="539" customFormat="1" ht="18" customHeight="1">
      <c r="A163" s="956"/>
      <c r="B163" s="1151"/>
      <c r="C163" s="957"/>
      <c r="D163" s="1220"/>
      <c r="E163" s="1221"/>
      <c r="F163" s="1221"/>
      <c r="G163" s="1221"/>
      <c r="H163" s="1221"/>
      <c r="I163" s="1221"/>
      <c r="J163" s="1221"/>
      <c r="K163" s="1222"/>
      <c r="L163" s="1221"/>
      <c r="M163" s="1223"/>
      <c r="N163" s="643"/>
    </row>
    <row r="164" spans="1:14" s="539" customFormat="1" ht="18" customHeight="1">
      <c r="A164" s="1325" t="s">
        <v>538</v>
      </c>
      <c r="B164" s="1326"/>
      <c r="C164" s="1226"/>
      <c r="D164" s="1227"/>
      <c r="E164" s="1228"/>
      <c r="F164" s="1228">
        <v>0</v>
      </c>
      <c r="G164" s="1228"/>
      <c r="H164" s="1228">
        <v>0</v>
      </c>
      <c r="I164" s="1228"/>
      <c r="J164" s="1228">
        <v>0</v>
      </c>
      <c r="K164" s="1229"/>
      <c r="L164" s="1228">
        <v>0</v>
      </c>
      <c r="M164" s="1230"/>
      <c r="N164" s="643"/>
    </row>
    <row r="167" spans="1:14" s="539" customFormat="1" ht="18" customHeight="1">
      <c r="A167" s="1325" t="s">
        <v>538</v>
      </c>
      <c r="B167" s="1326"/>
      <c r="C167" s="1226"/>
      <c r="D167" s="1227"/>
      <c r="E167" s="1228"/>
      <c r="F167" s="1228"/>
      <c r="G167" s="1228"/>
      <c r="H167" s="1228"/>
      <c r="I167" s="1228"/>
      <c r="J167" s="1228"/>
      <c r="K167" s="1229"/>
      <c r="L167" s="1228"/>
      <c r="M167" s="1230"/>
      <c r="N167" s="643"/>
    </row>
  </sheetData>
  <mergeCells count="17">
    <mergeCell ref="N2:O2"/>
    <mergeCell ref="A5:M5"/>
    <mergeCell ref="A2:M2"/>
    <mergeCell ref="G3:H3"/>
    <mergeCell ref="I3:J3"/>
    <mergeCell ref="M3:M4"/>
    <mergeCell ref="C3:C4"/>
    <mergeCell ref="D3:D4"/>
    <mergeCell ref="E3:F3"/>
    <mergeCell ref="K3:L3"/>
    <mergeCell ref="A3:A4"/>
    <mergeCell ref="B3:B4"/>
    <mergeCell ref="A167:B167"/>
    <mergeCell ref="A164:B164"/>
    <mergeCell ref="A88:B88"/>
    <mergeCell ref="A116:B116"/>
    <mergeCell ref="A60:B60"/>
  </mergeCells>
  <phoneticPr fontId="4" type="noConversion"/>
  <printOptions horizontalCentered="1" verticalCentered="1"/>
  <pageMargins left="0.59055118110236227" right="0.39370078740157483" top="0.78740157480314965" bottom="0.59055118110236227" header="0.59055118110236227" footer="0.23622047244094491"/>
  <pageSetup paperSize="9" scale="87" orientation="landscape" r:id="rId1"/>
  <headerFooter alignWithMargins="0">
    <oddHeader xml:space="preserve">&amp;C&amp;"맑은 고딕,굵게"&amp;20&amp;U 도급공사 내역서 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4">
    <tabColor rgb="FFFF0000"/>
  </sheetPr>
  <dimension ref="A1:P48"/>
  <sheetViews>
    <sheetView showZeros="0" view="pageBreakPreview" zoomScaleSheetLayoutView="100" workbookViewId="0">
      <pane xSplit="1" ySplit="4" topLeftCell="B8" activePane="bottomRight" state="frozen"/>
      <selection activeCell="G11" sqref="G11"/>
      <selection pane="topRight" activeCell="G11" sqref="G11"/>
      <selection pane="bottomLeft" activeCell="G11" sqref="G11"/>
      <selection pane="bottomRight" activeCell="G11" sqref="G11"/>
    </sheetView>
  </sheetViews>
  <sheetFormatPr defaultColWidth="8.88671875" defaultRowHeight="12"/>
  <cols>
    <col min="1" max="1" width="17.5546875" style="471" customWidth="1"/>
    <col min="2" max="2" width="25.77734375" style="415" customWidth="1"/>
    <col min="3" max="3" width="18.77734375" style="428" customWidth="1"/>
    <col min="4" max="4" width="4.77734375" style="421" customWidth="1"/>
    <col min="5" max="5" width="6.77734375" style="423" customWidth="1"/>
    <col min="6" max="6" width="5.77734375" style="415" customWidth="1"/>
    <col min="7" max="7" width="7.77734375" style="415" customWidth="1"/>
    <col min="8" max="8" width="5.77734375" style="415" customWidth="1"/>
    <col min="9" max="9" width="7.77734375" style="415" customWidth="1"/>
    <col min="10" max="10" width="5.77734375" style="415" customWidth="1"/>
    <col min="11" max="11" width="7.77734375" style="415" customWidth="1"/>
    <col min="12" max="12" width="6.77734375" style="415" customWidth="1"/>
    <col min="13" max="13" width="8.77734375" style="415" customWidth="1"/>
    <col min="14" max="14" width="6.77734375" style="429" customWidth="1"/>
    <col min="15" max="15" width="9" style="421" bestFit="1" customWidth="1"/>
    <col min="16" max="16384" width="8.88671875" style="415"/>
  </cols>
  <sheetData>
    <row r="1" spans="1:16" ht="11.25" customHeight="1">
      <c r="B1" s="418"/>
      <c r="C1" s="422"/>
      <c r="D1" s="419"/>
      <c r="F1" s="420"/>
      <c r="G1" s="420"/>
      <c r="H1" s="420"/>
      <c r="I1" s="420"/>
      <c r="J1" s="420"/>
      <c r="K1" s="420"/>
      <c r="L1" s="420"/>
      <c r="M1" s="420"/>
      <c r="N1" s="424"/>
    </row>
    <row r="2" spans="1:16" ht="23.1" customHeight="1">
      <c r="A2" s="471" t="s">
        <v>811</v>
      </c>
      <c r="B2" s="1323" t="e">
        <f>#REF!</f>
        <v>#REF!</v>
      </c>
      <c r="C2" s="1324"/>
      <c r="D2" s="1324"/>
      <c r="E2" s="1324"/>
      <c r="F2" s="1324"/>
      <c r="G2" s="1324"/>
      <c r="H2" s="1324"/>
      <c r="I2" s="1324"/>
      <c r="J2" s="1324"/>
      <c r="K2" s="1324"/>
      <c r="L2" s="1324"/>
      <c r="M2" s="1324"/>
      <c r="N2" s="1324"/>
    </row>
    <row r="3" spans="1:16" ht="23.1" customHeight="1">
      <c r="B3" s="1342" t="s">
        <v>511</v>
      </c>
      <c r="C3" s="1344" t="s">
        <v>512</v>
      </c>
      <c r="D3" s="1342" t="s">
        <v>30</v>
      </c>
      <c r="E3" s="1346" t="s">
        <v>513</v>
      </c>
      <c r="F3" s="1342" t="s">
        <v>28</v>
      </c>
      <c r="G3" s="1342"/>
      <c r="H3" s="1342" t="s">
        <v>29</v>
      </c>
      <c r="I3" s="1342"/>
      <c r="J3" s="1342" t="s">
        <v>514</v>
      </c>
      <c r="K3" s="1342"/>
      <c r="L3" s="1342" t="s">
        <v>27</v>
      </c>
      <c r="M3" s="1342"/>
      <c r="N3" s="1348" t="s">
        <v>515</v>
      </c>
    </row>
    <row r="4" spans="1:16" ht="23.1" customHeight="1">
      <c r="B4" s="1343"/>
      <c r="C4" s="1345"/>
      <c r="D4" s="1343"/>
      <c r="E4" s="1347"/>
      <c r="F4" s="558" t="s">
        <v>516</v>
      </c>
      <c r="G4" s="558" t="s">
        <v>31</v>
      </c>
      <c r="H4" s="558" t="s">
        <v>516</v>
      </c>
      <c r="I4" s="558" t="s">
        <v>31</v>
      </c>
      <c r="J4" s="558" t="s">
        <v>516</v>
      </c>
      <c r="K4" s="558" t="s">
        <v>31</v>
      </c>
      <c r="L4" s="558" t="s">
        <v>516</v>
      </c>
      <c r="M4" s="558" t="s">
        <v>31</v>
      </c>
      <c r="N4" s="1349"/>
      <c r="P4" s="425">
        <v>1</v>
      </c>
    </row>
    <row r="5" spans="1:16" s="473" customFormat="1" ht="18.95" customHeight="1">
      <c r="A5" s="536"/>
      <c r="B5" s="635" t="s">
        <v>756</v>
      </c>
      <c r="C5" s="579"/>
      <c r="D5" s="636"/>
      <c r="E5" s="637"/>
      <c r="F5" s="636"/>
      <c r="G5" s="636"/>
      <c r="H5" s="636"/>
      <c r="I5" s="636"/>
      <c r="J5" s="636"/>
      <c r="K5" s="636"/>
      <c r="L5" s="636"/>
      <c r="M5" s="636"/>
      <c r="N5" s="638"/>
      <c r="O5" s="472"/>
      <c r="P5" s="537"/>
    </row>
    <row r="6" spans="1:16" s="473" customFormat="1" ht="18.95" customHeight="1">
      <c r="A6" s="536"/>
      <c r="B6" s="621" t="s">
        <v>702</v>
      </c>
      <c r="C6" s="580"/>
      <c r="D6" s="622"/>
      <c r="E6" s="600"/>
      <c r="F6" s="622"/>
      <c r="G6" s="622"/>
      <c r="H6" s="622"/>
      <c r="I6" s="622"/>
      <c r="J6" s="622"/>
      <c r="K6" s="622"/>
      <c r="L6" s="622"/>
      <c r="M6" s="622"/>
      <c r="N6" s="623"/>
      <c r="O6" s="472"/>
      <c r="P6" s="537"/>
    </row>
    <row r="7" spans="1:16" s="473" customFormat="1" ht="18.95" customHeight="1">
      <c r="A7" s="653" t="e">
        <f>#REF!</f>
        <v>#REF!</v>
      </c>
      <c r="B7" s="566" t="e">
        <f>VLOOKUP($A7,#REF!,2,FALSE)</f>
        <v>#REF!</v>
      </c>
      <c r="C7" s="567" t="e">
        <f>VLOOKUP($A7,#REF!,3,FALSE)</f>
        <v>#REF!</v>
      </c>
      <c r="D7" s="568" t="e">
        <f>VLOOKUP($A7,#REF!,4,FALSE)</f>
        <v>#REF!</v>
      </c>
      <c r="E7" s="562">
        <f>IF(ISERROR(VLOOKUP($A7,산출집계2,13,FALSE)),0,VLOOKUP($A7,산출집계2,13,FALSE))</f>
        <v>0</v>
      </c>
      <c r="F7" s="624"/>
      <c r="G7" s="625"/>
      <c r="H7" s="626"/>
      <c r="I7" s="626"/>
      <c r="J7" s="625" t="e">
        <f>VLOOKUP($A7,#REF!,11,FALSE)</f>
        <v>#REF!</v>
      </c>
      <c r="K7" s="570" t="e">
        <f>INT(E7*J7)</f>
        <v>#REF!</v>
      </c>
      <c r="L7" s="571" t="e">
        <f>INT(F7+H7+J7)</f>
        <v>#REF!</v>
      </c>
      <c r="M7" s="570" t="e">
        <f t="shared" ref="M7" si="0">INT(G7+I7+K7)</f>
        <v>#REF!</v>
      </c>
      <c r="N7" s="627">
        <f t="shared" ref="N7" si="1">IF(ISERROR(VLOOKUP($A7,일위11,4,FALSE)),0,VLOOKUP($A7,일위11,4,FALSE))</f>
        <v>0</v>
      </c>
      <c r="O7" s="538"/>
      <c r="P7" s="539"/>
    </row>
    <row r="8" spans="1:16" s="473" customFormat="1" ht="18.95" customHeight="1">
      <c r="A8" s="475"/>
      <c r="B8" s="1350" t="s">
        <v>703</v>
      </c>
      <c r="C8" s="1350"/>
      <c r="D8" s="561"/>
      <c r="E8" s="562"/>
      <c r="F8" s="624"/>
      <c r="G8" s="625"/>
      <c r="H8" s="626"/>
      <c r="I8" s="626"/>
      <c r="J8" s="625"/>
      <c r="K8" s="625">
        <v>-89</v>
      </c>
      <c r="L8" s="628"/>
      <c r="M8" s="628"/>
      <c r="N8" s="627"/>
      <c r="O8" s="538"/>
      <c r="P8" s="539"/>
    </row>
    <row r="9" spans="1:16" s="473" customFormat="1" ht="18.95" customHeight="1">
      <c r="A9" s="416"/>
      <c r="B9" s="559"/>
      <c r="C9" s="560"/>
      <c r="D9" s="561"/>
      <c r="E9" s="562"/>
      <c r="F9" s="624"/>
      <c r="G9" s="629"/>
      <c r="H9" s="626"/>
      <c r="I9" s="626"/>
      <c r="J9" s="629"/>
      <c r="K9" s="629"/>
      <c r="L9" s="639"/>
      <c r="M9" s="640"/>
      <c r="N9" s="627"/>
      <c r="O9" s="538"/>
      <c r="P9" s="539"/>
    </row>
    <row r="10" spans="1:16" s="473" customFormat="1" ht="18.95" customHeight="1">
      <c r="A10" s="540"/>
      <c r="B10" s="559"/>
      <c r="C10" s="560"/>
      <c r="D10" s="561"/>
      <c r="E10" s="562"/>
      <c r="F10" s="624"/>
      <c r="G10" s="625"/>
      <c r="H10" s="626"/>
      <c r="I10" s="626"/>
      <c r="J10" s="625"/>
      <c r="K10" s="625"/>
      <c r="L10" s="628"/>
      <c r="M10" s="628"/>
      <c r="N10" s="627"/>
      <c r="O10" s="538"/>
      <c r="P10" s="539"/>
    </row>
    <row r="11" spans="1:16" s="473" customFormat="1" ht="18.95" customHeight="1">
      <c r="A11" s="540"/>
      <c r="B11" s="559"/>
      <c r="C11" s="560"/>
      <c r="D11" s="561"/>
      <c r="E11" s="562"/>
      <c r="F11" s="624"/>
      <c r="G11" s="625"/>
      <c r="H11" s="626"/>
      <c r="I11" s="626"/>
      <c r="J11" s="625"/>
      <c r="K11" s="625"/>
      <c r="L11" s="628"/>
      <c r="M11" s="628"/>
      <c r="N11" s="627"/>
      <c r="O11" s="538"/>
      <c r="P11" s="539"/>
    </row>
    <row r="12" spans="1:16" s="473" customFormat="1" ht="18.95" customHeight="1">
      <c r="A12" s="540"/>
      <c r="B12" s="559"/>
      <c r="C12" s="560"/>
      <c r="D12" s="561"/>
      <c r="E12" s="562"/>
      <c r="F12" s="624"/>
      <c r="G12" s="625"/>
      <c r="H12" s="626"/>
      <c r="I12" s="626"/>
      <c r="J12" s="625"/>
      <c r="K12" s="625"/>
      <c r="L12" s="630"/>
      <c r="M12" s="630"/>
      <c r="N12" s="631"/>
      <c r="O12" s="538"/>
      <c r="P12" s="539"/>
    </row>
    <row r="13" spans="1:16" s="473" customFormat="1" ht="18.95" customHeight="1">
      <c r="A13" s="540"/>
      <c r="B13" s="559"/>
      <c r="C13" s="560"/>
      <c r="D13" s="561"/>
      <c r="E13" s="562"/>
      <c r="F13" s="624"/>
      <c r="G13" s="625"/>
      <c r="H13" s="626"/>
      <c r="I13" s="626"/>
      <c r="J13" s="625"/>
      <c r="K13" s="625"/>
      <c r="L13" s="632"/>
      <c r="M13" s="632"/>
      <c r="N13" s="631"/>
      <c r="O13" s="538"/>
      <c r="P13" s="539"/>
    </row>
    <row r="14" spans="1:16" s="473" customFormat="1" ht="18.95" customHeight="1">
      <c r="A14" s="540"/>
      <c r="B14" s="559"/>
      <c r="C14" s="560"/>
      <c r="D14" s="561"/>
      <c r="E14" s="562"/>
      <c r="F14" s="624"/>
      <c r="G14" s="625"/>
      <c r="H14" s="626"/>
      <c r="I14" s="626"/>
      <c r="J14" s="625"/>
      <c r="K14" s="625"/>
      <c r="L14" s="632"/>
      <c r="M14" s="632"/>
      <c r="N14" s="631"/>
      <c r="O14" s="538"/>
      <c r="P14" s="539"/>
    </row>
    <row r="15" spans="1:16" s="473" customFormat="1" ht="18.95" customHeight="1">
      <c r="A15" s="540"/>
      <c r="B15" s="559"/>
      <c r="C15" s="560"/>
      <c r="D15" s="561"/>
      <c r="E15" s="562"/>
      <c r="F15" s="624"/>
      <c r="G15" s="625"/>
      <c r="H15" s="626"/>
      <c r="I15" s="626"/>
      <c r="J15" s="625"/>
      <c r="K15" s="625"/>
      <c r="L15" s="633"/>
      <c r="M15" s="633"/>
      <c r="N15" s="631"/>
      <c r="O15" s="538"/>
      <c r="P15" s="539"/>
    </row>
    <row r="16" spans="1:16" s="473" customFormat="1" ht="18.95" customHeight="1">
      <c r="A16" s="540"/>
      <c r="B16" s="559"/>
      <c r="C16" s="560"/>
      <c r="D16" s="561"/>
      <c r="E16" s="562"/>
      <c r="F16" s="624"/>
      <c r="G16" s="625"/>
      <c r="H16" s="626"/>
      <c r="I16" s="626"/>
      <c r="J16" s="625"/>
      <c r="K16" s="625"/>
      <c r="L16" s="633"/>
      <c r="M16" s="633"/>
      <c r="N16" s="631"/>
      <c r="O16" s="538"/>
      <c r="P16" s="539"/>
    </row>
    <row r="17" spans="1:16" s="473" customFormat="1" ht="18.95" customHeight="1">
      <c r="A17" s="540"/>
      <c r="B17" s="559"/>
      <c r="C17" s="560"/>
      <c r="D17" s="561"/>
      <c r="E17" s="562"/>
      <c r="F17" s="624"/>
      <c r="G17" s="625"/>
      <c r="H17" s="626"/>
      <c r="I17" s="626"/>
      <c r="J17" s="625"/>
      <c r="K17" s="625"/>
      <c r="L17" s="633"/>
      <c r="M17" s="633"/>
      <c r="N17" s="631"/>
      <c r="O17" s="538"/>
      <c r="P17" s="539"/>
    </row>
    <row r="18" spans="1:16" s="473" customFormat="1" ht="18.95" customHeight="1">
      <c r="A18" s="540"/>
      <c r="B18" s="559"/>
      <c r="C18" s="560"/>
      <c r="D18" s="561"/>
      <c r="E18" s="562"/>
      <c r="F18" s="624"/>
      <c r="G18" s="625"/>
      <c r="H18" s="626"/>
      <c r="I18" s="626"/>
      <c r="J18" s="625"/>
      <c r="K18" s="625"/>
      <c r="L18" s="633"/>
      <c r="M18" s="633"/>
      <c r="N18" s="631"/>
      <c r="O18" s="538"/>
      <c r="P18" s="539"/>
    </row>
    <row r="19" spans="1:16" s="473" customFormat="1" ht="18.95" customHeight="1">
      <c r="A19" s="540"/>
      <c r="B19" s="559"/>
      <c r="C19" s="560"/>
      <c r="D19" s="561"/>
      <c r="E19" s="562"/>
      <c r="F19" s="624"/>
      <c r="G19" s="625"/>
      <c r="H19" s="626"/>
      <c r="I19" s="626"/>
      <c r="J19" s="625"/>
      <c r="K19" s="625"/>
      <c r="L19" s="633"/>
      <c r="M19" s="633"/>
      <c r="N19" s="631"/>
      <c r="O19" s="538"/>
      <c r="P19" s="539"/>
    </row>
    <row r="20" spans="1:16" s="473" customFormat="1" ht="18.95" customHeight="1">
      <c r="A20" s="540"/>
      <c r="B20" s="559"/>
      <c r="C20" s="560"/>
      <c r="D20" s="561"/>
      <c r="E20" s="562"/>
      <c r="F20" s="624"/>
      <c r="G20" s="625"/>
      <c r="H20" s="626"/>
      <c r="I20" s="626"/>
      <c r="J20" s="625"/>
      <c r="K20" s="625"/>
      <c r="L20" s="633"/>
      <c r="M20" s="633"/>
      <c r="N20" s="631"/>
      <c r="O20" s="538"/>
      <c r="P20" s="539"/>
    </row>
    <row r="21" spans="1:16" s="473" customFormat="1" ht="18.95" customHeight="1">
      <c r="A21" s="540"/>
      <c r="B21" s="559"/>
      <c r="C21" s="560"/>
      <c r="D21" s="561"/>
      <c r="E21" s="562"/>
      <c r="F21" s="624"/>
      <c r="G21" s="625"/>
      <c r="H21" s="626"/>
      <c r="I21" s="626"/>
      <c r="J21" s="625"/>
      <c r="K21" s="625"/>
      <c r="L21" s="633"/>
      <c r="M21" s="633"/>
      <c r="N21" s="631"/>
      <c r="O21" s="538"/>
      <c r="P21" s="539"/>
    </row>
    <row r="22" spans="1:16" s="473" customFormat="1" ht="18.95" customHeight="1">
      <c r="A22" s="540"/>
      <c r="B22" s="559"/>
      <c r="C22" s="560"/>
      <c r="D22" s="561"/>
      <c r="E22" s="562"/>
      <c r="F22" s="624"/>
      <c r="G22" s="625"/>
      <c r="H22" s="626"/>
      <c r="I22" s="626"/>
      <c r="J22" s="625"/>
      <c r="K22" s="625"/>
      <c r="L22" s="633"/>
      <c r="M22" s="633"/>
      <c r="N22" s="631"/>
      <c r="O22" s="538"/>
      <c r="P22" s="539"/>
    </row>
    <row r="23" spans="1:16" s="473" customFormat="1" ht="18.95" customHeight="1">
      <c r="A23" s="540"/>
      <c r="B23" s="559"/>
      <c r="C23" s="560"/>
      <c r="D23" s="561"/>
      <c r="E23" s="562"/>
      <c r="F23" s="624"/>
      <c r="G23" s="625"/>
      <c r="H23" s="626"/>
      <c r="I23" s="626"/>
      <c r="J23" s="625"/>
      <c r="K23" s="625"/>
      <c r="L23" s="633"/>
      <c r="M23" s="633"/>
      <c r="N23" s="631"/>
      <c r="O23" s="538"/>
      <c r="P23" s="539"/>
    </row>
    <row r="24" spans="1:16" s="473" customFormat="1" ht="18.95" customHeight="1">
      <c r="A24" s="540"/>
      <c r="B24" s="559"/>
      <c r="C24" s="560"/>
      <c r="D24" s="561"/>
      <c r="E24" s="562"/>
      <c r="F24" s="624"/>
      <c r="G24" s="625"/>
      <c r="H24" s="626"/>
      <c r="I24" s="626"/>
      <c r="J24" s="625"/>
      <c r="K24" s="625"/>
      <c r="L24" s="633"/>
      <c r="M24" s="633"/>
      <c r="N24" s="631"/>
      <c r="O24" s="538"/>
      <c r="P24" s="539"/>
    </row>
    <row r="25" spans="1:16" s="473" customFormat="1" ht="18.95" customHeight="1">
      <c r="A25" s="540"/>
      <c r="B25" s="559"/>
      <c r="C25" s="560"/>
      <c r="D25" s="561"/>
      <c r="E25" s="562"/>
      <c r="F25" s="624"/>
      <c r="G25" s="625"/>
      <c r="H25" s="626"/>
      <c r="I25" s="626"/>
      <c r="J25" s="625"/>
      <c r="K25" s="625"/>
      <c r="L25" s="633"/>
      <c r="M25" s="633"/>
      <c r="N25" s="631"/>
      <c r="O25" s="538"/>
      <c r="P25" s="539"/>
    </row>
    <row r="26" spans="1:16" s="473" customFormat="1" ht="18.95" customHeight="1">
      <c r="A26" s="540">
        <v>1</v>
      </c>
      <c r="B26" s="1341" t="s">
        <v>704</v>
      </c>
      <c r="C26" s="1341"/>
      <c r="D26" s="564"/>
      <c r="E26" s="565"/>
      <c r="F26" s="634"/>
      <c r="G26" s="575">
        <f>SUM(G6:G25)</f>
        <v>0</v>
      </c>
      <c r="H26" s="575"/>
      <c r="I26" s="575">
        <f>SUM(I6:I25)</f>
        <v>0</v>
      </c>
      <c r="J26" s="575"/>
      <c r="K26" s="575" t="e">
        <f>SUM(K6:K25)</f>
        <v>#REF!</v>
      </c>
      <c r="L26" s="576"/>
      <c r="M26" s="575" t="e">
        <f>SUM(G26,I26,K26)</f>
        <v>#REF!</v>
      </c>
      <c r="N26" s="577"/>
      <c r="O26" s="538"/>
      <c r="P26" s="539"/>
    </row>
    <row r="27" spans="1:16" s="473" customFormat="1" ht="18.95" customHeight="1">
      <c r="A27" s="536"/>
      <c r="B27" s="635" t="s">
        <v>705</v>
      </c>
      <c r="C27" s="579"/>
      <c r="D27" s="636"/>
      <c r="E27" s="637"/>
      <c r="F27" s="636"/>
      <c r="G27" s="636"/>
      <c r="H27" s="636"/>
      <c r="I27" s="636"/>
      <c r="J27" s="636"/>
      <c r="K27" s="636"/>
      <c r="L27" s="636"/>
      <c r="M27" s="636"/>
      <c r="N27" s="638"/>
      <c r="O27" s="472"/>
      <c r="P27" s="537"/>
    </row>
    <row r="28" spans="1:16" s="473" customFormat="1" ht="18.95" customHeight="1">
      <c r="A28" s="653">
        <f>부록단가비교표!$A$7</f>
        <v>0</v>
      </c>
      <c r="B28" s="566" t="e">
        <f>VLOOKUP($A28,부록단가비교표!$A:$L,2,FALSE)</f>
        <v>#N/A</v>
      </c>
      <c r="C28" s="567" t="e">
        <f>VLOOKUP($A28,부록단가비교표!$A:$L,3,FALSE)</f>
        <v>#N/A</v>
      </c>
      <c r="D28" s="568" t="e">
        <f>VLOOKUP($A28,부록단가비교표!$A:$L,4,FALSE)</f>
        <v>#N/A</v>
      </c>
      <c r="E28" s="562">
        <f>IF(ISERROR(VLOOKUP($A28,산출집계2,13,FALSE)),0,VLOOKUP($A28,산출집계2,13,FALSE))</f>
        <v>0</v>
      </c>
      <c r="F28" s="624"/>
      <c r="G28" s="625"/>
      <c r="H28" s="626"/>
      <c r="I28" s="626"/>
      <c r="J28" s="625">
        <f>부록단가비교표!$Q$7</f>
        <v>0</v>
      </c>
      <c r="K28" s="570">
        <f>INT(E28*J28)</f>
        <v>0</v>
      </c>
      <c r="L28" s="571">
        <f>INT(F28+H28+J28)</f>
        <v>0</v>
      </c>
      <c r="M28" s="570">
        <f t="shared" ref="M28" si="2">INT(G28+I28+K28)</f>
        <v>0</v>
      </c>
      <c r="N28" s="627">
        <f t="shared" ref="N28" si="3">IF(ISERROR(VLOOKUP($A28,일위11,4,FALSE)),0,VLOOKUP($A28,일위11,4,FALSE))</f>
        <v>0</v>
      </c>
      <c r="O28" s="538"/>
      <c r="P28" s="539"/>
    </row>
    <row r="29" spans="1:16" s="473" customFormat="1" ht="18.95" customHeight="1">
      <c r="A29" s="416"/>
      <c r="B29" s="559"/>
      <c r="C29" s="560"/>
      <c r="D29" s="561"/>
      <c r="E29" s="562"/>
      <c r="F29" s="624"/>
      <c r="G29" s="625"/>
      <c r="H29" s="626"/>
      <c r="I29" s="626"/>
      <c r="J29" s="625"/>
      <c r="K29" s="625"/>
      <c r="L29" s="628"/>
      <c r="M29" s="628"/>
      <c r="N29" s="627"/>
      <c r="O29" s="538"/>
      <c r="P29" s="539"/>
    </row>
    <row r="30" spans="1:16" s="473" customFormat="1" ht="18.95" customHeight="1">
      <c r="A30" s="540"/>
      <c r="B30" s="559"/>
      <c r="C30" s="560"/>
      <c r="D30" s="561"/>
      <c r="E30" s="562"/>
      <c r="F30" s="624"/>
      <c r="G30" s="629"/>
      <c r="H30" s="626"/>
      <c r="I30" s="626"/>
      <c r="J30" s="629"/>
      <c r="K30" s="629"/>
      <c r="L30" s="639"/>
      <c r="M30" s="640"/>
      <c r="N30" s="627"/>
      <c r="O30" s="538"/>
      <c r="P30" s="539"/>
    </row>
    <row r="31" spans="1:16" s="473" customFormat="1" ht="18.95" customHeight="1">
      <c r="A31" s="540"/>
      <c r="B31" s="559"/>
      <c r="C31" s="560"/>
      <c r="D31" s="561"/>
      <c r="E31" s="562"/>
      <c r="F31" s="624"/>
      <c r="G31" s="625"/>
      <c r="H31" s="626"/>
      <c r="I31" s="626"/>
      <c r="J31" s="625"/>
      <c r="K31" s="625"/>
      <c r="L31" s="628"/>
      <c r="M31" s="628"/>
      <c r="N31" s="627"/>
      <c r="O31" s="538"/>
      <c r="P31" s="539"/>
    </row>
    <row r="32" spans="1:16" s="473" customFormat="1" ht="18.95" customHeight="1">
      <c r="A32" s="540"/>
      <c r="B32" s="559"/>
      <c r="C32" s="560"/>
      <c r="D32" s="561"/>
      <c r="E32" s="562"/>
      <c r="F32" s="624"/>
      <c r="G32" s="625"/>
      <c r="H32" s="626"/>
      <c r="I32" s="626"/>
      <c r="J32" s="625"/>
      <c r="K32" s="625"/>
      <c r="L32" s="630"/>
      <c r="M32" s="630"/>
      <c r="N32" s="631"/>
      <c r="O32" s="538"/>
      <c r="P32" s="539"/>
    </row>
    <row r="33" spans="1:16" s="473" customFormat="1" ht="18.95" customHeight="1">
      <c r="A33" s="540"/>
      <c r="B33" s="559"/>
      <c r="C33" s="560"/>
      <c r="D33" s="561"/>
      <c r="E33" s="562"/>
      <c r="F33" s="624"/>
      <c r="G33" s="625"/>
      <c r="H33" s="626"/>
      <c r="I33" s="626"/>
      <c r="J33" s="625"/>
      <c r="K33" s="625"/>
      <c r="L33" s="630"/>
      <c r="M33" s="630"/>
      <c r="N33" s="631"/>
      <c r="O33" s="538"/>
      <c r="P33" s="539"/>
    </row>
    <row r="34" spans="1:16" s="473" customFormat="1" ht="18.95" customHeight="1">
      <c r="A34" s="540"/>
      <c r="B34" s="559"/>
      <c r="C34" s="560"/>
      <c r="D34" s="561"/>
      <c r="E34" s="562"/>
      <c r="F34" s="624"/>
      <c r="G34" s="625"/>
      <c r="H34" s="626"/>
      <c r="I34" s="626"/>
      <c r="J34" s="625"/>
      <c r="K34" s="625"/>
      <c r="L34" s="630"/>
      <c r="M34" s="630"/>
      <c r="N34" s="631"/>
      <c r="O34" s="538"/>
      <c r="P34" s="539"/>
    </row>
    <row r="35" spans="1:16" s="473" customFormat="1" ht="18.95" customHeight="1">
      <c r="A35" s="540"/>
      <c r="B35" s="559"/>
      <c r="C35" s="560"/>
      <c r="D35" s="561"/>
      <c r="E35" s="562"/>
      <c r="F35" s="624"/>
      <c r="G35" s="625"/>
      <c r="H35" s="626"/>
      <c r="I35" s="626"/>
      <c r="J35" s="625"/>
      <c r="K35" s="625"/>
      <c r="L35" s="630"/>
      <c r="M35" s="630"/>
      <c r="N35" s="631"/>
      <c r="O35" s="538"/>
      <c r="P35" s="539"/>
    </row>
    <row r="36" spans="1:16" s="473" customFormat="1" ht="18.95" customHeight="1">
      <c r="A36" s="540"/>
      <c r="B36" s="559"/>
      <c r="C36" s="560"/>
      <c r="D36" s="561"/>
      <c r="E36" s="562"/>
      <c r="F36" s="624"/>
      <c r="G36" s="625"/>
      <c r="H36" s="626"/>
      <c r="I36" s="626"/>
      <c r="J36" s="625"/>
      <c r="K36" s="625"/>
      <c r="L36" s="630"/>
      <c r="M36" s="630"/>
      <c r="N36" s="631"/>
      <c r="O36" s="538"/>
      <c r="P36" s="539"/>
    </row>
    <row r="37" spans="1:16" s="473" customFormat="1" ht="18.95" customHeight="1">
      <c r="A37" s="540"/>
      <c r="B37" s="559"/>
      <c r="C37" s="560"/>
      <c r="D37" s="561"/>
      <c r="E37" s="562"/>
      <c r="F37" s="624"/>
      <c r="G37" s="625"/>
      <c r="H37" s="626"/>
      <c r="I37" s="626"/>
      <c r="J37" s="625"/>
      <c r="K37" s="625"/>
      <c r="L37" s="630"/>
      <c r="M37" s="630"/>
      <c r="N37" s="631"/>
      <c r="O37" s="538"/>
      <c r="P37" s="539"/>
    </row>
    <row r="38" spans="1:16" s="473" customFormat="1" ht="18.95" customHeight="1">
      <c r="A38" s="540"/>
      <c r="B38" s="559"/>
      <c r="C38" s="560"/>
      <c r="D38" s="561"/>
      <c r="E38" s="562"/>
      <c r="F38" s="624"/>
      <c r="G38" s="625"/>
      <c r="H38" s="626"/>
      <c r="I38" s="626"/>
      <c r="J38" s="625"/>
      <c r="K38" s="625"/>
      <c r="L38" s="632"/>
      <c r="M38" s="632"/>
      <c r="N38" s="631"/>
      <c r="O38" s="538"/>
      <c r="P38" s="539"/>
    </row>
    <row r="39" spans="1:16" s="473" customFormat="1" ht="18.95" customHeight="1">
      <c r="A39" s="540"/>
      <c r="B39" s="559"/>
      <c r="C39" s="560"/>
      <c r="D39" s="561"/>
      <c r="E39" s="562"/>
      <c r="F39" s="624"/>
      <c r="G39" s="625"/>
      <c r="H39" s="626"/>
      <c r="I39" s="626"/>
      <c r="J39" s="625"/>
      <c r="K39" s="625"/>
      <c r="L39" s="632"/>
      <c r="M39" s="632"/>
      <c r="N39" s="631"/>
      <c r="O39" s="538"/>
      <c r="P39" s="539"/>
    </row>
    <row r="40" spans="1:16" s="473" customFormat="1" ht="18.95" customHeight="1">
      <c r="A40" s="540"/>
      <c r="B40" s="559"/>
      <c r="C40" s="560"/>
      <c r="D40" s="561"/>
      <c r="E40" s="562"/>
      <c r="F40" s="624"/>
      <c r="G40" s="625"/>
      <c r="H40" s="626"/>
      <c r="I40" s="626"/>
      <c r="J40" s="625"/>
      <c r="K40" s="625"/>
      <c r="L40" s="633"/>
      <c r="M40" s="633"/>
      <c r="N40" s="631"/>
      <c r="O40" s="538"/>
      <c r="P40" s="539"/>
    </row>
    <row r="41" spans="1:16" s="473" customFormat="1" ht="18.95" customHeight="1">
      <c r="A41" s="540"/>
      <c r="B41" s="559"/>
      <c r="C41" s="560"/>
      <c r="D41" s="561"/>
      <c r="E41" s="562"/>
      <c r="F41" s="624"/>
      <c r="G41" s="625"/>
      <c r="H41" s="626"/>
      <c r="I41" s="626"/>
      <c r="J41" s="625"/>
      <c r="K41" s="625"/>
      <c r="L41" s="633"/>
      <c r="M41" s="633"/>
      <c r="N41" s="631"/>
      <c r="O41" s="538"/>
      <c r="P41" s="539"/>
    </row>
    <row r="42" spans="1:16" s="473" customFormat="1" ht="18.95" customHeight="1">
      <c r="A42" s="540"/>
      <c r="B42" s="559"/>
      <c r="C42" s="560"/>
      <c r="D42" s="561"/>
      <c r="E42" s="562"/>
      <c r="F42" s="624"/>
      <c r="G42" s="625"/>
      <c r="H42" s="626"/>
      <c r="I42" s="626"/>
      <c r="J42" s="625"/>
      <c r="K42" s="625"/>
      <c r="L42" s="633"/>
      <c r="M42" s="633"/>
      <c r="N42" s="631"/>
      <c r="O42" s="538"/>
      <c r="P42" s="539"/>
    </row>
    <row r="43" spans="1:16" s="473" customFormat="1" ht="18.95" customHeight="1">
      <c r="A43" s="540"/>
      <c r="B43" s="559"/>
      <c r="C43" s="560"/>
      <c r="D43" s="561"/>
      <c r="E43" s="562"/>
      <c r="F43" s="624"/>
      <c r="G43" s="625"/>
      <c r="H43" s="626"/>
      <c r="I43" s="626"/>
      <c r="J43" s="625"/>
      <c r="K43" s="625"/>
      <c r="L43" s="633"/>
      <c r="M43" s="633"/>
      <c r="N43" s="631"/>
      <c r="O43" s="538"/>
      <c r="P43" s="539"/>
    </row>
    <row r="44" spans="1:16" s="473" customFormat="1" ht="18.95" customHeight="1">
      <c r="A44" s="540"/>
      <c r="B44" s="559"/>
      <c r="C44" s="560"/>
      <c r="D44" s="561"/>
      <c r="E44" s="562"/>
      <c r="F44" s="624"/>
      <c r="G44" s="625"/>
      <c r="H44" s="626"/>
      <c r="I44" s="626"/>
      <c r="J44" s="625"/>
      <c r="K44" s="625"/>
      <c r="L44" s="633"/>
      <c r="M44" s="633"/>
      <c r="N44" s="631"/>
      <c r="O44" s="538"/>
      <c r="P44" s="539"/>
    </row>
    <row r="45" spans="1:16" s="473" customFormat="1" ht="18.95" customHeight="1">
      <c r="A45" s="540"/>
      <c r="B45" s="559"/>
      <c r="C45" s="560"/>
      <c r="D45" s="561"/>
      <c r="E45" s="562"/>
      <c r="F45" s="624"/>
      <c r="G45" s="625"/>
      <c r="H45" s="626"/>
      <c r="I45" s="626"/>
      <c r="J45" s="625"/>
      <c r="K45" s="625"/>
      <c r="L45" s="633"/>
      <c r="M45" s="633"/>
      <c r="N45" s="631"/>
      <c r="O45" s="538"/>
      <c r="P45" s="539"/>
    </row>
    <row r="46" spans="1:16" s="473" customFormat="1" ht="18.95" customHeight="1">
      <c r="A46" s="540"/>
      <c r="B46" s="559"/>
      <c r="C46" s="560"/>
      <c r="D46" s="561"/>
      <c r="E46" s="562"/>
      <c r="F46" s="624"/>
      <c r="G46" s="625"/>
      <c r="H46" s="626"/>
      <c r="I46" s="626"/>
      <c r="J46" s="625"/>
      <c r="K46" s="625"/>
      <c r="L46" s="633"/>
      <c r="M46" s="633"/>
      <c r="N46" s="631"/>
      <c r="O46" s="538"/>
      <c r="P46" s="539"/>
    </row>
    <row r="47" spans="1:16" s="473" customFormat="1" ht="18.95" customHeight="1">
      <c r="A47" s="540"/>
      <c r="B47" s="559"/>
      <c r="C47" s="560"/>
      <c r="D47" s="561"/>
      <c r="E47" s="562"/>
      <c r="F47" s="624"/>
      <c r="G47" s="625"/>
      <c r="H47" s="626"/>
      <c r="I47" s="626"/>
      <c r="J47" s="625"/>
      <c r="K47" s="625"/>
      <c r="L47" s="633"/>
      <c r="M47" s="633"/>
      <c r="N47" s="631"/>
      <c r="O47" s="538"/>
      <c r="P47" s="539"/>
    </row>
    <row r="48" spans="1:16" s="473" customFormat="1" ht="18.95" customHeight="1">
      <c r="A48" s="540">
        <v>2</v>
      </c>
      <c r="B48" s="1341" t="s">
        <v>704</v>
      </c>
      <c r="C48" s="1341"/>
      <c r="D48" s="564"/>
      <c r="E48" s="565"/>
      <c r="F48" s="634"/>
      <c r="G48" s="575">
        <f>SUM(G28:G47)</f>
        <v>0</v>
      </c>
      <c r="H48" s="575"/>
      <c r="I48" s="575">
        <f>SUM(I28:I47)</f>
        <v>0</v>
      </c>
      <c r="J48" s="575"/>
      <c r="K48" s="575">
        <f>SUM(K28:K47)</f>
        <v>0</v>
      </c>
      <c r="L48" s="576"/>
      <c r="M48" s="575">
        <f>SUM(G48,I48,K48)</f>
        <v>0</v>
      </c>
      <c r="N48" s="577"/>
      <c r="O48" s="538"/>
      <c r="P48" s="539"/>
    </row>
  </sheetData>
  <mergeCells count="13">
    <mergeCell ref="B48:C48"/>
    <mergeCell ref="B26:C26"/>
    <mergeCell ref="B2:N2"/>
    <mergeCell ref="B3:B4"/>
    <mergeCell ref="C3:C4"/>
    <mergeCell ref="D3:D4"/>
    <mergeCell ref="E3:E4"/>
    <mergeCell ref="F3:G3"/>
    <mergeCell ref="H3:I3"/>
    <mergeCell ref="J3:K3"/>
    <mergeCell ref="L3:M3"/>
    <mergeCell ref="N3:N4"/>
    <mergeCell ref="B8:C8"/>
  </mergeCells>
  <phoneticPr fontId="4" type="noConversion"/>
  <printOptions horizontalCentered="1" verticalCentered="1"/>
  <pageMargins left="0.59055118110236227" right="0.39370078740157483" top="0.78740157480314965" bottom="0.59055118110236227" header="0.59055118110236227" footer="0.23622047244094491"/>
  <pageSetup paperSize="9" scale="99" orientation="landscape" r:id="rId1"/>
  <headerFooter alignWithMargins="0">
    <oddHeader>&amp;C&amp;"맑은 고딕,굵게"&amp;20&amp;U내  역  서 (폐기물 운반,처리비)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1"/>
  <dimension ref="A1:O119"/>
  <sheetViews>
    <sheetView showZeros="0" tabSelected="1" view="pageBreakPreview" zoomScale="115" zoomScaleNormal="100" zoomScaleSheetLayoutView="115" workbookViewId="0">
      <pane xSplit="1" ySplit="4" topLeftCell="B5" activePane="bottomRight" state="frozen"/>
      <selection activeCell="A3" sqref="A3:J3"/>
      <selection pane="topRight" activeCell="A3" sqref="A3:J3"/>
      <selection pane="bottomLeft" activeCell="A3" sqref="A3:J3"/>
      <selection pane="bottomRight" activeCell="D119" sqref="D119"/>
    </sheetView>
  </sheetViews>
  <sheetFormatPr defaultColWidth="8.88671875" defaultRowHeight="12"/>
  <cols>
    <col min="1" max="1" width="30.77734375" style="417" customWidth="1"/>
    <col min="2" max="2" width="20.77734375" style="483" customWidth="1"/>
    <col min="3" max="3" width="5.77734375" style="421" customWidth="1"/>
    <col min="4" max="4" width="5.77734375" style="423" customWidth="1"/>
    <col min="5" max="5" width="6.77734375" style="415" customWidth="1"/>
    <col min="6" max="6" width="8.77734375" style="415" customWidth="1"/>
    <col min="7" max="7" width="6.77734375" style="415" customWidth="1"/>
    <col min="8" max="8" width="8.77734375" style="415" customWidth="1"/>
    <col min="9" max="9" width="6.77734375" style="415" customWidth="1"/>
    <col min="10" max="10" width="8.77734375" style="415" customWidth="1"/>
    <col min="11" max="11" width="6.77734375" style="415" customWidth="1"/>
    <col min="12" max="12" width="8.77734375" style="415" customWidth="1"/>
    <col min="13" max="13" width="10.77734375" style="429" customWidth="1"/>
    <col min="14" max="14" width="19.21875" style="641" bestFit="1" customWidth="1"/>
    <col min="15" max="15" width="10.44140625" style="415" bestFit="1" customWidth="1"/>
    <col min="16" max="16384" width="8.88671875" style="415"/>
  </cols>
  <sheetData>
    <row r="1" spans="1:15" ht="11.25" customHeight="1">
      <c r="A1" s="482"/>
      <c r="B1" s="423"/>
      <c r="C1" s="419"/>
      <c r="E1" s="420"/>
      <c r="F1" s="420"/>
      <c r="G1" s="420"/>
      <c r="H1" s="420"/>
      <c r="I1" s="420"/>
      <c r="J1" s="420"/>
      <c r="K1" s="420"/>
      <c r="L1" s="420"/>
      <c r="M1" s="424"/>
    </row>
    <row r="2" spans="1:15" ht="23.1" customHeight="1">
      <c r="A2" s="1260" t="s">
        <v>1188</v>
      </c>
      <c r="B2" s="1254"/>
      <c r="C2" s="1254"/>
      <c r="D2" s="1254"/>
      <c r="E2" s="1254"/>
      <c r="F2" s="1254"/>
      <c r="G2" s="1254"/>
      <c r="H2" s="1254"/>
      <c r="I2" s="1254"/>
      <c r="J2" s="1254"/>
      <c r="K2" s="1254"/>
      <c r="L2" s="1254"/>
      <c r="M2" s="1254"/>
      <c r="N2" s="1056" t="e">
        <f>#REF!</f>
        <v>#REF!</v>
      </c>
    </row>
    <row r="3" spans="1:15" ht="23.1" customHeight="1">
      <c r="A3" s="1261" t="s">
        <v>511</v>
      </c>
      <c r="B3" s="1263" t="s">
        <v>512</v>
      </c>
      <c r="C3" s="1265" t="s">
        <v>30</v>
      </c>
      <c r="D3" s="1263" t="s">
        <v>513</v>
      </c>
      <c r="E3" s="1265" t="s">
        <v>28</v>
      </c>
      <c r="F3" s="1265"/>
      <c r="G3" s="1265" t="s">
        <v>29</v>
      </c>
      <c r="H3" s="1265"/>
      <c r="I3" s="1265" t="s">
        <v>514</v>
      </c>
      <c r="J3" s="1265"/>
      <c r="K3" s="1265" t="s">
        <v>27</v>
      </c>
      <c r="L3" s="1265"/>
      <c r="M3" s="1267" t="s">
        <v>515</v>
      </c>
    </row>
    <row r="4" spans="1:15" ht="23.1" customHeight="1">
      <c r="A4" s="1262"/>
      <c r="B4" s="1264"/>
      <c r="C4" s="1266"/>
      <c r="D4" s="1264"/>
      <c r="E4" s="1266" t="s">
        <v>516</v>
      </c>
      <c r="F4" s="1266" t="s">
        <v>31</v>
      </c>
      <c r="G4" s="1266" t="s">
        <v>516</v>
      </c>
      <c r="H4" s="1266" t="s">
        <v>31</v>
      </c>
      <c r="I4" s="1266" t="s">
        <v>516</v>
      </c>
      <c r="J4" s="1266" t="s">
        <v>31</v>
      </c>
      <c r="K4" s="1266" t="s">
        <v>516</v>
      </c>
      <c r="L4" s="1266" t="s">
        <v>31</v>
      </c>
      <c r="M4" s="1268"/>
      <c r="O4" s="951">
        <v>1</v>
      </c>
    </row>
    <row r="5" spans="1:15" ht="18" customHeight="1">
      <c r="A5" s="1255" t="s">
        <v>879</v>
      </c>
      <c r="B5" s="1258"/>
      <c r="C5" s="1258"/>
      <c r="D5" s="1258"/>
      <c r="E5" s="1258"/>
      <c r="F5" s="1258"/>
      <c r="G5" s="1258"/>
      <c r="H5" s="1258"/>
      <c r="I5" s="1258"/>
      <c r="J5" s="1258"/>
      <c r="K5" s="1258"/>
      <c r="L5" s="1258"/>
      <c r="M5" s="1259"/>
      <c r="O5" s="425"/>
    </row>
    <row r="6" spans="1:15" ht="18" customHeight="1">
      <c r="A6" s="934" t="s">
        <v>956</v>
      </c>
      <c r="B6" s="935"/>
      <c r="C6" s="935"/>
      <c r="D6" s="935"/>
      <c r="E6" s="935"/>
      <c r="F6" s="935"/>
      <c r="G6" s="935"/>
      <c r="H6" s="935"/>
      <c r="I6" s="935"/>
      <c r="J6" s="935"/>
      <c r="K6" s="935"/>
      <c r="L6" s="935"/>
      <c r="M6" s="936"/>
      <c r="O6" s="425"/>
    </row>
    <row r="7" spans="1:15" ht="18" customHeight="1">
      <c r="A7" s="934" t="s">
        <v>1167</v>
      </c>
      <c r="B7" s="935"/>
      <c r="C7" s="935"/>
      <c r="D7" s="935"/>
      <c r="E7" s="935"/>
      <c r="F7" s="935"/>
      <c r="G7" s="935"/>
      <c r="H7" s="935"/>
      <c r="I7" s="935"/>
      <c r="J7" s="935"/>
      <c r="K7" s="935"/>
      <c r="L7" s="935"/>
      <c r="M7" s="936"/>
      <c r="O7" s="425"/>
    </row>
    <row r="8" spans="1:15" s="427" customFormat="1" ht="18" customHeight="1">
      <c r="A8" s="937" t="s">
        <v>1189</v>
      </c>
      <c r="B8" s="938" t="s">
        <v>1190</v>
      </c>
      <c r="C8" s="939" t="s">
        <v>1191</v>
      </c>
      <c r="D8" s="940">
        <v>2052</v>
      </c>
      <c r="E8" s="941"/>
      <c r="F8" s="941"/>
      <c r="G8" s="941"/>
      <c r="H8" s="941"/>
      <c r="I8" s="941"/>
      <c r="J8" s="941"/>
      <c r="K8" s="942"/>
      <c r="L8" s="941"/>
      <c r="M8" s="1200"/>
      <c r="N8" s="642" t="e">
        <f>VLOOKUP(#REF!,#REF!,7,FALSE)</f>
        <v>#REF!</v>
      </c>
    </row>
    <row r="9" spans="1:15" s="427" customFormat="1" ht="18" customHeight="1">
      <c r="A9" s="956" t="s">
        <v>1092</v>
      </c>
      <c r="B9" s="1151" t="s">
        <v>1160</v>
      </c>
      <c r="C9" s="957" t="s">
        <v>120</v>
      </c>
      <c r="D9" s="940">
        <v>1</v>
      </c>
      <c r="E9" s="941"/>
      <c r="F9" s="941"/>
      <c r="G9" s="941"/>
      <c r="H9" s="941"/>
      <c r="I9" s="941"/>
      <c r="J9" s="941"/>
      <c r="K9" s="942"/>
      <c r="L9" s="941"/>
      <c r="M9" s="1200"/>
      <c r="N9" s="642"/>
    </row>
    <row r="10" spans="1:15" s="427" customFormat="1" ht="18" customHeight="1">
      <c r="A10" s="956" t="s">
        <v>1161</v>
      </c>
      <c r="B10" s="938"/>
      <c r="C10" s="939"/>
      <c r="D10" s="940"/>
      <c r="E10" s="941"/>
      <c r="F10" s="941"/>
      <c r="G10" s="941"/>
      <c r="H10" s="941"/>
      <c r="I10" s="941"/>
      <c r="J10" s="941"/>
      <c r="K10" s="942"/>
      <c r="L10" s="941"/>
      <c r="M10" s="1200"/>
      <c r="N10" s="642"/>
    </row>
    <row r="11" spans="1:15" s="427" customFormat="1" ht="18" hidden="1" customHeight="1">
      <c r="A11" s="956"/>
      <c r="B11" s="958"/>
      <c r="C11" s="957"/>
      <c r="D11" s="940"/>
      <c r="E11" s="941"/>
      <c r="F11" s="941"/>
      <c r="G11" s="941"/>
      <c r="H11" s="941"/>
      <c r="I11" s="941"/>
      <c r="J11" s="941"/>
      <c r="K11" s="942"/>
      <c r="L11" s="941"/>
      <c r="M11" s="1200"/>
      <c r="N11" s="642"/>
    </row>
    <row r="12" spans="1:15" s="427" customFormat="1" ht="18" hidden="1" customHeight="1">
      <c r="A12" s="956"/>
      <c r="B12" s="958"/>
      <c r="C12" s="957"/>
      <c r="D12" s="940"/>
      <c r="E12" s="941"/>
      <c r="F12" s="941"/>
      <c r="G12" s="941"/>
      <c r="H12" s="941"/>
      <c r="I12" s="941"/>
      <c r="J12" s="941"/>
      <c r="K12" s="942"/>
      <c r="L12" s="941"/>
      <c r="M12" s="1200"/>
      <c r="N12" s="642"/>
    </row>
    <row r="13" spans="1:15" s="427" customFormat="1" ht="18" hidden="1" customHeight="1">
      <c r="A13" s="956"/>
      <c r="B13" s="958"/>
      <c r="C13" s="957"/>
      <c r="D13" s="940"/>
      <c r="E13" s="941"/>
      <c r="F13" s="941"/>
      <c r="G13" s="941"/>
      <c r="H13" s="941"/>
      <c r="I13" s="941"/>
      <c r="J13" s="941"/>
      <c r="K13" s="942"/>
      <c r="L13" s="941"/>
      <c r="M13" s="1200"/>
      <c r="N13" s="642"/>
    </row>
    <row r="14" spans="1:15" s="427" customFormat="1" ht="18" hidden="1" customHeight="1">
      <c r="A14" s="956"/>
      <c r="B14" s="958"/>
      <c r="C14" s="957"/>
      <c r="D14" s="940"/>
      <c r="E14" s="941"/>
      <c r="F14" s="941"/>
      <c r="G14" s="941"/>
      <c r="H14" s="941"/>
      <c r="I14" s="941"/>
      <c r="J14" s="941"/>
      <c r="K14" s="942"/>
      <c r="L14" s="941"/>
      <c r="M14" s="1200"/>
      <c r="N14" s="642"/>
    </row>
    <row r="15" spans="1:15" s="427" customFormat="1" ht="18" hidden="1" customHeight="1">
      <c r="A15" s="956"/>
      <c r="B15" s="958"/>
      <c r="C15" s="957"/>
      <c r="D15" s="940"/>
      <c r="E15" s="941"/>
      <c r="F15" s="941"/>
      <c r="G15" s="941"/>
      <c r="H15" s="941"/>
      <c r="I15" s="941"/>
      <c r="J15" s="941"/>
      <c r="K15" s="942"/>
      <c r="L15" s="941"/>
      <c r="M15" s="1200"/>
      <c r="N15" s="642"/>
    </row>
    <row r="16" spans="1:15" s="427" customFormat="1" ht="18" hidden="1" customHeight="1">
      <c r="A16" s="956"/>
      <c r="B16" s="958"/>
      <c r="C16" s="957"/>
      <c r="D16" s="940"/>
      <c r="E16" s="941"/>
      <c r="F16" s="941"/>
      <c r="G16" s="941"/>
      <c r="H16" s="941"/>
      <c r="I16" s="941"/>
      <c r="J16" s="941"/>
      <c r="K16" s="942"/>
      <c r="L16" s="941"/>
      <c r="M16" s="1200"/>
      <c r="N16" s="642"/>
    </row>
    <row r="17" spans="1:14" s="427" customFormat="1" ht="18" hidden="1" customHeight="1">
      <c r="A17" s="956"/>
      <c r="B17" s="958"/>
      <c r="C17" s="957"/>
      <c r="D17" s="940"/>
      <c r="E17" s="941"/>
      <c r="F17" s="941"/>
      <c r="G17" s="941"/>
      <c r="H17" s="941"/>
      <c r="I17" s="941"/>
      <c r="J17" s="941"/>
      <c r="K17" s="942"/>
      <c r="L17" s="941"/>
      <c r="M17" s="1200"/>
      <c r="N17" s="642"/>
    </row>
    <row r="18" spans="1:14" s="427" customFormat="1" ht="18" hidden="1" customHeight="1">
      <c r="A18" s="956"/>
      <c r="B18" s="958"/>
      <c r="C18" s="957"/>
      <c r="D18" s="940"/>
      <c r="E18" s="941"/>
      <c r="F18" s="941"/>
      <c r="G18" s="941"/>
      <c r="H18" s="941"/>
      <c r="I18" s="941"/>
      <c r="J18" s="941"/>
      <c r="K18" s="942"/>
      <c r="L18" s="941"/>
      <c r="M18" s="1200"/>
      <c r="N18" s="642"/>
    </row>
    <row r="19" spans="1:14" s="427" customFormat="1" ht="18" hidden="1" customHeight="1">
      <c r="A19" s="956"/>
      <c r="B19" s="958"/>
      <c r="C19" s="957"/>
      <c r="D19" s="940"/>
      <c r="E19" s="941"/>
      <c r="F19" s="941"/>
      <c r="G19" s="941"/>
      <c r="H19" s="941"/>
      <c r="I19" s="941"/>
      <c r="J19" s="941"/>
      <c r="K19" s="942"/>
      <c r="L19" s="941"/>
      <c r="M19" s="1200"/>
      <c r="N19" s="642"/>
    </row>
    <row r="20" spans="1:14" s="427" customFormat="1" ht="18" hidden="1" customHeight="1">
      <c r="A20" s="956"/>
      <c r="B20" s="958"/>
      <c r="C20" s="957"/>
      <c r="D20" s="940"/>
      <c r="E20" s="941"/>
      <c r="F20" s="941"/>
      <c r="G20" s="941"/>
      <c r="H20" s="941"/>
      <c r="I20" s="941"/>
      <c r="J20" s="941"/>
      <c r="K20" s="942"/>
      <c r="L20" s="941"/>
      <c r="M20" s="1200"/>
      <c r="N20" s="642"/>
    </row>
    <row r="21" spans="1:14" s="427" customFormat="1" ht="18" hidden="1" customHeight="1">
      <c r="A21" s="956"/>
      <c r="B21" s="958"/>
      <c r="C21" s="957"/>
      <c r="D21" s="940"/>
      <c r="E21" s="941"/>
      <c r="F21" s="941"/>
      <c r="G21" s="941"/>
      <c r="H21" s="941"/>
      <c r="I21" s="941"/>
      <c r="J21" s="941"/>
      <c r="K21" s="942"/>
      <c r="L21" s="941"/>
      <c r="M21" s="1200"/>
      <c r="N21" s="642"/>
    </row>
    <row r="22" spans="1:14" s="427" customFormat="1" ht="18" hidden="1" customHeight="1">
      <c r="A22" s="956"/>
      <c r="B22" s="958"/>
      <c r="C22" s="957"/>
      <c r="D22" s="940"/>
      <c r="E22" s="941"/>
      <c r="F22" s="941"/>
      <c r="G22" s="941"/>
      <c r="H22" s="941"/>
      <c r="I22" s="941"/>
      <c r="J22" s="941"/>
      <c r="K22" s="942"/>
      <c r="L22" s="941"/>
      <c r="M22" s="1200"/>
      <c r="N22" s="642"/>
    </row>
    <row r="23" spans="1:14" s="427" customFormat="1" ht="18" hidden="1" customHeight="1">
      <c r="A23" s="956"/>
      <c r="B23" s="958"/>
      <c r="C23" s="957"/>
      <c r="D23" s="940"/>
      <c r="E23" s="941"/>
      <c r="F23" s="941"/>
      <c r="G23" s="941"/>
      <c r="H23" s="941"/>
      <c r="I23" s="941"/>
      <c r="J23" s="941"/>
      <c r="K23" s="942"/>
      <c r="L23" s="941"/>
      <c r="M23" s="1200"/>
      <c r="N23" s="642"/>
    </row>
    <row r="24" spans="1:14" s="427" customFormat="1" ht="18" hidden="1" customHeight="1">
      <c r="A24" s="956"/>
      <c r="B24" s="958"/>
      <c r="C24" s="957"/>
      <c r="D24" s="940"/>
      <c r="E24" s="941"/>
      <c r="F24" s="941"/>
      <c r="G24" s="941"/>
      <c r="H24" s="941"/>
      <c r="I24" s="941"/>
      <c r="J24" s="941"/>
      <c r="K24" s="942"/>
      <c r="L24" s="941"/>
      <c r="M24" s="1200"/>
      <c r="N24" s="642"/>
    </row>
    <row r="25" spans="1:14" s="427" customFormat="1" ht="18" hidden="1" customHeight="1">
      <c r="A25" s="956"/>
      <c r="B25" s="958"/>
      <c r="C25" s="957"/>
      <c r="D25" s="940"/>
      <c r="E25" s="941"/>
      <c r="F25" s="941"/>
      <c r="G25" s="941"/>
      <c r="H25" s="941"/>
      <c r="I25" s="941"/>
      <c r="J25" s="941"/>
      <c r="K25" s="942"/>
      <c r="L25" s="941"/>
      <c r="M25" s="1200"/>
      <c r="N25" s="642"/>
    </row>
    <row r="26" spans="1:14" s="427" customFormat="1" ht="18" hidden="1" customHeight="1">
      <c r="A26" s="956"/>
      <c r="B26" s="958"/>
      <c r="C26" s="957"/>
      <c r="D26" s="940"/>
      <c r="E26" s="941"/>
      <c r="F26" s="941"/>
      <c r="G26" s="941"/>
      <c r="H26" s="941"/>
      <c r="I26" s="941"/>
      <c r="J26" s="941"/>
      <c r="K26" s="942"/>
      <c r="L26" s="941"/>
      <c r="M26" s="1200"/>
      <c r="N26" s="642"/>
    </row>
    <row r="27" spans="1:14" s="427" customFormat="1" ht="18" hidden="1" customHeight="1">
      <c r="A27" s="956"/>
      <c r="B27" s="958"/>
      <c r="C27" s="957"/>
      <c r="D27" s="940"/>
      <c r="E27" s="941"/>
      <c r="F27" s="941"/>
      <c r="G27" s="941"/>
      <c r="H27" s="941"/>
      <c r="I27" s="941"/>
      <c r="J27" s="941"/>
      <c r="K27" s="942"/>
      <c r="L27" s="941"/>
      <c r="M27" s="1200"/>
      <c r="N27" s="642"/>
    </row>
    <row r="28" spans="1:14" s="427" customFormat="1" ht="18" hidden="1" customHeight="1">
      <c r="A28" s="956"/>
      <c r="B28" s="958"/>
      <c r="C28" s="957"/>
      <c r="D28" s="940"/>
      <c r="E28" s="941"/>
      <c r="F28" s="941"/>
      <c r="G28" s="941"/>
      <c r="H28" s="941"/>
      <c r="I28" s="941"/>
      <c r="J28" s="941"/>
      <c r="K28" s="942"/>
      <c r="L28" s="941"/>
      <c r="M28" s="1200"/>
      <c r="N28" s="642"/>
    </row>
    <row r="29" spans="1:14" s="427" customFormat="1" ht="18" hidden="1" customHeight="1">
      <c r="A29" s="956"/>
      <c r="B29" s="958"/>
      <c r="C29" s="957"/>
      <c r="D29" s="940"/>
      <c r="E29" s="941"/>
      <c r="F29" s="941"/>
      <c r="G29" s="941"/>
      <c r="H29" s="941"/>
      <c r="I29" s="941"/>
      <c r="J29" s="941"/>
      <c r="K29" s="942"/>
      <c r="L29" s="941"/>
      <c r="M29" s="1200"/>
      <c r="N29" s="642"/>
    </row>
    <row r="30" spans="1:14" s="427" customFormat="1" ht="18" hidden="1" customHeight="1">
      <c r="A30" s="956"/>
      <c r="B30" s="958"/>
      <c r="C30" s="957"/>
      <c r="D30" s="940"/>
      <c r="E30" s="941"/>
      <c r="F30" s="941"/>
      <c r="G30" s="941"/>
      <c r="H30" s="941"/>
      <c r="I30" s="941"/>
      <c r="J30" s="941"/>
      <c r="K30" s="942"/>
      <c r="L30" s="941"/>
      <c r="M30" s="1200"/>
      <c r="N30" s="642"/>
    </row>
    <row r="31" spans="1:14" s="427" customFormat="1" ht="18" hidden="1" customHeight="1">
      <c r="A31" s="956"/>
      <c r="B31" s="958"/>
      <c r="C31" s="957"/>
      <c r="D31" s="940"/>
      <c r="E31" s="941"/>
      <c r="F31" s="941"/>
      <c r="G31" s="941"/>
      <c r="H31" s="941"/>
      <c r="I31" s="941"/>
      <c r="J31" s="941"/>
      <c r="K31" s="942"/>
      <c r="L31" s="941"/>
      <c r="M31" s="1200"/>
      <c r="N31" s="642"/>
    </row>
    <row r="32" spans="1:14" s="427" customFormat="1" ht="18" customHeight="1">
      <c r="A32" s="1256" t="s">
        <v>933</v>
      </c>
      <c r="B32" s="1257"/>
      <c r="C32" s="943"/>
      <c r="D32" s="944"/>
      <c r="E32" s="945"/>
      <c r="F32" s="945"/>
      <c r="G32" s="945"/>
      <c r="H32" s="945"/>
      <c r="I32" s="945"/>
      <c r="J32" s="945"/>
      <c r="K32" s="946"/>
      <c r="L32" s="945"/>
      <c r="M32" s="1201"/>
      <c r="N32" s="643"/>
    </row>
    <row r="33" spans="1:15" ht="18" customHeight="1">
      <c r="A33" s="1255" t="s">
        <v>1186</v>
      </c>
      <c r="B33" s="954"/>
      <c r="C33" s="954"/>
      <c r="D33" s="954"/>
      <c r="E33" s="954"/>
      <c r="F33" s="954"/>
      <c r="G33" s="954"/>
      <c r="H33" s="954"/>
      <c r="I33" s="954"/>
      <c r="J33" s="954"/>
      <c r="K33" s="954"/>
      <c r="L33" s="954"/>
      <c r="M33" s="955"/>
      <c r="O33" s="425"/>
    </row>
    <row r="34" spans="1:15" s="427" customFormat="1" ht="18" customHeight="1">
      <c r="A34" s="937" t="s">
        <v>1192</v>
      </c>
      <c r="B34" s="938" t="s">
        <v>1193</v>
      </c>
      <c r="C34" s="939" t="s">
        <v>177</v>
      </c>
      <c r="D34" s="940">
        <v>10</v>
      </c>
      <c r="E34" s="941"/>
      <c r="F34" s="941"/>
      <c r="G34" s="941"/>
      <c r="H34" s="941"/>
      <c r="I34" s="941"/>
      <c r="J34" s="941"/>
      <c r="K34" s="942"/>
      <c r="L34" s="941"/>
      <c r="M34" s="1200"/>
      <c r="N34" s="642"/>
    </row>
    <row r="35" spans="1:15" s="427" customFormat="1" ht="18" customHeight="1">
      <c r="A35" s="956" t="s">
        <v>1092</v>
      </c>
      <c r="B35" s="1151" t="s">
        <v>1160</v>
      </c>
      <c r="C35" s="957" t="s">
        <v>120</v>
      </c>
      <c r="D35" s="940">
        <v>1</v>
      </c>
      <c r="E35" s="941"/>
      <c r="F35" s="941"/>
      <c r="G35" s="941"/>
      <c r="H35" s="941"/>
      <c r="I35" s="941"/>
      <c r="J35" s="941"/>
      <c r="K35" s="942"/>
      <c r="L35" s="941"/>
      <c r="M35" s="1200"/>
      <c r="N35" s="642"/>
    </row>
    <row r="36" spans="1:15" s="427" customFormat="1" ht="18" customHeight="1">
      <c r="A36" s="956" t="s">
        <v>1161</v>
      </c>
      <c r="B36" s="938"/>
      <c r="C36" s="939"/>
      <c r="D36" s="940"/>
      <c r="E36" s="941"/>
      <c r="F36" s="941"/>
      <c r="G36" s="941"/>
      <c r="H36" s="941"/>
      <c r="I36" s="941"/>
      <c r="J36" s="941"/>
      <c r="K36" s="942"/>
      <c r="L36" s="941"/>
      <c r="M36" s="1200"/>
      <c r="N36" s="642"/>
    </row>
    <row r="37" spans="1:15" s="427" customFormat="1" ht="18" hidden="1" customHeight="1">
      <c r="A37" s="937"/>
      <c r="B37" s="938"/>
      <c r="C37" s="939"/>
      <c r="D37" s="940"/>
      <c r="E37" s="941"/>
      <c r="F37" s="941"/>
      <c r="G37" s="941"/>
      <c r="H37" s="941"/>
      <c r="I37" s="941"/>
      <c r="J37" s="941"/>
      <c r="K37" s="942"/>
      <c r="L37" s="941"/>
      <c r="M37" s="1200"/>
      <c r="N37" s="642"/>
    </row>
    <row r="38" spans="1:15" s="427" customFormat="1" ht="18" hidden="1" customHeight="1">
      <c r="A38" s="937"/>
      <c r="B38" s="938"/>
      <c r="C38" s="939"/>
      <c r="D38" s="940"/>
      <c r="E38" s="941"/>
      <c r="F38" s="941"/>
      <c r="G38" s="941"/>
      <c r="H38" s="941"/>
      <c r="I38" s="941"/>
      <c r="J38" s="941"/>
      <c r="K38" s="942"/>
      <c r="L38" s="941"/>
      <c r="M38" s="1200"/>
      <c r="N38" s="642"/>
    </row>
    <row r="39" spans="1:15" s="427" customFormat="1" ht="18" hidden="1" customHeight="1">
      <c r="A39" s="937"/>
      <c r="B39" s="938"/>
      <c r="C39" s="939"/>
      <c r="D39" s="940"/>
      <c r="E39" s="941"/>
      <c r="F39" s="941"/>
      <c r="G39" s="941"/>
      <c r="H39" s="941"/>
      <c r="I39" s="941"/>
      <c r="J39" s="941"/>
      <c r="K39" s="942"/>
      <c r="L39" s="941"/>
      <c r="M39" s="1200"/>
      <c r="N39" s="642"/>
    </row>
    <row r="40" spans="1:15" s="427" customFormat="1" ht="18" hidden="1" customHeight="1">
      <c r="A40" s="937"/>
      <c r="B40" s="938"/>
      <c r="C40" s="939"/>
      <c r="D40" s="940"/>
      <c r="E40" s="941"/>
      <c r="F40" s="941"/>
      <c r="G40" s="941"/>
      <c r="H40" s="941"/>
      <c r="I40" s="941"/>
      <c r="J40" s="941"/>
      <c r="K40" s="942"/>
      <c r="L40" s="941"/>
      <c r="M40" s="1200"/>
      <c r="N40" s="642"/>
    </row>
    <row r="41" spans="1:15" s="427" customFormat="1" ht="18" hidden="1" customHeight="1">
      <c r="A41" s="937"/>
      <c r="B41" s="938"/>
      <c r="C41" s="939"/>
      <c r="D41" s="940"/>
      <c r="E41" s="941"/>
      <c r="F41" s="941"/>
      <c r="G41" s="941"/>
      <c r="H41" s="941"/>
      <c r="I41" s="941"/>
      <c r="J41" s="941"/>
      <c r="K41" s="942"/>
      <c r="L41" s="941"/>
      <c r="M41" s="1200"/>
      <c r="N41" s="642"/>
    </row>
    <row r="42" spans="1:15" s="427" customFormat="1" ht="18" hidden="1" customHeight="1">
      <c r="A42" s="937"/>
      <c r="B42" s="938"/>
      <c r="C42" s="939"/>
      <c r="D42" s="940"/>
      <c r="E42" s="941"/>
      <c r="F42" s="941"/>
      <c r="G42" s="941"/>
      <c r="H42" s="941"/>
      <c r="I42" s="941"/>
      <c r="J42" s="941"/>
      <c r="K42" s="942"/>
      <c r="L42" s="941"/>
      <c r="M42" s="1200"/>
      <c r="N42" s="642"/>
    </row>
    <row r="43" spans="1:15" s="427" customFormat="1" ht="18" hidden="1" customHeight="1">
      <c r="A43" s="937"/>
      <c r="B43" s="938"/>
      <c r="C43" s="939"/>
      <c r="D43" s="940"/>
      <c r="E43" s="941"/>
      <c r="F43" s="941"/>
      <c r="G43" s="941"/>
      <c r="H43" s="941"/>
      <c r="I43" s="941"/>
      <c r="J43" s="941"/>
      <c r="K43" s="942"/>
      <c r="L43" s="941"/>
      <c r="M43" s="1200"/>
      <c r="N43" s="642"/>
    </row>
    <row r="44" spans="1:15" s="427" customFormat="1" ht="18" hidden="1" customHeight="1">
      <c r="A44" s="937"/>
      <c r="B44" s="938"/>
      <c r="C44" s="939"/>
      <c r="D44" s="940"/>
      <c r="E44" s="941"/>
      <c r="F44" s="941"/>
      <c r="G44" s="941"/>
      <c r="H44" s="941"/>
      <c r="I44" s="941"/>
      <c r="J44" s="941"/>
      <c r="K44" s="942"/>
      <c r="L44" s="941"/>
      <c r="M44" s="1200"/>
      <c r="N44" s="642"/>
    </row>
    <row r="45" spans="1:15" s="427" customFormat="1" ht="18" hidden="1" customHeight="1">
      <c r="A45" s="937"/>
      <c r="B45" s="938"/>
      <c r="C45" s="939"/>
      <c r="D45" s="940"/>
      <c r="E45" s="941"/>
      <c r="F45" s="941"/>
      <c r="G45" s="941"/>
      <c r="H45" s="941"/>
      <c r="I45" s="941"/>
      <c r="J45" s="941"/>
      <c r="K45" s="942"/>
      <c r="L45" s="941"/>
      <c r="M45" s="1200"/>
      <c r="N45" s="642"/>
    </row>
    <row r="46" spans="1:15" s="427" customFormat="1" ht="18" hidden="1" customHeight="1">
      <c r="A46" s="937"/>
      <c r="B46" s="938"/>
      <c r="C46" s="939"/>
      <c r="D46" s="940"/>
      <c r="E46" s="941"/>
      <c r="F46" s="941"/>
      <c r="G46" s="941"/>
      <c r="H46" s="941"/>
      <c r="I46" s="941"/>
      <c r="J46" s="941"/>
      <c r="K46" s="942"/>
      <c r="L46" s="941"/>
      <c r="M46" s="1200"/>
      <c r="N46" s="642"/>
    </row>
    <row r="47" spans="1:15" s="427" customFormat="1" ht="18" hidden="1" customHeight="1">
      <c r="A47" s="937"/>
      <c r="B47" s="938"/>
      <c r="C47" s="939"/>
      <c r="D47" s="940"/>
      <c r="E47" s="941"/>
      <c r="F47" s="941"/>
      <c r="G47" s="941"/>
      <c r="H47" s="941"/>
      <c r="I47" s="941"/>
      <c r="J47" s="941"/>
      <c r="K47" s="942"/>
      <c r="L47" s="941"/>
      <c r="M47" s="1200"/>
      <c r="N47" s="642"/>
    </row>
    <row r="48" spans="1:15" s="427" customFormat="1" ht="18" hidden="1" customHeight="1">
      <c r="A48" s="937"/>
      <c r="B48" s="938"/>
      <c r="C48" s="939"/>
      <c r="D48" s="940"/>
      <c r="E48" s="941"/>
      <c r="F48" s="941"/>
      <c r="G48" s="941"/>
      <c r="H48" s="941"/>
      <c r="I48" s="941"/>
      <c r="J48" s="941"/>
      <c r="K48" s="942"/>
      <c r="L48" s="941"/>
      <c r="M48" s="1200"/>
      <c r="N48" s="642"/>
    </row>
    <row r="49" spans="1:15" s="427" customFormat="1" ht="18" hidden="1" customHeight="1">
      <c r="A49" s="937"/>
      <c r="B49" s="938"/>
      <c r="C49" s="939"/>
      <c r="D49" s="940"/>
      <c r="E49" s="941"/>
      <c r="F49" s="941"/>
      <c r="G49" s="941"/>
      <c r="H49" s="941"/>
      <c r="I49" s="941"/>
      <c r="J49" s="941"/>
      <c r="K49" s="942"/>
      <c r="L49" s="941"/>
      <c r="M49" s="1200"/>
      <c r="N49" s="642"/>
    </row>
    <row r="50" spans="1:15" s="427" customFormat="1" ht="18" hidden="1" customHeight="1">
      <c r="A50" s="937"/>
      <c r="B50" s="938"/>
      <c r="C50" s="939"/>
      <c r="D50" s="940"/>
      <c r="E50" s="941"/>
      <c r="F50" s="941"/>
      <c r="G50" s="941"/>
      <c r="H50" s="941"/>
      <c r="I50" s="941"/>
      <c r="J50" s="941"/>
      <c r="K50" s="942"/>
      <c r="L50" s="941"/>
      <c r="M50" s="1200"/>
      <c r="N50" s="642"/>
    </row>
    <row r="51" spans="1:15" s="427" customFormat="1" ht="18" hidden="1" customHeight="1">
      <c r="A51" s="937"/>
      <c r="B51" s="938"/>
      <c r="C51" s="939"/>
      <c r="D51" s="940"/>
      <c r="E51" s="941"/>
      <c r="F51" s="941"/>
      <c r="G51" s="941"/>
      <c r="H51" s="941"/>
      <c r="I51" s="941"/>
      <c r="J51" s="941"/>
      <c r="K51" s="942"/>
      <c r="L51" s="941"/>
      <c r="M51" s="1200"/>
      <c r="N51" s="642"/>
    </row>
    <row r="52" spans="1:15" s="427" customFormat="1" ht="18" hidden="1" customHeight="1">
      <c r="A52" s="937"/>
      <c r="B52" s="938"/>
      <c r="C52" s="939"/>
      <c r="D52" s="940"/>
      <c r="E52" s="941"/>
      <c r="F52" s="941"/>
      <c r="G52" s="941"/>
      <c r="H52" s="941"/>
      <c r="I52" s="941"/>
      <c r="J52" s="941"/>
      <c r="K52" s="942"/>
      <c r="L52" s="941"/>
      <c r="M52" s="1200"/>
      <c r="N52" s="642"/>
    </row>
    <row r="53" spans="1:15" s="427" customFormat="1" ht="18" hidden="1" customHeight="1">
      <c r="A53" s="937"/>
      <c r="B53" s="938"/>
      <c r="C53" s="939"/>
      <c r="D53" s="940"/>
      <c r="E53" s="941"/>
      <c r="F53" s="941"/>
      <c r="G53" s="941"/>
      <c r="H53" s="941"/>
      <c r="I53" s="941"/>
      <c r="J53" s="941"/>
      <c r="K53" s="942"/>
      <c r="L53" s="941"/>
      <c r="M53" s="1200"/>
      <c r="N53" s="642"/>
    </row>
    <row r="54" spans="1:15" s="427" customFormat="1" ht="18" hidden="1" customHeight="1">
      <c r="A54" s="937"/>
      <c r="B54" s="938"/>
      <c r="C54" s="939"/>
      <c r="D54" s="940"/>
      <c r="E54" s="941"/>
      <c r="F54" s="941"/>
      <c r="G54" s="941"/>
      <c r="H54" s="941"/>
      <c r="I54" s="941"/>
      <c r="J54" s="941"/>
      <c r="K54" s="942"/>
      <c r="L54" s="941"/>
      <c r="M54" s="1200"/>
      <c r="N54" s="642"/>
    </row>
    <row r="55" spans="1:15" s="427" customFormat="1" ht="18" hidden="1" customHeight="1">
      <c r="A55" s="956"/>
      <c r="B55" s="958"/>
      <c r="C55" s="957"/>
      <c r="D55" s="940"/>
      <c r="E55" s="941"/>
      <c r="F55" s="941"/>
      <c r="G55" s="941"/>
      <c r="H55" s="941"/>
      <c r="I55" s="941"/>
      <c r="J55" s="941"/>
      <c r="K55" s="942"/>
      <c r="L55" s="941"/>
      <c r="M55" s="1200"/>
      <c r="N55" s="642"/>
    </row>
    <row r="56" spans="1:15" s="427" customFormat="1" ht="18" hidden="1" customHeight="1">
      <c r="A56" s="956"/>
      <c r="B56" s="958"/>
      <c r="C56" s="957"/>
      <c r="D56" s="940"/>
      <c r="E56" s="941"/>
      <c r="F56" s="941"/>
      <c r="G56" s="941"/>
      <c r="H56" s="941"/>
      <c r="I56" s="941"/>
      <c r="J56" s="941"/>
      <c r="K56" s="942"/>
      <c r="L56" s="941"/>
      <c r="M56" s="1200"/>
      <c r="N56" s="642"/>
    </row>
    <row r="57" spans="1:15" s="427" customFormat="1" ht="18" hidden="1" customHeight="1">
      <c r="A57" s="956"/>
      <c r="B57" s="958"/>
      <c r="C57" s="957"/>
      <c r="D57" s="940"/>
      <c r="E57" s="941"/>
      <c r="F57" s="941"/>
      <c r="G57" s="941"/>
      <c r="H57" s="941"/>
      <c r="I57" s="941"/>
      <c r="J57" s="941"/>
      <c r="K57" s="942"/>
      <c r="L57" s="941"/>
      <c r="M57" s="1200"/>
      <c r="N57" s="642"/>
    </row>
    <row r="58" spans="1:15" s="427" customFormat="1" ht="18" hidden="1" customHeight="1">
      <c r="A58" s="956"/>
      <c r="B58" s="958"/>
      <c r="C58" s="957"/>
      <c r="D58" s="940"/>
      <c r="E58" s="941"/>
      <c r="F58" s="941"/>
      <c r="G58" s="941"/>
      <c r="H58" s="941"/>
      <c r="I58" s="941"/>
      <c r="J58" s="941"/>
      <c r="K58" s="942"/>
      <c r="L58" s="941"/>
      <c r="M58" s="1200"/>
      <c r="N58" s="642"/>
    </row>
    <row r="59" spans="1:15" s="427" customFormat="1" ht="18" hidden="1" customHeight="1">
      <c r="A59" s="956"/>
      <c r="B59" s="958"/>
      <c r="C59" s="957"/>
      <c r="D59" s="940"/>
      <c r="E59" s="941"/>
      <c r="F59" s="941"/>
      <c r="G59" s="941"/>
      <c r="H59" s="941"/>
      <c r="I59" s="941"/>
      <c r="J59" s="941"/>
      <c r="K59" s="942"/>
      <c r="L59" s="941"/>
      <c r="M59" s="1200"/>
      <c r="N59" s="642"/>
    </row>
    <row r="60" spans="1:15" s="427" customFormat="1" ht="18" customHeight="1">
      <c r="A60" s="1256" t="s">
        <v>933</v>
      </c>
      <c r="B60" s="1257"/>
      <c r="C60" s="943"/>
      <c r="D60" s="944"/>
      <c r="E60" s="945"/>
      <c r="F60" s="945"/>
      <c r="G60" s="945"/>
      <c r="H60" s="945"/>
      <c r="I60" s="945"/>
      <c r="J60" s="945"/>
      <c r="K60" s="946"/>
      <c r="L60" s="945"/>
      <c r="M60" s="1201"/>
      <c r="N60" s="643"/>
    </row>
    <row r="61" spans="1:15" ht="18" customHeight="1">
      <c r="A61" s="1255" t="s">
        <v>1187</v>
      </c>
      <c r="B61" s="954"/>
      <c r="C61" s="954"/>
      <c r="D61" s="954"/>
      <c r="E61" s="954"/>
      <c r="F61" s="954"/>
      <c r="G61" s="954"/>
      <c r="H61" s="954"/>
      <c r="I61" s="954"/>
      <c r="J61" s="954"/>
      <c r="K61" s="954"/>
      <c r="L61" s="954"/>
      <c r="M61" s="955"/>
      <c r="O61" s="425"/>
    </row>
    <row r="62" spans="1:15" s="427" customFormat="1" ht="18" customHeight="1">
      <c r="A62" s="937" t="s">
        <v>1194</v>
      </c>
      <c r="B62" s="938" t="s">
        <v>1195</v>
      </c>
      <c r="C62" s="939" t="s">
        <v>1191</v>
      </c>
      <c r="D62" s="940">
        <v>52</v>
      </c>
      <c r="E62" s="941"/>
      <c r="F62" s="941"/>
      <c r="G62" s="941"/>
      <c r="H62" s="941"/>
      <c r="I62" s="941"/>
      <c r="J62" s="941"/>
      <c r="K62" s="942"/>
      <c r="L62" s="941"/>
      <c r="M62" s="1200"/>
      <c r="N62" s="642"/>
    </row>
    <row r="63" spans="1:15" s="427" customFormat="1" ht="18" customHeight="1">
      <c r="A63" s="937" t="s">
        <v>1196</v>
      </c>
      <c r="B63" s="938" t="s">
        <v>1197</v>
      </c>
      <c r="C63" s="939" t="s">
        <v>177</v>
      </c>
      <c r="D63" s="940">
        <v>1</v>
      </c>
      <c r="E63" s="941"/>
      <c r="F63" s="941"/>
      <c r="G63" s="941"/>
      <c r="H63" s="941"/>
      <c r="I63" s="941"/>
      <c r="J63" s="941"/>
      <c r="K63" s="942"/>
      <c r="L63" s="941"/>
      <c r="M63" s="1200"/>
      <c r="N63" s="642"/>
    </row>
    <row r="64" spans="1:15" s="427" customFormat="1" ht="18" customHeight="1">
      <c r="A64" s="937" t="s">
        <v>1198</v>
      </c>
      <c r="B64" s="938" t="s">
        <v>1199</v>
      </c>
      <c r="C64" s="939" t="s">
        <v>177</v>
      </c>
      <c r="D64" s="940">
        <v>6</v>
      </c>
      <c r="E64" s="941"/>
      <c r="F64" s="941"/>
      <c r="G64" s="941"/>
      <c r="H64" s="941"/>
      <c r="I64" s="941"/>
      <c r="J64" s="941"/>
      <c r="K64" s="942"/>
      <c r="L64" s="941"/>
      <c r="M64" s="1200"/>
      <c r="N64" s="642"/>
    </row>
    <row r="65" spans="1:14" s="427" customFormat="1" ht="18" customHeight="1">
      <c r="A65" s="937" t="s">
        <v>1200</v>
      </c>
      <c r="B65" s="938" t="s">
        <v>1201</v>
      </c>
      <c r="C65" s="939" t="s">
        <v>177</v>
      </c>
      <c r="D65" s="940">
        <v>6</v>
      </c>
      <c r="E65" s="941"/>
      <c r="F65" s="941"/>
      <c r="G65" s="941"/>
      <c r="H65" s="941"/>
      <c r="I65" s="941"/>
      <c r="J65" s="941"/>
      <c r="K65" s="942"/>
      <c r="L65" s="941"/>
      <c r="M65" s="1200"/>
      <c r="N65" s="642"/>
    </row>
    <row r="66" spans="1:14" s="427" customFormat="1" ht="18" customHeight="1">
      <c r="A66" s="956" t="s">
        <v>1092</v>
      </c>
      <c r="B66" s="1151" t="s">
        <v>1160</v>
      </c>
      <c r="C66" s="957" t="s">
        <v>120</v>
      </c>
      <c r="D66" s="940">
        <v>1</v>
      </c>
      <c r="E66" s="941"/>
      <c r="F66" s="941"/>
      <c r="G66" s="941"/>
      <c r="H66" s="941"/>
      <c r="I66" s="941"/>
      <c r="J66" s="941"/>
      <c r="K66" s="942"/>
      <c r="L66" s="941"/>
      <c r="M66" s="1200"/>
      <c r="N66" s="642"/>
    </row>
    <row r="67" spans="1:14" s="427" customFormat="1" ht="18" customHeight="1">
      <c r="A67" s="956" t="s">
        <v>1161</v>
      </c>
      <c r="B67" s="938"/>
      <c r="C67" s="939"/>
      <c r="D67" s="940"/>
      <c r="E67" s="941"/>
      <c r="F67" s="941"/>
      <c r="G67" s="941"/>
      <c r="H67" s="941"/>
      <c r="I67" s="941"/>
      <c r="J67" s="941"/>
      <c r="K67" s="942"/>
      <c r="L67" s="941"/>
      <c r="M67" s="1200"/>
      <c r="N67" s="642"/>
    </row>
    <row r="68" spans="1:14" s="427" customFormat="1" ht="18" hidden="1" customHeight="1">
      <c r="A68" s="937"/>
      <c r="B68" s="938"/>
      <c r="C68" s="939"/>
      <c r="D68" s="940"/>
      <c r="E68" s="941"/>
      <c r="F68" s="941"/>
      <c r="G68" s="941"/>
      <c r="H68" s="941"/>
      <c r="I68" s="941"/>
      <c r="J68" s="941"/>
      <c r="K68" s="942"/>
      <c r="L68" s="941"/>
      <c r="M68" s="1200"/>
      <c r="N68" s="642"/>
    </row>
    <row r="69" spans="1:14" s="427" customFormat="1" ht="18" hidden="1" customHeight="1">
      <c r="A69" s="937"/>
      <c r="B69" s="938"/>
      <c r="C69" s="939"/>
      <c r="D69" s="940"/>
      <c r="E69" s="941"/>
      <c r="F69" s="941"/>
      <c r="G69" s="941"/>
      <c r="H69" s="941"/>
      <c r="I69" s="941"/>
      <c r="J69" s="941"/>
      <c r="K69" s="942"/>
      <c r="L69" s="941"/>
      <c r="M69" s="1200"/>
      <c r="N69" s="642"/>
    </row>
    <row r="70" spans="1:14" s="427" customFormat="1" ht="18" hidden="1" customHeight="1">
      <c r="A70" s="937"/>
      <c r="B70" s="938"/>
      <c r="C70" s="939"/>
      <c r="D70" s="940"/>
      <c r="E70" s="941"/>
      <c r="F70" s="941"/>
      <c r="G70" s="941"/>
      <c r="H70" s="941"/>
      <c r="I70" s="941"/>
      <c r="J70" s="941"/>
      <c r="K70" s="942"/>
      <c r="L70" s="941"/>
      <c r="M70" s="1200"/>
      <c r="N70" s="642"/>
    </row>
    <row r="71" spans="1:14" s="427" customFormat="1" ht="18" hidden="1" customHeight="1">
      <c r="A71" s="937"/>
      <c r="B71" s="938"/>
      <c r="C71" s="939"/>
      <c r="D71" s="940"/>
      <c r="E71" s="941"/>
      <c r="F71" s="941"/>
      <c r="G71" s="941"/>
      <c r="H71" s="941"/>
      <c r="I71" s="941"/>
      <c r="J71" s="941"/>
      <c r="K71" s="942"/>
      <c r="L71" s="941"/>
      <c r="M71" s="1200"/>
      <c r="N71" s="642"/>
    </row>
    <row r="72" spans="1:14" s="427" customFormat="1" ht="18" hidden="1" customHeight="1">
      <c r="A72" s="937"/>
      <c r="B72" s="938"/>
      <c r="C72" s="939"/>
      <c r="D72" s="940"/>
      <c r="E72" s="941"/>
      <c r="F72" s="941"/>
      <c r="G72" s="941"/>
      <c r="H72" s="941"/>
      <c r="I72" s="941"/>
      <c r="J72" s="941"/>
      <c r="K72" s="942"/>
      <c r="L72" s="941"/>
      <c r="M72" s="1200"/>
      <c r="N72" s="642"/>
    </row>
    <row r="73" spans="1:14" s="427" customFormat="1" ht="18" hidden="1" customHeight="1">
      <c r="A73" s="937"/>
      <c r="B73" s="938"/>
      <c r="C73" s="939"/>
      <c r="D73" s="940"/>
      <c r="E73" s="941"/>
      <c r="F73" s="941"/>
      <c r="G73" s="941"/>
      <c r="H73" s="941"/>
      <c r="I73" s="941"/>
      <c r="J73" s="941"/>
      <c r="K73" s="942"/>
      <c r="L73" s="941"/>
      <c r="M73" s="1200"/>
      <c r="N73" s="642"/>
    </row>
    <row r="74" spans="1:14" s="427" customFormat="1" ht="18" hidden="1" customHeight="1">
      <c r="A74" s="937"/>
      <c r="B74" s="938"/>
      <c r="C74" s="939"/>
      <c r="D74" s="940"/>
      <c r="E74" s="941"/>
      <c r="F74" s="941"/>
      <c r="G74" s="941"/>
      <c r="H74" s="941"/>
      <c r="I74" s="941"/>
      <c r="J74" s="941"/>
      <c r="K74" s="942"/>
      <c r="L74" s="941"/>
      <c r="M74" s="1200"/>
      <c r="N74" s="642"/>
    </row>
    <row r="75" spans="1:14" s="427" customFormat="1" ht="18" hidden="1" customHeight="1">
      <c r="A75" s="937"/>
      <c r="B75" s="938"/>
      <c r="C75" s="939"/>
      <c r="D75" s="940"/>
      <c r="E75" s="941"/>
      <c r="F75" s="941"/>
      <c r="G75" s="941"/>
      <c r="H75" s="941"/>
      <c r="I75" s="941"/>
      <c r="J75" s="941"/>
      <c r="K75" s="942"/>
      <c r="L75" s="941"/>
      <c r="M75" s="1200"/>
      <c r="N75" s="642"/>
    </row>
    <row r="76" spans="1:14" s="427" customFormat="1" ht="18" hidden="1" customHeight="1">
      <c r="A76" s="937"/>
      <c r="B76" s="938"/>
      <c r="C76" s="939"/>
      <c r="D76" s="940"/>
      <c r="E76" s="941"/>
      <c r="F76" s="941"/>
      <c r="G76" s="941"/>
      <c r="H76" s="941"/>
      <c r="I76" s="941"/>
      <c r="J76" s="941"/>
      <c r="K76" s="942"/>
      <c r="L76" s="941"/>
      <c r="M76" s="1200"/>
      <c r="N76" s="642"/>
    </row>
    <row r="77" spans="1:14" s="427" customFormat="1" ht="18" hidden="1" customHeight="1">
      <c r="A77" s="937"/>
      <c r="B77" s="938"/>
      <c r="C77" s="939"/>
      <c r="D77" s="940"/>
      <c r="E77" s="941"/>
      <c r="F77" s="941"/>
      <c r="G77" s="941"/>
      <c r="H77" s="941"/>
      <c r="I77" s="941"/>
      <c r="J77" s="941"/>
      <c r="K77" s="942"/>
      <c r="L77" s="941"/>
      <c r="M77" s="1200"/>
      <c r="N77" s="642"/>
    </row>
    <row r="78" spans="1:14" s="427" customFormat="1" ht="18" hidden="1" customHeight="1">
      <c r="A78" s="937"/>
      <c r="B78" s="938"/>
      <c r="C78" s="939"/>
      <c r="D78" s="940"/>
      <c r="E78" s="941"/>
      <c r="F78" s="941"/>
      <c r="G78" s="941"/>
      <c r="H78" s="941"/>
      <c r="I78" s="941"/>
      <c r="J78" s="941"/>
      <c r="K78" s="942"/>
      <c r="L78" s="941"/>
      <c r="M78" s="1200"/>
      <c r="N78" s="642"/>
    </row>
    <row r="79" spans="1:14" s="427" customFormat="1" ht="18" hidden="1" customHeight="1">
      <c r="A79" s="937"/>
      <c r="B79" s="938"/>
      <c r="C79" s="939"/>
      <c r="D79" s="940"/>
      <c r="E79" s="941"/>
      <c r="F79" s="941"/>
      <c r="G79" s="941"/>
      <c r="H79" s="941"/>
      <c r="I79" s="941"/>
      <c r="J79" s="941"/>
      <c r="K79" s="942"/>
      <c r="L79" s="941"/>
      <c r="M79" s="1200"/>
      <c r="N79" s="642"/>
    </row>
    <row r="80" spans="1:14" s="427" customFormat="1" ht="18" hidden="1" customHeight="1">
      <c r="A80" s="937"/>
      <c r="B80" s="938"/>
      <c r="C80" s="939"/>
      <c r="D80" s="940"/>
      <c r="E80" s="941"/>
      <c r="F80" s="941"/>
      <c r="G80" s="941"/>
      <c r="H80" s="941"/>
      <c r="I80" s="941"/>
      <c r="J80" s="941"/>
      <c r="K80" s="942"/>
      <c r="L80" s="941"/>
      <c r="M80" s="1200"/>
      <c r="N80" s="642"/>
    </row>
    <row r="81" spans="1:15" s="427" customFormat="1" ht="18" hidden="1" customHeight="1">
      <c r="A81" s="937"/>
      <c r="B81" s="938"/>
      <c r="C81" s="939"/>
      <c r="D81" s="940"/>
      <c r="E81" s="941"/>
      <c r="F81" s="941"/>
      <c r="G81" s="941"/>
      <c r="H81" s="941"/>
      <c r="I81" s="941"/>
      <c r="J81" s="941"/>
      <c r="K81" s="942"/>
      <c r="L81" s="941"/>
      <c r="M81" s="1200"/>
      <c r="N81" s="642"/>
    </row>
    <row r="82" spans="1:15" s="427" customFormat="1" ht="18" hidden="1" customHeight="1">
      <c r="A82" s="937"/>
      <c r="B82" s="938"/>
      <c r="C82" s="939"/>
      <c r="D82" s="940"/>
      <c r="E82" s="941"/>
      <c r="F82" s="941"/>
      <c r="G82" s="941"/>
      <c r="H82" s="941"/>
      <c r="I82" s="941"/>
      <c r="J82" s="941"/>
      <c r="K82" s="942"/>
      <c r="L82" s="941"/>
      <c r="M82" s="1200"/>
      <c r="N82" s="642"/>
    </row>
    <row r="83" spans="1:15" s="427" customFormat="1" ht="18" hidden="1" customHeight="1">
      <c r="A83" s="956"/>
      <c r="B83" s="958"/>
      <c r="C83" s="957"/>
      <c r="D83" s="940"/>
      <c r="E83" s="941"/>
      <c r="F83" s="941"/>
      <c r="G83" s="941"/>
      <c r="H83" s="941"/>
      <c r="I83" s="941"/>
      <c r="J83" s="941"/>
      <c r="K83" s="942"/>
      <c r="L83" s="941"/>
      <c r="M83" s="1200"/>
      <c r="N83" s="642"/>
    </row>
    <row r="84" spans="1:15" s="427" customFormat="1" ht="18" hidden="1" customHeight="1">
      <c r="A84" s="956"/>
      <c r="B84" s="958"/>
      <c r="C84" s="957"/>
      <c r="D84" s="940"/>
      <c r="E84" s="941"/>
      <c r="F84" s="941"/>
      <c r="G84" s="941"/>
      <c r="H84" s="941"/>
      <c r="I84" s="941"/>
      <c r="J84" s="941"/>
      <c r="K84" s="942"/>
      <c r="L84" s="941"/>
      <c r="M84" s="1200"/>
      <c r="N84" s="642"/>
    </row>
    <row r="85" spans="1:15" s="427" customFormat="1" ht="18" hidden="1" customHeight="1">
      <c r="A85" s="956"/>
      <c r="B85" s="958"/>
      <c r="C85" s="957"/>
      <c r="D85" s="940"/>
      <c r="E85" s="941"/>
      <c r="F85" s="941"/>
      <c r="G85" s="941"/>
      <c r="H85" s="941"/>
      <c r="I85" s="941"/>
      <c r="J85" s="941"/>
      <c r="K85" s="942"/>
      <c r="L85" s="941"/>
      <c r="M85" s="1200"/>
      <c r="N85" s="642"/>
    </row>
    <row r="86" spans="1:15" s="427" customFormat="1" ht="18" hidden="1" customHeight="1">
      <c r="A86" s="956"/>
      <c r="B86" s="958"/>
      <c r="C86" s="957"/>
      <c r="D86" s="940"/>
      <c r="E86" s="941"/>
      <c r="F86" s="941"/>
      <c r="G86" s="941"/>
      <c r="H86" s="941"/>
      <c r="I86" s="941"/>
      <c r="J86" s="941"/>
      <c r="K86" s="942"/>
      <c r="L86" s="941"/>
      <c r="M86" s="1200"/>
      <c r="N86" s="642"/>
    </row>
    <row r="87" spans="1:15" s="427" customFormat="1" ht="18" hidden="1" customHeight="1">
      <c r="A87" s="956"/>
      <c r="B87" s="958"/>
      <c r="C87" s="957"/>
      <c r="D87" s="940"/>
      <c r="E87" s="941"/>
      <c r="F87" s="941"/>
      <c r="G87" s="941"/>
      <c r="H87" s="941"/>
      <c r="I87" s="941"/>
      <c r="J87" s="941"/>
      <c r="K87" s="942"/>
      <c r="L87" s="941"/>
      <c r="M87" s="1200"/>
      <c r="N87" s="642"/>
    </row>
    <row r="88" spans="1:15" s="427" customFormat="1" ht="18" customHeight="1">
      <c r="A88" s="1256" t="s">
        <v>933</v>
      </c>
      <c r="B88" s="1257"/>
      <c r="C88" s="943"/>
      <c r="D88" s="944"/>
      <c r="E88" s="945"/>
      <c r="F88" s="945"/>
      <c r="G88" s="945"/>
      <c r="H88" s="945"/>
      <c r="I88" s="945"/>
      <c r="J88" s="945"/>
      <c r="K88" s="946"/>
      <c r="L88" s="945"/>
      <c r="M88" s="1201"/>
      <c r="N88" s="643"/>
    </row>
    <row r="89" spans="1:15" ht="18" customHeight="1">
      <c r="A89" s="1255" t="s">
        <v>1168</v>
      </c>
      <c r="B89" s="954"/>
      <c r="C89" s="954"/>
      <c r="D89" s="954"/>
      <c r="E89" s="954"/>
      <c r="F89" s="954"/>
      <c r="G89" s="954"/>
      <c r="H89" s="954"/>
      <c r="I89" s="954"/>
      <c r="J89" s="954"/>
      <c r="K89" s="954"/>
      <c r="L89" s="954"/>
      <c r="M89" s="955"/>
      <c r="O89" s="425"/>
    </row>
    <row r="90" spans="1:15" s="427" customFormat="1" ht="18" customHeight="1">
      <c r="A90" s="937" t="s">
        <v>1202</v>
      </c>
      <c r="B90" s="938" t="s">
        <v>214</v>
      </c>
      <c r="C90" s="939" t="s">
        <v>177</v>
      </c>
      <c r="D90" s="940">
        <v>1</v>
      </c>
      <c r="E90" s="941"/>
      <c r="F90" s="941"/>
      <c r="G90" s="941"/>
      <c r="H90" s="941"/>
      <c r="I90" s="941"/>
      <c r="J90" s="941"/>
      <c r="K90" s="942"/>
      <c r="L90" s="941"/>
      <c r="M90" s="1200"/>
      <c r="N90" s="642"/>
    </row>
    <row r="91" spans="1:15" s="427" customFormat="1" ht="18" customHeight="1">
      <c r="A91" s="937" t="s">
        <v>1203</v>
      </c>
      <c r="B91" s="938" t="s">
        <v>214</v>
      </c>
      <c r="C91" s="939" t="s">
        <v>177</v>
      </c>
      <c r="D91" s="940">
        <v>1</v>
      </c>
      <c r="E91" s="941"/>
      <c r="F91" s="941"/>
      <c r="G91" s="941"/>
      <c r="H91" s="941"/>
      <c r="I91" s="941"/>
      <c r="J91" s="941"/>
      <c r="K91" s="942"/>
      <c r="L91" s="941"/>
      <c r="M91" s="1200"/>
      <c r="N91" s="642"/>
    </row>
    <row r="92" spans="1:15" s="427" customFormat="1" ht="18" customHeight="1">
      <c r="A92" s="956" t="s">
        <v>1092</v>
      </c>
      <c r="B92" s="1151" t="s">
        <v>1160</v>
      </c>
      <c r="C92" s="957" t="s">
        <v>120</v>
      </c>
      <c r="D92" s="940">
        <v>1</v>
      </c>
      <c r="E92" s="941"/>
      <c r="F92" s="941"/>
      <c r="G92" s="941"/>
      <c r="H92" s="941"/>
      <c r="I92" s="941"/>
      <c r="J92" s="941"/>
      <c r="K92" s="942"/>
      <c r="L92" s="941"/>
      <c r="M92" s="1200"/>
      <c r="N92" s="642"/>
    </row>
    <row r="93" spans="1:15" s="427" customFormat="1" ht="18" customHeight="1">
      <c r="A93" s="956" t="s">
        <v>1161</v>
      </c>
      <c r="B93" s="938"/>
      <c r="C93" s="939"/>
      <c r="D93" s="940"/>
      <c r="E93" s="941"/>
      <c r="F93" s="941"/>
      <c r="G93" s="941"/>
      <c r="H93" s="941"/>
      <c r="I93" s="941"/>
      <c r="J93" s="941"/>
      <c r="K93" s="942"/>
      <c r="L93" s="941"/>
      <c r="M93" s="1200"/>
      <c r="N93" s="642"/>
    </row>
    <row r="94" spans="1:15" s="427" customFormat="1" ht="18" hidden="1" customHeight="1">
      <c r="A94" s="937"/>
      <c r="B94" s="938"/>
      <c r="C94" s="939"/>
      <c r="D94" s="940"/>
      <c r="E94" s="941"/>
      <c r="F94" s="941"/>
      <c r="G94" s="941"/>
      <c r="H94" s="941"/>
      <c r="I94" s="941"/>
      <c r="J94" s="941"/>
      <c r="K94" s="942"/>
      <c r="L94" s="941"/>
      <c r="M94" s="1200"/>
      <c r="N94" s="642"/>
    </row>
    <row r="95" spans="1:15" s="427" customFormat="1" ht="18" hidden="1" customHeight="1">
      <c r="A95" s="937"/>
      <c r="B95" s="938"/>
      <c r="C95" s="939"/>
      <c r="D95" s="940"/>
      <c r="E95" s="941"/>
      <c r="F95" s="941"/>
      <c r="G95" s="941"/>
      <c r="H95" s="941"/>
      <c r="I95" s="941"/>
      <c r="J95" s="941"/>
      <c r="K95" s="942"/>
      <c r="L95" s="941"/>
      <c r="M95" s="1200"/>
      <c r="N95" s="642"/>
    </row>
    <row r="96" spans="1:15" s="427" customFormat="1" ht="18" hidden="1" customHeight="1">
      <c r="A96" s="937"/>
      <c r="B96" s="938"/>
      <c r="C96" s="939"/>
      <c r="D96" s="940"/>
      <c r="E96" s="941"/>
      <c r="F96" s="941"/>
      <c r="G96" s="941"/>
      <c r="H96" s="941"/>
      <c r="I96" s="941"/>
      <c r="J96" s="941"/>
      <c r="K96" s="942"/>
      <c r="L96" s="941"/>
      <c r="M96" s="1200"/>
      <c r="N96" s="642"/>
    </row>
    <row r="97" spans="1:14" s="427" customFormat="1" ht="18" hidden="1" customHeight="1">
      <c r="A97" s="937"/>
      <c r="B97" s="938"/>
      <c r="C97" s="939"/>
      <c r="D97" s="940"/>
      <c r="E97" s="941"/>
      <c r="F97" s="941"/>
      <c r="G97" s="941"/>
      <c r="H97" s="941"/>
      <c r="I97" s="941"/>
      <c r="J97" s="941"/>
      <c r="K97" s="942"/>
      <c r="L97" s="941"/>
      <c r="M97" s="1200"/>
      <c r="N97" s="642"/>
    </row>
    <row r="98" spans="1:14" s="427" customFormat="1" ht="18" hidden="1" customHeight="1">
      <c r="A98" s="937"/>
      <c r="B98" s="938"/>
      <c r="C98" s="939"/>
      <c r="D98" s="940"/>
      <c r="E98" s="941"/>
      <c r="F98" s="941"/>
      <c r="G98" s="941"/>
      <c r="H98" s="941"/>
      <c r="I98" s="941"/>
      <c r="J98" s="941"/>
      <c r="K98" s="942"/>
      <c r="L98" s="941"/>
      <c r="M98" s="1200"/>
      <c r="N98" s="642"/>
    </row>
    <row r="99" spans="1:14" s="427" customFormat="1" ht="18" hidden="1" customHeight="1">
      <c r="A99" s="937"/>
      <c r="B99" s="938"/>
      <c r="C99" s="939"/>
      <c r="D99" s="940"/>
      <c r="E99" s="941"/>
      <c r="F99" s="941"/>
      <c r="G99" s="941"/>
      <c r="H99" s="941"/>
      <c r="I99" s="941"/>
      <c r="J99" s="941"/>
      <c r="K99" s="942"/>
      <c r="L99" s="941"/>
      <c r="M99" s="1200"/>
      <c r="N99" s="642"/>
    </row>
    <row r="100" spans="1:14" s="427" customFormat="1" ht="18" hidden="1" customHeight="1">
      <c r="A100" s="937"/>
      <c r="B100" s="938"/>
      <c r="C100" s="939"/>
      <c r="D100" s="940"/>
      <c r="E100" s="941"/>
      <c r="F100" s="941"/>
      <c r="G100" s="941"/>
      <c r="H100" s="941"/>
      <c r="I100" s="941"/>
      <c r="J100" s="941"/>
      <c r="K100" s="942"/>
      <c r="L100" s="941"/>
      <c r="M100" s="1200"/>
      <c r="N100" s="642"/>
    </row>
    <row r="101" spans="1:14" s="427" customFormat="1" ht="18" hidden="1" customHeight="1">
      <c r="A101" s="937"/>
      <c r="B101" s="938"/>
      <c r="C101" s="939"/>
      <c r="D101" s="940"/>
      <c r="E101" s="941"/>
      <c r="F101" s="941"/>
      <c r="G101" s="941"/>
      <c r="H101" s="941"/>
      <c r="I101" s="941"/>
      <c r="J101" s="941"/>
      <c r="K101" s="942"/>
      <c r="L101" s="941"/>
      <c r="M101" s="1200"/>
      <c r="N101" s="642"/>
    </row>
    <row r="102" spans="1:14" s="427" customFormat="1" ht="18" hidden="1" customHeight="1">
      <c r="A102" s="937"/>
      <c r="B102" s="938"/>
      <c r="C102" s="939"/>
      <c r="D102" s="940"/>
      <c r="E102" s="941"/>
      <c r="F102" s="941"/>
      <c r="G102" s="941"/>
      <c r="H102" s="941"/>
      <c r="I102" s="941"/>
      <c r="J102" s="941"/>
      <c r="K102" s="942"/>
      <c r="L102" s="941"/>
      <c r="M102" s="1200"/>
      <c r="N102" s="642"/>
    </row>
    <row r="103" spans="1:14" s="427" customFormat="1" ht="18" hidden="1" customHeight="1">
      <c r="A103" s="937"/>
      <c r="B103" s="938"/>
      <c r="C103" s="939"/>
      <c r="D103" s="940"/>
      <c r="E103" s="941"/>
      <c r="F103" s="941"/>
      <c r="G103" s="941"/>
      <c r="H103" s="941"/>
      <c r="I103" s="941"/>
      <c r="J103" s="941"/>
      <c r="K103" s="942"/>
      <c r="L103" s="941"/>
      <c r="M103" s="1200"/>
      <c r="N103" s="642"/>
    </row>
    <row r="104" spans="1:14" s="427" customFormat="1" ht="18" hidden="1" customHeight="1">
      <c r="A104" s="937"/>
      <c r="B104" s="938"/>
      <c r="C104" s="939"/>
      <c r="D104" s="940"/>
      <c r="E104" s="941"/>
      <c r="F104" s="941"/>
      <c r="G104" s="941"/>
      <c r="H104" s="941"/>
      <c r="I104" s="941"/>
      <c r="J104" s="941"/>
      <c r="K104" s="942"/>
      <c r="L104" s="941"/>
      <c r="M104" s="1200"/>
      <c r="N104" s="642"/>
    </row>
    <row r="105" spans="1:14" s="427" customFormat="1" ht="18" hidden="1" customHeight="1">
      <c r="A105" s="937"/>
      <c r="B105" s="938"/>
      <c r="C105" s="939"/>
      <c r="D105" s="940"/>
      <c r="E105" s="941"/>
      <c r="F105" s="941"/>
      <c r="G105" s="941"/>
      <c r="H105" s="941"/>
      <c r="I105" s="941"/>
      <c r="J105" s="941"/>
      <c r="K105" s="942"/>
      <c r="L105" s="941"/>
      <c r="M105" s="1200"/>
      <c r="N105" s="642"/>
    </row>
    <row r="106" spans="1:14" s="427" customFormat="1" ht="18" hidden="1" customHeight="1">
      <c r="A106" s="937"/>
      <c r="B106" s="938"/>
      <c r="C106" s="939"/>
      <c r="D106" s="940"/>
      <c r="E106" s="941"/>
      <c r="F106" s="941"/>
      <c r="G106" s="941"/>
      <c r="H106" s="941"/>
      <c r="I106" s="941"/>
      <c r="J106" s="941"/>
      <c r="K106" s="942"/>
      <c r="L106" s="941"/>
      <c r="M106" s="1200"/>
      <c r="N106" s="642"/>
    </row>
    <row r="107" spans="1:14" s="427" customFormat="1" ht="18" hidden="1" customHeight="1">
      <c r="A107" s="937"/>
      <c r="B107" s="938"/>
      <c r="C107" s="939"/>
      <c r="D107" s="940"/>
      <c r="E107" s="941"/>
      <c r="F107" s="941"/>
      <c r="G107" s="941"/>
      <c r="H107" s="941"/>
      <c r="I107" s="941"/>
      <c r="J107" s="941"/>
      <c r="K107" s="942"/>
      <c r="L107" s="941"/>
      <c r="M107" s="1200"/>
      <c r="N107" s="642"/>
    </row>
    <row r="108" spans="1:14" s="427" customFormat="1" ht="18" hidden="1" customHeight="1">
      <c r="A108" s="937"/>
      <c r="B108" s="938"/>
      <c r="C108" s="939"/>
      <c r="D108" s="940"/>
      <c r="E108" s="941"/>
      <c r="F108" s="941"/>
      <c r="G108" s="941"/>
      <c r="H108" s="941"/>
      <c r="I108" s="941"/>
      <c r="J108" s="941"/>
      <c r="K108" s="942"/>
      <c r="L108" s="941"/>
      <c r="M108" s="1200"/>
      <c r="N108" s="642"/>
    </row>
    <row r="109" spans="1:14" s="427" customFormat="1" ht="18" hidden="1" customHeight="1">
      <c r="A109" s="937"/>
      <c r="B109" s="938"/>
      <c r="C109" s="939"/>
      <c r="D109" s="940"/>
      <c r="E109" s="941"/>
      <c r="F109" s="941"/>
      <c r="G109" s="941"/>
      <c r="H109" s="941"/>
      <c r="I109" s="941"/>
      <c r="J109" s="941"/>
      <c r="K109" s="942"/>
      <c r="L109" s="941"/>
      <c r="M109" s="1200"/>
      <c r="N109" s="642"/>
    </row>
    <row r="110" spans="1:14" s="427" customFormat="1" ht="18" hidden="1" customHeight="1">
      <c r="A110" s="937"/>
      <c r="B110" s="938"/>
      <c r="C110" s="939"/>
      <c r="D110" s="940"/>
      <c r="E110" s="941"/>
      <c r="F110" s="941"/>
      <c r="G110" s="941"/>
      <c r="H110" s="941"/>
      <c r="I110" s="941"/>
      <c r="J110" s="941"/>
      <c r="K110" s="942"/>
      <c r="L110" s="941"/>
      <c r="M110" s="1200"/>
      <c r="N110" s="642"/>
    </row>
    <row r="111" spans="1:14" s="427" customFormat="1" ht="18" hidden="1" customHeight="1">
      <c r="A111" s="956"/>
      <c r="B111" s="958"/>
      <c r="C111" s="957"/>
      <c r="D111" s="940"/>
      <c r="E111" s="941"/>
      <c r="F111" s="941"/>
      <c r="G111" s="941"/>
      <c r="H111" s="941"/>
      <c r="I111" s="941"/>
      <c r="J111" s="941"/>
      <c r="K111" s="942"/>
      <c r="L111" s="941"/>
      <c r="M111" s="1200"/>
      <c r="N111" s="642"/>
    </row>
    <row r="112" spans="1:14" s="427" customFormat="1" ht="18" hidden="1" customHeight="1">
      <c r="A112" s="956"/>
      <c r="B112" s="958"/>
      <c r="C112" s="957"/>
      <c r="D112" s="940"/>
      <c r="E112" s="941"/>
      <c r="F112" s="941"/>
      <c r="G112" s="941"/>
      <c r="H112" s="941"/>
      <c r="I112" s="941"/>
      <c r="J112" s="941"/>
      <c r="K112" s="942"/>
      <c r="L112" s="941"/>
      <c r="M112" s="1200"/>
      <c r="N112" s="642"/>
    </row>
    <row r="113" spans="1:14" s="427" customFormat="1" ht="18" hidden="1" customHeight="1">
      <c r="A113" s="956"/>
      <c r="B113" s="958"/>
      <c r="C113" s="957"/>
      <c r="D113" s="940"/>
      <c r="E113" s="941"/>
      <c r="F113" s="941"/>
      <c r="G113" s="941"/>
      <c r="H113" s="941"/>
      <c r="I113" s="941"/>
      <c r="J113" s="941"/>
      <c r="K113" s="942"/>
      <c r="L113" s="941"/>
      <c r="M113" s="1200"/>
      <c r="N113" s="642"/>
    </row>
    <row r="114" spans="1:14" s="427" customFormat="1" ht="18" hidden="1" customHeight="1">
      <c r="A114" s="956"/>
      <c r="B114" s="958"/>
      <c r="C114" s="957"/>
      <c r="D114" s="940"/>
      <c r="E114" s="941"/>
      <c r="F114" s="941"/>
      <c r="G114" s="941"/>
      <c r="H114" s="941"/>
      <c r="I114" s="941"/>
      <c r="J114" s="941"/>
      <c r="K114" s="942"/>
      <c r="L114" s="941"/>
      <c r="M114" s="1200"/>
      <c r="N114" s="642"/>
    </row>
    <row r="115" spans="1:14" s="427" customFormat="1" ht="18" hidden="1" customHeight="1">
      <c r="A115" s="956"/>
      <c r="B115" s="958"/>
      <c r="C115" s="957"/>
      <c r="D115" s="940"/>
      <c r="E115" s="941"/>
      <c r="F115" s="941"/>
      <c r="G115" s="941"/>
      <c r="H115" s="941"/>
      <c r="I115" s="941"/>
      <c r="J115" s="941"/>
      <c r="K115" s="942"/>
      <c r="L115" s="941"/>
      <c r="M115" s="1200"/>
      <c r="N115" s="642"/>
    </row>
    <row r="116" spans="1:14" s="427" customFormat="1" ht="18" customHeight="1">
      <c r="A116" s="1256" t="s">
        <v>933</v>
      </c>
      <c r="B116" s="1257"/>
      <c r="C116" s="943"/>
      <c r="D116" s="944"/>
      <c r="E116" s="945"/>
      <c r="F116" s="945"/>
      <c r="G116" s="945"/>
      <c r="H116" s="945"/>
      <c r="I116" s="945"/>
      <c r="J116" s="945"/>
      <c r="K116" s="946"/>
      <c r="L116" s="945"/>
      <c r="M116" s="1201"/>
      <c r="N116" s="643"/>
    </row>
    <row r="119" spans="1:14" s="427" customFormat="1" ht="18" customHeight="1">
      <c r="A119" s="1325" t="s">
        <v>933</v>
      </c>
      <c r="B119" s="1326"/>
      <c r="C119" s="943"/>
      <c r="D119" s="944"/>
      <c r="E119" s="945"/>
      <c r="F119" s="945" t="e">
        <f>SUM(F32,#REF!,F60,#REF!,F88,F116)</f>
        <v>#REF!</v>
      </c>
      <c r="G119" s="945"/>
      <c r="H119" s="945">
        <f>SUM(H95:H97)</f>
        <v>0</v>
      </c>
      <c r="I119" s="945"/>
      <c r="J119" s="945">
        <f>SUM(J95:J97)</f>
        <v>0</v>
      </c>
      <c r="K119" s="946"/>
      <c r="L119" s="945" t="e">
        <f>SUM(F119,H119,J119)</f>
        <v>#REF!</v>
      </c>
      <c r="M119" s="1201"/>
      <c r="N119" s="643"/>
    </row>
  </sheetData>
  <mergeCells count="1">
    <mergeCell ref="A119:B119"/>
  </mergeCells>
  <phoneticPr fontId="4" type="noConversion"/>
  <printOptions horizontalCentered="1" verticalCentered="1"/>
  <pageMargins left="0.59055118110236227" right="0.39370078740157483" top="0.78740157480314965" bottom="0.59055118110236227" header="0.59055118110236227" footer="0.23622047244094491"/>
  <pageSetup paperSize="9" scale="87" orientation="landscape" r:id="rId1"/>
  <headerFooter alignWithMargins="0">
    <oddHeader xml:space="preserve">&amp;C&amp;"맑은 고딕,굵게"&amp;20&amp;U 관급자재 내역서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/>
  <dimension ref="A1:Q31"/>
  <sheetViews>
    <sheetView view="pageBreakPreview" zoomScale="42" zoomScaleSheetLayoutView="42" workbookViewId="0">
      <selection activeCell="A10" sqref="A10"/>
    </sheetView>
  </sheetViews>
  <sheetFormatPr defaultColWidth="8.88671875" defaultRowHeight="13.5"/>
  <cols>
    <col min="1" max="15" width="7.44140625" style="2" customWidth="1"/>
    <col min="16" max="16" width="2.88671875" style="2" customWidth="1"/>
    <col min="17" max="17" width="13.6640625" style="2" customWidth="1"/>
    <col min="18" max="18" width="10.5546875" style="2" bestFit="1" customWidth="1"/>
    <col min="19" max="16384" width="8.88671875" style="2"/>
  </cols>
  <sheetData>
    <row r="1" spans="1:17" ht="27" customHeight="1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7" ht="27" customHeigh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7" ht="27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7" ht="27" customHeight="1">
      <c r="A4" s="9"/>
      <c r="B4" s="10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7" ht="21.75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7" ht="22.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7" s="6" customFormat="1" ht="40.5" customHeight="1">
      <c r="A7" s="1320" t="s">
        <v>279</v>
      </c>
      <c r="B7" s="1320"/>
      <c r="C7" s="1320"/>
      <c r="D7" s="1320"/>
      <c r="E7" s="1320"/>
      <c r="F7" s="1320"/>
      <c r="G7" s="1320"/>
      <c r="H7" s="1320"/>
      <c r="I7" s="1320"/>
      <c r="J7" s="1320"/>
      <c r="K7" s="1320"/>
      <c r="L7" s="1320"/>
      <c r="M7" s="1320"/>
      <c r="N7" s="1320"/>
      <c r="O7" s="1320"/>
    </row>
    <row r="8" spans="1:17" ht="20.25" customHeight="1">
      <c r="A8" s="9"/>
      <c r="B8" s="11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7" ht="27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7" ht="27" customHeight="1">
      <c r="A10" s="9"/>
      <c r="B10" s="12"/>
      <c r="C10" s="9"/>
      <c r="D10" s="9"/>
      <c r="E10" s="9"/>
      <c r="F10" s="9"/>
      <c r="G10" s="9"/>
      <c r="H10" s="11"/>
      <c r="I10" s="9"/>
      <c r="J10" s="9"/>
      <c r="K10" s="9"/>
      <c r="L10" s="9"/>
      <c r="M10" s="9"/>
      <c r="N10" s="9"/>
      <c r="O10" s="9"/>
      <c r="Q10" s="7"/>
    </row>
    <row r="11" spans="1:17" ht="27" customHeight="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Q11" s="8"/>
    </row>
    <row r="12" spans="1:17" ht="27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Q12" s="8"/>
    </row>
    <row r="13" spans="1:17" ht="27" customHeight="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Q13" s="8"/>
    </row>
    <row r="14" spans="1:17" ht="27" customHeight="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</row>
    <row r="15" spans="1:17" ht="27" customHeight="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</row>
    <row r="16" spans="1:17" ht="27" customHeight="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</row>
    <row r="17" spans="3:3" ht="27" customHeight="1"/>
    <row r="18" spans="3:3" ht="27" customHeight="1"/>
    <row r="19" spans="3:3" ht="27" customHeight="1"/>
    <row r="20" spans="3:3" ht="27" customHeight="1"/>
    <row r="21" spans="3:3" ht="27" customHeight="1"/>
    <row r="22" spans="3:3" ht="27" customHeight="1">
      <c r="C22" s="9"/>
    </row>
    <row r="23" spans="3:3" ht="27" customHeight="1"/>
    <row r="24" spans="3:3" ht="27" customHeight="1"/>
    <row r="25" spans="3:3" ht="27" customHeight="1"/>
    <row r="26" spans="3:3" ht="27" customHeight="1"/>
    <row r="27" spans="3:3" ht="27" customHeight="1"/>
    <row r="28" spans="3:3" ht="27" customHeight="1"/>
    <row r="29" spans="3:3" ht="27" customHeight="1"/>
    <row r="30" spans="3:3" ht="27" customHeight="1"/>
    <row r="31" spans="3:3" ht="27" customHeight="1"/>
  </sheetData>
  <mergeCells count="1">
    <mergeCell ref="A7:O7"/>
  </mergeCells>
  <phoneticPr fontId="4" type="noConversion"/>
  <pageMargins left="0.9" right="0.64" top="1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3">
    <tabColor rgb="FFFFC000"/>
  </sheetPr>
  <dimension ref="A1:P26"/>
  <sheetViews>
    <sheetView showZeros="0" view="pageBreakPreview" zoomScale="115" zoomScaleSheetLayoutView="115" workbookViewId="0">
      <pane xSplit="1" ySplit="4" topLeftCell="B5" activePane="bottomRight" state="frozen"/>
      <selection activeCell="A9" sqref="A9:J9"/>
      <selection pane="topRight" activeCell="A9" sqref="A9:J9"/>
      <selection pane="bottomLeft" activeCell="A9" sqref="A9:J9"/>
      <selection pane="bottomRight" activeCell="G21" sqref="G21"/>
    </sheetView>
  </sheetViews>
  <sheetFormatPr defaultColWidth="8.88671875" defaultRowHeight="12"/>
  <cols>
    <col min="1" max="1" width="17.5546875" style="471" customWidth="1"/>
    <col min="2" max="2" width="25.77734375" style="415" customWidth="1"/>
    <col min="3" max="3" width="18.77734375" style="428" customWidth="1"/>
    <col min="4" max="4" width="4.77734375" style="421" customWidth="1"/>
    <col min="5" max="5" width="6.77734375" style="423" customWidth="1"/>
    <col min="6" max="6" width="5.77734375" style="415" customWidth="1"/>
    <col min="7" max="7" width="7.77734375" style="415" customWidth="1"/>
    <col min="8" max="8" width="5.77734375" style="415" customWidth="1"/>
    <col min="9" max="9" width="7.77734375" style="415" customWidth="1"/>
    <col min="10" max="10" width="5.77734375" style="415" customWidth="1"/>
    <col min="11" max="11" width="7.77734375" style="415" customWidth="1"/>
    <col min="12" max="12" width="6.77734375" style="415" customWidth="1"/>
    <col min="13" max="13" width="8.77734375" style="415" customWidth="1"/>
    <col min="14" max="14" width="6.77734375" style="429" customWidth="1"/>
    <col min="15" max="15" width="9" style="421" bestFit="1" customWidth="1"/>
    <col min="16" max="16384" width="8.88671875" style="415"/>
  </cols>
  <sheetData>
    <row r="1" spans="1:16" ht="11.25" customHeight="1">
      <c r="B1" s="418"/>
      <c r="C1" s="422"/>
      <c r="D1" s="419"/>
      <c r="F1" s="420"/>
      <c r="G1" s="420"/>
      <c r="H1" s="420"/>
      <c r="I1" s="420"/>
      <c r="J1" s="420"/>
      <c r="K1" s="420"/>
      <c r="L1" s="420"/>
      <c r="M1" s="420"/>
      <c r="N1" s="424"/>
    </row>
    <row r="2" spans="1:16" ht="23.1" customHeight="1">
      <c r="A2" s="471" t="s">
        <v>877</v>
      </c>
      <c r="B2" s="1323" t="e">
        <f>#REF!</f>
        <v>#REF!</v>
      </c>
      <c r="C2" s="1324"/>
      <c r="D2" s="1324"/>
      <c r="E2" s="1324"/>
      <c r="F2" s="1324"/>
      <c r="G2" s="1324"/>
      <c r="H2" s="1324"/>
      <c r="I2" s="1324"/>
      <c r="J2" s="1324"/>
      <c r="K2" s="1324"/>
      <c r="L2" s="1324"/>
      <c r="M2" s="1324"/>
      <c r="N2" s="1324"/>
    </row>
    <row r="3" spans="1:16" ht="23.1" customHeight="1">
      <c r="B3" s="1354" t="s">
        <v>511</v>
      </c>
      <c r="C3" s="1355" t="s">
        <v>512</v>
      </c>
      <c r="D3" s="1354" t="s">
        <v>30</v>
      </c>
      <c r="E3" s="1356" t="s">
        <v>513</v>
      </c>
      <c r="F3" s="1354" t="s">
        <v>28</v>
      </c>
      <c r="G3" s="1354"/>
      <c r="H3" s="1354" t="s">
        <v>29</v>
      </c>
      <c r="I3" s="1354"/>
      <c r="J3" s="1354" t="s">
        <v>514</v>
      </c>
      <c r="K3" s="1354"/>
      <c r="L3" s="1354" t="s">
        <v>27</v>
      </c>
      <c r="M3" s="1354"/>
      <c r="N3" s="1357" t="s">
        <v>515</v>
      </c>
    </row>
    <row r="4" spans="1:16" ht="23.1" customHeight="1">
      <c r="B4" s="1354"/>
      <c r="C4" s="1355"/>
      <c r="D4" s="1354"/>
      <c r="E4" s="1356"/>
      <c r="F4" s="614" t="s">
        <v>516</v>
      </c>
      <c r="G4" s="614" t="s">
        <v>31</v>
      </c>
      <c r="H4" s="614" t="s">
        <v>516</v>
      </c>
      <c r="I4" s="614" t="s">
        <v>31</v>
      </c>
      <c r="J4" s="614" t="s">
        <v>516</v>
      </c>
      <c r="K4" s="614" t="s">
        <v>31</v>
      </c>
      <c r="L4" s="614" t="s">
        <v>516</v>
      </c>
      <c r="M4" s="614" t="s">
        <v>31</v>
      </c>
      <c r="N4" s="1357"/>
      <c r="P4" s="425">
        <v>1</v>
      </c>
    </row>
    <row r="5" spans="1:16" ht="18.95" customHeight="1">
      <c r="B5" s="1351" t="s">
        <v>876</v>
      </c>
      <c r="C5" s="1352"/>
      <c r="D5" s="1352"/>
      <c r="E5" s="1352"/>
      <c r="F5" s="1352"/>
      <c r="G5" s="1352"/>
      <c r="H5" s="1352"/>
      <c r="I5" s="1352"/>
      <c r="J5" s="1352"/>
      <c r="K5" s="1352"/>
      <c r="L5" s="1352"/>
      <c r="M5" s="1352"/>
      <c r="N5" s="1352"/>
      <c r="P5" s="425"/>
    </row>
    <row r="6" spans="1:16" s="427" customFormat="1" ht="18.95" customHeight="1">
      <c r="A6" s="653" t="e">
        <f>#REF!</f>
        <v>#REF!</v>
      </c>
      <c r="B6" s="559" t="e">
        <f>VLOOKUP($A6,#REF!,2,FALSE)</f>
        <v>#REF!</v>
      </c>
      <c r="C6" s="560" t="e">
        <f>VLOOKUP($A6,#REF!,3,FALSE)</f>
        <v>#REF!</v>
      </c>
      <c r="D6" s="561" t="e">
        <f>VLOOKUP($A6,#REF!,4,FALSE)</f>
        <v>#REF!</v>
      </c>
      <c r="E6" s="940">
        <f>IF(ISERROR(VLOOKUP($A6,산출집계1,18,FALSE)),0,VLOOKUP($A6,산출집계1,18,FALSE))</f>
        <v>0</v>
      </c>
      <c r="F6" s="625" t="e">
        <f>VLOOKUP($A6,#REF!,11,FALSE)</f>
        <v>#REF!</v>
      </c>
      <c r="G6" s="625" t="e">
        <f>INT(E6*F6)</f>
        <v>#REF!</v>
      </c>
      <c r="H6" s="644"/>
      <c r="I6" s="644"/>
      <c r="J6" s="644"/>
      <c r="K6" s="644"/>
      <c r="L6" s="624" t="e">
        <f t="shared" ref="L6" si="0">F6</f>
        <v>#REF!</v>
      </c>
      <c r="M6" s="625" t="e">
        <f t="shared" ref="M6" si="1">INT(G6+I6+K6)</f>
        <v>#REF!</v>
      </c>
      <c r="N6" s="563"/>
      <c r="O6" s="426"/>
    </row>
    <row r="7" spans="1:16" s="427" customFormat="1" ht="18" customHeight="1">
      <c r="A7" s="653"/>
      <c r="B7" s="559"/>
      <c r="C7" s="560"/>
      <c r="D7" s="561"/>
      <c r="E7" s="562"/>
      <c r="F7" s="625"/>
      <c r="G7" s="625"/>
      <c r="H7" s="644"/>
      <c r="I7" s="644"/>
      <c r="J7" s="644"/>
      <c r="K7" s="644"/>
      <c r="L7" s="624"/>
      <c r="M7" s="625"/>
      <c r="N7" s="563"/>
      <c r="O7" s="426"/>
    </row>
    <row r="8" spans="1:16" s="427" customFormat="1" ht="18.95" customHeight="1">
      <c r="A8" s="653"/>
      <c r="B8" s="566"/>
      <c r="C8" s="567"/>
      <c r="D8" s="568"/>
      <c r="E8" s="569"/>
      <c r="F8" s="615"/>
      <c r="G8" s="616"/>
      <c r="H8" s="616"/>
      <c r="I8" s="616"/>
      <c r="J8" s="616"/>
      <c r="K8" s="616"/>
      <c r="L8" s="617"/>
      <c r="M8" s="616"/>
      <c r="N8" s="618"/>
      <c r="O8" s="426"/>
    </row>
    <row r="9" spans="1:16" s="427" customFormat="1" ht="18.95" customHeight="1">
      <c r="A9" s="653"/>
      <c r="B9" s="566"/>
      <c r="C9" s="567"/>
      <c r="D9" s="568"/>
      <c r="E9" s="569"/>
      <c r="F9" s="615"/>
      <c r="G9" s="616"/>
      <c r="H9" s="616"/>
      <c r="I9" s="616"/>
      <c r="J9" s="616"/>
      <c r="K9" s="616"/>
      <c r="L9" s="617"/>
      <c r="M9" s="616"/>
      <c r="N9" s="618"/>
      <c r="O9" s="426"/>
    </row>
    <row r="10" spans="1:16" s="427" customFormat="1" ht="18.95" customHeight="1">
      <c r="A10" s="475"/>
      <c r="B10" s="566"/>
      <c r="C10" s="567"/>
      <c r="D10" s="568"/>
      <c r="E10" s="569"/>
      <c r="F10" s="578"/>
      <c r="G10" s="570"/>
      <c r="H10" s="570"/>
      <c r="I10" s="570"/>
      <c r="J10" s="570"/>
      <c r="K10" s="570"/>
      <c r="L10" s="619"/>
      <c r="M10" s="570"/>
      <c r="N10" s="572"/>
      <c r="O10" s="426"/>
    </row>
    <row r="11" spans="1:16" s="427" customFormat="1" ht="18.95" customHeight="1">
      <c r="A11" s="475"/>
      <c r="B11" s="566"/>
      <c r="C11" s="567"/>
      <c r="D11" s="568"/>
      <c r="E11" s="569"/>
      <c r="F11" s="578"/>
      <c r="G11" s="570"/>
      <c r="H11" s="570"/>
      <c r="I11" s="570"/>
      <c r="J11" s="570"/>
      <c r="K11" s="570"/>
      <c r="L11" s="619"/>
      <c r="M11" s="570"/>
      <c r="N11" s="572"/>
      <c r="O11" s="426"/>
    </row>
    <row r="12" spans="1:16" s="427" customFormat="1" ht="18.95" customHeight="1">
      <c r="A12" s="475"/>
      <c r="B12" s="566"/>
      <c r="C12" s="567"/>
      <c r="D12" s="568"/>
      <c r="E12" s="569"/>
      <c r="F12" s="578"/>
      <c r="G12" s="570"/>
      <c r="H12" s="570"/>
      <c r="I12" s="570"/>
      <c r="J12" s="570"/>
      <c r="K12" s="570"/>
      <c r="L12" s="619"/>
      <c r="M12" s="570"/>
      <c r="N12" s="572"/>
      <c r="O12" s="426"/>
    </row>
    <row r="13" spans="1:16" s="427" customFormat="1" ht="18.95" customHeight="1">
      <c r="A13" s="475"/>
      <c r="B13" s="566"/>
      <c r="C13" s="567"/>
      <c r="D13" s="568"/>
      <c r="E13" s="569"/>
      <c r="F13" s="578"/>
      <c r="G13" s="570"/>
      <c r="H13" s="570"/>
      <c r="I13" s="570"/>
      <c r="J13" s="570"/>
      <c r="K13" s="570"/>
      <c r="L13" s="619"/>
      <c r="M13" s="570"/>
      <c r="N13" s="572"/>
      <c r="O13" s="426"/>
    </row>
    <row r="14" spans="1:16" s="427" customFormat="1" ht="18.95" customHeight="1">
      <c r="A14" s="475"/>
      <c r="B14" s="566"/>
      <c r="C14" s="567"/>
      <c r="D14" s="568"/>
      <c r="E14" s="569"/>
      <c r="F14" s="578"/>
      <c r="G14" s="570"/>
      <c r="H14" s="570"/>
      <c r="I14" s="570"/>
      <c r="J14" s="570"/>
      <c r="K14" s="570"/>
      <c r="L14" s="619"/>
      <c r="M14" s="570"/>
      <c r="N14" s="572"/>
      <c r="O14" s="426"/>
    </row>
    <row r="15" spans="1:16" s="427" customFormat="1" ht="18.95" customHeight="1">
      <c r="A15" s="475"/>
      <c r="B15" s="566"/>
      <c r="C15" s="567"/>
      <c r="D15" s="568"/>
      <c r="E15" s="569"/>
      <c r="F15" s="578"/>
      <c r="G15" s="570"/>
      <c r="H15" s="570"/>
      <c r="I15" s="570"/>
      <c r="J15" s="570"/>
      <c r="K15" s="570"/>
      <c r="L15" s="619"/>
      <c r="M15" s="570"/>
      <c r="N15" s="572"/>
      <c r="O15" s="426"/>
    </row>
    <row r="16" spans="1:16" s="427" customFormat="1" ht="18.95" customHeight="1">
      <c r="A16" s="475"/>
      <c r="B16" s="566"/>
      <c r="C16" s="567"/>
      <c r="D16" s="568"/>
      <c r="E16" s="569"/>
      <c r="F16" s="578"/>
      <c r="G16" s="570"/>
      <c r="H16" s="570"/>
      <c r="I16" s="570"/>
      <c r="J16" s="570"/>
      <c r="K16" s="570"/>
      <c r="L16" s="619"/>
      <c r="M16" s="570"/>
      <c r="N16" s="572"/>
      <c r="O16" s="426"/>
    </row>
    <row r="17" spans="1:15" s="427" customFormat="1" ht="18.95" customHeight="1">
      <c r="A17" s="475"/>
      <c r="B17" s="566"/>
      <c r="C17" s="567"/>
      <c r="D17" s="568"/>
      <c r="E17" s="569"/>
      <c r="F17" s="578"/>
      <c r="G17" s="570"/>
      <c r="H17" s="570"/>
      <c r="I17" s="570"/>
      <c r="J17" s="570"/>
      <c r="K17" s="570"/>
      <c r="L17" s="619"/>
      <c r="M17" s="570"/>
      <c r="N17" s="572"/>
      <c r="O17" s="426"/>
    </row>
    <row r="18" spans="1:15" s="427" customFormat="1" ht="18.95" customHeight="1">
      <c r="A18" s="475"/>
      <c r="B18" s="566"/>
      <c r="C18" s="567"/>
      <c r="D18" s="568"/>
      <c r="E18" s="569"/>
      <c r="F18" s="578"/>
      <c r="G18" s="570"/>
      <c r="H18" s="570"/>
      <c r="I18" s="570"/>
      <c r="J18" s="570"/>
      <c r="K18" s="570"/>
      <c r="L18" s="619"/>
      <c r="M18" s="570"/>
      <c r="N18" s="572"/>
      <c r="O18" s="426"/>
    </row>
    <row r="19" spans="1:15" s="427" customFormat="1" ht="18.95" customHeight="1">
      <c r="A19" s="475"/>
      <c r="B19" s="566"/>
      <c r="C19" s="567"/>
      <c r="D19" s="568"/>
      <c r="E19" s="569"/>
      <c r="F19" s="578"/>
      <c r="G19" s="570"/>
      <c r="H19" s="570"/>
      <c r="I19" s="570"/>
      <c r="J19" s="570"/>
      <c r="K19" s="570"/>
      <c r="L19" s="619"/>
      <c r="M19" s="570"/>
      <c r="N19" s="572"/>
      <c r="O19" s="426"/>
    </row>
    <row r="20" spans="1:15" s="427" customFormat="1" ht="18.95" customHeight="1">
      <c r="A20" s="475"/>
      <c r="B20" s="566"/>
      <c r="C20" s="567"/>
      <c r="D20" s="568"/>
      <c r="E20" s="569"/>
      <c r="F20" s="578"/>
      <c r="G20" s="570"/>
      <c r="H20" s="570"/>
      <c r="I20" s="570"/>
      <c r="J20" s="570"/>
      <c r="K20" s="570"/>
      <c r="L20" s="619"/>
      <c r="M20" s="570"/>
      <c r="N20" s="572"/>
      <c r="O20" s="426"/>
    </row>
    <row r="21" spans="1:15" s="427" customFormat="1" ht="18.95" customHeight="1">
      <c r="A21" s="475"/>
      <c r="B21" s="566"/>
      <c r="C21" s="567"/>
      <c r="D21" s="568"/>
      <c r="E21" s="569"/>
      <c r="F21" s="578"/>
      <c r="G21" s="570"/>
      <c r="H21" s="570"/>
      <c r="I21" s="570"/>
      <c r="J21" s="570"/>
      <c r="K21" s="570"/>
      <c r="L21" s="619"/>
      <c r="M21" s="570"/>
      <c r="N21" s="572"/>
      <c r="O21" s="426"/>
    </row>
    <row r="22" spans="1:15" s="427" customFormat="1" ht="18.95" customHeight="1">
      <c r="A22" s="475"/>
      <c r="B22" s="566"/>
      <c r="C22" s="567"/>
      <c r="D22" s="568"/>
      <c r="E22" s="569"/>
      <c r="F22" s="578"/>
      <c r="G22" s="570"/>
      <c r="H22" s="570"/>
      <c r="I22" s="570"/>
      <c r="J22" s="570"/>
      <c r="K22" s="570"/>
      <c r="L22" s="619"/>
      <c r="M22" s="570"/>
      <c r="N22" s="572"/>
      <c r="O22" s="426"/>
    </row>
    <row r="23" spans="1:15" s="427" customFormat="1" ht="18.95" customHeight="1">
      <c r="A23" s="475"/>
      <c r="B23" s="566"/>
      <c r="C23" s="567"/>
      <c r="D23" s="568"/>
      <c r="E23" s="569"/>
      <c r="F23" s="578"/>
      <c r="G23" s="570"/>
      <c r="H23" s="570"/>
      <c r="I23" s="570"/>
      <c r="J23" s="570"/>
      <c r="K23" s="570"/>
      <c r="L23" s="619"/>
      <c r="M23" s="570"/>
      <c r="N23" s="572"/>
      <c r="O23" s="426"/>
    </row>
    <row r="24" spans="1:15" s="427" customFormat="1" ht="18.95" customHeight="1">
      <c r="A24" s="475"/>
      <c r="B24" s="566"/>
      <c r="C24" s="567"/>
      <c r="D24" s="568"/>
      <c r="E24" s="569"/>
      <c r="F24" s="578"/>
      <c r="G24" s="570"/>
      <c r="H24" s="570"/>
      <c r="I24" s="570"/>
      <c r="J24" s="570"/>
      <c r="K24" s="570"/>
      <c r="L24" s="619"/>
      <c r="M24" s="570"/>
      <c r="N24" s="572"/>
      <c r="O24" s="426"/>
    </row>
    <row r="25" spans="1:15" s="427" customFormat="1" ht="18.95" customHeight="1">
      <c r="A25" s="475"/>
      <c r="B25" s="566"/>
      <c r="C25" s="567"/>
      <c r="D25" s="568"/>
      <c r="E25" s="569"/>
      <c r="F25" s="578"/>
      <c r="G25" s="570"/>
      <c r="H25" s="570"/>
      <c r="I25" s="570"/>
      <c r="J25" s="570"/>
      <c r="K25" s="570"/>
      <c r="L25" s="619"/>
      <c r="M25" s="570"/>
      <c r="N25" s="572"/>
      <c r="O25" s="426"/>
    </row>
    <row r="26" spans="1:15" s="427" customFormat="1" ht="18.95" customHeight="1">
      <c r="A26" s="475">
        <v>10</v>
      </c>
      <c r="B26" s="1353" t="s">
        <v>538</v>
      </c>
      <c r="C26" s="1353"/>
      <c r="D26" s="573"/>
      <c r="E26" s="574"/>
      <c r="F26" s="575"/>
      <c r="G26" s="620" t="e">
        <f>SUM(G6:G25)</f>
        <v>#REF!</v>
      </c>
      <c r="H26" s="575"/>
      <c r="I26" s="575"/>
      <c r="J26" s="575"/>
      <c r="K26" s="575"/>
      <c r="L26" s="576"/>
      <c r="M26" s="620" t="e">
        <f>SUM(G26,I26,K26)</f>
        <v>#REF!</v>
      </c>
      <c r="N26" s="577"/>
      <c r="O26" s="426"/>
    </row>
  </sheetData>
  <mergeCells count="12">
    <mergeCell ref="B5:N5"/>
    <mergeCell ref="B26:C26"/>
    <mergeCell ref="B2:N2"/>
    <mergeCell ref="B3:B4"/>
    <mergeCell ref="C3:C4"/>
    <mergeCell ref="D3:D4"/>
    <mergeCell ref="E3:E4"/>
    <mergeCell ref="F3:G3"/>
    <mergeCell ref="H3:I3"/>
    <mergeCell ref="J3:K3"/>
    <mergeCell ref="L3:M3"/>
    <mergeCell ref="N3:N4"/>
  </mergeCells>
  <phoneticPr fontId="4" type="noConversion"/>
  <printOptions horizontalCentered="1" verticalCentered="1"/>
  <pageMargins left="0.59055118110236227" right="0.39370078740157483" top="0.78740157480314965" bottom="0.59055118110236227" header="0.59055118110236227" footer="0.23622047244094491"/>
  <pageSetup paperSize="9" scale="99" orientation="landscape" r:id="rId1"/>
  <headerFooter alignWithMargins="0">
    <oddHeader xml:space="preserve">&amp;C&amp;"맑은 고딕,굵게"&amp;20&amp;U 고재러치비 내역서 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1"/>
  <dimension ref="A1:Q35"/>
  <sheetViews>
    <sheetView view="pageBreakPreview" zoomScale="42" zoomScaleSheetLayoutView="42" workbookViewId="0">
      <selection activeCell="A10" sqref="A10"/>
    </sheetView>
  </sheetViews>
  <sheetFormatPr defaultColWidth="8.88671875" defaultRowHeight="13.5"/>
  <cols>
    <col min="1" max="15" width="7.44140625" style="2" customWidth="1"/>
    <col min="16" max="16" width="2.88671875" style="2" customWidth="1"/>
    <col min="17" max="17" width="13.6640625" style="2" customWidth="1"/>
    <col min="18" max="18" width="10.5546875" style="2" bestFit="1" customWidth="1"/>
    <col min="19" max="16384" width="8.88671875" style="2"/>
  </cols>
  <sheetData>
    <row r="1" spans="1:17" ht="27" customHeight="1"/>
    <row r="2" spans="1:17" ht="27" customHeight="1"/>
    <row r="3" spans="1:17" ht="27" customHeight="1"/>
    <row r="4" spans="1:17" ht="27" customHeight="1">
      <c r="A4" s="9"/>
      <c r="B4" s="10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</row>
    <row r="5" spans="1:17" ht="21.75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7" ht="22.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7" s="6" customFormat="1" ht="40.5" customHeight="1">
      <c r="A7" s="1320" t="s">
        <v>280</v>
      </c>
      <c r="B7" s="1320"/>
      <c r="C7" s="1320"/>
      <c r="D7" s="1320"/>
      <c r="E7" s="1320"/>
      <c r="F7" s="1320"/>
      <c r="G7" s="1320"/>
      <c r="H7" s="1320"/>
      <c r="I7" s="1320"/>
      <c r="J7" s="1320"/>
      <c r="K7" s="1320"/>
      <c r="L7" s="1320"/>
      <c r="M7" s="1320"/>
      <c r="N7" s="1320"/>
      <c r="O7" s="1320"/>
    </row>
    <row r="8" spans="1:17" ht="20.25" customHeight="1">
      <c r="A8" s="9"/>
      <c r="B8" s="11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7" ht="27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7" ht="27" customHeight="1">
      <c r="A10" s="9"/>
      <c r="B10" s="12"/>
      <c r="C10" s="9"/>
      <c r="D10" s="9"/>
      <c r="E10" s="9"/>
      <c r="F10" s="9"/>
      <c r="G10" s="9"/>
      <c r="H10" s="11"/>
      <c r="I10" s="9"/>
      <c r="J10" s="9"/>
      <c r="K10" s="9"/>
      <c r="L10" s="9"/>
      <c r="M10" s="9"/>
      <c r="N10" s="9"/>
      <c r="O10" s="9"/>
      <c r="Q10" s="7"/>
    </row>
    <row r="11" spans="1:17" ht="27" customHeight="1">
      <c r="Q11" s="8"/>
    </row>
    <row r="12" spans="1:17" ht="27" customHeight="1">
      <c r="Q12" s="8"/>
    </row>
    <row r="13" spans="1:17" ht="27" customHeight="1">
      <c r="Q13" s="8"/>
    </row>
    <row r="14" spans="1:17" ht="27" customHeight="1">
      <c r="Q14" s="8"/>
    </row>
    <row r="15" spans="1:17" ht="27" customHeight="1"/>
    <row r="16" spans="1:17" ht="27" customHeight="1"/>
    <row r="17" spans="3:3" ht="27" customHeight="1"/>
    <row r="18" spans="3:3" ht="27" customHeight="1"/>
    <row r="19" spans="3:3" ht="27" customHeight="1"/>
    <row r="20" spans="3:3" ht="27" customHeight="1"/>
    <row r="21" spans="3:3" ht="27" customHeight="1"/>
    <row r="22" spans="3:3" ht="27" customHeight="1">
      <c r="C22" s="9"/>
    </row>
    <row r="23" spans="3:3" ht="27" customHeight="1"/>
    <row r="24" spans="3:3" ht="27" customHeight="1"/>
    <row r="25" spans="3:3" ht="27" customHeight="1"/>
    <row r="26" spans="3:3" ht="27" customHeight="1"/>
    <row r="27" spans="3:3" ht="27" customHeight="1"/>
    <row r="28" spans="3:3" ht="27" customHeight="1"/>
    <row r="29" spans="3:3" ht="27" customHeight="1"/>
    <row r="30" spans="3:3" ht="27" customHeight="1"/>
    <row r="31" spans="3:3" ht="27" customHeight="1"/>
    <row r="32" spans="3:3" ht="27" customHeight="1"/>
    <row r="33" ht="27" customHeight="1"/>
    <row r="34" ht="27" customHeight="1"/>
    <row r="35" ht="27" customHeight="1"/>
  </sheetData>
  <mergeCells count="1">
    <mergeCell ref="A7:O7"/>
  </mergeCells>
  <phoneticPr fontId="4" type="noConversion"/>
  <pageMargins left="0.9" right="0.64" top="1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02">
    <tabColor rgb="FFFFFF00"/>
  </sheetPr>
  <dimension ref="A1:O31"/>
  <sheetViews>
    <sheetView showZeros="0" view="pageBreakPreview" zoomScale="55" zoomScaleSheetLayoutView="55" workbookViewId="0">
      <pane ySplit="5" topLeftCell="A6" activePane="bottomLeft" state="frozen"/>
      <selection activeCell="F13" sqref="F13:J13"/>
      <selection pane="bottomLeft" activeCell="C16" sqref="C16"/>
    </sheetView>
  </sheetViews>
  <sheetFormatPr defaultColWidth="8.88671875" defaultRowHeight="18" customHeight="1"/>
  <cols>
    <col min="1" max="1" width="13.88671875" style="431" customWidth="1"/>
    <col min="2" max="2" width="50.77734375" style="414" customWidth="1"/>
    <col min="3" max="3" width="40.77734375" style="414" customWidth="1"/>
    <col min="4" max="11" width="21.77734375" style="414" customWidth="1"/>
    <col min="12" max="12" width="6.77734375" style="414" customWidth="1"/>
    <col min="13" max="13" width="9.77734375" style="414" customWidth="1"/>
    <col min="14" max="14" width="6.77734375" style="414" customWidth="1"/>
    <col min="15" max="15" width="23.6640625" style="414" customWidth="1"/>
    <col min="16" max="16384" width="8.88671875" style="414"/>
  </cols>
  <sheetData>
    <row r="1" spans="1:15" ht="11.25" customHeight="1"/>
    <row r="2" spans="1:15" ht="39.950000000000003" customHeight="1">
      <c r="B2" s="1360" t="e">
        <f>#REF!</f>
        <v>#REF!</v>
      </c>
      <c r="C2" s="1361"/>
      <c r="D2" s="1361"/>
      <c r="E2" s="1361"/>
      <c r="F2" s="1361"/>
      <c r="G2" s="1361"/>
      <c r="H2" s="1361"/>
      <c r="I2" s="1361"/>
      <c r="J2" s="1361"/>
      <c r="K2" s="1361"/>
      <c r="L2" s="1361"/>
      <c r="M2" s="1361"/>
      <c r="N2" s="1361"/>
    </row>
    <row r="3" spans="1:15" s="432" customFormat="1" ht="30" customHeight="1">
      <c r="A3" s="484"/>
      <c r="B3" s="1358" t="s">
        <v>517</v>
      </c>
      <c r="C3" s="1358" t="s">
        <v>721</v>
      </c>
      <c r="D3" s="1358" t="s">
        <v>841</v>
      </c>
      <c r="E3" s="1358"/>
      <c r="F3" s="1358"/>
      <c r="G3" s="1358"/>
      <c r="H3" s="1358"/>
      <c r="I3" s="1358"/>
      <c r="J3" s="1358"/>
      <c r="K3" s="1359"/>
      <c r="L3" s="1358" t="s">
        <v>506</v>
      </c>
      <c r="M3" s="1358" t="s">
        <v>34</v>
      </c>
      <c r="N3" s="1358" t="s">
        <v>35</v>
      </c>
    </row>
    <row r="4" spans="1:15" s="432" customFormat="1" ht="30" customHeight="1">
      <c r="A4" s="484"/>
      <c r="B4" s="1358"/>
      <c r="C4" s="1358"/>
      <c r="D4" s="1358" t="str">
        <f>'수량산출서(고재처리비)'!B4</f>
        <v>2. 고재처리비</v>
      </c>
      <c r="E4" s="1358">
        <f>'수량산출서(고재처리비)'!B15</f>
        <v>0</v>
      </c>
      <c r="F4" s="1358"/>
      <c r="G4" s="1358"/>
      <c r="H4" s="1358"/>
      <c r="I4" s="1358"/>
      <c r="J4" s="1358"/>
      <c r="K4" s="1358"/>
      <c r="L4" s="1358"/>
      <c r="M4" s="1358"/>
      <c r="N4" s="1358"/>
    </row>
    <row r="5" spans="1:15" s="432" customFormat="1" ht="60" customHeight="1">
      <c r="A5" s="484"/>
      <c r="B5" s="1358"/>
      <c r="C5" s="1358"/>
      <c r="D5" s="1359"/>
      <c r="E5" s="1359"/>
      <c r="F5" s="1359"/>
      <c r="G5" s="1359"/>
      <c r="H5" s="1359"/>
      <c r="I5" s="1359"/>
      <c r="J5" s="1359"/>
      <c r="K5" s="1359"/>
      <c r="L5" s="1358"/>
      <c r="M5" s="1358"/>
      <c r="N5" s="1358"/>
    </row>
    <row r="6" spans="1:15" s="463" customFormat="1" ht="38.1" customHeight="1">
      <c r="A6" s="552" t="s">
        <v>823</v>
      </c>
      <c r="B6" s="553" t="s">
        <v>612</v>
      </c>
      <c r="C6" s="548"/>
      <c r="D6" s="548"/>
      <c r="E6" s="548"/>
      <c r="F6" s="548"/>
      <c r="G6" s="548"/>
      <c r="H6" s="548"/>
      <c r="I6" s="548"/>
      <c r="J6" s="548"/>
      <c r="K6" s="548"/>
      <c r="L6" s="548"/>
      <c r="M6" s="548"/>
      <c r="N6" s="548"/>
      <c r="O6" s="463">
        <f>SUM(M6:M31)</f>
        <v>0</v>
      </c>
    </row>
    <row r="7" spans="1:15" ht="38.1" customHeight="1">
      <c r="A7" s="653" t="e">
        <f>#REF!</f>
        <v>#REF!</v>
      </c>
      <c r="B7" s="549" t="e">
        <f>VLOOKUP(A7,#REF!,2,FALSE)</f>
        <v>#REF!</v>
      </c>
      <c r="C7" s="549" t="e">
        <f>VLOOKUP(A7,#REF!,3,FALSE)</f>
        <v>#REF!</v>
      </c>
      <c r="D7" s="550">
        <f>INT(IF(ISERROR(VLOOKUP($A7,고재1,6,FALSE)),0,VLOOKUP($A7,고재1,6,FALSE)))</f>
        <v>0</v>
      </c>
      <c r="E7" s="550">
        <f>INT(IF(ISERROR(VLOOKUP($A7,폐기물1,6,FALSE)),0,VLOOKUP($A7,폐기물1,6,FALSE)))</f>
        <v>0</v>
      </c>
      <c r="F7" s="550"/>
      <c r="G7" s="550"/>
      <c r="H7" s="550"/>
      <c r="I7" s="550"/>
      <c r="J7" s="550"/>
      <c r="K7" s="550"/>
      <c r="L7" s="550" t="e">
        <f>VLOOKUP(A7,#REF!,4,FALSE)</f>
        <v>#REF!</v>
      </c>
      <c r="M7" s="551">
        <f t="shared" ref="M7:M8" si="0">INT(SUM(D7:K7))</f>
        <v>0</v>
      </c>
      <c r="N7" s="550"/>
    </row>
    <row r="8" spans="1:15" ht="38.1" customHeight="1">
      <c r="A8" s="653" t="e">
        <f>#REF!</f>
        <v>#REF!</v>
      </c>
      <c r="B8" s="549" t="e">
        <f>VLOOKUP(A8,#REF!,2,FALSE)</f>
        <v>#REF!</v>
      </c>
      <c r="C8" s="549" t="e">
        <f>VLOOKUP(A8,#REF!,3,FALSE)</f>
        <v>#REF!</v>
      </c>
      <c r="D8" s="550">
        <f>INT(IF(ISERROR(VLOOKUP($A8,고재1,6,FALSE)),0,VLOOKUP($A8,고재1,6,FALSE)))</f>
        <v>0</v>
      </c>
      <c r="E8" s="550">
        <f>INT(IF(ISERROR(VLOOKUP($A8,폐기물1,6,FALSE)),0,VLOOKUP($A8,폐기물1,6,FALSE)))</f>
        <v>0</v>
      </c>
      <c r="F8" s="550"/>
      <c r="G8" s="550"/>
      <c r="H8" s="550"/>
      <c r="I8" s="550"/>
      <c r="J8" s="550"/>
      <c r="K8" s="550"/>
      <c r="L8" s="550" t="e">
        <f>VLOOKUP(A8,#REF!,4,FALSE)</f>
        <v>#REF!</v>
      </c>
      <c r="M8" s="551">
        <f t="shared" si="0"/>
        <v>0</v>
      </c>
      <c r="N8" s="550"/>
    </row>
    <row r="9" spans="1:15" ht="38.1" customHeight="1">
      <c r="A9" s="653"/>
      <c r="B9" s="549"/>
      <c r="C9" s="549"/>
      <c r="D9" s="550"/>
      <c r="E9" s="550"/>
      <c r="F9" s="550"/>
      <c r="G9" s="550"/>
      <c r="H9" s="550"/>
      <c r="I9" s="550"/>
      <c r="J9" s="550"/>
      <c r="K9" s="550"/>
      <c r="L9" s="550"/>
      <c r="M9" s="551"/>
      <c r="N9" s="550"/>
    </row>
    <row r="10" spans="1:15" ht="38.1" customHeight="1">
      <c r="A10" s="653"/>
      <c r="B10" s="549"/>
      <c r="C10" s="549"/>
      <c r="D10" s="550"/>
      <c r="E10" s="550"/>
      <c r="F10" s="550"/>
      <c r="G10" s="550"/>
      <c r="H10" s="550"/>
      <c r="I10" s="550"/>
      <c r="J10" s="550"/>
      <c r="K10" s="550"/>
      <c r="L10" s="550"/>
      <c r="M10" s="551"/>
      <c r="N10" s="550"/>
    </row>
    <row r="11" spans="1:15" ht="38.1" customHeight="1">
      <c r="A11" s="554"/>
      <c r="B11" s="549"/>
      <c r="C11" s="549"/>
      <c r="D11" s="550"/>
      <c r="E11" s="550"/>
      <c r="F11" s="550"/>
      <c r="G11" s="550"/>
      <c r="H11" s="550"/>
      <c r="I11" s="550"/>
      <c r="J11" s="550"/>
      <c r="K11" s="550"/>
      <c r="L11" s="550"/>
      <c r="M11" s="551"/>
      <c r="N11" s="550"/>
    </row>
    <row r="12" spans="1:15" ht="38.1" customHeight="1">
      <c r="A12" s="554"/>
      <c r="B12" s="549"/>
      <c r="C12" s="549"/>
      <c r="D12" s="550"/>
      <c r="E12" s="550"/>
      <c r="F12" s="550"/>
      <c r="G12" s="550"/>
      <c r="H12" s="550"/>
      <c r="I12" s="550"/>
      <c r="J12" s="550"/>
      <c r="K12" s="550"/>
      <c r="L12" s="550"/>
      <c r="M12" s="551"/>
      <c r="N12" s="550"/>
    </row>
    <row r="13" spans="1:15" ht="38.1" customHeight="1">
      <c r="A13" s="554"/>
      <c r="B13" s="549"/>
      <c r="C13" s="549"/>
      <c r="D13" s="550"/>
      <c r="E13" s="550"/>
      <c r="F13" s="550"/>
      <c r="G13" s="550"/>
      <c r="H13" s="550"/>
      <c r="I13" s="550"/>
      <c r="J13" s="550"/>
      <c r="K13" s="550"/>
      <c r="L13" s="550"/>
      <c r="M13" s="551"/>
      <c r="N13" s="550"/>
    </row>
    <row r="14" spans="1:15" ht="38.1" customHeight="1">
      <c r="A14" s="554"/>
      <c r="B14" s="549"/>
      <c r="C14" s="549"/>
      <c r="D14" s="550"/>
      <c r="E14" s="550"/>
      <c r="F14" s="550"/>
      <c r="G14" s="550"/>
      <c r="H14" s="550"/>
      <c r="I14" s="550"/>
      <c r="J14" s="550"/>
      <c r="K14" s="550"/>
      <c r="L14" s="550"/>
      <c r="M14" s="551"/>
      <c r="N14" s="550"/>
    </row>
    <row r="15" spans="1:15" ht="38.1" customHeight="1">
      <c r="A15" s="554"/>
      <c r="B15" s="549"/>
      <c r="C15" s="549"/>
      <c r="D15" s="550"/>
      <c r="E15" s="550"/>
      <c r="F15" s="550"/>
      <c r="G15" s="550"/>
      <c r="H15" s="550"/>
      <c r="I15" s="550"/>
      <c r="J15" s="550"/>
      <c r="K15" s="550"/>
      <c r="L15" s="550"/>
      <c r="M15" s="551"/>
      <c r="N15" s="550"/>
    </row>
    <row r="16" spans="1:15" ht="38.1" customHeight="1">
      <c r="A16" s="554"/>
      <c r="B16" s="549"/>
      <c r="C16" s="549"/>
      <c r="D16" s="550"/>
      <c r="E16" s="550"/>
      <c r="F16" s="550"/>
      <c r="G16" s="550"/>
      <c r="H16" s="550"/>
      <c r="I16" s="550"/>
      <c r="J16" s="550"/>
      <c r="K16" s="550"/>
      <c r="L16" s="550"/>
      <c r="M16" s="551"/>
      <c r="N16" s="550"/>
    </row>
    <row r="17" spans="1:14" ht="38.1" customHeight="1">
      <c r="A17" s="554"/>
      <c r="B17" s="549"/>
      <c r="C17" s="549"/>
      <c r="D17" s="550"/>
      <c r="E17" s="550"/>
      <c r="F17" s="550"/>
      <c r="G17" s="550"/>
      <c r="H17" s="550"/>
      <c r="I17" s="550"/>
      <c r="J17" s="550"/>
      <c r="K17" s="550"/>
      <c r="L17" s="550"/>
      <c r="M17" s="551"/>
      <c r="N17" s="550"/>
    </row>
    <row r="18" spans="1:14" ht="38.1" customHeight="1">
      <c r="A18" s="554"/>
      <c r="B18" s="549"/>
      <c r="C18" s="549"/>
      <c r="D18" s="550"/>
      <c r="E18" s="550"/>
      <c r="F18" s="550"/>
      <c r="G18" s="550"/>
      <c r="H18" s="550"/>
      <c r="I18" s="550"/>
      <c r="J18" s="550"/>
      <c r="K18" s="550"/>
      <c r="L18" s="550"/>
      <c r="M18" s="551"/>
      <c r="N18" s="550"/>
    </row>
    <row r="19" spans="1:14" ht="38.1" customHeight="1">
      <c r="A19" s="554"/>
      <c r="B19" s="549"/>
      <c r="C19" s="549"/>
      <c r="D19" s="550"/>
      <c r="E19" s="550"/>
      <c r="F19" s="550"/>
      <c r="G19" s="550"/>
      <c r="H19" s="550"/>
      <c r="I19" s="550"/>
      <c r="J19" s="550"/>
      <c r="K19" s="550"/>
      <c r="L19" s="550"/>
      <c r="M19" s="551"/>
      <c r="N19" s="550"/>
    </row>
    <row r="20" spans="1:14" ht="38.1" customHeight="1">
      <c r="A20" s="554"/>
      <c r="B20" s="549"/>
      <c r="C20" s="549"/>
      <c r="D20" s="550"/>
      <c r="E20" s="550"/>
      <c r="F20" s="550"/>
      <c r="G20" s="550"/>
      <c r="H20" s="550"/>
      <c r="I20" s="550"/>
      <c r="J20" s="550"/>
      <c r="K20" s="550"/>
      <c r="L20" s="550"/>
      <c r="M20" s="551"/>
      <c r="N20" s="550"/>
    </row>
    <row r="21" spans="1:14" ht="38.1" customHeight="1">
      <c r="A21" s="554"/>
      <c r="B21" s="549"/>
      <c r="C21" s="549"/>
      <c r="D21" s="550"/>
      <c r="E21" s="550"/>
      <c r="F21" s="550"/>
      <c r="G21" s="550"/>
      <c r="H21" s="550"/>
      <c r="I21" s="550"/>
      <c r="J21" s="550"/>
      <c r="K21" s="550"/>
      <c r="L21" s="550"/>
      <c r="M21" s="551"/>
      <c r="N21" s="550"/>
    </row>
    <row r="22" spans="1:14" ht="38.1" customHeight="1">
      <c r="A22" s="554"/>
      <c r="B22" s="549"/>
      <c r="C22" s="549"/>
      <c r="D22" s="550"/>
      <c r="E22" s="550"/>
      <c r="F22" s="550"/>
      <c r="G22" s="550"/>
      <c r="H22" s="550"/>
      <c r="I22" s="550"/>
      <c r="J22" s="550"/>
      <c r="K22" s="550"/>
      <c r="L22" s="550"/>
      <c r="M22" s="551"/>
      <c r="N22" s="550"/>
    </row>
    <row r="23" spans="1:14" ht="38.1" customHeight="1">
      <c r="A23" s="554"/>
      <c r="B23" s="549"/>
      <c r="C23" s="549"/>
      <c r="D23" s="550"/>
      <c r="E23" s="550"/>
      <c r="F23" s="550"/>
      <c r="G23" s="550"/>
      <c r="H23" s="550"/>
      <c r="I23" s="550"/>
      <c r="J23" s="550"/>
      <c r="K23" s="550"/>
      <c r="L23" s="550"/>
      <c r="M23" s="551"/>
      <c r="N23" s="550"/>
    </row>
    <row r="24" spans="1:14" ht="38.1" customHeight="1">
      <c r="A24" s="554"/>
      <c r="B24" s="549"/>
      <c r="C24" s="549"/>
      <c r="D24" s="550"/>
      <c r="E24" s="550"/>
      <c r="F24" s="550"/>
      <c r="G24" s="550"/>
      <c r="H24" s="550"/>
      <c r="I24" s="550"/>
      <c r="J24" s="550"/>
      <c r="K24" s="550"/>
      <c r="L24" s="550"/>
      <c r="M24" s="551"/>
      <c r="N24" s="550"/>
    </row>
    <row r="25" spans="1:14" ht="38.1" customHeight="1">
      <c r="A25" s="554"/>
      <c r="B25" s="549"/>
      <c r="C25" s="549"/>
      <c r="D25" s="550"/>
      <c r="E25" s="550"/>
      <c r="F25" s="550"/>
      <c r="G25" s="550"/>
      <c r="H25" s="550"/>
      <c r="I25" s="550"/>
      <c r="J25" s="550"/>
      <c r="K25" s="550"/>
      <c r="L25" s="550"/>
      <c r="M25" s="551"/>
      <c r="N25" s="550"/>
    </row>
    <row r="26" spans="1:14" ht="38.1" customHeight="1">
      <c r="A26" s="554"/>
      <c r="B26" s="549"/>
      <c r="C26" s="549"/>
      <c r="D26" s="550"/>
      <c r="E26" s="550"/>
      <c r="F26" s="550"/>
      <c r="G26" s="550"/>
      <c r="H26" s="550"/>
      <c r="I26" s="550"/>
      <c r="J26" s="550"/>
      <c r="K26" s="550"/>
      <c r="L26" s="550"/>
      <c r="M26" s="551"/>
      <c r="N26" s="550"/>
    </row>
    <row r="27" spans="1:14" ht="38.1" customHeight="1">
      <c r="A27" s="554"/>
      <c r="B27" s="549"/>
      <c r="C27" s="549"/>
      <c r="D27" s="550"/>
      <c r="E27" s="550"/>
      <c r="F27" s="550"/>
      <c r="G27" s="550"/>
      <c r="H27" s="550"/>
      <c r="I27" s="550"/>
      <c r="J27" s="550"/>
      <c r="K27" s="550"/>
      <c r="L27" s="550"/>
      <c r="M27" s="551"/>
      <c r="N27" s="550"/>
    </row>
    <row r="28" spans="1:14" ht="38.1" customHeight="1">
      <c r="A28" s="554"/>
      <c r="B28" s="549"/>
      <c r="C28" s="549"/>
      <c r="D28" s="550"/>
      <c r="E28" s="550"/>
      <c r="F28" s="550"/>
      <c r="G28" s="550"/>
      <c r="H28" s="550"/>
      <c r="I28" s="550"/>
      <c r="J28" s="550"/>
      <c r="K28" s="550"/>
      <c r="L28" s="550"/>
      <c r="M28" s="551"/>
      <c r="N28" s="550"/>
    </row>
    <row r="29" spans="1:14" ht="38.1" customHeight="1">
      <c r="A29" s="554"/>
      <c r="B29" s="549"/>
      <c r="C29" s="549"/>
      <c r="D29" s="550"/>
      <c r="E29" s="550"/>
      <c r="F29" s="550"/>
      <c r="G29" s="550"/>
      <c r="H29" s="550"/>
      <c r="I29" s="550"/>
      <c r="J29" s="550"/>
      <c r="K29" s="550"/>
      <c r="L29" s="550"/>
      <c r="M29" s="551"/>
      <c r="N29" s="550"/>
    </row>
    <row r="30" spans="1:14" ht="38.1" customHeight="1">
      <c r="A30" s="554"/>
      <c r="B30" s="549"/>
      <c r="C30" s="549"/>
      <c r="D30" s="550"/>
      <c r="E30" s="550"/>
      <c r="F30" s="550"/>
      <c r="G30" s="550"/>
      <c r="H30" s="550"/>
      <c r="I30" s="550"/>
      <c r="J30" s="550"/>
      <c r="K30" s="550"/>
      <c r="L30" s="550"/>
      <c r="M30" s="551"/>
      <c r="N30" s="550"/>
    </row>
    <row r="31" spans="1:14" ht="38.1" customHeight="1">
      <c r="A31" s="554"/>
      <c r="B31" s="593"/>
      <c r="C31" s="593"/>
      <c r="D31" s="594"/>
      <c r="E31" s="594"/>
      <c r="F31" s="594"/>
      <c r="G31" s="594"/>
      <c r="H31" s="594"/>
      <c r="I31" s="594"/>
      <c r="J31" s="594"/>
      <c r="K31" s="594"/>
      <c r="L31" s="594"/>
      <c r="M31" s="595"/>
      <c r="N31" s="594"/>
    </row>
  </sheetData>
  <mergeCells count="15">
    <mergeCell ref="H4:H5"/>
    <mergeCell ref="I4:I5"/>
    <mergeCell ref="J4:J5"/>
    <mergeCell ref="K4:K5"/>
    <mergeCell ref="B2:N2"/>
    <mergeCell ref="B3:B5"/>
    <mergeCell ref="C3:C5"/>
    <mergeCell ref="D3:K3"/>
    <mergeCell ref="L3:L5"/>
    <mergeCell ref="M3:M5"/>
    <mergeCell ref="N3:N5"/>
    <mergeCell ref="D4:D5"/>
    <mergeCell ref="E4:E5"/>
    <mergeCell ref="G4:G5"/>
    <mergeCell ref="F4:F5"/>
  </mergeCells>
  <phoneticPr fontId="4" type="noConversion"/>
  <printOptions horizontalCentered="1" verticalCentered="1"/>
  <pageMargins left="0.59055118110236227" right="0.39370078740157483" top="0.59055118110236227" bottom="0.78740157480314965" header="0.39370078740157483" footer="0.19685039370078741"/>
  <pageSetup paperSize="9" scale="41" orientation="landscape" r:id="rId1"/>
  <headerFooter alignWithMargins="0">
    <oddHeader>&amp;C&amp;"맑은 고딕,굵게"&amp;20&amp;U산 출 집 계 표 [고재처리]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01">
    <tabColor rgb="FF92D050"/>
  </sheetPr>
  <dimension ref="A1:M297"/>
  <sheetViews>
    <sheetView showZeros="0" view="pageBreakPreview" zoomScale="55" zoomScaleNormal="55" zoomScaleSheetLayoutView="55" workbookViewId="0">
      <pane ySplit="4" topLeftCell="A5" activePane="bottomLeft" state="frozen"/>
      <selection activeCell="C238" sqref="C238"/>
      <selection pane="bottomLeft" activeCell="D290" sqref="D290"/>
    </sheetView>
  </sheetViews>
  <sheetFormatPr defaultColWidth="8.88671875" defaultRowHeight="18" customHeight="1"/>
  <cols>
    <col min="1" max="1" width="29.44140625" style="431" customWidth="1"/>
    <col min="2" max="3" width="50.77734375" style="414" customWidth="1"/>
    <col min="4" max="10" width="25.77734375" style="414" customWidth="1"/>
    <col min="11" max="11" width="6.77734375" style="414" customWidth="1"/>
    <col min="12" max="12" width="9.77734375" style="414" customWidth="1"/>
    <col min="13" max="13" width="6.77734375" style="414" customWidth="1"/>
    <col min="14" max="15" width="20.77734375" style="414" customWidth="1"/>
    <col min="16" max="16384" width="8.88671875" style="414"/>
  </cols>
  <sheetData>
    <row r="1" spans="1:13" ht="11.25" customHeight="1">
      <c r="G1" s="59" t="s">
        <v>861</v>
      </c>
    </row>
    <row r="2" spans="1:13" ht="39.950000000000003" customHeight="1">
      <c r="B2" s="1360" t="e">
        <f>#REF!</f>
        <v>#REF!</v>
      </c>
      <c r="C2" s="1361"/>
      <c r="D2" s="1361"/>
      <c r="E2" s="1361"/>
      <c r="F2" s="1361"/>
      <c r="G2" s="1361"/>
      <c r="H2" s="1361"/>
      <c r="I2" s="1362"/>
      <c r="J2" s="1362"/>
      <c r="K2" s="1361"/>
      <c r="L2" s="1361"/>
      <c r="M2" s="1361"/>
    </row>
    <row r="3" spans="1:13" s="432" customFormat="1" ht="30" customHeight="1">
      <c r="A3" s="484"/>
      <c r="B3" s="1363" t="s">
        <v>32</v>
      </c>
      <c r="C3" s="1363" t="s">
        <v>33</v>
      </c>
      <c r="D3" s="1365" t="s">
        <v>722</v>
      </c>
      <c r="E3" s="1366"/>
      <c r="F3" s="1366"/>
      <c r="G3" s="1366"/>
      <c r="H3" s="1366"/>
      <c r="I3" s="1366"/>
      <c r="J3" s="1367"/>
      <c r="K3" s="1368" t="s">
        <v>30</v>
      </c>
      <c r="L3" s="1368" t="s">
        <v>34</v>
      </c>
      <c r="M3" s="1368" t="s">
        <v>35</v>
      </c>
    </row>
    <row r="4" spans="1:13" s="432" customFormat="1" ht="30" customHeight="1">
      <c r="A4" s="949" t="s">
        <v>875</v>
      </c>
      <c r="B4" s="1364"/>
      <c r="C4" s="1364"/>
      <c r="D4" s="959" t="s">
        <v>873</v>
      </c>
      <c r="E4" s="959" t="s">
        <v>874</v>
      </c>
      <c r="F4" s="959"/>
      <c r="G4" s="959"/>
      <c r="H4" s="959"/>
      <c r="I4" s="959"/>
      <c r="J4" s="959"/>
      <c r="K4" s="1369"/>
      <c r="L4" s="1369"/>
      <c r="M4" s="1369"/>
    </row>
    <row r="5" spans="1:13" s="950" customFormat="1" ht="30" customHeight="1">
      <c r="A5" s="952" t="e">
        <f>#REF!</f>
        <v>#REF!</v>
      </c>
      <c r="B5" s="960" t="e">
        <f>VLOOKUP(A5,#REF!,2,FALSE)</f>
        <v>#REF!</v>
      </c>
      <c r="C5" s="961" t="e">
        <f>VLOOKUP(A5,#REF!,3,FALSE)</f>
        <v>#REF!</v>
      </c>
      <c r="D5" s="962">
        <f t="shared" ref="D5:D68" si="0">INT(IF(ISERROR(VLOOKUP($A5,산출집계1,6,FALSE)),0,VLOOKUP($A5,산출집계1,12,FALSE)))</f>
        <v>0</v>
      </c>
      <c r="E5" s="962">
        <f t="shared" ref="E5:E68" si="1">INT(IF(ISERROR(VLOOKUP($A5,산출집계2,6,FALSE)),0,VLOOKUP($A5,산출집계2,12,FALSE)))</f>
        <v>0</v>
      </c>
      <c r="F5" s="962">
        <f t="shared" ref="F5:F68" si="2">INT(IF(ISERROR(VLOOKUP($A5,산출집계3,6,FALSE)),0,VLOOKUP($A5,산출집계3,12,FALSE)))</f>
        <v>0</v>
      </c>
      <c r="G5" s="962"/>
      <c r="H5" s="962"/>
      <c r="I5" s="962"/>
      <c r="J5" s="962"/>
      <c r="K5" s="962" t="e">
        <f>VLOOKUP(A5,#REF!,4,FALSE)</f>
        <v>#REF!</v>
      </c>
      <c r="L5" s="963">
        <f>INT(SUM(D5:J5))</f>
        <v>0</v>
      </c>
      <c r="M5" s="964"/>
    </row>
    <row r="6" spans="1:13" s="950" customFormat="1" ht="30" customHeight="1">
      <c r="A6" s="952" t="e">
        <f>#REF!</f>
        <v>#REF!</v>
      </c>
      <c r="B6" s="960" t="e">
        <f>VLOOKUP(A6,#REF!,2,FALSE)</f>
        <v>#REF!</v>
      </c>
      <c r="C6" s="961" t="e">
        <f>VLOOKUP(A6,#REF!,3,FALSE)</f>
        <v>#REF!</v>
      </c>
      <c r="D6" s="962">
        <f t="shared" si="0"/>
        <v>0</v>
      </c>
      <c r="E6" s="962">
        <f t="shared" si="1"/>
        <v>0</v>
      </c>
      <c r="F6" s="962">
        <f t="shared" si="2"/>
        <v>0</v>
      </c>
      <c r="G6" s="962"/>
      <c r="H6" s="962"/>
      <c r="I6" s="962"/>
      <c r="J6" s="962"/>
      <c r="K6" s="962" t="e">
        <f>VLOOKUP(A6,#REF!,4,FALSE)</f>
        <v>#REF!</v>
      </c>
      <c r="L6" s="963">
        <f t="shared" ref="L6:L69" si="3">INT(SUM(D6:J6))</f>
        <v>0</v>
      </c>
      <c r="M6" s="964"/>
    </row>
    <row r="7" spans="1:13" s="950" customFormat="1" ht="30" customHeight="1">
      <c r="A7" s="952" t="e">
        <f>#REF!</f>
        <v>#REF!</v>
      </c>
      <c r="B7" s="960" t="e">
        <f>VLOOKUP(A7,#REF!,2,FALSE)</f>
        <v>#REF!</v>
      </c>
      <c r="C7" s="961" t="e">
        <f>VLOOKUP(A7,#REF!,3,FALSE)</f>
        <v>#REF!</v>
      </c>
      <c r="D7" s="962">
        <f t="shared" si="0"/>
        <v>0</v>
      </c>
      <c r="E7" s="962">
        <f t="shared" si="1"/>
        <v>0</v>
      </c>
      <c r="F7" s="962">
        <f t="shared" si="2"/>
        <v>0</v>
      </c>
      <c r="G7" s="962"/>
      <c r="H7" s="962"/>
      <c r="I7" s="962"/>
      <c r="J7" s="962"/>
      <c r="K7" s="962" t="e">
        <f>VLOOKUP(A7,#REF!,4,FALSE)</f>
        <v>#REF!</v>
      </c>
      <c r="L7" s="963">
        <f t="shared" si="3"/>
        <v>0</v>
      </c>
      <c r="M7" s="964"/>
    </row>
    <row r="8" spans="1:13" s="950" customFormat="1" ht="30" customHeight="1">
      <c r="A8" s="952" t="e">
        <f>#REF!</f>
        <v>#REF!</v>
      </c>
      <c r="B8" s="960" t="e">
        <f>VLOOKUP(A8,#REF!,2,FALSE)</f>
        <v>#REF!</v>
      </c>
      <c r="C8" s="961" t="e">
        <f>VLOOKUP(A8,#REF!,3,FALSE)</f>
        <v>#REF!</v>
      </c>
      <c r="D8" s="962">
        <f t="shared" si="0"/>
        <v>0</v>
      </c>
      <c r="E8" s="962">
        <f t="shared" si="1"/>
        <v>0</v>
      </c>
      <c r="F8" s="962">
        <f t="shared" si="2"/>
        <v>0</v>
      </c>
      <c r="G8" s="962"/>
      <c r="H8" s="962"/>
      <c r="I8" s="962"/>
      <c r="J8" s="962"/>
      <c r="K8" s="962" t="e">
        <f>VLOOKUP(A8,#REF!,4,FALSE)</f>
        <v>#REF!</v>
      </c>
      <c r="L8" s="963">
        <f t="shared" si="3"/>
        <v>0</v>
      </c>
      <c r="M8" s="964"/>
    </row>
    <row r="9" spans="1:13" s="950" customFormat="1" ht="30" customHeight="1">
      <c r="A9" s="952" t="e">
        <f>#REF!</f>
        <v>#REF!</v>
      </c>
      <c r="B9" s="960" t="e">
        <f>VLOOKUP(A9,#REF!,2,FALSE)</f>
        <v>#REF!</v>
      </c>
      <c r="C9" s="961" t="e">
        <f>VLOOKUP(A9,#REF!,3,FALSE)</f>
        <v>#REF!</v>
      </c>
      <c r="D9" s="962">
        <f t="shared" si="0"/>
        <v>0</v>
      </c>
      <c r="E9" s="962">
        <f t="shared" si="1"/>
        <v>0</v>
      </c>
      <c r="F9" s="962">
        <f t="shared" si="2"/>
        <v>0</v>
      </c>
      <c r="G9" s="962"/>
      <c r="H9" s="962"/>
      <c r="I9" s="962"/>
      <c r="J9" s="962"/>
      <c r="K9" s="962" t="e">
        <f>VLOOKUP(A9,#REF!,4,FALSE)</f>
        <v>#REF!</v>
      </c>
      <c r="L9" s="963">
        <f t="shared" si="3"/>
        <v>0</v>
      </c>
      <c r="M9" s="964"/>
    </row>
    <row r="10" spans="1:13" s="950" customFormat="1" ht="30" customHeight="1">
      <c r="A10" s="952" t="e">
        <f>#REF!</f>
        <v>#REF!</v>
      </c>
      <c r="B10" s="960" t="e">
        <f>VLOOKUP(A10,#REF!,2,FALSE)</f>
        <v>#REF!</v>
      </c>
      <c r="C10" s="961" t="e">
        <f>VLOOKUP(A10,#REF!,3,FALSE)</f>
        <v>#REF!</v>
      </c>
      <c r="D10" s="962">
        <f t="shared" si="0"/>
        <v>0</v>
      </c>
      <c r="E10" s="962">
        <f t="shared" si="1"/>
        <v>0</v>
      </c>
      <c r="F10" s="962">
        <f t="shared" si="2"/>
        <v>0</v>
      </c>
      <c r="G10" s="962"/>
      <c r="H10" s="962"/>
      <c r="I10" s="962"/>
      <c r="J10" s="962"/>
      <c r="K10" s="962" t="e">
        <f>VLOOKUP(A10,#REF!,4,FALSE)</f>
        <v>#REF!</v>
      </c>
      <c r="L10" s="963">
        <f t="shared" si="3"/>
        <v>0</v>
      </c>
      <c r="M10" s="964"/>
    </row>
    <row r="11" spans="1:13" s="950" customFormat="1" ht="30" customHeight="1">
      <c r="A11" s="952" t="e">
        <f>#REF!</f>
        <v>#REF!</v>
      </c>
      <c r="B11" s="960" t="e">
        <f>VLOOKUP(A11,#REF!,2,FALSE)</f>
        <v>#REF!</v>
      </c>
      <c r="C11" s="961" t="e">
        <f>VLOOKUP(A11,#REF!,3,FALSE)</f>
        <v>#REF!</v>
      </c>
      <c r="D11" s="962">
        <f t="shared" si="0"/>
        <v>0</v>
      </c>
      <c r="E11" s="962">
        <f t="shared" si="1"/>
        <v>0</v>
      </c>
      <c r="F11" s="962">
        <f t="shared" si="2"/>
        <v>0</v>
      </c>
      <c r="G11" s="962"/>
      <c r="H11" s="962"/>
      <c r="I11" s="962"/>
      <c r="J11" s="962"/>
      <c r="K11" s="962" t="e">
        <f>VLOOKUP(A11,#REF!,4,FALSE)</f>
        <v>#REF!</v>
      </c>
      <c r="L11" s="963">
        <f t="shared" si="3"/>
        <v>0</v>
      </c>
      <c r="M11" s="964"/>
    </row>
    <row r="12" spans="1:13" s="950" customFormat="1" ht="30" customHeight="1">
      <c r="A12" s="952" t="e">
        <f>#REF!</f>
        <v>#REF!</v>
      </c>
      <c r="B12" s="960" t="e">
        <f>VLOOKUP(A12,#REF!,2,FALSE)</f>
        <v>#REF!</v>
      </c>
      <c r="C12" s="961" t="e">
        <f>VLOOKUP(A12,#REF!,3,FALSE)</f>
        <v>#REF!</v>
      </c>
      <c r="D12" s="962">
        <f t="shared" si="0"/>
        <v>0</v>
      </c>
      <c r="E12" s="962">
        <f t="shared" si="1"/>
        <v>0</v>
      </c>
      <c r="F12" s="962">
        <f t="shared" si="2"/>
        <v>0</v>
      </c>
      <c r="G12" s="962"/>
      <c r="H12" s="962"/>
      <c r="I12" s="962"/>
      <c r="J12" s="962"/>
      <c r="K12" s="962" t="e">
        <f>VLOOKUP(A12,#REF!,4,FALSE)</f>
        <v>#REF!</v>
      </c>
      <c r="L12" s="963">
        <f t="shared" si="3"/>
        <v>0</v>
      </c>
      <c r="M12" s="964"/>
    </row>
    <row r="13" spans="1:13" s="950" customFormat="1" ht="30" customHeight="1">
      <c r="A13" s="952" t="e">
        <f>#REF!</f>
        <v>#REF!</v>
      </c>
      <c r="B13" s="960" t="e">
        <f>VLOOKUP(A13,#REF!,2,FALSE)</f>
        <v>#REF!</v>
      </c>
      <c r="C13" s="961" t="e">
        <f>VLOOKUP(A13,#REF!,3,FALSE)</f>
        <v>#REF!</v>
      </c>
      <c r="D13" s="962">
        <f t="shared" si="0"/>
        <v>0</v>
      </c>
      <c r="E13" s="962">
        <f t="shared" si="1"/>
        <v>0</v>
      </c>
      <c r="F13" s="962">
        <f t="shared" si="2"/>
        <v>0</v>
      </c>
      <c r="G13" s="962"/>
      <c r="H13" s="962"/>
      <c r="I13" s="962"/>
      <c r="J13" s="962"/>
      <c r="K13" s="962" t="e">
        <f>VLOOKUP(A13,#REF!,4,FALSE)</f>
        <v>#REF!</v>
      </c>
      <c r="L13" s="963">
        <f t="shared" si="3"/>
        <v>0</v>
      </c>
      <c r="M13" s="964"/>
    </row>
    <row r="14" spans="1:13" s="950" customFormat="1" ht="30" customHeight="1">
      <c r="A14" s="952" t="e">
        <f>#REF!</f>
        <v>#REF!</v>
      </c>
      <c r="B14" s="960" t="e">
        <f>VLOOKUP(A14,#REF!,2,FALSE)</f>
        <v>#REF!</v>
      </c>
      <c r="C14" s="961" t="e">
        <f>VLOOKUP(A14,#REF!,3,FALSE)</f>
        <v>#REF!</v>
      </c>
      <c r="D14" s="962">
        <f t="shared" si="0"/>
        <v>0</v>
      </c>
      <c r="E14" s="962">
        <f t="shared" si="1"/>
        <v>0</v>
      </c>
      <c r="F14" s="962">
        <f t="shared" si="2"/>
        <v>0</v>
      </c>
      <c r="G14" s="962"/>
      <c r="H14" s="962"/>
      <c r="I14" s="962"/>
      <c r="J14" s="962"/>
      <c r="K14" s="962" t="e">
        <f>VLOOKUP(A14,#REF!,4,FALSE)</f>
        <v>#REF!</v>
      </c>
      <c r="L14" s="963">
        <f t="shared" si="3"/>
        <v>0</v>
      </c>
      <c r="M14" s="964"/>
    </row>
    <row r="15" spans="1:13" s="950" customFormat="1" ht="30" customHeight="1">
      <c r="A15" s="952" t="e">
        <f>#REF!</f>
        <v>#REF!</v>
      </c>
      <c r="B15" s="960" t="e">
        <f>VLOOKUP(A15,#REF!,2,FALSE)</f>
        <v>#REF!</v>
      </c>
      <c r="C15" s="961" t="e">
        <f>VLOOKUP(A15,#REF!,3,FALSE)</f>
        <v>#REF!</v>
      </c>
      <c r="D15" s="962">
        <f t="shared" si="0"/>
        <v>0</v>
      </c>
      <c r="E15" s="962">
        <f t="shared" si="1"/>
        <v>0</v>
      </c>
      <c r="F15" s="962">
        <f t="shared" si="2"/>
        <v>0</v>
      </c>
      <c r="G15" s="962"/>
      <c r="H15" s="962"/>
      <c r="I15" s="962"/>
      <c r="J15" s="962"/>
      <c r="K15" s="962" t="e">
        <f>VLOOKUP(A15,#REF!,4,FALSE)</f>
        <v>#REF!</v>
      </c>
      <c r="L15" s="963">
        <f t="shared" si="3"/>
        <v>0</v>
      </c>
      <c r="M15" s="964"/>
    </row>
    <row r="16" spans="1:13" s="948" customFormat="1" ht="30" customHeight="1">
      <c r="A16" s="952" t="e">
        <f>#REF!</f>
        <v>#REF!</v>
      </c>
      <c r="B16" s="960" t="e">
        <f>VLOOKUP(A16,#REF!,2,FALSE)</f>
        <v>#REF!</v>
      </c>
      <c r="C16" s="961" t="e">
        <f>VLOOKUP(A16,#REF!,3,FALSE)</f>
        <v>#REF!</v>
      </c>
      <c r="D16" s="962">
        <f t="shared" si="0"/>
        <v>0</v>
      </c>
      <c r="E16" s="962">
        <f t="shared" si="1"/>
        <v>0</v>
      </c>
      <c r="F16" s="962">
        <f t="shared" si="2"/>
        <v>0</v>
      </c>
      <c r="G16" s="962"/>
      <c r="H16" s="962"/>
      <c r="I16" s="962"/>
      <c r="J16" s="962"/>
      <c r="K16" s="962" t="e">
        <f>VLOOKUP(A16,#REF!,4,FALSE)</f>
        <v>#REF!</v>
      </c>
      <c r="L16" s="963">
        <f t="shared" si="3"/>
        <v>0</v>
      </c>
      <c r="M16" s="964"/>
    </row>
    <row r="17" spans="1:13" s="948" customFormat="1" ht="30" customHeight="1">
      <c r="A17" s="952" t="e">
        <f>#REF!</f>
        <v>#REF!</v>
      </c>
      <c r="B17" s="960" t="e">
        <f>VLOOKUP(A17,#REF!,2,FALSE)</f>
        <v>#REF!</v>
      </c>
      <c r="C17" s="961" t="e">
        <f>VLOOKUP(A17,#REF!,3,FALSE)</f>
        <v>#REF!</v>
      </c>
      <c r="D17" s="962">
        <f t="shared" si="0"/>
        <v>0</v>
      </c>
      <c r="E17" s="962">
        <f t="shared" si="1"/>
        <v>0</v>
      </c>
      <c r="F17" s="962">
        <f t="shared" si="2"/>
        <v>0</v>
      </c>
      <c r="G17" s="962"/>
      <c r="H17" s="962"/>
      <c r="I17" s="962"/>
      <c r="J17" s="962"/>
      <c r="K17" s="962" t="e">
        <f>VLOOKUP(A17,#REF!,4,FALSE)</f>
        <v>#REF!</v>
      </c>
      <c r="L17" s="963">
        <f t="shared" si="3"/>
        <v>0</v>
      </c>
      <c r="M17" s="964"/>
    </row>
    <row r="18" spans="1:13" s="948" customFormat="1" ht="30" customHeight="1">
      <c r="A18" s="952" t="e">
        <f>#REF!</f>
        <v>#REF!</v>
      </c>
      <c r="B18" s="960" t="e">
        <f>VLOOKUP(A18,#REF!,2,FALSE)</f>
        <v>#REF!</v>
      </c>
      <c r="C18" s="961" t="e">
        <f>VLOOKUP(A18,#REF!,3,FALSE)</f>
        <v>#REF!</v>
      </c>
      <c r="D18" s="962">
        <f t="shared" si="0"/>
        <v>0</v>
      </c>
      <c r="E18" s="962">
        <f t="shared" si="1"/>
        <v>0</v>
      </c>
      <c r="F18" s="962">
        <f t="shared" si="2"/>
        <v>0</v>
      </c>
      <c r="G18" s="962"/>
      <c r="H18" s="962"/>
      <c r="I18" s="962"/>
      <c r="J18" s="962"/>
      <c r="K18" s="962" t="e">
        <f>VLOOKUP(A18,#REF!,4,FALSE)</f>
        <v>#REF!</v>
      </c>
      <c r="L18" s="963">
        <f t="shared" si="3"/>
        <v>0</v>
      </c>
      <c r="M18" s="964"/>
    </row>
    <row r="19" spans="1:13" ht="30" customHeight="1">
      <c r="A19" s="952" t="e">
        <f>#REF!</f>
        <v>#REF!</v>
      </c>
      <c r="B19" s="960" t="e">
        <f>VLOOKUP(A19,#REF!,2,FALSE)</f>
        <v>#REF!</v>
      </c>
      <c r="C19" s="961" t="e">
        <f>VLOOKUP(A19,#REF!,3,FALSE)</f>
        <v>#REF!</v>
      </c>
      <c r="D19" s="962">
        <f t="shared" si="0"/>
        <v>0</v>
      </c>
      <c r="E19" s="962">
        <f t="shared" si="1"/>
        <v>0</v>
      </c>
      <c r="F19" s="962">
        <f t="shared" si="2"/>
        <v>0</v>
      </c>
      <c r="G19" s="962"/>
      <c r="H19" s="962"/>
      <c r="I19" s="962"/>
      <c r="J19" s="962"/>
      <c r="K19" s="962" t="e">
        <f>VLOOKUP(A19,#REF!,4,FALSE)</f>
        <v>#REF!</v>
      </c>
      <c r="L19" s="963">
        <f t="shared" si="3"/>
        <v>0</v>
      </c>
      <c r="M19" s="964"/>
    </row>
    <row r="20" spans="1:13" ht="30" customHeight="1">
      <c r="A20" s="952" t="e">
        <f>#REF!</f>
        <v>#REF!</v>
      </c>
      <c r="B20" s="960" t="e">
        <f>VLOOKUP(A20,#REF!,2,FALSE)</f>
        <v>#REF!</v>
      </c>
      <c r="C20" s="961" t="e">
        <f>VLOOKUP(A20,#REF!,3,FALSE)</f>
        <v>#REF!</v>
      </c>
      <c r="D20" s="962">
        <f t="shared" si="0"/>
        <v>0</v>
      </c>
      <c r="E20" s="962">
        <f t="shared" si="1"/>
        <v>0</v>
      </c>
      <c r="F20" s="962">
        <f t="shared" si="2"/>
        <v>0</v>
      </c>
      <c r="G20" s="962"/>
      <c r="H20" s="962"/>
      <c r="I20" s="962"/>
      <c r="J20" s="962"/>
      <c r="K20" s="962" t="e">
        <f>VLOOKUP(A20,#REF!,4,FALSE)</f>
        <v>#REF!</v>
      </c>
      <c r="L20" s="963">
        <f t="shared" si="3"/>
        <v>0</v>
      </c>
      <c r="M20" s="964"/>
    </row>
    <row r="21" spans="1:13" ht="30" customHeight="1">
      <c r="A21" s="952" t="e">
        <f>#REF!</f>
        <v>#REF!</v>
      </c>
      <c r="B21" s="960" t="e">
        <f>VLOOKUP(A21,#REF!,2,FALSE)</f>
        <v>#REF!</v>
      </c>
      <c r="C21" s="961" t="e">
        <f>VLOOKUP(A21,#REF!,3,FALSE)</f>
        <v>#REF!</v>
      </c>
      <c r="D21" s="962">
        <f t="shared" si="0"/>
        <v>0</v>
      </c>
      <c r="E21" s="962">
        <f t="shared" si="1"/>
        <v>0</v>
      </c>
      <c r="F21" s="962">
        <f t="shared" si="2"/>
        <v>0</v>
      </c>
      <c r="G21" s="962"/>
      <c r="H21" s="962"/>
      <c r="I21" s="962"/>
      <c r="J21" s="962"/>
      <c r="K21" s="962" t="e">
        <f>VLOOKUP(A21,#REF!,4,FALSE)</f>
        <v>#REF!</v>
      </c>
      <c r="L21" s="963">
        <f t="shared" si="3"/>
        <v>0</v>
      </c>
      <c r="M21" s="964"/>
    </row>
    <row r="22" spans="1:13" ht="30" customHeight="1">
      <c r="A22" s="952" t="e">
        <f>#REF!</f>
        <v>#REF!</v>
      </c>
      <c r="B22" s="960" t="e">
        <f>VLOOKUP(A22,#REF!,2,FALSE)</f>
        <v>#REF!</v>
      </c>
      <c r="C22" s="961" t="e">
        <f>VLOOKUP(A22,#REF!,3,FALSE)</f>
        <v>#REF!</v>
      </c>
      <c r="D22" s="962">
        <f t="shared" si="0"/>
        <v>0</v>
      </c>
      <c r="E22" s="962">
        <f t="shared" si="1"/>
        <v>0</v>
      </c>
      <c r="F22" s="962">
        <f t="shared" si="2"/>
        <v>0</v>
      </c>
      <c r="G22" s="962"/>
      <c r="H22" s="962"/>
      <c r="I22" s="962"/>
      <c r="J22" s="962"/>
      <c r="K22" s="962" t="e">
        <f>VLOOKUP(A22,#REF!,4,FALSE)</f>
        <v>#REF!</v>
      </c>
      <c r="L22" s="963">
        <f t="shared" si="3"/>
        <v>0</v>
      </c>
      <c r="M22" s="964"/>
    </row>
    <row r="23" spans="1:13" ht="30" customHeight="1">
      <c r="A23" s="952" t="e">
        <f>#REF!</f>
        <v>#REF!</v>
      </c>
      <c r="B23" s="960" t="e">
        <f>VLOOKUP(A23,#REF!,2,FALSE)</f>
        <v>#REF!</v>
      </c>
      <c r="C23" s="961" t="e">
        <f>VLOOKUP(A23,#REF!,3,FALSE)</f>
        <v>#REF!</v>
      </c>
      <c r="D23" s="962">
        <f t="shared" si="0"/>
        <v>0</v>
      </c>
      <c r="E23" s="962">
        <f t="shared" si="1"/>
        <v>0</v>
      </c>
      <c r="F23" s="962">
        <f t="shared" si="2"/>
        <v>0</v>
      </c>
      <c r="G23" s="962"/>
      <c r="H23" s="962"/>
      <c r="I23" s="962"/>
      <c r="J23" s="962"/>
      <c r="K23" s="962" t="e">
        <f>VLOOKUP(A23,#REF!,4,FALSE)</f>
        <v>#REF!</v>
      </c>
      <c r="L23" s="963">
        <f t="shared" si="3"/>
        <v>0</v>
      </c>
      <c r="M23" s="964"/>
    </row>
    <row r="24" spans="1:13" ht="30" customHeight="1">
      <c r="A24" s="952" t="e">
        <f>#REF!</f>
        <v>#REF!</v>
      </c>
      <c r="B24" s="960" t="e">
        <f>VLOOKUP(A24,#REF!,2,FALSE)</f>
        <v>#REF!</v>
      </c>
      <c r="C24" s="961" t="e">
        <f>VLOOKUP(A24,#REF!,3,FALSE)</f>
        <v>#REF!</v>
      </c>
      <c r="D24" s="962">
        <f t="shared" si="0"/>
        <v>0</v>
      </c>
      <c r="E24" s="962">
        <f t="shared" si="1"/>
        <v>0</v>
      </c>
      <c r="F24" s="962">
        <f t="shared" si="2"/>
        <v>0</v>
      </c>
      <c r="G24" s="962"/>
      <c r="H24" s="962"/>
      <c r="I24" s="962"/>
      <c r="J24" s="962"/>
      <c r="K24" s="962" t="e">
        <f>VLOOKUP(A24,#REF!,4,FALSE)</f>
        <v>#REF!</v>
      </c>
      <c r="L24" s="963">
        <f t="shared" si="3"/>
        <v>0</v>
      </c>
      <c r="M24" s="964"/>
    </row>
    <row r="25" spans="1:13" ht="30" customHeight="1">
      <c r="A25" s="952" t="e">
        <f>#REF!</f>
        <v>#REF!</v>
      </c>
      <c r="B25" s="960" t="e">
        <f>VLOOKUP(A25,#REF!,2,FALSE)</f>
        <v>#REF!</v>
      </c>
      <c r="C25" s="961" t="e">
        <f>VLOOKUP(A25,#REF!,3,FALSE)</f>
        <v>#REF!</v>
      </c>
      <c r="D25" s="962">
        <f t="shared" si="0"/>
        <v>0</v>
      </c>
      <c r="E25" s="962">
        <f t="shared" si="1"/>
        <v>0</v>
      </c>
      <c r="F25" s="962">
        <f t="shared" si="2"/>
        <v>0</v>
      </c>
      <c r="G25" s="962"/>
      <c r="H25" s="962"/>
      <c r="I25" s="962"/>
      <c r="J25" s="962"/>
      <c r="K25" s="962" t="e">
        <f>VLOOKUP(A25,#REF!,4,FALSE)</f>
        <v>#REF!</v>
      </c>
      <c r="L25" s="963">
        <f t="shared" si="3"/>
        <v>0</v>
      </c>
      <c r="M25" s="964"/>
    </row>
    <row r="26" spans="1:13" ht="30" customHeight="1">
      <c r="A26" s="952" t="e">
        <f>#REF!</f>
        <v>#REF!</v>
      </c>
      <c r="B26" s="960" t="e">
        <f>VLOOKUP(A26,#REF!,2,FALSE)</f>
        <v>#REF!</v>
      </c>
      <c r="C26" s="961" t="e">
        <f>VLOOKUP(A26,#REF!,3,FALSE)</f>
        <v>#REF!</v>
      </c>
      <c r="D26" s="962">
        <f t="shared" si="0"/>
        <v>0</v>
      </c>
      <c r="E26" s="962">
        <f t="shared" si="1"/>
        <v>0</v>
      </c>
      <c r="F26" s="962">
        <f t="shared" si="2"/>
        <v>0</v>
      </c>
      <c r="G26" s="962"/>
      <c r="H26" s="962"/>
      <c r="I26" s="962"/>
      <c r="J26" s="962"/>
      <c r="K26" s="962" t="e">
        <f>VLOOKUP(A26,#REF!,4,FALSE)</f>
        <v>#REF!</v>
      </c>
      <c r="L26" s="963">
        <f t="shared" si="3"/>
        <v>0</v>
      </c>
      <c r="M26" s="964"/>
    </row>
    <row r="27" spans="1:13" ht="30" customHeight="1">
      <c r="A27" s="952" t="e">
        <f>#REF!</f>
        <v>#REF!</v>
      </c>
      <c r="B27" s="960" t="e">
        <f>VLOOKUP(A27,#REF!,2,FALSE)</f>
        <v>#REF!</v>
      </c>
      <c r="C27" s="961" t="e">
        <f>VLOOKUP(A27,#REF!,3,FALSE)</f>
        <v>#REF!</v>
      </c>
      <c r="D27" s="962">
        <f t="shared" si="0"/>
        <v>0</v>
      </c>
      <c r="E27" s="962">
        <f t="shared" si="1"/>
        <v>0</v>
      </c>
      <c r="F27" s="962">
        <f t="shared" si="2"/>
        <v>0</v>
      </c>
      <c r="G27" s="962"/>
      <c r="H27" s="962"/>
      <c r="I27" s="962"/>
      <c r="J27" s="962"/>
      <c r="K27" s="962" t="e">
        <f>VLOOKUP(A27,#REF!,4,FALSE)</f>
        <v>#REF!</v>
      </c>
      <c r="L27" s="963">
        <f t="shared" si="3"/>
        <v>0</v>
      </c>
      <c r="M27" s="964"/>
    </row>
    <row r="28" spans="1:13" ht="30" customHeight="1">
      <c r="A28" s="952" t="e">
        <f>#REF!</f>
        <v>#REF!</v>
      </c>
      <c r="B28" s="960" t="e">
        <f>VLOOKUP(A28,#REF!,2,FALSE)</f>
        <v>#REF!</v>
      </c>
      <c r="C28" s="961" t="e">
        <f>VLOOKUP(A28,#REF!,3,FALSE)</f>
        <v>#REF!</v>
      </c>
      <c r="D28" s="962">
        <f t="shared" si="0"/>
        <v>0</v>
      </c>
      <c r="E28" s="962">
        <f t="shared" si="1"/>
        <v>0</v>
      </c>
      <c r="F28" s="962">
        <f t="shared" si="2"/>
        <v>0</v>
      </c>
      <c r="G28" s="962"/>
      <c r="H28" s="962"/>
      <c r="I28" s="962"/>
      <c r="J28" s="962"/>
      <c r="K28" s="962" t="e">
        <f>VLOOKUP(A28,#REF!,4,FALSE)</f>
        <v>#REF!</v>
      </c>
      <c r="L28" s="963">
        <f t="shared" si="3"/>
        <v>0</v>
      </c>
      <c r="M28" s="964"/>
    </row>
    <row r="29" spans="1:13" ht="30" customHeight="1">
      <c r="A29" s="952" t="e">
        <f>#REF!</f>
        <v>#REF!</v>
      </c>
      <c r="B29" s="960" t="e">
        <f>VLOOKUP(A29,#REF!,2,FALSE)</f>
        <v>#REF!</v>
      </c>
      <c r="C29" s="961" t="e">
        <f>VLOOKUP(A29,#REF!,3,FALSE)</f>
        <v>#REF!</v>
      </c>
      <c r="D29" s="962">
        <f t="shared" si="0"/>
        <v>0</v>
      </c>
      <c r="E29" s="962">
        <f t="shared" si="1"/>
        <v>0</v>
      </c>
      <c r="F29" s="962">
        <f t="shared" si="2"/>
        <v>0</v>
      </c>
      <c r="G29" s="962"/>
      <c r="H29" s="962"/>
      <c r="I29" s="962"/>
      <c r="J29" s="962"/>
      <c r="K29" s="962" t="e">
        <f>VLOOKUP(A29,#REF!,4,FALSE)</f>
        <v>#REF!</v>
      </c>
      <c r="L29" s="963">
        <f t="shared" si="3"/>
        <v>0</v>
      </c>
      <c r="M29" s="964"/>
    </row>
    <row r="30" spans="1:13" ht="30" customHeight="1">
      <c r="A30" s="952" t="e">
        <f>#REF!</f>
        <v>#REF!</v>
      </c>
      <c r="B30" s="960" t="e">
        <f>VLOOKUP(A30,#REF!,2,FALSE)</f>
        <v>#REF!</v>
      </c>
      <c r="C30" s="961" t="e">
        <f>VLOOKUP(A30,#REF!,3,FALSE)</f>
        <v>#REF!</v>
      </c>
      <c r="D30" s="962">
        <f t="shared" si="0"/>
        <v>0</v>
      </c>
      <c r="E30" s="962">
        <f t="shared" si="1"/>
        <v>0</v>
      </c>
      <c r="F30" s="962">
        <f t="shared" si="2"/>
        <v>0</v>
      </c>
      <c r="G30" s="962"/>
      <c r="H30" s="962"/>
      <c r="I30" s="962"/>
      <c r="J30" s="962"/>
      <c r="K30" s="962" t="e">
        <f>VLOOKUP(A30,#REF!,4,FALSE)</f>
        <v>#REF!</v>
      </c>
      <c r="L30" s="963">
        <f t="shared" si="3"/>
        <v>0</v>
      </c>
      <c r="M30" s="964"/>
    </row>
    <row r="31" spans="1:13" ht="30" customHeight="1">
      <c r="A31" s="952" t="e">
        <f>#REF!</f>
        <v>#REF!</v>
      </c>
      <c r="B31" s="960" t="e">
        <f>VLOOKUP(A31,#REF!,2,FALSE)</f>
        <v>#REF!</v>
      </c>
      <c r="C31" s="961" t="e">
        <f>VLOOKUP(A31,#REF!,3,FALSE)</f>
        <v>#REF!</v>
      </c>
      <c r="D31" s="962">
        <f t="shared" si="0"/>
        <v>0</v>
      </c>
      <c r="E31" s="962">
        <f t="shared" si="1"/>
        <v>0</v>
      </c>
      <c r="F31" s="962">
        <f t="shared" si="2"/>
        <v>0</v>
      </c>
      <c r="G31" s="962"/>
      <c r="H31" s="962"/>
      <c r="I31" s="962"/>
      <c r="J31" s="962"/>
      <c r="K31" s="962" t="e">
        <f>VLOOKUP(A31,#REF!,4,FALSE)</f>
        <v>#REF!</v>
      </c>
      <c r="L31" s="963">
        <f t="shared" si="3"/>
        <v>0</v>
      </c>
      <c r="M31" s="964"/>
    </row>
    <row r="32" spans="1:13" ht="30" customHeight="1">
      <c r="A32" s="952" t="e">
        <f>#REF!</f>
        <v>#REF!</v>
      </c>
      <c r="B32" s="960" t="e">
        <f>VLOOKUP(A32,#REF!,2,FALSE)</f>
        <v>#REF!</v>
      </c>
      <c r="C32" s="961" t="e">
        <f>VLOOKUP(A32,#REF!,3,FALSE)</f>
        <v>#REF!</v>
      </c>
      <c r="D32" s="962">
        <f t="shared" si="0"/>
        <v>0</v>
      </c>
      <c r="E32" s="962">
        <f t="shared" si="1"/>
        <v>0</v>
      </c>
      <c r="F32" s="962">
        <f t="shared" si="2"/>
        <v>0</v>
      </c>
      <c r="G32" s="962"/>
      <c r="H32" s="962"/>
      <c r="I32" s="962"/>
      <c r="J32" s="962"/>
      <c r="K32" s="962" t="e">
        <f>VLOOKUP(A32,#REF!,4,FALSE)</f>
        <v>#REF!</v>
      </c>
      <c r="L32" s="963">
        <f t="shared" si="3"/>
        <v>0</v>
      </c>
      <c r="M32" s="964"/>
    </row>
    <row r="33" spans="1:13" ht="30" customHeight="1">
      <c r="A33" s="952" t="e">
        <f>#REF!</f>
        <v>#REF!</v>
      </c>
      <c r="B33" s="960" t="e">
        <f>VLOOKUP(A33,#REF!,2,FALSE)</f>
        <v>#REF!</v>
      </c>
      <c r="C33" s="961" t="e">
        <f>VLOOKUP(A33,#REF!,3,FALSE)</f>
        <v>#REF!</v>
      </c>
      <c r="D33" s="962">
        <f t="shared" si="0"/>
        <v>0</v>
      </c>
      <c r="E33" s="962">
        <f t="shared" si="1"/>
        <v>0</v>
      </c>
      <c r="F33" s="962">
        <f t="shared" si="2"/>
        <v>0</v>
      </c>
      <c r="G33" s="962"/>
      <c r="H33" s="962"/>
      <c r="I33" s="962"/>
      <c r="J33" s="962"/>
      <c r="K33" s="962" t="e">
        <f>VLOOKUP(A33,#REF!,4,FALSE)</f>
        <v>#REF!</v>
      </c>
      <c r="L33" s="963">
        <f t="shared" si="3"/>
        <v>0</v>
      </c>
      <c r="M33" s="964"/>
    </row>
    <row r="34" spans="1:13" ht="30" customHeight="1">
      <c r="A34" s="952" t="e">
        <f>#REF!</f>
        <v>#REF!</v>
      </c>
      <c r="B34" s="960" t="e">
        <f>VLOOKUP(A34,#REF!,2,FALSE)</f>
        <v>#REF!</v>
      </c>
      <c r="C34" s="961" t="e">
        <f>VLOOKUP(A34,#REF!,3,FALSE)</f>
        <v>#REF!</v>
      </c>
      <c r="D34" s="962">
        <f t="shared" si="0"/>
        <v>0</v>
      </c>
      <c r="E34" s="962">
        <f t="shared" si="1"/>
        <v>0</v>
      </c>
      <c r="F34" s="962">
        <f t="shared" si="2"/>
        <v>0</v>
      </c>
      <c r="G34" s="962"/>
      <c r="H34" s="962"/>
      <c r="I34" s="962"/>
      <c r="J34" s="962"/>
      <c r="K34" s="962" t="e">
        <f>VLOOKUP(A34,#REF!,4,FALSE)</f>
        <v>#REF!</v>
      </c>
      <c r="L34" s="963">
        <f t="shared" si="3"/>
        <v>0</v>
      </c>
      <c r="M34" s="964"/>
    </row>
    <row r="35" spans="1:13" ht="30" customHeight="1">
      <c r="A35" s="952" t="e">
        <f>#REF!</f>
        <v>#REF!</v>
      </c>
      <c r="B35" s="960" t="e">
        <f>VLOOKUP(A35,#REF!,2,FALSE)</f>
        <v>#REF!</v>
      </c>
      <c r="C35" s="961" t="e">
        <f>VLOOKUP(A35,#REF!,3,FALSE)</f>
        <v>#REF!</v>
      </c>
      <c r="D35" s="962">
        <f t="shared" si="0"/>
        <v>0</v>
      </c>
      <c r="E35" s="962">
        <f t="shared" si="1"/>
        <v>0</v>
      </c>
      <c r="F35" s="962">
        <f t="shared" si="2"/>
        <v>0</v>
      </c>
      <c r="G35" s="962"/>
      <c r="H35" s="962"/>
      <c r="I35" s="962"/>
      <c r="J35" s="962"/>
      <c r="K35" s="962" t="e">
        <f>VLOOKUP(A35,#REF!,4,FALSE)</f>
        <v>#REF!</v>
      </c>
      <c r="L35" s="963">
        <f t="shared" si="3"/>
        <v>0</v>
      </c>
      <c r="M35" s="964"/>
    </row>
    <row r="36" spans="1:13" ht="30" customHeight="1">
      <c r="A36" s="952" t="e">
        <f>#REF!</f>
        <v>#REF!</v>
      </c>
      <c r="B36" s="960" t="e">
        <f>VLOOKUP(A36,#REF!,2,FALSE)</f>
        <v>#REF!</v>
      </c>
      <c r="C36" s="961" t="e">
        <f>VLOOKUP(A36,#REF!,3,FALSE)</f>
        <v>#REF!</v>
      </c>
      <c r="D36" s="962">
        <f t="shared" si="0"/>
        <v>0</v>
      </c>
      <c r="E36" s="962">
        <f t="shared" si="1"/>
        <v>0</v>
      </c>
      <c r="F36" s="962">
        <f t="shared" si="2"/>
        <v>0</v>
      </c>
      <c r="G36" s="962"/>
      <c r="H36" s="962"/>
      <c r="I36" s="962"/>
      <c r="J36" s="962"/>
      <c r="K36" s="962" t="e">
        <f>VLOOKUP(A36,#REF!,4,FALSE)</f>
        <v>#REF!</v>
      </c>
      <c r="L36" s="963">
        <f t="shared" si="3"/>
        <v>0</v>
      </c>
      <c r="M36" s="964"/>
    </row>
    <row r="37" spans="1:13" ht="30" customHeight="1">
      <c r="A37" s="952" t="e">
        <f>#REF!</f>
        <v>#REF!</v>
      </c>
      <c r="B37" s="960" t="e">
        <f>VLOOKUP(A37,#REF!,2,FALSE)</f>
        <v>#REF!</v>
      </c>
      <c r="C37" s="961" t="e">
        <f>VLOOKUP(A37,#REF!,3,FALSE)</f>
        <v>#REF!</v>
      </c>
      <c r="D37" s="962">
        <f t="shared" si="0"/>
        <v>0</v>
      </c>
      <c r="E37" s="962">
        <f t="shared" si="1"/>
        <v>0</v>
      </c>
      <c r="F37" s="962">
        <f t="shared" si="2"/>
        <v>0</v>
      </c>
      <c r="G37" s="962"/>
      <c r="H37" s="962"/>
      <c r="I37" s="962"/>
      <c r="J37" s="962"/>
      <c r="K37" s="962" t="e">
        <f>VLOOKUP(A37,#REF!,4,FALSE)</f>
        <v>#REF!</v>
      </c>
      <c r="L37" s="963">
        <f t="shared" si="3"/>
        <v>0</v>
      </c>
      <c r="M37" s="964"/>
    </row>
    <row r="38" spans="1:13" ht="30" customHeight="1">
      <c r="A38" s="952" t="e">
        <f>#REF!</f>
        <v>#REF!</v>
      </c>
      <c r="B38" s="960" t="e">
        <f>VLOOKUP(A38,#REF!,2,FALSE)</f>
        <v>#REF!</v>
      </c>
      <c r="C38" s="961" t="e">
        <f>VLOOKUP(A38,#REF!,3,FALSE)</f>
        <v>#REF!</v>
      </c>
      <c r="D38" s="962">
        <f t="shared" si="0"/>
        <v>0</v>
      </c>
      <c r="E38" s="962">
        <f t="shared" si="1"/>
        <v>0</v>
      </c>
      <c r="F38" s="962">
        <f t="shared" si="2"/>
        <v>0</v>
      </c>
      <c r="G38" s="962"/>
      <c r="H38" s="962"/>
      <c r="I38" s="962"/>
      <c r="J38" s="962"/>
      <c r="K38" s="962" t="e">
        <f>VLOOKUP(A38,#REF!,4,FALSE)</f>
        <v>#REF!</v>
      </c>
      <c r="L38" s="963">
        <f t="shared" si="3"/>
        <v>0</v>
      </c>
      <c r="M38" s="964"/>
    </row>
    <row r="39" spans="1:13" ht="30" customHeight="1">
      <c r="A39" s="952" t="e">
        <f>#REF!</f>
        <v>#REF!</v>
      </c>
      <c r="B39" s="960" t="e">
        <f>VLOOKUP(A39,#REF!,2,FALSE)</f>
        <v>#REF!</v>
      </c>
      <c r="C39" s="961" t="e">
        <f>VLOOKUP(A39,#REF!,3,FALSE)</f>
        <v>#REF!</v>
      </c>
      <c r="D39" s="962">
        <f t="shared" si="0"/>
        <v>0</v>
      </c>
      <c r="E39" s="962">
        <f t="shared" si="1"/>
        <v>0</v>
      </c>
      <c r="F39" s="962">
        <f t="shared" si="2"/>
        <v>0</v>
      </c>
      <c r="G39" s="962"/>
      <c r="H39" s="962"/>
      <c r="I39" s="962"/>
      <c r="J39" s="962"/>
      <c r="K39" s="962" t="e">
        <f>VLOOKUP(A39,#REF!,4,FALSE)</f>
        <v>#REF!</v>
      </c>
      <c r="L39" s="963">
        <f t="shared" si="3"/>
        <v>0</v>
      </c>
      <c r="M39" s="964"/>
    </row>
    <row r="40" spans="1:13" ht="30" customHeight="1">
      <c r="A40" s="952" t="e">
        <f>#REF!</f>
        <v>#REF!</v>
      </c>
      <c r="B40" s="960" t="e">
        <f>VLOOKUP(A40,#REF!,2,FALSE)</f>
        <v>#REF!</v>
      </c>
      <c r="C40" s="961" t="e">
        <f>VLOOKUP(A40,#REF!,3,FALSE)</f>
        <v>#REF!</v>
      </c>
      <c r="D40" s="962">
        <f t="shared" si="0"/>
        <v>0</v>
      </c>
      <c r="E40" s="962">
        <f t="shared" si="1"/>
        <v>0</v>
      </c>
      <c r="F40" s="962">
        <f t="shared" si="2"/>
        <v>0</v>
      </c>
      <c r="G40" s="962"/>
      <c r="H40" s="962"/>
      <c r="I40" s="962"/>
      <c r="J40" s="962"/>
      <c r="K40" s="962" t="e">
        <f>VLOOKUP(A40,#REF!,4,FALSE)</f>
        <v>#REF!</v>
      </c>
      <c r="L40" s="963">
        <f t="shared" si="3"/>
        <v>0</v>
      </c>
      <c r="M40" s="964"/>
    </row>
    <row r="41" spans="1:13" ht="30" customHeight="1">
      <c r="A41" s="952" t="e">
        <f>#REF!</f>
        <v>#REF!</v>
      </c>
      <c r="B41" s="960" t="e">
        <f>VLOOKUP(A41,#REF!,2,FALSE)</f>
        <v>#REF!</v>
      </c>
      <c r="C41" s="961" t="e">
        <f>VLOOKUP(A41,#REF!,3,FALSE)</f>
        <v>#REF!</v>
      </c>
      <c r="D41" s="962">
        <f t="shared" si="0"/>
        <v>0</v>
      </c>
      <c r="E41" s="962">
        <f t="shared" si="1"/>
        <v>0</v>
      </c>
      <c r="F41" s="962">
        <f t="shared" si="2"/>
        <v>0</v>
      </c>
      <c r="G41" s="962"/>
      <c r="H41" s="962"/>
      <c r="I41" s="962"/>
      <c r="J41" s="962"/>
      <c r="K41" s="962" t="e">
        <f>VLOOKUP(A41,#REF!,4,FALSE)</f>
        <v>#REF!</v>
      </c>
      <c r="L41" s="963">
        <f t="shared" si="3"/>
        <v>0</v>
      </c>
      <c r="M41" s="964"/>
    </row>
    <row r="42" spans="1:13" ht="30" customHeight="1">
      <c r="A42" s="952" t="e">
        <f>#REF!</f>
        <v>#REF!</v>
      </c>
      <c r="B42" s="960" t="e">
        <f>VLOOKUP(A42,#REF!,2,FALSE)</f>
        <v>#REF!</v>
      </c>
      <c r="C42" s="961" t="e">
        <f>VLOOKUP(A42,#REF!,3,FALSE)</f>
        <v>#REF!</v>
      </c>
      <c r="D42" s="962">
        <f t="shared" si="0"/>
        <v>0</v>
      </c>
      <c r="E42" s="962">
        <f t="shared" si="1"/>
        <v>0</v>
      </c>
      <c r="F42" s="962">
        <f t="shared" si="2"/>
        <v>0</v>
      </c>
      <c r="G42" s="962"/>
      <c r="H42" s="962"/>
      <c r="I42" s="962"/>
      <c r="J42" s="962"/>
      <c r="K42" s="962" t="e">
        <f>VLOOKUP(A42,#REF!,4,FALSE)</f>
        <v>#REF!</v>
      </c>
      <c r="L42" s="963">
        <f t="shared" si="3"/>
        <v>0</v>
      </c>
      <c r="M42" s="964"/>
    </row>
    <row r="43" spans="1:13" ht="30" customHeight="1">
      <c r="A43" s="952" t="e">
        <f>#REF!</f>
        <v>#REF!</v>
      </c>
      <c r="B43" s="960" t="e">
        <f>VLOOKUP(A43,#REF!,2,FALSE)</f>
        <v>#REF!</v>
      </c>
      <c r="C43" s="961" t="e">
        <f>VLOOKUP(A43,#REF!,3,FALSE)</f>
        <v>#REF!</v>
      </c>
      <c r="D43" s="962">
        <f t="shared" si="0"/>
        <v>0</v>
      </c>
      <c r="E43" s="962">
        <f t="shared" si="1"/>
        <v>0</v>
      </c>
      <c r="F43" s="962">
        <f t="shared" si="2"/>
        <v>0</v>
      </c>
      <c r="G43" s="962"/>
      <c r="H43" s="962"/>
      <c r="I43" s="962"/>
      <c r="J43" s="962"/>
      <c r="K43" s="962" t="e">
        <f>VLOOKUP(A43,#REF!,4,FALSE)</f>
        <v>#REF!</v>
      </c>
      <c r="L43" s="963">
        <f t="shared" si="3"/>
        <v>0</v>
      </c>
      <c r="M43" s="964"/>
    </row>
    <row r="44" spans="1:13" ht="30" customHeight="1">
      <c r="A44" s="952" t="e">
        <f>#REF!</f>
        <v>#REF!</v>
      </c>
      <c r="B44" s="960" t="e">
        <f>VLOOKUP(A44,#REF!,2,FALSE)</f>
        <v>#REF!</v>
      </c>
      <c r="C44" s="961" t="e">
        <f>VLOOKUP(A44,#REF!,3,FALSE)</f>
        <v>#REF!</v>
      </c>
      <c r="D44" s="962">
        <f t="shared" si="0"/>
        <v>0</v>
      </c>
      <c r="E44" s="962">
        <f t="shared" si="1"/>
        <v>0</v>
      </c>
      <c r="F44" s="962">
        <f t="shared" si="2"/>
        <v>0</v>
      </c>
      <c r="G44" s="962"/>
      <c r="H44" s="962"/>
      <c r="I44" s="962"/>
      <c r="J44" s="962"/>
      <c r="K44" s="962" t="e">
        <f>VLOOKUP(A44,#REF!,4,FALSE)</f>
        <v>#REF!</v>
      </c>
      <c r="L44" s="963">
        <f t="shared" si="3"/>
        <v>0</v>
      </c>
      <c r="M44" s="964"/>
    </row>
    <row r="45" spans="1:13" ht="30" customHeight="1">
      <c r="A45" s="952" t="e">
        <f>#REF!</f>
        <v>#REF!</v>
      </c>
      <c r="B45" s="960" t="e">
        <f>VLOOKUP(A45,#REF!,2,FALSE)</f>
        <v>#REF!</v>
      </c>
      <c r="C45" s="961" t="e">
        <f>VLOOKUP(A45,#REF!,3,FALSE)</f>
        <v>#REF!</v>
      </c>
      <c r="D45" s="962">
        <f t="shared" si="0"/>
        <v>0</v>
      </c>
      <c r="E45" s="962">
        <f t="shared" si="1"/>
        <v>0</v>
      </c>
      <c r="F45" s="962">
        <f t="shared" si="2"/>
        <v>0</v>
      </c>
      <c r="G45" s="962"/>
      <c r="H45" s="962"/>
      <c r="I45" s="962"/>
      <c r="J45" s="962"/>
      <c r="K45" s="962" t="e">
        <f>VLOOKUP(A45,#REF!,4,FALSE)</f>
        <v>#REF!</v>
      </c>
      <c r="L45" s="963">
        <f t="shared" si="3"/>
        <v>0</v>
      </c>
      <c r="M45" s="964"/>
    </row>
    <row r="46" spans="1:13" ht="30" customHeight="1">
      <c r="A46" s="952" t="e">
        <f>#REF!</f>
        <v>#REF!</v>
      </c>
      <c r="B46" s="960" t="e">
        <f>VLOOKUP(A46,#REF!,2,FALSE)</f>
        <v>#REF!</v>
      </c>
      <c r="C46" s="961" t="e">
        <f>VLOOKUP(A46,#REF!,3,FALSE)</f>
        <v>#REF!</v>
      </c>
      <c r="D46" s="962">
        <f t="shared" si="0"/>
        <v>0</v>
      </c>
      <c r="E46" s="962">
        <f t="shared" si="1"/>
        <v>0</v>
      </c>
      <c r="F46" s="962">
        <f t="shared" si="2"/>
        <v>0</v>
      </c>
      <c r="G46" s="962"/>
      <c r="H46" s="962"/>
      <c r="I46" s="962"/>
      <c r="J46" s="962"/>
      <c r="K46" s="962" t="e">
        <f>VLOOKUP(A46,#REF!,4,FALSE)</f>
        <v>#REF!</v>
      </c>
      <c r="L46" s="963">
        <f t="shared" si="3"/>
        <v>0</v>
      </c>
      <c r="M46" s="964"/>
    </row>
    <row r="47" spans="1:13" ht="30" customHeight="1">
      <c r="A47" s="952" t="e">
        <f>#REF!</f>
        <v>#REF!</v>
      </c>
      <c r="B47" s="960" t="e">
        <f>VLOOKUP(A47,#REF!,2,FALSE)</f>
        <v>#REF!</v>
      </c>
      <c r="C47" s="961" t="e">
        <f>VLOOKUP(A47,#REF!,3,FALSE)</f>
        <v>#REF!</v>
      </c>
      <c r="D47" s="962">
        <f t="shared" si="0"/>
        <v>0</v>
      </c>
      <c r="E47" s="962">
        <f t="shared" si="1"/>
        <v>0</v>
      </c>
      <c r="F47" s="962">
        <f t="shared" si="2"/>
        <v>0</v>
      </c>
      <c r="G47" s="962"/>
      <c r="H47" s="962"/>
      <c r="I47" s="962"/>
      <c r="J47" s="962"/>
      <c r="K47" s="962" t="e">
        <f>VLOOKUP(A47,#REF!,4,FALSE)</f>
        <v>#REF!</v>
      </c>
      <c r="L47" s="963">
        <f t="shared" si="3"/>
        <v>0</v>
      </c>
      <c r="M47" s="964"/>
    </row>
    <row r="48" spans="1:13" ht="30" customHeight="1">
      <c r="A48" s="952" t="e">
        <f>#REF!</f>
        <v>#REF!</v>
      </c>
      <c r="B48" s="960" t="e">
        <f>VLOOKUP(A48,#REF!,2,FALSE)</f>
        <v>#REF!</v>
      </c>
      <c r="C48" s="961" t="e">
        <f>VLOOKUP(A48,#REF!,3,FALSE)</f>
        <v>#REF!</v>
      </c>
      <c r="D48" s="962">
        <f t="shared" si="0"/>
        <v>0</v>
      </c>
      <c r="E48" s="962">
        <f t="shared" si="1"/>
        <v>0</v>
      </c>
      <c r="F48" s="962">
        <f t="shared" si="2"/>
        <v>0</v>
      </c>
      <c r="G48" s="962"/>
      <c r="H48" s="962"/>
      <c r="I48" s="962"/>
      <c r="J48" s="962"/>
      <c r="K48" s="962" t="e">
        <f>VLOOKUP(A48,#REF!,4,FALSE)</f>
        <v>#REF!</v>
      </c>
      <c r="L48" s="963">
        <f t="shared" si="3"/>
        <v>0</v>
      </c>
      <c r="M48" s="964"/>
    </row>
    <row r="49" spans="1:13" ht="30" customHeight="1">
      <c r="A49" s="952" t="e">
        <f>#REF!</f>
        <v>#REF!</v>
      </c>
      <c r="B49" s="960" t="e">
        <f>VLOOKUP(A49,#REF!,2,FALSE)</f>
        <v>#REF!</v>
      </c>
      <c r="C49" s="961" t="e">
        <f>VLOOKUP(A49,#REF!,3,FALSE)</f>
        <v>#REF!</v>
      </c>
      <c r="D49" s="962">
        <f t="shared" si="0"/>
        <v>0</v>
      </c>
      <c r="E49" s="962">
        <f t="shared" si="1"/>
        <v>0</v>
      </c>
      <c r="F49" s="962">
        <f t="shared" si="2"/>
        <v>0</v>
      </c>
      <c r="G49" s="962"/>
      <c r="H49" s="962"/>
      <c r="I49" s="962"/>
      <c r="J49" s="962"/>
      <c r="K49" s="962" t="e">
        <f>VLOOKUP(A49,#REF!,4,FALSE)</f>
        <v>#REF!</v>
      </c>
      <c r="L49" s="963">
        <f t="shared" si="3"/>
        <v>0</v>
      </c>
      <c r="M49" s="964"/>
    </row>
    <row r="50" spans="1:13" ht="30" customHeight="1">
      <c r="A50" s="952" t="e">
        <f>#REF!</f>
        <v>#REF!</v>
      </c>
      <c r="B50" s="960" t="e">
        <f>VLOOKUP(A50,#REF!,2,FALSE)</f>
        <v>#REF!</v>
      </c>
      <c r="C50" s="961" t="e">
        <f>VLOOKUP(A50,#REF!,3,FALSE)</f>
        <v>#REF!</v>
      </c>
      <c r="D50" s="962">
        <f t="shared" si="0"/>
        <v>0</v>
      </c>
      <c r="E50" s="962">
        <f t="shared" si="1"/>
        <v>0</v>
      </c>
      <c r="F50" s="962">
        <f t="shared" si="2"/>
        <v>0</v>
      </c>
      <c r="G50" s="962"/>
      <c r="H50" s="962"/>
      <c r="I50" s="962"/>
      <c r="J50" s="962"/>
      <c r="K50" s="962" t="e">
        <f>VLOOKUP(A50,#REF!,4,FALSE)</f>
        <v>#REF!</v>
      </c>
      <c r="L50" s="963">
        <f t="shared" si="3"/>
        <v>0</v>
      </c>
      <c r="M50" s="964"/>
    </row>
    <row r="51" spans="1:13" ht="30" customHeight="1">
      <c r="A51" s="952" t="e">
        <f>#REF!</f>
        <v>#REF!</v>
      </c>
      <c r="B51" s="960" t="e">
        <f>VLOOKUP(A51,#REF!,2,FALSE)</f>
        <v>#REF!</v>
      </c>
      <c r="C51" s="961" t="e">
        <f>VLOOKUP(A51,#REF!,3,FALSE)</f>
        <v>#REF!</v>
      </c>
      <c r="D51" s="962">
        <f t="shared" si="0"/>
        <v>0</v>
      </c>
      <c r="E51" s="962">
        <f t="shared" si="1"/>
        <v>0</v>
      </c>
      <c r="F51" s="962">
        <f t="shared" si="2"/>
        <v>0</v>
      </c>
      <c r="G51" s="962"/>
      <c r="H51" s="962"/>
      <c r="I51" s="962"/>
      <c r="J51" s="962"/>
      <c r="K51" s="962" t="e">
        <f>VLOOKUP(A51,#REF!,4,FALSE)</f>
        <v>#REF!</v>
      </c>
      <c r="L51" s="963">
        <f t="shared" si="3"/>
        <v>0</v>
      </c>
      <c r="M51" s="964"/>
    </row>
    <row r="52" spans="1:13" ht="30" customHeight="1">
      <c r="A52" s="952" t="e">
        <f>#REF!</f>
        <v>#REF!</v>
      </c>
      <c r="B52" s="960" t="e">
        <f>VLOOKUP(A52,#REF!,2,FALSE)</f>
        <v>#REF!</v>
      </c>
      <c r="C52" s="961" t="e">
        <f>VLOOKUP(A52,#REF!,3,FALSE)</f>
        <v>#REF!</v>
      </c>
      <c r="D52" s="962">
        <f t="shared" si="0"/>
        <v>0</v>
      </c>
      <c r="E52" s="962">
        <f t="shared" si="1"/>
        <v>0</v>
      </c>
      <c r="F52" s="962">
        <f t="shared" si="2"/>
        <v>0</v>
      </c>
      <c r="G52" s="962"/>
      <c r="H52" s="962"/>
      <c r="I52" s="962"/>
      <c r="J52" s="962"/>
      <c r="K52" s="962" t="e">
        <f>VLOOKUP(A52,#REF!,4,FALSE)</f>
        <v>#REF!</v>
      </c>
      <c r="L52" s="963">
        <f t="shared" si="3"/>
        <v>0</v>
      </c>
      <c r="M52" s="964"/>
    </row>
    <row r="53" spans="1:13" ht="30" customHeight="1">
      <c r="A53" s="952" t="e">
        <f>#REF!</f>
        <v>#REF!</v>
      </c>
      <c r="B53" s="960" t="e">
        <f>VLOOKUP(A53,#REF!,2,FALSE)</f>
        <v>#REF!</v>
      </c>
      <c r="C53" s="961" t="e">
        <f>VLOOKUP(A53,#REF!,3,FALSE)</f>
        <v>#REF!</v>
      </c>
      <c r="D53" s="962">
        <f t="shared" si="0"/>
        <v>0</v>
      </c>
      <c r="E53" s="962">
        <f t="shared" si="1"/>
        <v>0</v>
      </c>
      <c r="F53" s="962">
        <f t="shared" si="2"/>
        <v>0</v>
      </c>
      <c r="G53" s="962"/>
      <c r="H53" s="962"/>
      <c r="I53" s="962"/>
      <c r="J53" s="962"/>
      <c r="K53" s="962" t="e">
        <f>VLOOKUP(A53,#REF!,4,FALSE)</f>
        <v>#REF!</v>
      </c>
      <c r="L53" s="963">
        <f t="shared" si="3"/>
        <v>0</v>
      </c>
      <c r="M53" s="964"/>
    </row>
    <row r="54" spans="1:13" ht="30" customHeight="1">
      <c r="A54" s="952" t="e">
        <f>#REF!</f>
        <v>#REF!</v>
      </c>
      <c r="B54" s="960" t="e">
        <f>VLOOKUP(A54,#REF!,2,FALSE)</f>
        <v>#REF!</v>
      </c>
      <c r="C54" s="961" t="e">
        <f>VLOOKUP(A54,#REF!,3,FALSE)</f>
        <v>#REF!</v>
      </c>
      <c r="D54" s="962">
        <f t="shared" si="0"/>
        <v>0</v>
      </c>
      <c r="E54" s="962">
        <f t="shared" si="1"/>
        <v>0</v>
      </c>
      <c r="F54" s="962">
        <f t="shared" si="2"/>
        <v>0</v>
      </c>
      <c r="G54" s="962"/>
      <c r="H54" s="962"/>
      <c r="I54" s="962"/>
      <c r="J54" s="962"/>
      <c r="K54" s="962" t="e">
        <f>VLOOKUP(A54,#REF!,4,FALSE)</f>
        <v>#REF!</v>
      </c>
      <c r="L54" s="963">
        <f t="shared" si="3"/>
        <v>0</v>
      </c>
      <c r="M54" s="964"/>
    </row>
    <row r="55" spans="1:13" ht="30" customHeight="1">
      <c r="A55" s="952" t="e">
        <f>#REF!</f>
        <v>#REF!</v>
      </c>
      <c r="B55" s="960" t="e">
        <f>VLOOKUP(A55,#REF!,2,FALSE)</f>
        <v>#REF!</v>
      </c>
      <c r="C55" s="961" t="e">
        <f>VLOOKUP(A55,#REF!,3,FALSE)</f>
        <v>#REF!</v>
      </c>
      <c r="D55" s="962">
        <f t="shared" si="0"/>
        <v>0</v>
      </c>
      <c r="E55" s="962">
        <f t="shared" si="1"/>
        <v>0</v>
      </c>
      <c r="F55" s="962">
        <f t="shared" si="2"/>
        <v>0</v>
      </c>
      <c r="G55" s="962"/>
      <c r="H55" s="962"/>
      <c r="I55" s="962"/>
      <c r="J55" s="962"/>
      <c r="K55" s="962" t="e">
        <f>VLOOKUP(A55,#REF!,4,FALSE)</f>
        <v>#REF!</v>
      </c>
      <c r="L55" s="963">
        <f t="shared" si="3"/>
        <v>0</v>
      </c>
      <c r="M55" s="964"/>
    </row>
    <row r="56" spans="1:13" ht="30" customHeight="1">
      <c r="A56" s="952" t="e">
        <f>#REF!</f>
        <v>#REF!</v>
      </c>
      <c r="B56" s="960" t="e">
        <f>VLOOKUP(A56,#REF!,2,FALSE)</f>
        <v>#REF!</v>
      </c>
      <c r="C56" s="961" t="e">
        <f>VLOOKUP(A56,#REF!,3,FALSE)</f>
        <v>#REF!</v>
      </c>
      <c r="D56" s="962">
        <f t="shared" si="0"/>
        <v>0</v>
      </c>
      <c r="E56" s="962">
        <f t="shared" si="1"/>
        <v>0</v>
      </c>
      <c r="F56" s="962">
        <f t="shared" si="2"/>
        <v>0</v>
      </c>
      <c r="G56" s="962"/>
      <c r="H56" s="962"/>
      <c r="I56" s="962"/>
      <c r="J56" s="962"/>
      <c r="K56" s="962" t="e">
        <f>VLOOKUP(A56,#REF!,4,FALSE)</f>
        <v>#REF!</v>
      </c>
      <c r="L56" s="963">
        <f t="shared" si="3"/>
        <v>0</v>
      </c>
      <c r="M56" s="964"/>
    </row>
    <row r="57" spans="1:13" ht="30" customHeight="1">
      <c r="A57" s="952" t="e">
        <f>#REF!</f>
        <v>#REF!</v>
      </c>
      <c r="B57" s="960" t="e">
        <f>VLOOKUP(A57,#REF!,2,FALSE)</f>
        <v>#REF!</v>
      </c>
      <c r="C57" s="961" t="e">
        <f>VLOOKUP(A57,#REF!,3,FALSE)</f>
        <v>#REF!</v>
      </c>
      <c r="D57" s="962">
        <f t="shared" si="0"/>
        <v>0</v>
      </c>
      <c r="E57" s="962">
        <f t="shared" si="1"/>
        <v>0</v>
      </c>
      <c r="F57" s="962">
        <f t="shared" si="2"/>
        <v>0</v>
      </c>
      <c r="G57" s="962"/>
      <c r="H57" s="962"/>
      <c r="I57" s="962"/>
      <c r="J57" s="962"/>
      <c r="K57" s="962" t="e">
        <f>VLOOKUP(A57,#REF!,4,FALSE)</f>
        <v>#REF!</v>
      </c>
      <c r="L57" s="963">
        <f t="shared" si="3"/>
        <v>0</v>
      </c>
      <c r="M57" s="964"/>
    </row>
    <row r="58" spans="1:13" ht="30" customHeight="1">
      <c r="A58" s="952" t="e">
        <f>#REF!</f>
        <v>#REF!</v>
      </c>
      <c r="B58" s="960" t="e">
        <f>VLOOKUP(A58,#REF!,2,FALSE)</f>
        <v>#REF!</v>
      </c>
      <c r="C58" s="961" t="e">
        <f>VLOOKUP(A58,#REF!,3,FALSE)</f>
        <v>#REF!</v>
      </c>
      <c r="D58" s="962">
        <f t="shared" si="0"/>
        <v>0</v>
      </c>
      <c r="E58" s="962">
        <f t="shared" si="1"/>
        <v>0</v>
      </c>
      <c r="F58" s="962">
        <f t="shared" si="2"/>
        <v>0</v>
      </c>
      <c r="G58" s="962"/>
      <c r="H58" s="962"/>
      <c r="I58" s="962"/>
      <c r="J58" s="962"/>
      <c r="K58" s="962" t="e">
        <f>VLOOKUP(A58,#REF!,4,FALSE)</f>
        <v>#REF!</v>
      </c>
      <c r="L58" s="963">
        <f t="shared" si="3"/>
        <v>0</v>
      </c>
      <c r="M58" s="964"/>
    </row>
    <row r="59" spans="1:13" ht="30" customHeight="1">
      <c r="A59" s="952" t="e">
        <f>#REF!</f>
        <v>#REF!</v>
      </c>
      <c r="B59" s="960" t="e">
        <f>VLOOKUP(A59,#REF!,2,FALSE)</f>
        <v>#REF!</v>
      </c>
      <c r="C59" s="961" t="e">
        <f>VLOOKUP(A59,#REF!,3,FALSE)</f>
        <v>#REF!</v>
      </c>
      <c r="D59" s="962">
        <f t="shared" si="0"/>
        <v>0</v>
      </c>
      <c r="E59" s="962">
        <f t="shared" si="1"/>
        <v>0</v>
      </c>
      <c r="F59" s="962">
        <f t="shared" si="2"/>
        <v>0</v>
      </c>
      <c r="G59" s="962"/>
      <c r="H59" s="962"/>
      <c r="I59" s="962"/>
      <c r="J59" s="962"/>
      <c r="K59" s="962" t="e">
        <f>VLOOKUP(A59,#REF!,4,FALSE)</f>
        <v>#REF!</v>
      </c>
      <c r="L59" s="963">
        <f t="shared" si="3"/>
        <v>0</v>
      </c>
      <c r="M59" s="964"/>
    </row>
    <row r="60" spans="1:13" ht="30" customHeight="1">
      <c r="A60" s="952" t="e">
        <f>#REF!</f>
        <v>#REF!</v>
      </c>
      <c r="B60" s="960" t="e">
        <f>VLOOKUP(A60,#REF!,2,FALSE)</f>
        <v>#REF!</v>
      </c>
      <c r="C60" s="961" t="e">
        <f>VLOOKUP(A60,#REF!,3,FALSE)</f>
        <v>#REF!</v>
      </c>
      <c r="D60" s="962">
        <f t="shared" si="0"/>
        <v>0</v>
      </c>
      <c r="E60" s="962">
        <f t="shared" si="1"/>
        <v>0</v>
      </c>
      <c r="F60" s="962">
        <f t="shared" si="2"/>
        <v>0</v>
      </c>
      <c r="G60" s="962"/>
      <c r="H60" s="962"/>
      <c r="I60" s="962"/>
      <c r="J60" s="962"/>
      <c r="K60" s="962" t="e">
        <f>VLOOKUP(A60,#REF!,4,FALSE)</f>
        <v>#REF!</v>
      </c>
      <c r="L60" s="963">
        <f t="shared" si="3"/>
        <v>0</v>
      </c>
      <c r="M60" s="964"/>
    </row>
    <row r="61" spans="1:13" ht="30" customHeight="1">
      <c r="A61" s="952" t="e">
        <f>#REF!</f>
        <v>#REF!</v>
      </c>
      <c r="B61" s="960" t="e">
        <f>VLOOKUP(A61,#REF!,2,FALSE)</f>
        <v>#REF!</v>
      </c>
      <c r="C61" s="961" t="e">
        <f>VLOOKUP(A61,#REF!,3,FALSE)</f>
        <v>#REF!</v>
      </c>
      <c r="D61" s="962">
        <f t="shared" si="0"/>
        <v>0</v>
      </c>
      <c r="E61" s="962">
        <f t="shared" si="1"/>
        <v>0</v>
      </c>
      <c r="F61" s="962">
        <f t="shared" si="2"/>
        <v>0</v>
      </c>
      <c r="G61" s="962"/>
      <c r="H61" s="962"/>
      <c r="I61" s="962"/>
      <c r="J61" s="962"/>
      <c r="K61" s="962" t="e">
        <f>VLOOKUP(A61,#REF!,4,FALSE)</f>
        <v>#REF!</v>
      </c>
      <c r="L61" s="963">
        <f t="shared" si="3"/>
        <v>0</v>
      </c>
      <c r="M61" s="964"/>
    </row>
    <row r="62" spans="1:13" ht="30" customHeight="1">
      <c r="A62" s="952" t="e">
        <f>#REF!</f>
        <v>#REF!</v>
      </c>
      <c r="B62" s="960" t="e">
        <f>VLOOKUP(A62,#REF!,2,FALSE)</f>
        <v>#REF!</v>
      </c>
      <c r="C62" s="961" t="e">
        <f>VLOOKUP(A62,#REF!,3,FALSE)</f>
        <v>#REF!</v>
      </c>
      <c r="D62" s="962">
        <f t="shared" si="0"/>
        <v>0</v>
      </c>
      <c r="E62" s="962">
        <f t="shared" si="1"/>
        <v>0</v>
      </c>
      <c r="F62" s="962">
        <f t="shared" si="2"/>
        <v>0</v>
      </c>
      <c r="G62" s="962"/>
      <c r="H62" s="962"/>
      <c r="I62" s="962"/>
      <c r="J62" s="962"/>
      <c r="K62" s="962" t="e">
        <f>VLOOKUP(A62,#REF!,4,FALSE)</f>
        <v>#REF!</v>
      </c>
      <c r="L62" s="963">
        <f t="shared" si="3"/>
        <v>0</v>
      </c>
      <c r="M62" s="964"/>
    </row>
    <row r="63" spans="1:13" ht="30" customHeight="1">
      <c r="A63" s="952" t="e">
        <f>#REF!</f>
        <v>#REF!</v>
      </c>
      <c r="B63" s="960" t="e">
        <f>VLOOKUP(A63,#REF!,2,FALSE)</f>
        <v>#REF!</v>
      </c>
      <c r="C63" s="961" t="e">
        <f>VLOOKUP(A63,#REF!,3,FALSE)</f>
        <v>#REF!</v>
      </c>
      <c r="D63" s="962">
        <f t="shared" si="0"/>
        <v>0</v>
      </c>
      <c r="E63" s="962">
        <f t="shared" si="1"/>
        <v>0</v>
      </c>
      <c r="F63" s="962">
        <f t="shared" si="2"/>
        <v>0</v>
      </c>
      <c r="G63" s="962"/>
      <c r="H63" s="962"/>
      <c r="I63" s="962"/>
      <c r="J63" s="962"/>
      <c r="K63" s="962" t="e">
        <f>VLOOKUP(A63,#REF!,4,FALSE)</f>
        <v>#REF!</v>
      </c>
      <c r="L63" s="963">
        <f t="shared" si="3"/>
        <v>0</v>
      </c>
      <c r="M63" s="964"/>
    </row>
    <row r="64" spans="1:13" ht="30" customHeight="1">
      <c r="A64" s="952" t="e">
        <f>#REF!</f>
        <v>#REF!</v>
      </c>
      <c r="B64" s="960" t="e">
        <f>VLOOKUP(A64,#REF!,2,FALSE)</f>
        <v>#REF!</v>
      </c>
      <c r="C64" s="961" t="e">
        <f>VLOOKUP(A64,#REF!,3,FALSE)</f>
        <v>#REF!</v>
      </c>
      <c r="D64" s="962">
        <f t="shared" si="0"/>
        <v>0</v>
      </c>
      <c r="E64" s="962">
        <f t="shared" si="1"/>
        <v>0</v>
      </c>
      <c r="F64" s="962">
        <f t="shared" si="2"/>
        <v>0</v>
      </c>
      <c r="G64" s="962"/>
      <c r="H64" s="962"/>
      <c r="I64" s="962"/>
      <c r="J64" s="962"/>
      <c r="K64" s="962" t="e">
        <f>VLOOKUP(A64,#REF!,4,FALSE)</f>
        <v>#REF!</v>
      </c>
      <c r="L64" s="963">
        <f t="shared" si="3"/>
        <v>0</v>
      </c>
      <c r="M64" s="964"/>
    </row>
    <row r="65" spans="1:13" ht="30" customHeight="1">
      <c r="A65" s="952" t="e">
        <f>#REF!</f>
        <v>#REF!</v>
      </c>
      <c r="B65" s="960" t="e">
        <f>VLOOKUP(A65,#REF!,2,FALSE)</f>
        <v>#REF!</v>
      </c>
      <c r="C65" s="961" t="e">
        <f>VLOOKUP(A65,#REF!,3,FALSE)</f>
        <v>#REF!</v>
      </c>
      <c r="D65" s="962">
        <f t="shared" si="0"/>
        <v>0</v>
      </c>
      <c r="E65" s="962">
        <f t="shared" si="1"/>
        <v>0</v>
      </c>
      <c r="F65" s="962">
        <f t="shared" si="2"/>
        <v>0</v>
      </c>
      <c r="G65" s="962"/>
      <c r="H65" s="962"/>
      <c r="I65" s="962"/>
      <c r="J65" s="962"/>
      <c r="K65" s="962" t="e">
        <f>VLOOKUP(A65,#REF!,4,FALSE)</f>
        <v>#REF!</v>
      </c>
      <c r="L65" s="963">
        <f t="shared" si="3"/>
        <v>0</v>
      </c>
      <c r="M65" s="964"/>
    </row>
    <row r="66" spans="1:13" ht="30" customHeight="1">
      <c r="A66" s="952" t="e">
        <f>#REF!</f>
        <v>#REF!</v>
      </c>
      <c r="B66" s="960" t="e">
        <f>VLOOKUP(A66,#REF!,2,FALSE)</f>
        <v>#REF!</v>
      </c>
      <c r="C66" s="961" t="e">
        <f>VLOOKUP(A66,#REF!,3,FALSE)</f>
        <v>#REF!</v>
      </c>
      <c r="D66" s="962">
        <f t="shared" si="0"/>
        <v>0</v>
      </c>
      <c r="E66" s="962">
        <f t="shared" si="1"/>
        <v>0</v>
      </c>
      <c r="F66" s="962">
        <f t="shared" si="2"/>
        <v>0</v>
      </c>
      <c r="G66" s="962"/>
      <c r="H66" s="962"/>
      <c r="I66" s="962"/>
      <c r="J66" s="962"/>
      <c r="K66" s="962" t="e">
        <f>VLOOKUP(A66,#REF!,4,FALSE)</f>
        <v>#REF!</v>
      </c>
      <c r="L66" s="963">
        <f t="shared" si="3"/>
        <v>0</v>
      </c>
      <c r="M66" s="964"/>
    </row>
    <row r="67" spans="1:13" ht="30" customHeight="1">
      <c r="A67" s="952" t="e">
        <f>#REF!</f>
        <v>#REF!</v>
      </c>
      <c r="B67" s="960" t="e">
        <f>VLOOKUP(A67,#REF!,2,FALSE)</f>
        <v>#REF!</v>
      </c>
      <c r="C67" s="961" t="e">
        <f>VLOOKUP(A67,#REF!,3,FALSE)</f>
        <v>#REF!</v>
      </c>
      <c r="D67" s="962">
        <f t="shared" si="0"/>
        <v>0</v>
      </c>
      <c r="E67" s="962">
        <f t="shared" si="1"/>
        <v>0</v>
      </c>
      <c r="F67" s="962">
        <f t="shared" si="2"/>
        <v>0</v>
      </c>
      <c r="G67" s="962"/>
      <c r="H67" s="962"/>
      <c r="I67" s="962"/>
      <c r="J67" s="962"/>
      <c r="K67" s="962" t="e">
        <f>VLOOKUP(A67,#REF!,4,FALSE)</f>
        <v>#REF!</v>
      </c>
      <c r="L67" s="963">
        <f t="shared" si="3"/>
        <v>0</v>
      </c>
      <c r="M67" s="964"/>
    </row>
    <row r="68" spans="1:13" ht="30" customHeight="1">
      <c r="A68" s="952" t="e">
        <f>#REF!</f>
        <v>#REF!</v>
      </c>
      <c r="B68" s="960" t="e">
        <f>VLOOKUP(A68,#REF!,2,FALSE)</f>
        <v>#REF!</v>
      </c>
      <c r="C68" s="961" t="e">
        <f>VLOOKUP(A68,#REF!,3,FALSE)</f>
        <v>#REF!</v>
      </c>
      <c r="D68" s="962">
        <f t="shared" si="0"/>
        <v>0</v>
      </c>
      <c r="E68" s="962">
        <f t="shared" si="1"/>
        <v>0</v>
      </c>
      <c r="F68" s="962">
        <f t="shared" si="2"/>
        <v>0</v>
      </c>
      <c r="G68" s="962"/>
      <c r="H68" s="962"/>
      <c r="I68" s="962"/>
      <c r="J68" s="962"/>
      <c r="K68" s="962" t="e">
        <f>VLOOKUP(A68,#REF!,4,FALSE)</f>
        <v>#REF!</v>
      </c>
      <c r="L68" s="963">
        <f t="shared" si="3"/>
        <v>0</v>
      </c>
      <c r="M68" s="964"/>
    </row>
    <row r="69" spans="1:13" ht="30" customHeight="1">
      <c r="A69" s="952" t="e">
        <f>#REF!</f>
        <v>#REF!</v>
      </c>
      <c r="B69" s="960" t="e">
        <f>VLOOKUP(A69,#REF!,2,FALSE)</f>
        <v>#REF!</v>
      </c>
      <c r="C69" s="961" t="e">
        <f>VLOOKUP(A69,#REF!,3,FALSE)</f>
        <v>#REF!</v>
      </c>
      <c r="D69" s="962">
        <f t="shared" ref="D69:D132" si="4">INT(IF(ISERROR(VLOOKUP($A69,산출집계1,6,FALSE)),0,VLOOKUP($A69,산출집계1,12,FALSE)))</f>
        <v>0</v>
      </c>
      <c r="E69" s="962">
        <f t="shared" ref="E69:E132" si="5">INT(IF(ISERROR(VLOOKUP($A69,산출집계2,6,FALSE)),0,VLOOKUP($A69,산출집계2,12,FALSE)))</f>
        <v>0</v>
      </c>
      <c r="F69" s="962">
        <f t="shared" ref="F69:F132" si="6">INT(IF(ISERROR(VLOOKUP($A69,산출집계3,6,FALSE)),0,VLOOKUP($A69,산출집계3,12,FALSE)))</f>
        <v>0</v>
      </c>
      <c r="G69" s="962"/>
      <c r="H69" s="962"/>
      <c r="I69" s="962"/>
      <c r="J69" s="962"/>
      <c r="K69" s="962" t="e">
        <f>VLOOKUP(A69,#REF!,4,FALSE)</f>
        <v>#REF!</v>
      </c>
      <c r="L69" s="963">
        <f t="shared" si="3"/>
        <v>0</v>
      </c>
      <c r="M69" s="964"/>
    </row>
    <row r="70" spans="1:13" ht="30" customHeight="1">
      <c r="A70" s="952" t="e">
        <f>#REF!</f>
        <v>#REF!</v>
      </c>
      <c r="B70" s="960" t="e">
        <f>VLOOKUP(A70,#REF!,2,FALSE)</f>
        <v>#REF!</v>
      </c>
      <c r="C70" s="961" t="e">
        <f>VLOOKUP(A70,#REF!,3,FALSE)</f>
        <v>#REF!</v>
      </c>
      <c r="D70" s="962">
        <f t="shared" si="4"/>
        <v>0</v>
      </c>
      <c r="E70" s="962">
        <f t="shared" si="5"/>
        <v>0</v>
      </c>
      <c r="F70" s="962">
        <f t="shared" si="6"/>
        <v>0</v>
      </c>
      <c r="G70" s="962"/>
      <c r="H70" s="962"/>
      <c r="I70" s="962"/>
      <c r="J70" s="962"/>
      <c r="K70" s="962" t="e">
        <f>VLOOKUP(A70,#REF!,4,FALSE)</f>
        <v>#REF!</v>
      </c>
      <c r="L70" s="963">
        <f t="shared" ref="L70:L133" si="7">INT(SUM(D70:J70))</f>
        <v>0</v>
      </c>
      <c r="M70" s="964"/>
    </row>
    <row r="71" spans="1:13" ht="30" customHeight="1">
      <c r="A71" s="952" t="e">
        <f>#REF!</f>
        <v>#REF!</v>
      </c>
      <c r="B71" s="960" t="e">
        <f>VLOOKUP(A71,#REF!,2,FALSE)</f>
        <v>#REF!</v>
      </c>
      <c r="C71" s="961" t="e">
        <f>VLOOKUP(A71,#REF!,3,FALSE)</f>
        <v>#REF!</v>
      </c>
      <c r="D71" s="962">
        <f t="shared" si="4"/>
        <v>0</v>
      </c>
      <c r="E71" s="962">
        <f t="shared" si="5"/>
        <v>0</v>
      </c>
      <c r="F71" s="962">
        <f t="shared" si="6"/>
        <v>0</v>
      </c>
      <c r="G71" s="962"/>
      <c r="H71" s="962"/>
      <c r="I71" s="962"/>
      <c r="J71" s="962"/>
      <c r="K71" s="962" t="e">
        <f>VLOOKUP(A71,#REF!,4,FALSE)</f>
        <v>#REF!</v>
      </c>
      <c r="L71" s="963">
        <f t="shared" si="7"/>
        <v>0</v>
      </c>
      <c r="M71" s="964"/>
    </row>
    <row r="72" spans="1:13" ht="30" customHeight="1">
      <c r="A72" s="952" t="e">
        <f>#REF!</f>
        <v>#REF!</v>
      </c>
      <c r="B72" s="960" t="e">
        <f>VLOOKUP(A72,#REF!,2,FALSE)</f>
        <v>#REF!</v>
      </c>
      <c r="C72" s="961" t="e">
        <f>VLOOKUP(A72,#REF!,3,FALSE)</f>
        <v>#REF!</v>
      </c>
      <c r="D72" s="962">
        <f t="shared" si="4"/>
        <v>0</v>
      </c>
      <c r="E72" s="962">
        <f t="shared" si="5"/>
        <v>0</v>
      </c>
      <c r="F72" s="962">
        <f t="shared" si="6"/>
        <v>0</v>
      </c>
      <c r="G72" s="962"/>
      <c r="H72" s="962"/>
      <c r="I72" s="962"/>
      <c r="J72" s="962"/>
      <c r="K72" s="962" t="e">
        <f>VLOOKUP(A72,#REF!,4,FALSE)</f>
        <v>#REF!</v>
      </c>
      <c r="L72" s="963">
        <f t="shared" si="7"/>
        <v>0</v>
      </c>
      <c r="M72" s="964"/>
    </row>
    <row r="73" spans="1:13" ht="30" customHeight="1">
      <c r="A73" s="952" t="e">
        <f>#REF!</f>
        <v>#REF!</v>
      </c>
      <c r="B73" s="960" t="e">
        <f>VLOOKUP(A73,#REF!,2,FALSE)</f>
        <v>#REF!</v>
      </c>
      <c r="C73" s="961" t="e">
        <f>VLOOKUP(A73,#REF!,3,FALSE)</f>
        <v>#REF!</v>
      </c>
      <c r="D73" s="962">
        <f t="shared" si="4"/>
        <v>0</v>
      </c>
      <c r="E73" s="962">
        <f t="shared" si="5"/>
        <v>0</v>
      </c>
      <c r="F73" s="962">
        <f t="shared" si="6"/>
        <v>0</v>
      </c>
      <c r="G73" s="962"/>
      <c r="H73" s="962"/>
      <c r="I73" s="962"/>
      <c r="J73" s="962"/>
      <c r="K73" s="962" t="e">
        <f>VLOOKUP(A73,#REF!,4,FALSE)</f>
        <v>#REF!</v>
      </c>
      <c r="L73" s="963">
        <f t="shared" si="7"/>
        <v>0</v>
      </c>
      <c r="M73" s="964"/>
    </row>
    <row r="74" spans="1:13" ht="30" customHeight="1">
      <c r="A74" s="952" t="e">
        <f>#REF!</f>
        <v>#REF!</v>
      </c>
      <c r="B74" s="960" t="e">
        <f>VLOOKUP(A74,#REF!,2,FALSE)</f>
        <v>#REF!</v>
      </c>
      <c r="C74" s="961" t="e">
        <f>VLOOKUP(A74,#REF!,3,FALSE)</f>
        <v>#REF!</v>
      </c>
      <c r="D74" s="962">
        <f t="shared" si="4"/>
        <v>0</v>
      </c>
      <c r="E74" s="962">
        <f t="shared" si="5"/>
        <v>0</v>
      </c>
      <c r="F74" s="962">
        <f t="shared" si="6"/>
        <v>0</v>
      </c>
      <c r="G74" s="962"/>
      <c r="H74" s="962"/>
      <c r="I74" s="962"/>
      <c r="J74" s="962"/>
      <c r="K74" s="962" t="e">
        <f>VLOOKUP(A74,#REF!,4,FALSE)</f>
        <v>#REF!</v>
      </c>
      <c r="L74" s="963">
        <f t="shared" si="7"/>
        <v>0</v>
      </c>
      <c r="M74" s="964"/>
    </row>
    <row r="75" spans="1:13" ht="30" customHeight="1">
      <c r="A75" s="952" t="e">
        <f>#REF!</f>
        <v>#REF!</v>
      </c>
      <c r="B75" s="960" t="e">
        <f>VLOOKUP(A75,#REF!,2,FALSE)</f>
        <v>#REF!</v>
      </c>
      <c r="C75" s="961" t="e">
        <f>VLOOKUP(A75,#REF!,3,FALSE)</f>
        <v>#REF!</v>
      </c>
      <c r="D75" s="962">
        <f t="shared" si="4"/>
        <v>0</v>
      </c>
      <c r="E75" s="962">
        <f t="shared" si="5"/>
        <v>0</v>
      </c>
      <c r="F75" s="962">
        <f t="shared" si="6"/>
        <v>0</v>
      </c>
      <c r="G75" s="962"/>
      <c r="H75" s="962"/>
      <c r="I75" s="962"/>
      <c r="J75" s="962"/>
      <c r="K75" s="962" t="e">
        <f>VLOOKUP(A75,#REF!,4,FALSE)</f>
        <v>#REF!</v>
      </c>
      <c r="L75" s="963">
        <f t="shared" si="7"/>
        <v>0</v>
      </c>
      <c r="M75" s="964"/>
    </row>
    <row r="76" spans="1:13" ht="30" customHeight="1">
      <c r="A76" s="952" t="e">
        <f>#REF!</f>
        <v>#REF!</v>
      </c>
      <c r="B76" s="960" t="e">
        <f>VLOOKUP(A76,#REF!,2,FALSE)</f>
        <v>#REF!</v>
      </c>
      <c r="C76" s="961" t="e">
        <f>VLOOKUP(A76,#REF!,3,FALSE)</f>
        <v>#REF!</v>
      </c>
      <c r="D76" s="962">
        <f t="shared" si="4"/>
        <v>0</v>
      </c>
      <c r="E76" s="962">
        <f t="shared" si="5"/>
        <v>0</v>
      </c>
      <c r="F76" s="962">
        <f t="shared" si="6"/>
        <v>0</v>
      </c>
      <c r="G76" s="962"/>
      <c r="H76" s="962"/>
      <c r="I76" s="962"/>
      <c r="J76" s="962"/>
      <c r="K76" s="962" t="e">
        <f>VLOOKUP(A76,#REF!,4,FALSE)</f>
        <v>#REF!</v>
      </c>
      <c r="L76" s="963">
        <f t="shared" si="7"/>
        <v>0</v>
      </c>
      <c r="M76" s="964"/>
    </row>
    <row r="77" spans="1:13" ht="30" customHeight="1">
      <c r="A77" s="952" t="e">
        <f>#REF!</f>
        <v>#REF!</v>
      </c>
      <c r="B77" s="960" t="e">
        <f>VLOOKUP(A77,#REF!,2,FALSE)</f>
        <v>#REF!</v>
      </c>
      <c r="C77" s="961" t="e">
        <f>VLOOKUP(A77,#REF!,3,FALSE)</f>
        <v>#REF!</v>
      </c>
      <c r="D77" s="962">
        <f t="shared" si="4"/>
        <v>0</v>
      </c>
      <c r="E77" s="962">
        <f t="shared" si="5"/>
        <v>0</v>
      </c>
      <c r="F77" s="962">
        <f t="shared" si="6"/>
        <v>0</v>
      </c>
      <c r="G77" s="962"/>
      <c r="H77" s="962"/>
      <c r="I77" s="962"/>
      <c r="J77" s="962"/>
      <c r="K77" s="962" t="e">
        <f>VLOOKUP(A77,#REF!,4,FALSE)</f>
        <v>#REF!</v>
      </c>
      <c r="L77" s="963">
        <f t="shared" si="7"/>
        <v>0</v>
      </c>
      <c r="M77" s="964"/>
    </row>
    <row r="78" spans="1:13" ht="30" customHeight="1">
      <c r="A78" s="952" t="e">
        <f>#REF!</f>
        <v>#REF!</v>
      </c>
      <c r="B78" s="960" t="e">
        <f>VLOOKUP(A78,#REF!,2,FALSE)</f>
        <v>#REF!</v>
      </c>
      <c r="C78" s="961" t="e">
        <f>VLOOKUP(A78,#REF!,3,FALSE)</f>
        <v>#REF!</v>
      </c>
      <c r="D78" s="962">
        <f t="shared" si="4"/>
        <v>0</v>
      </c>
      <c r="E78" s="962">
        <f t="shared" si="5"/>
        <v>0</v>
      </c>
      <c r="F78" s="962">
        <f t="shared" si="6"/>
        <v>0</v>
      </c>
      <c r="G78" s="962"/>
      <c r="H78" s="962"/>
      <c r="I78" s="962"/>
      <c r="J78" s="962"/>
      <c r="K78" s="962" t="e">
        <f>VLOOKUP(A78,#REF!,4,FALSE)</f>
        <v>#REF!</v>
      </c>
      <c r="L78" s="963">
        <f t="shared" si="7"/>
        <v>0</v>
      </c>
      <c r="M78" s="964"/>
    </row>
    <row r="79" spans="1:13" ht="30" customHeight="1">
      <c r="A79" s="952" t="e">
        <f>#REF!</f>
        <v>#REF!</v>
      </c>
      <c r="B79" s="960" t="e">
        <f>VLOOKUP(A79,#REF!,2,FALSE)</f>
        <v>#REF!</v>
      </c>
      <c r="C79" s="961" t="e">
        <f>VLOOKUP(A79,#REF!,3,FALSE)</f>
        <v>#REF!</v>
      </c>
      <c r="D79" s="962">
        <f t="shared" si="4"/>
        <v>0</v>
      </c>
      <c r="E79" s="962">
        <f t="shared" si="5"/>
        <v>0</v>
      </c>
      <c r="F79" s="962">
        <f t="shared" si="6"/>
        <v>0</v>
      </c>
      <c r="G79" s="962"/>
      <c r="H79" s="962"/>
      <c r="I79" s="962"/>
      <c r="J79" s="962"/>
      <c r="K79" s="962" t="e">
        <f>VLOOKUP(A79,#REF!,4,FALSE)</f>
        <v>#REF!</v>
      </c>
      <c r="L79" s="963">
        <f t="shared" si="7"/>
        <v>0</v>
      </c>
      <c r="M79" s="964"/>
    </row>
    <row r="80" spans="1:13" ht="30" customHeight="1">
      <c r="A80" s="952" t="e">
        <f>#REF!</f>
        <v>#REF!</v>
      </c>
      <c r="B80" s="960" t="e">
        <f>VLOOKUP(A80,#REF!,2,FALSE)</f>
        <v>#REF!</v>
      </c>
      <c r="C80" s="961" t="e">
        <f>VLOOKUP(A80,#REF!,3,FALSE)</f>
        <v>#REF!</v>
      </c>
      <c r="D80" s="962">
        <f t="shared" si="4"/>
        <v>0</v>
      </c>
      <c r="E80" s="962">
        <f t="shared" si="5"/>
        <v>0</v>
      </c>
      <c r="F80" s="962">
        <f t="shared" si="6"/>
        <v>0</v>
      </c>
      <c r="G80" s="962"/>
      <c r="H80" s="962"/>
      <c r="I80" s="962"/>
      <c r="J80" s="962"/>
      <c r="K80" s="962" t="e">
        <f>VLOOKUP(A80,#REF!,4,FALSE)</f>
        <v>#REF!</v>
      </c>
      <c r="L80" s="963">
        <f t="shared" si="7"/>
        <v>0</v>
      </c>
      <c r="M80" s="964"/>
    </row>
    <row r="81" spans="1:13" ht="18" customHeight="1">
      <c r="A81" s="952" t="e">
        <f>#REF!</f>
        <v>#REF!</v>
      </c>
      <c r="B81" s="960" t="e">
        <f>VLOOKUP(A81,#REF!,2,FALSE)</f>
        <v>#REF!</v>
      </c>
      <c r="C81" s="961" t="e">
        <f>VLOOKUP(A81,#REF!,3,FALSE)</f>
        <v>#REF!</v>
      </c>
      <c r="D81" s="962">
        <f t="shared" si="4"/>
        <v>0</v>
      </c>
      <c r="E81" s="962">
        <f t="shared" si="5"/>
        <v>0</v>
      </c>
      <c r="F81" s="962">
        <f t="shared" si="6"/>
        <v>0</v>
      </c>
      <c r="G81" s="962"/>
      <c r="H81" s="962"/>
      <c r="I81" s="962"/>
      <c r="J81" s="962"/>
      <c r="K81" s="962" t="e">
        <f>VLOOKUP(A81,#REF!,4,FALSE)</f>
        <v>#REF!</v>
      </c>
      <c r="L81" s="963">
        <f t="shared" si="7"/>
        <v>0</v>
      </c>
      <c r="M81" s="964"/>
    </row>
    <row r="82" spans="1:13" ht="18" customHeight="1">
      <c r="A82" s="952" t="e">
        <f>#REF!</f>
        <v>#REF!</v>
      </c>
      <c r="B82" s="960" t="e">
        <f>VLOOKUP(A82,#REF!,2,FALSE)</f>
        <v>#REF!</v>
      </c>
      <c r="C82" s="961" t="e">
        <f>VLOOKUP(A82,#REF!,3,FALSE)</f>
        <v>#REF!</v>
      </c>
      <c r="D82" s="962">
        <f t="shared" si="4"/>
        <v>0</v>
      </c>
      <c r="E82" s="962">
        <f t="shared" si="5"/>
        <v>0</v>
      </c>
      <c r="F82" s="962">
        <f t="shared" si="6"/>
        <v>0</v>
      </c>
      <c r="G82" s="962"/>
      <c r="H82" s="962"/>
      <c r="I82" s="962"/>
      <c r="J82" s="962"/>
      <c r="K82" s="962" t="e">
        <f>VLOOKUP(A82,#REF!,4,FALSE)</f>
        <v>#REF!</v>
      </c>
      <c r="L82" s="963">
        <f t="shared" si="7"/>
        <v>0</v>
      </c>
      <c r="M82" s="964"/>
    </row>
    <row r="83" spans="1:13" ht="18" customHeight="1">
      <c r="A83" s="952" t="e">
        <f>#REF!</f>
        <v>#REF!</v>
      </c>
      <c r="B83" s="960" t="e">
        <f>VLOOKUP(A83,#REF!,2,FALSE)</f>
        <v>#REF!</v>
      </c>
      <c r="C83" s="961" t="e">
        <f>VLOOKUP(A83,#REF!,3,FALSE)</f>
        <v>#REF!</v>
      </c>
      <c r="D83" s="962">
        <f t="shared" si="4"/>
        <v>0</v>
      </c>
      <c r="E83" s="962">
        <f t="shared" si="5"/>
        <v>0</v>
      </c>
      <c r="F83" s="962">
        <f t="shared" si="6"/>
        <v>0</v>
      </c>
      <c r="G83" s="962"/>
      <c r="H83" s="962"/>
      <c r="I83" s="962"/>
      <c r="J83" s="962"/>
      <c r="K83" s="962" t="e">
        <f>VLOOKUP(A83,#REF!,4,FALSE)</f>
        <v>#REF!</v>
      </c>
      <c r="L83" s="963">
        <f t="shared" si="7"/>
        <v>0</v>
      </c>
      <c r="M83" s="964"/>
    </row>
    <row r="84" spans="1:13" ht="18" customHeight="1">
      <c r="A84" s="952" t="e">
        <f>#REF!</f>
        <v>#REF!</v>
      </c>
      <c r="B84" s="960" t="e">
        <f>VLOOKUP(A84,#REF!,2,FALSE)</f>
        <v>#REF!</v>
      </c>
      <c r="C84" s="961" t="e">
        <f>VLOOKUP(A84,#REF!,3,FALSE)</f>
        <v>#REF!</v>
      </c>
      <c r="D84" s="962">
        <f t="shared" si="4"/>
        <v>0</v>
      </c>
      <c r="E84" s="962">
        <f t="shared" si="5"/>
        <v>0</v>
      </c>
      <c r="F84" s="962">
        <f t="shared" si="6"/>
        <v>0</v>
      </c>
      <c r="G84" s="962"/>
      <c r="H84" s="962"/>
      <c r="I84" s="962"/>
      <c r="J84" s="962"/>
      <c r="K84" s="962" t="e">
        <f>VLOOKUP(A84,#REF!,4,FALSE)</f>
        <v>#REF!</v>
      </c>
      <c r="L84" s="963">
        <f t="shared" si="7"/>
        <v>0</v>
      </c>
      <c r="M84" s="964"/>
    </row>
    <row r="85" spans="1:13" ht="18" customHeight="1">
      <c r="A85" s="952" t="e">
        <f>#REF!</f>
        <v>#REF!</v>
      </c>
      <c r="B85" s="960" t="e">
        <f>VLOOKUP(A85,#REF!,2,FALSE)</f>
        <v>#REF!</v>
      </c>
      <c r="C85" s="961" t="e">
        <f>VLOOKUP(A85,#REF!,3,FALSE)</f>
        <v>#REF!</v>
      </c>
      <c r="D85" s="962">
        <f t="shared" si="4"/>
        <v>0</v>
      </c>
      <c r="E85" s="962">
        <f t="shared" si="5"/>
        <v>0</v>
      </c>
      <c r="F85" s="962">
        <f t="shared" si="6"/>
        <v>0</v>
      </c>
      <c r="G85" s="962"/>
      <c r="H85" s="962"/>
      <c r="I85" s="962"/>
      <c r="J85" s="962"/>
      <c r="K85" s="962" t="e">
        <f>VLOOKUP(A85,#REF!,4,FALSE)</f>
        <v>#REF!</v>
      </c>
      <c r="L85" s="963">
        <f t="shared" si="7"/>
        <v>0</v>
      </c>
      <c r="M85" s="964"/>
    </row>
    <row r="86" spans="1:13" ht="18" customHeight="1">
      <c r="A86" s="952" t="e">
        <f>#REF!</f>
        <v>#REF!</v>
      </c>
      <c r="B86" s="960" t="e">
        <f>VLOOKUP(A86,#REF!,2,FALSE)</f>
        <v>#REF!</v>
      </c>
      <c r="C86" s="961" t="e">
        <f>VLOOKUP(A86,#REF!,3,FALSE)</f>
        <v>#REF!</v>
      </c>
      <c r="D86" s="962">
        <f t="shared" si="4"/>
        <v>0</v>
      </c>
      <c r="E86" s="962">
        <f t="shared" si="5"/>
        <v>0</v>
      </c>
      <c r="F86" s="962">
        <f t="shared" si="6"/>
        <v>0</v>
      </c>
      <c r="G86" s="962"/>
      <c r="H86" s="962"/>
      <c r="I86" s="962"/>
      <c r="J86" s="962"/>
      <c r="K86" s="962" t="e">
        <f>VLOOKUP(A86,#REF!,4,FALSE)</f>
        <v>#REF!</v>
      </c>
      <c r="L86" s="963">
        <f t="shared" si="7"/>
        <v>0</v>
      </c>
      <c r="M86" s="964"/>
    </row>
    <row r="87" spans="1:13" ht="18" customHeight="1">
      <c r="A87" s="952" t="e">
        <f>#REF!</f>
        <v>#REF!</v>
      </c>
      <c r="B87" s="960" t="e">
        <f>VLOOKUP(A87,#REF!,2,FALSE)</f>
        <v>#REF!</v>
      </c>
      <c r="C87" s="961" t="e">
        <f>VLOOKUP(A87,#REF!,3,FALSE)</f>
        <v>#REF!</v>
      </c>
      <c r="D87" s="962">
        <f t="shared" si="4"/>
        <v>0</v>
      </c>
      <c r="E87" s="962">
        <f t="shared" si="5"/>
        <v>0</v>
      </c>
      <c r="F87" s="962">
        <f t="shared" si="6"/>
        <v>0</v>
      </c>
      <c r="G87" s="962"/>
      <c r="H87" s="962"/>
      <c r="I87" s="962"/>
      <c r="J87" s="962"/>
      <c r="K87" s="962" t="e">
        <f>VLOOKUP(A87,#REF!,4,FALSE)</f>
        <v>#REF!</v>
      </c>
      <c r="L87" s="963">
        <f t="shared" si="7"/>
        <v>0</v>
      </c>
      <c r="M87" s="964"/>
    </row>
    <row r="88" spans="1:13" ht="18" customHeight="1">
      <c r="A88" s="952" t="e">
        <f>#REF!</f>
        <v>#REF!</v>
      </c>
      <c r="B88" s="960" t="e">
        <f>VLOOKUP(A88,#REF!,2,FALSE)</f>
        <v>#REF!</v>
      </c>
      <c r="C88" s="961" t="e">
        <f>VLOOKUP(A88,#REF!,3,FALSE)</f>
        <v>#REF!</v>
      </c>
      <c r="D88" s="962">
        <f t="shared" si="4"/>
        <v>0</v>
      </c>
      <c r="E88" s="962">
        <f t="shared" si="5"/>
        <v>0</v>
      </c>
      <c r="F88" s="962">
        <f t="shared" si="6"/>
        <v>0</v>
      </c>
      <c r="G88" s="962"/>
      <c r="H88" s="962"/>
      <c r="I88" s="962"/>
      <c r="J88" s="962"/>
      <c r="K88" s="962" t="e">
        <f>VLOOKUP(A88,#REF!,4,FALSE)</f>
        <v>#REF!</v>
      </c>
      <c r="L88" s="963">
        <f t="shared" si="7"/>
        <v>0</v>
      </c>
      <c r="M88" s="964"/>
    </row>
    <row r="89" spans="1:13" ht="18" customHeight="1">
      <c r="A89" s="952" t="e">
        <f>#REF!</f>
        <v>#REF!</v>
      </c>
      <c r="B89" s="960" t="e">
        <f>VLOOKUP(A89,#REF!,2,FALSE)</f>
        <v>#REF!</v>
      </c>
      <c r="C89" s="961" t="e">
        <f>VLOOKUP(A89,#REF!,3,FALSE)</f>
        <v>#REF!</v>
      </c>
      <c r="D89" s="962">
        <f t="shared" si="4"/>
        <v>0</v>
      </c>
      <c r="E89" s="962">
        <f t="shared" si="5"/>
        <v>0</v>
      </c>
      <c r="F89" s="962">
        <f t="shared" si="6"/>
        <v>0</v>
      </c>
      <c r="G89" s="962"/>
      <c r="H89" s="962"/>
      <c r="I89" s="962"/>
      <c r="J89" s="962"/>
      <c r="K89" s="962" t="e">
        <f>VLOOKUP(A89,#REF!,4,FALSE)</f>
        <v>#REF!</v>
      </c>
      <c r="L89" s="963">
        <f t="shared" si="7"/>
        <v>0</v>
      </c>
      <c r="M89" s="964"/>
    </row>
    <row r="90" spans="1:13" ht="18" customHeight="1">
      <c r="A90" s="952" t="e">
        <f>#REF!</f>
        <v>#REF!</v>
      </c>
      <c r="B90" s="960" t="e">
        <f>VLOOKUP(A90,#REF!,2,FALSE)</f>
        <v>#REF!</v>
      </c>
      <c r="C90" s="961" t="e">
        <f>VLOOKUP(A90,#REF!,3,FALSE)</f>
        <v>#REF!</v>
      </c>
      <c r="D90" s="962">
        <f t="shared" si="4"/>
        <v>0</v>
      </c>
      <c r="E90" s="962">
        <f t="shared" si="5"/>
        <v>0</v>
      </c>
      <c r="F90" s="962">
        <f t="shared" si="6"/>
        <v>0</v>
      </c>
      <c r="G90" s="962"/>
      <c r="H90" s="962"/>
      <c r="I90" s="962"/>
      <c r="J90" s="962"/>
      <c r="K90" s="962" t="e">
        <f>VLOOKUP(A90,#REF!,4,FALSE)</f>
        <v>#REF!</v>
      </c>
      <c r="L90" s="963">
        <f t="shared" si="7"/>
        <v>0</v>
      </c>
      <c r="M90" s="964"/>
    </row>
    <row r="91" spans="1:13" ht="18" customHeight="1">
      <c r="A91" s="952" t="e">
        <f>#REF!</f>
        <v>#REF!</v>
      </c>
      <c r="B91" s="960" t="e">
        <f>VLOOKUP(A91,#REF!,2,FALSE)</f>
        <v>#REF!</v>
      </c>
      <c r="C91" s="961" t="e">
        <f>VLOOKUP(A91,#REF!,3,FALSE)</f>
        <v>#REF!</v>
      </c>
      <c r="D91" s="962">
        <f t="shared" si="4"/>
        <v>0</v>
      </c>
      <c r="E91" s="962">
        <f t="shared" si="5"/>
        <v>0</v>
      </c>
      <c r="F91" s="962">
        <f t="shared" si="6"/>
        <v>0</v>
      </c>
      <c r="G91" s="962"/>
      <c r="H91" s="962"/>
      <c r="I91" s="962"/>
      <c r="J91" s="962"/>
      <c r="K91" s="962" t="e">
        <f>VLOOKUP(A91,#REF!,4,FALSE)</f>
        <v>#REF!</v>
      </c>
      <c r="L91" s="963">
        <f t="shared" si="7"/>
        <v>0</v>
      </c>
      <c r="M91" s="964"/>
    </row>
    <row r="92" spans="1:13" ht="18" customHeight="1">
      <c r="A92" s="952" t="e">
        <f>#REF!</f>
        <v>#REF!</v>
      </c>
      <c r="B92" s="960" t="e">
        <f>VLOOKUP(A92,#REF!,2,FALSE)</f>
        <v>#REF!</v>
      </c>
      <c r="C92" s="961" t="e">
        <f>VLOOKUP(A92,#REF!,3,FALSE)</f>
        <v>#REF!</v>
      </c>
      <c r="D92" s="962">
        <f t="shared" si="4"/>
        <v>0</v>
      </c>
      <c r="E92" s="962">
        <f t="shared" si="5"/>
        <v>0</v>
      </c>
      <c r="F92" s="962">
        <f t="shared" si="6"/>
        <v>0</v>
      </c>
      <c r="G92" s="962"/>
      <c r="H92" s="962"/>
      <c r="I92" s="962"/>
      <c r="J92" s="962"/>
      <c r="K92" s="962" t="e">
        <f>VLOOKUP(A92,#REF!,4,FALSE)</f>
        <v>#REF!</v>
      </c>
      <c r="L92" s="963">
        <f t="shared" si="7"/>
        <v>0</v>
      </c>
      <c r="M92" s="964"/>
    </row>
    <row r="93" spans="1:13" ht="18" customHeight="1">
      <c r="A93" s="952" t="e">
        <f>#REF!</f>
        <v>#REF!</v>
      </c>
      <c r="B93" s="960" t="e">
        <f>VLOOKUP(A93,#REF!,2,FALSE)</f>
        <v>#REF!</v>
      </c>
      <c r="C93" s="961" t="e">
        <f>VLOOKUP(A93,#REF!,3,FALSE)</f>
        <v>#REF!</v>
      </c>
      <c r="D93" s="962">
        <f t="shared" si="4"/>
        <v>0</v>
      </c>
      <c r="E93" s="962">
        <f t="shared" si="5"/>
        <v>0</v>
      </c>
      <c r="F93" s="962">
        <f t="shared" si="6"/>
        <v>0</v>
      </c>
      <c r="G93" s="962"/>
      <c r="H93" s="962"/>
      <c r="I93" s="962"/>
      <c r="J93" s="962"/>
      <c r="K93" s="962" t="e">
        <f>VLOOKUP(A93,#REF!,4,FALSE)</f>
        <v>#REF!</v>
      </c>
      <c r="L93" s="963">
        <f t="shared" si="7"/>
        <v>0</v>
      </c>
      <c r="M93" s="964"/>
    </row>
    <row r="94" spans="1:13" ht="18" customHeight="1">
      <c r="A94" s="952" t="e">
        <f>#REF!</f>
        <v>#REF!</v>
      </c>
      <c r="B94" s="960" t="e">
        <f>VLOOKUP(A94,#REF!,2,FALSE)</f>
        <v>#REF!</v>
      </c>
      <c r="C94" s="961" t="e">
        <f>VLOOKUP(A94,#REF!,3,FALSE)</f>
        <v>#REF!</v>
      </c>
      <c r="D94" s="962">
        <f t="shared" si="4"/>
        <v>0</v>
      </c>
      <c r="E94" s="962">
        <f t="shared" si="5"/>
        <v>0</v>
      </c>
      <c r="F94" s="962">
        <f t="shared" si="6"/>
        <v>0</v>
      </c>
      <c r="G94" s="962"/>
      <c r="H94" s="962"/>
      <c r="I94" s="962"/>
      <c r="J94" s="962"/>
      <c r="K94" s="962" t="e">
        <f>VLOOKUP(A94,#REF!,4,FALSE)</f>
        <v>#REF!</v>
      </c>
      <c r="L94" s="963">
        <f t="shared" si="7"/>
        <v>0</v>
      </c>
      <c r="M94" s="964"/>
    </row>
    <row r="95" spans="1:13" ht="18" customHeight="1">
      <c r="A95" s="952" t="e">
        <f>#REF!</f>
        <v>#REF!</v>
      </c>
      <c r="B95" s="960" t="e">
        <f>VLOOKUP(A95,#REF!,2,FALSE)</f>
        <v>#REF!</v>
      </c>
      <c r="C95" s="961" t="e">
        <f>VLOOKUP(A95,#REF!,3,FALSE)</f>
        <v>#REF!</v>
      </c>
      <c r="D95" s="962">
        <f t="shared" si="4"/>
        <v>0</v>
      </c>
      <c r="E95" s="962">
        <f t="shared" si="5"/>
        <v>0</v>
      </c>
      <c r="F95" s="962">
        <f t="shared" si="6"/>
        <v>0</v>
      </c>
      <c r="G95" s="962"/>
      <c r="H95" s="962"/>
      <c r="I95" s="962"/>
      <c r="J95" s="962"/>
      <c r="K95" s="962" t="e">
        <f>VLOOKUP(A95,#REF!,4,FALSE)</f>
        <v>#REF!</v>
      </c>
      <c r="L95" s="963">
        <f t="shared" si="7"/>
        <v>0</v>
      </c>
      <c r="M95" s="964"/>
    </row>
    <row r="96" spans="1:13" ht="18" customHeight="1">
      <c r="A96" s="952" t="e">
        <f>#REF!</f>
        <v>#REF!</v>
      </c>
      <c r="B96" s="960" t="e">
        <f>VLOOKUP(A96,#REF!,2,FALSE)</f>
        <v>#REF!</v>
      </c>
      <c r="C96" s="961" t="e">
        <f>VLOOKUP(A96,#REF!,3,FALSE)</f>
        <v>#REF!</v>
      </c>
      <c r="D96" s="962">
        <f t="shared" si="4"/>
        <v>0</v>
      </c>
      <c r="E96" s="962">
        <f t="shared" si="5"/>
        <v>0</v>
      </c>
      <c r="F96" s="962">
        <f t="shared" si="6"/>
        <v>0</v>
      </c>
      <c r="G96" s="962"/>
      <c r="H96" s="962"/>
      <c r="I96" s="962"/>
      <c r="J96" s="962"/>
      <c r="K96" s="962" t="e">
        <f>VLOOKUP(A96,#REF!,4,FALSE)</f>
        <v>#REF!</v>
      </c>
      <c r="L96" s="963">
        <f t="shared" si="7"/>
        <v>0</v>
      </c>
      <c r="M96" s="964"/>
    </row>
    <row r="97" spans="1:13" ht="18" customHeight="1">
      <c r="A97" s="952" t="e">
        <f>#REF!</f>
        <v>#REF!</v>
      </c>
      <c r="B97" s="960" t="e">
        <f>VLOOKUP(A97,#REF!,2,FALSE)</f>
        <v>#REF!</v>
      </c>
      <c r="C97" s="961" t="e">
        <f>VLOOKUP(A97,#REF!,3,FALSE)</f>
        <v>#REF!</v>
      </c>
      <c r="D97" s="962">
        <f t="shared" si="4"/>
        <v>0</v>
      </c>
      <c r="E97" s="962">
        <f t="shared" si="5"/>
        <v>0</v>
      </c>
      <c r="F97" s="962">
        <f t="shared" si="6"/>
        <v>0</v>
      </c>
      <c r="G97" s="962"/>
      <c r="H97" s="962"/>
      <c r="I97" s="962"/>
      <c r="J97" s="962"/>
      <c r="K97" s="962" t="e">
        <f>VLOOKUP(A97,#REF!,4,FALSE)</f>
        <v>#REF!</v>
      </c>
      <c r="L97" s="963">
        <f t="shared" si="7"/>
        <v>0</v>
      </c>
      <c r="M97" s="964"/>
    </row>
    <row r="98" spans="1:13" ht="18" customHeight="1">
      <c r="A98" s="952" t="e">
        <f>#REF!</f>
        <v>#REF!</v>
      </c>
      <c r="B98" s="960" t="e">
        <f>VLOOKUP(A98,#REF!,2,FALSE)</f>
        <v>#REF!</v>
      </c>
      <c r="C98" s="961" t="e">
        <f>VLOOKUP(A98,#REF!,3,FALSE)</f>
        <v>#REF!</v>
      </c>
      <c r="D98" s="962">
        <f t="shared" si="4"/>
        <v>0</v>
      </c>
      <c r="E98" s="962">
        <f t="shared" si="5"/>
        <v>0</v>
      </c>
      <c r="F98" s="962">
        <f t="shared" si="6"/>
        <v>0</v>
      </c>
      <c r="G98" s="962"/>
      <c r="H98" s="962"/>
      <c r="I98" s="962"/>
      <c r="J98" s="962"/>
      <c r="K98" s="962" t="e">
        <f>VLOOKUP(A98,#REF!,4,FALSE)</f>
        <v>#REF!</v>
      </c>
      <c r="L98" s="963">
        <f t="shared" si="7"/>
        <v>0</v>
      </c>
      <c r="M98" s="964"/>
    </row>
    <row r="99" spans="1:13" ht="18" customHeight="1">
      <c r="A99" s="952" t="e">
        <f>#REF!</f>
        <v>#REF!</v>
      </c>
      <c r="B99" s="960" t="e">
        <f>VLOOKUP(A99,#REF!,2,FALSE)</f>
        <v>#REF!</v>
      </c>
      <c r="C99" s="961" t="e">
        <f>VLOOKUP(A99,#REF!,3,FALSE)</f>
        <v>#REF!</v>
      </c>
      <c r="D99" s="962">
        <f t="shared" si="4"/>
        <v>0</v>
      </c>
      <c r="E99" s="962">
        <f t="shared" si="5"/>
        <v>0</v>
      </c>
      <c r="F99" s="962">
        <f t="shared" si="6"/>
        <v>0</v>
      </c>
      <c r="G99" s="962"/>
      <c r="H99" s="962"/>
      <c r="I99" s="962"/>
      <c r="J99" s="962"/>
      <c r="K99" s="962" t="e">
        <f>VLOOKUP(A99,#REF!,4,FALSE)</f>
        <v>#REF!</v>
      </c>
      <c r="L99" s="963">
        <f t="shared" si="7"/>
        <v>0</v>
      </c>
      <c r="M99" s="964"/>
    </row>
    <row r="100" spans="1:13" ht="18" customHeight="1">
      <c r="A100" s="952" t="e">
        <f>#REF!</f>
        <v>#REF!</v>
      </c>
      <c r="B100" s="960" t="e">
        <f>VLOOKUP(A100,#REF!,2,FALSE)</f>
        <v>#REF!</v>
      </c>
      <c r="C100" s="961" t="e">
        <f>VLOOKUP(A100,#REF!,3,FALSE)</f>
        <v>#REF!</v>
      </c>
      <c r="D100" s="962">
        <f t="shared" si="4"/>
        <v>0</v>
      </c>
      <c r="E100" s="962">
        <f t="shared" si="5"/>
        <v>0</v>
      </c>
      <c r="F100" s="962">
        <f t="shared" si="6"/>
        <v>0</v>
      </c>
      <c r="G100" s="962"/>
      <c r="H100" s="962"/>
      <c r="I100" s="962"/>
      <c r="J100" s="962"/>
      <c r="K100" s="962" t="e">
        <f>VLOOKUP(A100,#REF!,4,FALSE)</f>
        <v>#REF!</v>
      </c>
      <c r="L100" s="963">
        <f t="shared" si="7"/>
        <v>0</v>
      </c>
      <c r="M100" s="964"/>
    </row>
    <row r="101" spans="1:13" ht="18" customHeight="1">
      <c r="A101" s="952" t="e">
        <f>#REF!</f>
        <v>#REF!</v>
      </c>
      <c r="B101" s="960" t="e">
        <f>VLOOKUP(A101,#REF!,2,FALSE)</f>
        <v>#REF!</v>
      </c>
      <c r="C101" s="961" t="e">
        <f>VLOOKUP(A101,#REF!,3,FALSE)</f>
        <v>#REF!</v>
      </c>
      <c r="D101" s="962">
        <f t="shared" si="4"/>
        <v>0</v>
      </c>
      <c r="E101" s="962">
        <f t="shared" si="5"/>
        <v>0</v>
      </c>
      <c r="F101" s="962">
        <f t="shared" si="6"/>
        <v>0</v>
      </c>
      <c r="G101" s="962"/>
      <c r="H101" s="962"/>
      <c r="I101" s="962"/>
      <c r="J101" s="962"/>
      <c r="K101" s="962" t="e">
        <f>VLOOKUP(A101,#REF!,4,FALSE)</f>
        <v>#REF!</v>
      </c>
      <c r="L101" s="963">
        <f t="shared" si="7"/>
        <v>0</v>
      </c>
      <c r="M101" s="964"/>
    </row>
    <row r="102" spans="1:13" ht="18" customHeight="1">
      <c r="A102" s="952" t="e">
        <f>#REF!</f>
        <v>#REF!</v>
      </c>
      <c r="B102" s="960" t="e">
        <f>VLOOKUP(A102,#REF!,2,FALSE)</f>
        <v>#REF!</v>
      </c>
      <c r="C102" s="961" t="e">
        <f>VLOOKUP(A102,#REF!,3,FALSE)</f>
        <v>#REF!</v>
      </c>
      <c r="D102" s="962">
        <f t="shared" si="4"/>
        <v>0</v>
      </c>
      <c r="E102" s="962">
        <f t="shared" si="5"/>
        <v>0</v>
      </c>
      <c r="F102" s="962">
        <f t="shared" si="6"/>
        <v>0</v>
      </c>
      <c r="G102" s="962"/>
      <c r="H102" s="962"/>
      <c r="I102" s="962"/>
      <c r="J102" s="962"/>
      <c r="K102" s="962" t="e">
        <f>VLOOKUP(A102,#REF!,4,FALSE)</f>
        <v>#REF!</v>
      </c>
      <c r="L102" s="963">
        <f t="shared" si="7"/>
        <v>0</v>
      </c>
      <c r="M102" s="964"/>
    </row>
    <row r="103" spans="1:13" ht="18" customHeight="1">
      <c r="A103" s="952" t="e">
        <f>#REF!</f>
        <v>#REF!</v>
      </c>
      <c r="B103" s="960" t="e">
        <f>VLOOKUP(A103,#REF!,2,FALSE)</f>
        <v>#REF!</v>
      </c>
      <c r="C103" s="961" t="e">
        <f>VLOOKUP(A103,#REF!,3,FALSE)</f>
        <v>#REF!</v>
      </c>
      <c r="D103" s="962">
        <f t="shared" si="4"/>
        <v>0</v>
      </c>
      <c r="E103" s="962">
        <f t="shared" si="5"/>
        <v>0</v>
      </c>
      <c r="F103" s="962">
        <f t="shared" si="6"/>
        <v>0</v>
      </c>
      <c r="G103" s="962"/>
      <c r="H103" s="962"/>
      <c r="I103" s="962"/>
      <c r="J103" s="962"/>
      <c r="K103" s="962" t="e">
        <f>VLOOKUP(A103,#REF!,4,FALSE)</f>
        <v>#REF!</v>
      </c>
      <c r="L103" s="963">
        <f t="shared" si="7"/>
        <v>0</v>
      </c>
      <c r="M103" s="964"/>
    </row>
    <row r="104" spans="1:13" ht="18" customHeight="1">
      <c r="A104" s="952" t="e">
        <f>#REF!</f>
        <v>#REF!</v>
      </c>
      <c r="B104" s="960" t="e">
        <f>VLOOKUP(A104,#REF!,2,FALSE)</f>
        <v>#REF!</v>
      </c>
      <c r="C104" s="961" t="e">
        <f>VLOOKUP(A104,#REF!,3,FALSE)</f>
        <v>#REF!</v>
      </c>
      <c r="D104" s="962">
        <f t="shared" si="4"/>
        <v>0</v>
      </c>
      <c r="E104" s="962">
        <f t="shared" si="5"/>
        <v>0</v>
      </c>
      <c r="F104" s="962">
        <f t="shared" si="6"/>
        <v>0</v>
      </c>
      <c r="G104" s="962"/>
      <c r="H104" s="962"/>
      <c r="I104" s="962"/>
      <c r="J104" s="962"/>
      <c r="K104" s="962" t="e">
        <f>VLOOKUP(A104,#REF!,4,FALSE)</f>
        <v>#REF!</v>
      </c>
      <c r="L104" s="963">
        <f t="shared" si="7"/>
        <v>0</v>
      </c>
      <c r="M104" s="964"/>
    </row>
    <row r="105" spans="1:13" ht="18" customHeight="1">
      <c r="A105" s="952" t="e">
        <f>#REF!</f>
        <v>#REF!</v>
      </c>
      <c r="B105" s="960" t="e">
        <f>VLOOKUP(A105,#REF!,2,FALSE)</f>
        <v>#REF!</v>
      </c>
      <c r="C105" s="961" t="e">
        <f>VLOOKUP(A105,#REF!,3,FALSE)</f>
        <v>#REF!</v>
      </c>
      <c r="D105" s="962">
        <f t="shared" si="4"/>
        <v>0</v>
      </c>
      <c r="E105" s="962">
        <f t="shared" si="5"/>
        <v>0</v>
      </c>
      <c r="F105" s="962">
        <f t="shared" si="6"/>
        <v>0</v>
      </c>
      <c r="G105" s="962"/>
      <c r="H105" s="962"/>
      <c r="I105" s="962"/>
      <c r="J105" s="962"/>
      <c r="K105" s="962" t="e">
        <f>VLOOKUP(A105,#REF!,4,FALSE)</f>
        <v>#REF!</v>
      </c>
      <c r="L105" s="963">
        <f t="shared" si="7"/>
        <v>0</v>
      </c>
      <c r="M105" s="964"/>
    </row>
    <row r="106" spans="1:13" ht="18" customHeight="1">
      <c r="A106" s="952" t="e">
        <f>#REF!</f>
        <v>#REF!</v>
      </c>
      <c r="B106" s="960" t="e">
        <f>VLOOKUP(A106,#REF!,2,FALSE)</f>
        <v>#REF!</v>
      </c>
      <c r="C106" s="961" t="e">
        <f>VLOOKUP(A106,#REF!,3,FALSE)</f>
        <v>#REF!</v>
      </c>
      <c r="D106" s="962">
        <f t="shared" si="4"/>
        <v>0</v>
      </c>
      <c r="E106" s="962">
        <f t="shared" si="5"/>
        <v>0</v>
      </c>
      <c r="F106" s="962">
        <f t="shared" si="6"/>
        <v>0</v>
      </c>
      <c r="G106" s="962"/>
      <c r="H106" s="962"/>
      <c r="I106" s="962"/>
      <c r="J106" s="962"/>
      <c r="K106" s="962" t="e">
        <f>VLOOKUP(A106,#REF!,4,FALSE)</f>
        <v>#REF!</v>
      </c>
      <c r="L106" s="963">
        <f t="shared" si="7"/>
        <v>0</v>
      </c>
      <c r="M106" s="964"/>
    </row>
    <row r="107" spans="1:13" ht="18" customHeight="1">
      <c r="A107" s="952" t="e">
        <f>#REF!</f>
        <v>#REF!</v>
      </c>
      <c r="B107" s="960" t="e">
        <f>VLOOKUP(A107,#REF!,2,FALSE)</f>
        <v>#REF!</v>
      </c>
      <c r="C107" s="961" t="e">
        <f>VLOOKUP(A107,#REF!,3,FALSE)</f>
        <v>#REF!</v>
      </c>
      <c r="D107" s="962">
        <f t="shared" si="4"/>
        <v>0</v>
      </c>
      <c r="E107" s="962">
        <f t="shared" si="5"/>
        <v>0</v>
      </c>
      <c r="F107" s="962">
        <f t="shared" si="6"/>
        <v>0</v>
      </c>
      <c r="G107" s="962"/>
      <c r="H107" s="962"/>
      <c r="I107" s="962"/>
      <c r="J107" s="962"/>
      <c r="K107" s="962" t="e">
        <f>VLOOKUP(A107,#REF!,4,FALSE)</f>
        <v>#REF!</v>
      </c>
      <c r="L107" s="963">
        <f t="shared" si="7"/>
        <v>0</v>
      </c>
      <c r="M107" s="964"/>
    </row>
    <row r="108" spans="1:13" ht="18" customHeight="1">
      <c r="A108" s="952" t="e">
        <f>#REF!</f>
        <v>#REF!</v>
      </c>
      <c r="B108" s="960" t="e">
        <f>VLOOKUP(A108,#REF!,2,FALSE)</f>
        <v>#REF!</v>
      </c>
      <c r="C108" s="961" t="e">
        <f>VLOOKUP(A108,#REF!,3,FALSE)</f>
        <v>#REF!</v>
      </c>
      <c r="D108" s="962">
        <f t="shared" si="4"/>
        <v>0</v>
      </c>
      <c r="E108" s="962">
        <f t="shared" si="5"/>
        <v>0</v>
      </c>
      <c r="F108" s="962">
        <f t="shared" si="6"/>
        <v>0</v>
      </c>
      <c r="G108" s="962"/>
      <c r="H108" s="962"/>
      <c r="I108" s="962"/>
      <c r="J108" s="962"/>
      <c r="K108" s="962" t="e">
        <f>VLOOKUP(A108,#REF!,4,FALSE)</f>
        <v>#REF!</v>
      </c>
      <c r="L108" s="963">
        <f t="shared" si="7"/>
        <v>0</v>
      </c>
      <c r="M108" s="964"/>
    </row>
    <row r="109" spans="1:13" ht="18" customHeight="1">
      <c r="A109" s="952" t="e">
        <f>#REF!</f>
        <v>#REF!</v>
      </c>
      <c r="B109" s="960" t="e">
        <f>VLOOKUP(A109,#REF!,2,FALSE)</f>
        <v>#REF!</v>
      </c>
      <c r="C109" s="961" t="e">
        <f>VLOOKUP(A109,#REF!,3,FALSE)</f>
        <v>#REF!</v>
      </c>
      <c r="D109" s="962">
        <f t="shared" si="4"/>
        <v>0</v>
      </c>
      <c r="E109" s="962">
        <f t="shared" si="5"/>
        <v>0</v>
      </c>
      <c r="F109" s="962">
        <f t="shared" si="6"/>
        <v>0</v>
      </c>
      <c r="G109" s="962"/>
      <c r="H109" s="962"/>
      <c r="I109" s="962"/>
      <c r="J109" s="962"/>
      <c r="K109" s="962" t="e">
        <f>VLOOKUP(A109,#REF!,4,FALSE)</f>
        <v>#REF!</v>
      </c>
      <c r="L109" s="963">
        <f t="shared" si="7"/>
        <v>0</v>
      </c>
      <c r="M109" s="964"/>
    </row>
    <row r="110" spans="1:13" ht="18" customHeight="1">
      <c r="A110" s="952" t="e">
        <f>#REF!</f>
        <v>#REF!</v>
      </c>
      <c r="B110" s="960" t="e">
        <f>VLOOKUP(A110,#REF!,2,FALSE)</f>
        <v>#REF!</v>
      </c>
      <c r="C110" s="961" t="e">
        <f>VLOOKUP(A110,#REF!,3,FALSE)</f>
        <v>#REF!</v>
      </c>
      <c r="D110" s="962">
        <f t="shared" si="4"/>
        <v>0</v>
      </c>
      <c r="E110" s="962">
        <f t="shared" si="5"/>
        <v>0</v>
      </c>
      <c r="F110" s="962">
        <f t="shared" si="6"/>
        <v>0</v>
      </c>
      <c r="G110" s="962"/>
      <c r="H110" s="962"/>
      <c r="I110" s="962"/>
      <c r="J110" s="962"/>
      <c r="K110" s="962" t="e">
        <f>VLOOKUP(A110,#REF!,4,FALSE)</f>
        <v>#REF!</v>
      </c>
      <c r="L110" s="963">
        <f t="shared" si="7"/>
        <v>0</v>
      </c>
      <c r="M110" s="964"/>
    </row>
    <row r="111" spans="1:13" ht="18" customHeight="1">
      <c r="A111" s="952" t="e">
        <f>#REF!</f>
        <v>#REF!</v>
      </c>
      <c r="B111" s="960" t="e">
        <f>VLOOKUP(A111,#REF!,2,FALSE)</f>
        <v>#REF!</v>
      </c>
      <c r="C111" s="961" t="e">
        <f>VLOOKUP(A111,#REF!,3,FALSE)</f>
        <v>#REF!</v>
      </c>
      <c r="D111" s="962">
        <f t="shared" si="4"/>
        <v>0</v>
      </c>
      <c r="E111" s="962">
        <f t="shared" si="5"/>
        <v>0</v>
      </c>
      <c r="F111" s="962">
        <f t="shared" si="6"/>
        <v>0</v>
      </c>
      <c r="G111" s="962"/>
      <c r="H111" s="962"/>
      <c r="I111" s="962"/>
      <c r="J111" s="962"/>
      <c r="K111" s="962" t="e">
        <f>VLOOKUP(A111,#REF!,4,FALSE)</f>
        <v>#REF!</v>
      </c>
      <c r="L111" s="963">
        <f t="shared" si="7"/>
        <v>0</v>
      </c>
      <c r="M111" s="964"/>
    </row>
    <row r="112" spans="1:13" ht="18" customHeight="1">
      <c r="A112" s="952" t="e">
        <f>#REF!</f>
        <v>#REF!</v>
      </c>
      <c r="B112" s="960" t="e">
        <f>VLOOKUP(A112,#REF!,2,FALSE)</f>
        <v>#REF!</v>
      </c>
      <c r="C112" s="961" t="e">
        <f>VLOOKUP(A112,#REF!,3,FALSE)</f>
        <v>#REF!</v>
      </c>
      <c r="D112" s="962">
        <f t="shared" si="4"/>
        <v>0</v>
      </c>
      <c r="E112" s="962">
        <f t="shared" si="5"/>
        <v>0</v>
      </c>
      <c r="F112" s="962">
        <f t="shared" si="6"/>
        <v>0</v>
      </c>
      <c r="G112" s="962"/>
      <c r="H112" s="962"/>
      <c r="I112" s="962"/>
      <c r="J112" s="962"/>
      <c r="K112" s="962" t="e">
        <f>VLOOKUP(A112,#REF!,4,FALSE)</f>
        <v>#REF!</v>
      </c>
      <c r="L112" s="963">
        <f t="shared" si="7"/>
        <v>0</v>
      </c>
      <c r="M112" s="964"/>
    </row>
    <row r="113" spans="1:13" ht="18" customHeight="1">
      <c r="A113" s="952" t="e">
        <f>#REF!</f>
        <v>#REF!</v>
      </c>
      <c r="B113" s="960" t="e">
        <f>VLOOKUP(A113,#REF!,2,FALSE)</f>
        <v>#REF!</v>
      </c>
      <c r="C113" s="961" t="e">
        <f>VLOOKUP(A113,#REF!,3,FALSE)</f>
        <v>#REF!</v>
      </c>
      <c r="D113" s="962">
        <f t="shared" si="4"/>
        <v>0</v>
      </c>
      <c r="E113" s="962">
        <f t="shared" si="5"/>
        <v>0</v>
      </c>
      <c r="F113" s="962">
        <f t="shared" si="6"/>
        <v>0</v>
      </c>
      <c r="G113" s="962"/>
      <c r="H113" s="962"/>
      <c r="I113" s="962"/>
      <c r="J113" s="962"/>
      <c r="K113" s="962" t="e">
        <f>VLOOKUP(A113,#REF!,4,FALSE)</f>
        <v>#REF!</v>
      </c>
      <c r="L113" s="963">
        <f t="shared" si="7"/>
        <v>0</v>
      </c>
      <c r="M113" s="964"/>
    </row>
    <row r="114" spans="1:13" ht="18" customHeight="1">
      <c r="A114" s="952" t="e">
        <f>#REF!</f>
        <v>#REF!</v>
      </c>
      <c r="B114" s="960" t="e">
        <f>VLOOKUP(A114,#REF!,2,FALSE)</f>
        <v>#REF!</v>
      </c>
      <c r="C114" s="961" t="e">
        <f>VLOOKUP(A114,#REF!,3,FALSE)</f>
        <v>#REF!</v>
      </c>
      <c r="D114" s="962">
        <f t="shared" si="4"/>
        <v>0</v>
      </c>
      <c r="E114" s="962">
        <f t="shared" si="5"/>
        <v>0</v>
      </c>
      <c r="F114" s="962">
        <f t="shared" si="6"/>
        <v>0</v>
      </c>
      <c r="G114" s="962"/>
      <c r="H114" s="962"/>
      <c r="I114" s="962"/>
      <c r="J114" s="962"/>
      <c r="K114" s="962" t="e">
        <f>VLOOKUP(A114,#REF!,4,FALSE)</f>
        <v>#REF!</v>
      </c>
      <c r="L114" s="963">
        <f t="shared" si="7"/>
        <v>0</v>
      </c>
      <c r="M114" s="964"/>
    </row>
    <row r="115" spans="1:13" ht="18" customHeight="1">
      <c r="A115" s="952" t="e">
        <f>#REF!</f>
        <v>#REF!</v>
      </c>
      <c r="B115" s="960" t="e">
        <f>VLOOKUP(A115,#REF!,2,FALSE)</f>
        <v>#REF!</v>
      </c>
      <c r="C115" s="961" t="e">
        <f>VLOOKUP(A115,#REF!,3,FALSE)</f>
        <v>#REF!</v>
      </c>
      <c r="D115" s="962">
        <f t="shared" si="4"/>
        <v>0</v>
      </c>
      <c r="E115" s="962">
        <f t="shared" si="5"/>
        <v>0</v>
      </c>
      <c r="F115" s="962">
        <f t="shared" si="6"/>
        <v>0</v>
      </c>
      <c r="G115" s="962"/>
      <c r="H115" s="962"/>
      <c r="I115" s="962"/>
      <c r="J115" s="962"/>
      <c r="K115" s="962" t="e">
        <f>VLOOKUP(A115,#REF!,4,FALSE)</f>
        <v>#REF!</v>
      </c>
      <c r="L115" s="963">
        <f t="shared" si="7"/>
        <v>0</v>
      </c>
      <c r="M115" s="964"/>
    </row>
    <row r="116" spans="1:13" ht="18" customHeight="1">
      <c r="A116" s="952" t="e">
        <f>#REF!</f>
        <v>#REF!</v>
      </c>
      <c r="B116" s="960" t="e">
        <f>VLOOKUP(A116,#REF!,2,FALSE)</f>
        <v>#REF!</v>
      </c>
      <c r="C116" s="961" t="e">
        <f>VLOOKUP(A116,#REF!,3,FALSE)</f>
        <v>#REF!</v>
      </c>
      <c r="D116" s="962">
        <f t="shared" si="4"/>
        <v>0</v>
      </c>
      <c r="E116" s="962">
        <f t="shared" si="5"/>
        <v>0</v>
      </c>
      <c r="F116" s="962">
        <f t="shared" si="6"/>
        <v>0</v>
      </c>
      <c r="G116" s="962"/>
      <c r="H116" s="962"/>
      <c r="I116" s="962"/>
      <c r="J116" s="962"/>
      <c r="K116" s="962" t="e">
        <f>VLOOKUP(A116,#REF!,4,FALSE)</f>
        <v>#REF!</v>
      </c>
      <c r="L116" s="963">
        <f t="shared" si="7"/>
        <v>0</v>
      </c>
      <c r="M116" s="964"/>
    </row>
    <row r="117" spans="1:13" ht="18" customHeight="1">
      <c r="A117" s="952" t="e">
        <f>#REF!</f>
        <v>#REF!</v>
      </c>
      <c r="B117" s="960" t="e">
        <f>VLOOKUP(A117,#REF!,2,FALSE)</f>
        <v>#REF!</v>
      </c>
      <c r="C117" s="961" t="e">
        <f>VLOOKUP(A117,#REF!,3,FALSE)</f>
        <v>#REF!</v>
      </c>
      <c r="D117" s="962">
        <f t="shared" si="4"/>
        <v>0</v>
      </c>
      <c r="E117" s="962">
        <f t="shared" si="5"/>
        <v>0</v>
      </c>
      <c r="F117" s="962">
        <f t="shared" si="6"/>
        <v>0</v>
      </c>
      <c r="G117" s="962"/>
      <c r="H117" s="962"/>
      <c r="I117" s="962"/>
      <c r="J117" s="962"/>
      <c r="K117" s="962" t="e">
        <f>VLOOKUP(A117,#REF!,4,FALSE)</f>
        <v>#REF!</v>
      </c>
      <c r="L117" s="963">
        <f t="shared" si="7"/>
        <v>0</v>
      </c>
      <c r="M117" s="964"/>
    </row>
    <row r="118" spans="1:13" ht="18" customHeight="1">
      <c r="A118" s="952" t="e">
        <f>#REF!</f>
        <v>#REF!</v>
      </c>
      <c r="B118" s="960" t="e">
        <f>VLOOKUP(A118,#REF!,2,FALSE)</f>
        <v>#REF!</v>
      </c>
      <c r="C118" s="961" t="e">
        <f>VLOOKUP(A118,#REF!,3,FALSE)</f>
        <v>#REF!</v>
      </c>
      <c r="D118" s="962">
        <f t="shared" si="4"/>
        <v>0</v>
      </c>
      <c r="E118" s="962">
        <f t="shared" si="5"/>
        <v>0</v>
      </c>
      <c r="F118" s="962">
        <f t="shared" si="6"/>
        <v>0</v>
      </c>
      <c r="G118" s="962"/>
      <c r="H118" s="962"/>
      <c r="I118" s="962"/>
      <c r="J118" s="962"/>
      <c r="K118" s="962" t="e">
        <f>VLOOKUP(A118,#REF!,4,FALSE)</f>
        <v>#REF!</v>
      </c>
      <c r="L118" s="963">
        <f t="shared" si="7"/>
        <v>0</v>
      </c>
      <c r="M118" s="964"/>
    </row>
    <row r="119" spans="1:13" ht="18" customHeight="1">
      <c r="A119" s="952" t="e">
        <f>#REF!</f>
        <v>#REF!</v>
      </c>
      <c r="B119" s="960" t="e">
        <f>VLOOKUP(A119,#REF!,2,FALSE)</f>
        <v>#REF!</v>
      </c>
      <c r="C119" s="961" t="e">
        <f>VLOOKUP(A119,#REF!,3,FALSE)</f>
        <v>#REF!</v>
      </c>
      <c r="D119" s="962">
        <f t="shared" si="4"/>
        <v>0</v>
      </c>
      <c r="E119" s="962">
        <f t="shared" si="5"/>
        <v>0</v>
      </c>
      <c r="F119" s="962">
        <f t="shared" si="6"/>
        <v>0</v>
      </c>
      <c r="G119" s="962"/>
      <c r="H119" s="962"/>
      <c r="I119" s="962"/>
      <c r="J119" s="962"/>
      <c r="K119" s="962" t="e">
        <f>VLOOKUP(A119,#REF!,4,FALSE)</f>
        <v>#REF!</v>
      </c>
      <c r="L119" s="963">
        <f t="shared" si="7"/>
        <v>0</v>
      </c>
      <c r="M119" s="964"/>
    </row>
    <row r="120" spans="1:13" ht="18" customHeight="1">
      <c r="A120" s="952" t="e">
        <f>#REF!</f>
        <v>#REF!</v>
      </c>
      <c r="B120" s="960" t="e">
        <f>VLOOKUP(A120,#REF!,2,FALSE)</f>
        <v>#REF!</v>
      </c>
      <c r="C120" s="961" t="e">
        <f>VLOOKUP(A120,#REF!,3,FALSE)</f>
        <v>#REF!</v>
      </c>
      <c r="D120" s="962">
        <f t="shared" si="4"/>
        <v>0</v>
      </c>
      <c r="E120" s="962">
        <f t="shared" si="5"/>
        <v>0</v>
      </c>
      <c r="F120" s="962">
        <f t="shared" si="6"/>
        <v>0</v>
      </c>
      <c r="G120" s="962"/>
      <c r="H120" s="962"/>
      <c r="I120" s="962"/>
      <c r="J120" s="962"/>
      <c r="K120" s="962" t="e">
        <f>VLOOKUP(A120,#REF!,4,FALSE)</f>
        <v>#REF!</v>
      </c>
      <c r="L120" s="963">
        <f t="shared" si="7"/>
        <v>0</v>
      </c>
      <c r="M120" s="964"/>
    </row>
    <row r="121" spans="1:13" ht="18" customHeight="1">
      <c r="A121" s="952" t="e">
        <f>#REF!</f>
        <v>#REF!</v>
      </c>
      <c r="B121" s="960" t="e">
        <f>VLOOKUP(A121,#REF!,2,FALSE)</f>
        <v>#REF!</v>
      </c>
      <c r="C121" s="961" t="e">
        <f>VLOOKUP(A121,#REF!,3,FALSE)</f>
        <v>#REF!</v>
      </c>
      <c r="D121" s="962">
        <f t="shared" si="4"/>
        <v>0</v>
      </c>
      <c r="E121" s="962">
        <f t="shared" si="5"/>
        <v>0</v>
      </c>
      <c r="F121" s="962">
        <f t="shared" si="6"/>
        <v>0</v>
      </c>
      <c r="G121" s="962"/>
      <c r="H121" s="962"/>
      <c r="I121" s="962"/>
      <c r="J121" s="962"/>
      <c r="K121" s="962" t="e">
        <f>VLOOKUP(A121,#REF!,4,FALSE)</f>
        <v>#REF!</v>
      </c>
      <c r="L121" s="963">
        <f t="shared" si="7"/>
        <v>0</v>
      </c>
      <c r="M121" s="964"/>
    </row>
    <row r="122" spans="1:13" ht="18" customHeight="1">
      <c r="A122" s="952" t="e">
        <f>#REF!</f>
        <v>#REF!</v>
      </c>
      <c r="B122" s="960" t="e">
        <f>VLOOKUP(A122,#REF!,2,FALSE)</f>
        <v>#REF!</v>
      </c>
      <c r="C122" s="961" t="e">
        <f>VLOOKUP(A122,#REF!,3,FALSE)</f>
        <v>#REF!</v>
      </c>
      <c r="D122" s="962">
        <f t="shared" si="4"/>
        <v>0</v>
      </c>
      <c r="E122" s="962">
        <f t="shared" si="5"/>
        <v>0</v>
      </c>
      <c r="F122" s="962">
        <f t="shared" si="6"/>
        <v>0</v>
      </c>
      <c r="G122" s="962"/>
      <c r="H122" s="962"/>
      <c r="I122" s="962"/>
      <c r="J122" s="962"/>
      <c r="K122" s="962" t="e">
        <f>VLOOKUP(A122,#REF!,4,FALSE)</f>
        <v>#REF!</v>
      </c>
      <c r="L122" s="963">
        <f t="shared" si="7"/>
        <v>0</v>
      </c>
      <c r="M122" s="964"/>
    </row>
    <row r="123" spans="1:13" ht="18" customHeight="1">
      <c r="A123" s="952" t="e">
        <f>#REF!</f>
        <v>#REF!</v>
      </c>
      <c r="B123" s="960" t="e">
        <f>VLOOKUP(A123,#REF!,2,FALSE)</f>
        <v>#REF!</v>
      </c>
      <c r="C123" s="961" t="e">
        <f>VLOOKUP(A123,#REF!,3,FALSE)</f>
        <v>#REF!</v>
      </c>
      <c r="D123" s="962">
        <f t="shared" si="4"/>
        <v>0</v>
      </c>
      <c r="E123" s="962">
        <f t="shared" si="5"/>
        <v>0</v>
      </c>
      <c r="F123" s="962">
        <f t="shared" si="6"/>
        <v>0</v>
      </c>
      <c r="G123" s="962"/>
      <c r="H123" s="962"/>
      <c r="I123" s="962"/>
      <c r="J123" s="962"/>
      <c r="K123" s="962" t="e">
        <f>VLOOKUP(A123,#REF!,4,FALSE)</f>
        <v>#REF!</v>
      </c>
      <c r="L123" s="963">
        <f t="shared" si="7"/>
        <v>0</v>
      </c>
      <c r="M123" s="964"/>
    </row>
    <row r="124" spans="1:13" ht="18" customHeight="1">
      <c r="A124" s="952" t="e">
        <f>#REF!</f>
        <v>#REF!</v>
      </c>
      <c r="B124" s="960" t="e">
        <f>VLOOKUP(A124,#REF!,2,FALSE)</f>
        <v>#REF!</v>
      </c>
      <c r="C124" s="961" t="e">
        <f>VLOOKUP(A124,#REF!,3,FALSE)</f>
        <v>#REF!</v>
      </c>
      <c r="D124" s="962">
        <f t="shared" si="4"/>
        <v>0</v>
      </c>
      <c r="E124" s="962">
        <f t="shared" si="5"/>
        <v>0</v>
      </c>
      <c r="F124" s="962">
        <f t="shared" si="6"/>
        <v>0</v>
      </c>
      <c r="G124" s="962"/>
      <c r="H124" s="962"/>
      <c r="I124" s="962"/>
      <c r="J124" s="962"/>
      <c r="K124" s="962" t="e">
        <f>VLOOKUP(A124,#REF!,4,FALSE)</f>
        <v>#REF!</v>
      </c>
      <c r="L124" s="963">
        <f t="shared" si="7"/>
        <v>0</v>
      </c>
      <c r="M124" s="964"/>
    </row>
    <row r="125" spans="1:13" ht="18" customHeight="1">
      <c r="A125" s="952" t="e">
        <f>#REF!</f>
        <v>#REF!</v>
      </c>
      <c r="B125" s="960" t="e">
        <f>VLOOKUP(A125,#REF!,2,FALSE)</f>
        <v>#REF!</v>
      </c>
      <c r="C125" s="961" t="e">
        <f>VLOOKUP(A125,#REF!,3,FALSE)</f>
        <v>#REF!</v>
      </c>
      <c r="D125" s="962">
        <f t="shared" si="4"/>
        <v>0</v>
      </c>
      <c r="E125" s="962">
        <f t="shared" si="5"/>
        <v>0</v>
      </c>
      <c r="F125" s="962">
        <f t="shared" si="6"/>
        <v>0</v>
      </c>
      <c r="G125" s="962"/>
      <c r="H125" s="962"/>
      <c r="I125" s="962"/>
      <c r="J125" s="962"/>
      <c r="K125" s="962" t="e">
        <f>VLOOKUP(A125,#REF!,4,FALSE)</f>
        <v>#REF!</v>
      </c>
      <c r="L125" s="963">
        <f t="shared" si="7"/>
        <v>0</v>
      </c>
      <c r="M125" s="964"/>
    </row>
    <row r="126" spans="1:13" ht="18" customHeight="1">
      <c r="A126" s="952" t="e">
        <f>#REF!</f>
        <v>#REF!</v>
      </c>
      <c r="B126" s="960" t="e">
        <f>VLOOKUP(A126,#REF!,2,FALSE)</f>
        <v>#REF!</v>
      </c>
      <c r="C126" s="961" t="e">
        <f>VLOOKUP(A126,#REF!,3,FALSE)</f>
        <v>#REF!</v>
      </c>
      <c r="D126" s="962">
        <f t="shared" si="4"/>
        <v>0</v>
      </c>
      <c r="E126" s="962">
        <f t="shared" si="5"/>
        <v>0</v>
      </c>
      <c r="F126" s="962">
        <f t="shared" si="6"/>
        <v>0</v>
      </c>
      <c r="G126" s="962"/>
      <c r="H126" s="962"/>
      <c r="I126" s="962"/>
      <c r="J126" s="962"/>
      <c r="K126" s="962" t="e">
        <f>VLOOKUP(A126,#REF!,4,FALSE)</f>
        <v>#REF!</v>
      </c>
      <c r="L126" s="963">
        <f t="shared" si="7"/>
        <v>0</v>
      </c>
      <c r="M126" s="964"/>
    </row>
    <row r="127" spans="1:13" ht="18" customHeight="1">
      <c r="A127" s="952" t="e">
        <f>#REF!</f>
        <v>#REF!</v>
      </c>
      <c r="B127" s="960" t="e">
        <f>VLOOKUP(A127,#REF!,2,FALSE)</f>
        <v>#REF!</v>
      </c>
      <c r="C127" s="961" t="e">
        <f>VLOOKUP(A127,#REF!,3,FALSE)</f>
        <v>#REF!</v>
      </c>
      <c r="D127" s="962">
        <f t="shared" si="4"/>
        <v>0</v>
      </c>
      <c r="E127" s="962">
        <f t="shared" si="5"/>
        <v>0</v>
      </c>
      <c r="F127" s="962">
        <f t="shared" si="6"/>
        <v>0</v>
      </c>
      <c r="G127" s="962"/>
      <c r="H127" s="962"/>
      <c r="I127" s="962"/>
      <c r="J127" s="962"/>
      <c r="K127" s="962" t="e">
        <f>VLOOKUP(A127,#REF!,4,FALSE)</f>
        <v>#REF!</v>
      </c>
      <c r="L127" s="963">
        <f t="shared" si="7"/>
        <v>0</v>
      </c>
      <c r="M127" s="964"/>
    </row>
    <row r="128" spans="1:13" ht="18" customHeight="1">
      <c r="A128" s="952" t="e">
        <f>#REF!</f>
        <v>#REF!</v>
      </c>
      <c r="B128" s="960" t="e">
        <f>VLOOKUP(A128,#REF!,2,FALSE)</f>
        <v>#REF!</v>
      </c>
      <c r="C128" s="961" t="e">
        <f>VLOOKUP(A128,#REF!,3,FALSE)</f>
        <v>#REF!</v>
      </c>
      <c r="D128" s="962">
        <f t="shared" si="4"/>
        <v>0</v>
      </c>
      <c r="E128" s="962">
        <f t="shared" si="5"/>
        <v>0</v>
      </c>
      <c r="F128" s="962">
        <f t="shared" si="6"/>
        <v>0</v>
      </c>
      <c r="G128" s="962"/>
      <c r="H128" s="962"/>
      <c r="I128" s="962"/>
      <c r="J128" s="962"/>
      <c r="K128" s="962" t="e">
        <f>VLOOKUP(A128,#REF!,4,FALSE)</f>
        <v>#REF!</v>
      </c>
      <c r="L128" s="963">
        <f t="shared" si="7"/>
        <v>0</v>
      </c>
      <c r="M128" s="964"/>
    </row>
    <row r="129" spans="1:13" ht="18" customHeight="1">
      <c r="A129" s="952" t="e">
        <f>#REF!</f>
        <v>#REF!</v>
      </c>
      <c r="B129" s="960" t="e">
        <f>VLOOKUP(A129,#REF!,2,FALSE)</f>
        <v>#REF!</v>
      </c>
      <c r="C129" s="961" t="e">
        <f>VLOOKUP(A129,#REF!,3,FALSE)</f>
        <v>#REF!</v>
      </c>
      <c r="D129" s="962">
        <f t="shared" si="4"/>
        <v>0</v>
      </c>
      <c r="E129" s="962">
        <f t="shared" si="5"/>
        <v>0</v>
      </c>
      <c r="F129" s="962">
        <f t="shared" si="6"/>
        <v>0</v>
      </c>
      <c r="G129" s="962"/>
      <c r="H129" s="962"/>
      <c r="I129" s="962"/>
      <c r="J129" s="962"/>
      <c r="K129" s="962" t="e">
        <f>VLOOKUP(A129,#REF!,4,FALSE)</f>
        <v>#REF!</v>
      </c>
      <c r="L129" s="963">
        <f t="shared" si="7"/>
        <v>0</v>
      </c>
      <c r="M129" s="964"/>
    </row>
    <row r="130" spans="1:13" ht="18" customHeight="1">
      <c r="A130" s="952" t="e">
        <f>#REF!</f>
        <v>#REF!</v>
      </c>
      <c r="B130" s="960" t="e">
        <f>VLOOKUP(A130,#REF!,2,FALSE)</f>
        <v>#REF!</v>
      </c>
      <c r="C130" s="961" t="e">
        <f>VLOOKUP(A130,#REF!,3,FALSE)</f>
        <v>#REF!</v>
      </c>
      <c r="D130" s="962">
        <f t="shared" si="4"/>
        <v>0</v>
      </c>
      <c r="E130" s="962">
        <f t="shared" si="5"/>
        <v>0</v>
      </c>
      <c r="F130" s="962">
        <f t="shared" si="6"/>
        <v>0</v>
      </c>
      <c r="G130" s="962"/>
      <c r="H130" s="962"/>
      <c r="I130" s="962"/>
      <c r="J130" s="962"/>
      <c r="K130" s="962" t="e">
        <f>VLOOKUP(A130,#REF!,4,FALSE)</f>
        <v>#REF!</v>
      </c>
      <c r="L130" s="963">
        <f t="shared" si="7"/>
        <v>0</v>
      </c>
      <c r="M130" s="964"/>
    </row>
    <row r="131" spans="1:13" ht="18" customHeight="1">
      <c r="A131" s="952" t="e">
        <f>#REF!</f>
        <v>#REF!</v>
      </c>
      <c r="B131" s="960" t="e">
        <f>VLOOKUP(A131,#REF!,2,FALSE)</f>
        <v>#REF!</v>
      </c>
      <c r="C131" s="961" t="e">
        <f>VLOOKUP(A131,#REF!,3,FALSE)</f>
        <v>#REF!</v>
      </c>
      <c r="D131" s="962">
        <f t="shared" si="4"/>
        <v>0</v>
      </c>
      <c r="E131" s="962">
        <f t="shared" si="5"/>
        <v>0</v>
      </c>
      <c r="F131" s="962">
        <f t="shared" si="6"/>
        <v>0</v>
      </c>
      <c r="G131" s="962"/>
      <c r="H131" s="962"/>
      <c r="I131" s="962"/>
      <c r="J131" s="962"/>
      <c r="K131" s="962" t="e">
        <f>VLOOKUP(A131,#REF!,4,FALSE)</f>
        <v>#REF!</v>
      </c>
      <c r="L131" s="963">
        <f t="shared" si="7"/>
        <v>0</v>
      </c>
      <c r="M131" s="964"/>
    </row>
    <row r="132" spans="1:13" ht="18" customHeight="1">
      <c r="A132" s="952" t="e">
        <f>#REF!</f>
        <v>#REF!</v>
      </c>
      <c r="B132" s="960" t="e">
        <f>VLOOKUP(A132,#REF!,2,FALSE)</f>
        <v>#REF!</v>
      </c>
      <c r="C132" s="961" t="e">
        <f>VLOOKUP(A132,#REF!,3,FALSE)</f>
        <v>#REF!</v>
      </c>
      <c r="D132" s="962">
        <f t="shared" si="4"/>
        <v>0</v>
      </c>
      <c r="E132" s="962">
        <f t="shared" si="5"/>
        <v>0</v>
      </c>
      <c r="F132" s="962">
        <f t="shared" si="6"/>
        <v>0</v>
      </c>
      <c r="G132" s="962"/>
      <c r="H132" s="962"/>
      <c r="I132" s="962"/>
      <c r="J132" s="962"/>
      <c r="K132" s="962" t="e">
        <f>VLOOKUP(A132,#REF!,4,FALSE)</f>
        <v>#REF!</v>
      </c>
      <c r="L132" s="963">
        <f t="shared" si="7"/>
        <v>0</v>
      </c>
      <c r="M132" s="964"/>
    </row>
    <row r="133" spans="1:13" ht="18" customHeight="1">
      <c r="A133" s="952" t="e">
        <f>#REF!</f>
        <v>#REF!</v>
      </c>
      <c r="B133" s="960" t="e">
        <f>VLOOKUP(A133,#REF!,2,FALSE)</f>
        <v>#REF!</v>
      </c>
      <c r="C133" s="961" t="e">
        <f>VLOOKUP(A133,#REF!,3,FALSE)</f>
        <v>#REF!</v>
      </c>
      <c r="D133" s="962">
        <f t="shared" ref="D133:D196" si="8">INT(IF(ISERROR(VLOOKUP($A133,산출집계1,6,FALSE)),0,VLOOKUP($A133,산출집계1,12,FALSE)))</f>
        <v>0</v>
      </c>
      <c r="E133" s="962">
        <f t="shared" ref="E133:E196" si="9">INT(IF(ISERROR(VLOOKUP($A133,산출집계2,6,FALSE)),0,VLOOKUP($A133,산출집계2,12,FALSE)))</f>
        <v>0</v>
      </c>
      <c r="F133" s="962">
        <f t="shared" ref="F133:F196" si="10">INT(IF(ISERROR(VLOOKUP($A133,산출집계3,6,FALSE)),0,VLOOKUP($A133,산출집계3,12,FALSE)))</f>
        <v>0</v>
      </c>
      <c r="G133" s="962"/>
      <c r="H133" s="962"/>
      <c r="I133" s="962"/>
      <c r="J133" s="962"/>
      <c r="K133" s="962" t="e">
        <f>VLOOKUP(A133,#REF!,4,FALSE)</f>
        <v>#REF!</v>
      </c>
      <c r="L133" s="963">
        <f t="shared" si="7"/>
        <v>0</v>
      </c>
      <c r="M133" s="964"/>
    </row>
    <row r="134" spans="1:13" ht="18" customHeight="1">
      <c r="A134" s="952" t="e">
        <f>#REF!</f>
        <v>#REF!</v>
      </c>
      <c r="B134" s="960" t="e">
        <f>VLOOKUP(A134,#REF!,2,FALSE)</f>
        <v>#REF!</v>
      </c>
      <c r="C134" s="961" t="e">
        <f>VLOOKUP(A134,#REF!,3,FALSE)</f>
        <v>#REF!</v>
      </c>
      <c r="D134" s="962">
        <f t="shared" si="8"/>
        <v>0</v>
      </c>
      <c r="E134" s="962">
        <f t="shared" si="9"/>
        <v>0</v>
      </c>
      <c r="F134" s="962">
        <f t="shared" si="10"/>
        <v>0</v>
      </c>
      <c r="G134" s="962"/>
      <c r="H134" s="962"/>
      <c r="I134" s="962"/>
      <c r="J134" s="962"/>
      <c r="K134" s="962" t="e">
        <f>VLOOKUP(A134,#REF!,4,FALSE)</f>
        <v>#REF!</v>
      </c>
      <c r="L134" s="963">
        <f t="shared" ref="L134:L197" si="11">INT(SUM(D134:J134))</f>
        <v>0</v>
      </c>
      <c r="M134" s="964"/>
    </row>
    <row r="135" spans="1:13" ht="18" customHeight="1">
      <c r="A135" s="952" t="e">
        <f>#REF!</f>
        <v>#REF!</v>
      </c>
      <c r="B135" s="960" t="e">
        <f>VLOOKUP(A135,#REF!,2,FALSE)</f>
        <v>#REF!</v>
      </c>
      <c r="C135" s="961" t="e">
        <f>VLOOKUP(A135,#REF!,3,FALSE)</f>
        <v>#REF!</v>
      </c>
      <c r="D135" s="962">
        <f t="shared" si="8"/>
        <v>0</v>
      </c>
      <c r="E135" s="962">
        <f t="shared" si="9"/>
        <v>0</v>
      </c>
      <c r="F135" s="962">
        <f t="shared" si="10"/>
        <v>0</v>
      </c>
      <c r="G135" s="962"/>
      <c r="H135" s="962"/>
      <c r="I135" s="962"/>
      <c r="J135" s="962"/>
      <c r="K135" s="962" t="e">
        <f>VLOOKUP(A135,#REF!,4,FALSE)</f>
        <v>#REF!</v>
      </c>
      <c r="L135" s="963">
        <f t="shared" si="11"/>
        <v>0</v>
      </c>
      <c r="M135" s="964"/>
    </row>
    <row r="136" spans="1:13" ht="18" customHeight="1">
      <c r="A136" s="952" t="e">
        <f>#REF!</f>
        <v>#REF!</v>
      </c>
      <c r="B136" s="960" t="e">
        <f>VLOOKUP(A136,#REF!,2,FALSE)</f>
        <v>#REF!</v>
      </c>
      <c r="C136" s="961" t="e">
        <f>VLOOKUP(A136,#REF!,3,FALSE)</f>
        <v>#REF!</v>
      </c>
      <c r="D136" s="962">
        <f t="shared" si="8"/>
        <v>0</v>
      </c>
      <c r="E136" s="962">
        <f t="shared" si="9"/>
        <v>0</v>
      </c>
      <c r="F136" s="962">
        <f t="shared" si="10"/>
        <v>0</v>
      </c>
      <c r="G136" s="962"/>
      <c r="H136" s="962"/>
      <c r="I136" s="962"/>
      <c r="J136" s="962"/>
      <c r="K136" s="962" t="e">
        <f>VLOOKUP(A136,#REF!,4,FALSE)</f>
        <v>#REF!</v>
      </c>
      <c r="L136" s="963">
        <f t="shared" si="11"/>
        <v>0</v>
      </c>
      <c r="M136" s="964"/>
    </row>
    <row r="137" spans="1:13" ht="18" customHeight="1">
      <c r="A137" s="952" t="e">
        <f>#REF!</f>
        <v>#REF!</v>
      </c>
      <c r="B137" s="960" t="e">
        <f>VLOOKUP(A137,#REF!,2,FALSE)</f>
        <v>#REF!</v>
      </c>
      <c r="C137" s="961" t="e">
        <f>VLOOKUP(A137,#REF!,3,FALSE)</f>
        <v>#REF!</v>
      </c>
      <c r="D137" s="962">
        <f t="shared" si="8"/>
        <v>0</v>
      </c>
      <c r="E137" s="962">
        <f t="shared" si="9"/>
        <v>0</v>
      </c>
      <c r="F137" s="962">
        <f t="shared" si="10"/>
        <v>0</v>
      </c>
      <c r="G137" s="962"/>
      <c r="H137" s="962"/>
      <c r="I137" s="962"/>
      <c r="J137" s="962"/>
      <c r="K137" s="962" t="e">
        <f>VLOOKUP(A137,#REF!,4,FALSE)</f>
        <v>#REF!</v>
      </c>
      <c r="L137" s="963">
        <f t="shared" si="11"/>
        <v>0</v>
      </c>
      <c r="M137" s="964"/>
    </row>
    <row r="138" spans="1:13" ht="18" customHeight="1">
      <c r="A138" s="952" t="e">
        <f>#REF!</f>
        <v>#REF!</v>
      </c>
      <c r="B138" s="960" t="e">
        <f>VLOOKUP(A138,#REF!,2,FALSE)</f>
        <v>#REF!</v>
      </c>
      <c r="C138" s="961" t="e">
        <f>VLOOKUP(A138,#REF!,3,FALSE)</f>
        <v>#REF!</v>
      </c>
      <c r="D138" s="962">
        <f t="shared" si="8"/>
        <v>0</v>
      </c>
      <c r="E138" s="962">
        <f t="shared" si="9"/>
        <v>0</v>
      </c>
      <c r="F138" s="962">
        <f t="shared" si="10"/>
        <v>0</v>
      </c>
      <c r="G138" s="962"/>
      <c r="H138" s="962"/>
      <c r="I138" s="962"/>
      <c r="J138" s="962"/>
      <c r="K138" s="962" t="e">
        <f>VLOOKUP(A138,#REF!,4,FALSE)</f>
        <v>#REF!</v>
      </c>
      <c r="L138" s="963">
        <f t="shared" si="11"/>
        <v>0</v>
      </c>
      <c r="M138" s="964"/>
    </row>
    <row r="139" spans="1:13" ht="18" customHeight="1">
      <c r="A139" s="952" t="e">
        <f>#REF!</f>
        <v>#REF!</v>
      </c>
      <c r="B139" s="960" t="e">
        <f>VLOOKUP(A139,#REF!,2,FALSE)</f>
        <v>#REF!</v>
      </c>
      <c r="C139" s="961" t="e">
        <f>VLOOKUP(A139,#REF!,3,FALSE)</f>
        <v>#REF!</v>
      </c>
      <c r="D139" s="962">
        <f t="shared" si="8"/>
        <v>0</v>
      </c>
      <c r="E139" s="962">
        <f t="shared" si="9"/>
        <v>0</v>
      </c>
      <c r="F139" s="962">
        <f t="shared" si="10"/>
        <v>0</v>
      </c>
      <c r="G139" s="962"/>
      <c r="H139" s="962"/>
      <c r="I139" s="962"/>
      <c r="J139" s="962"/>
      <c r="K139" s="962" t="e">
        <f>VLOOKUP(A139,#REF!,4,FALSE)</f>
        <v>#REF!</v>
      </c>
      <c r="L139" s="963">
        <f t="shared" si="11"/>
        <v>0</v>
      </c>
      <c r="M139" s="964"/>
    </row>
    <row r="140" spans="1:13" ht="18" customHeight="1">
      <c r="A140" s="952" t="e">
        <f>#REF!</f>
        <v>#REF!</v>
      </c>
      <c r="B140" s="960" t="e">
        <f>VLOOKUP(A140,#REF!,2,FALSE)</f>
        <v>#REF!</v>
      </c>
      <c r="C140" s="961" t="e">
        <f>VLOOKUP(A140,#REF!,3,FALSE)</f>
        <v>#REF!</v>
      </c>
      <c r="D140" s="962">
        <f t="shared" si="8"/>
        <v>0</v>
      </c>
      <c r="E140" s="962">
        <f t="shared" si="9"/>
        <v>0</v>
      </c>
      <c r="F140" s="962">
        <f t="shared" si="10"/>
        <v>0</v>
      </c>
      <c r="G140" s="962"/>
      <c r="H140" s="962"/>
      <c r="I140" s="962"/>
      <c r="J140" s="962"/>
      <c r="K140" s="962" t="e">
        <f>VLOOKUP(A140,#REF!,4,FALSE)</f>
        <v>#REF!</v>
      </c>
      <c r="L140" s="963">
        <f t="shared" si="11"/>
        <v>0</v>
      </c>
      <c r="M140" s="964"/>
    </row>
    <row r="141" spans="1:13" ht="18" customHeight="1">
      <c r="A141" s="952" t="e">
        <f>#REF!</f>
        <v>#REF!</v>
      </c>
      <c r="B141" s="960" t="e">
        <f>VLOOKUP(A141,#REF!,2,FALSE)</f>
        <v>#REF!</v>
      </c>
      <c r="C141" s="961" t="e">
        <f>VLOOKUP(A141,#REF!,3,FALSE)</f>
        <v>#REF!</v>
      </c>
      <c r="D141" s="962">
        <f t="shared" si="8"/>
        <v>0</v>
      </c>
      <c r="E141" s="962">
        <f t="shared" si="9"/>
        <v>0</v>
      </c>
      <c r="F141" s="962">
        <f t="shared" si="10"/>
        <v>0</v>
      </c>
      <c r="G141" s="962"/>
      <c r="H141" s="962"/>
      <c r="I141" s="962"/>
      <c r="J141" s="962"/>
      <c r="K141" s="962" t="e">
        <f>VLOOKUP(A141,#REF!,4,FALSE)</f>
        <v>#REF!</v>
      </c>
      <c r="L141" s="963">
        <f t="shared" si="11"/>
        <v>0</v>
      </c>
      <c r="M141" s="964"/>
    </row>
    <row r="142" spans="1:13" ht="18" customHeight="1">
      <c r="A142" s="952" t="e">
        <f>#REF!</f>
        <v>#REF!</v>
      </c>
      <c r="B142" s="960" t="e">
        <f>VLOOKUP(A142,#REF!,2,FALSE)</f>
        <v>#REF!</v>
      </c>
      <c r="C142" s="961" t="e">
        <f>VLOOKUP(A142,#REF!,3,FALSE)</f>
        <v>#REF!</v>
      </c>
      <c r="D142" s="962">
        <f t="shared" si="8"/>
        <v>0</v>
      </c>
      <c r="E142" s="962">
        <f t="shared" si="9"/>
        <v>0</v>
      </c>
      <c r="F142" s="962">
        <f t="shared" si="10"/>
        <v>0</v>
      </c>
      <c r="G142" s="962"/>
      <c r="H142" s="962"/>
      <c r="I142" s="962"/>
      <c r="J142" s="962"/>
      <c r="K142" s="962" t="e">
        <f>VLOOKUP(A142,#REF!,4,FALSE)</f>
        <v>#REF!</v>
      </c>
      <c r="L142" s="963">
        <f t="shared" si="11"/>
        <v>0</v>
      </c>
      <c r="M142" s="964"/>
    </row>
    <row r="143" spans="1:13" ht="18" customHeight="1">
      <c r="A143" s="952" t="e">
        <f>#REF!</f>
        <v>#REF!</v>
      </c>
      <c r="B143" s="960" t="e">
        <f>VLOOKUP(A143,#REF!,2,FALSE)</f>
        <v>#REF!</v>
      </c>
      <c r="C143" s="961" t="e">
        <f>VLOOKUP(A143,#REF!,3,FALSE)</f>
        <v>#REF!</v>
      </c>
      <c r="D143" s="962">
        <f t="shared" si="8"/>
        <v>0</v>
      </c>
      <c r="E143" s="962">
        <f t="shared" si="9"/>
        <v>0</v>
      </c>
      <c r="F143" s="962">
        <f t="shared" si="10"/>
        <v>0</v>
      </c>
      <c r="G143" s="962"/>
      <c r="H143" s="962"/>
      <c r="I143" s="962"/>
      <c r="J143" s="962"/>
      <c r="K143" s="962" t="e">
        <f>VLOOKUP(A143,#REF!,4,FALSE)</f>
        <v>#REF!</v>
      </c>
      <c r="L143" s="963">
        <f t="shared" si="11"/>
        <v>0</v>
      </c>
      <c r="M143" s="964"/>
    </row>
    <row r="144" spans="1:13" ht="18" customHeight="1">
      <c r="A144" s="952" t="e">
        <f>#REF!</f>
        <v>#REF!</v>
      </c>
      <c r="B144" s="960" t="e">
        <f>VLOOKUP(A144,#REF!,2,FALSE)</f>
        <v>#REF!</v>
      </c>
      <c r="C144" s="961" t="e">
        <f>VLOOKUP(A144,#REF!,3,FALSE)</f>
        <v>#REF!</v>
      </c>
      <c r="D144" s="962">
        <f t="shared" si="8"/>
        <v>0</v>
      </c>
      <c r="E144" s="962">
        <f t="shared" si="9"/>
        <v>0</v>
      </c>
      <c r="F144" s="962">
        <f t="shared" si="10"/>
        <v>0</v>
      </c>
      <c r="G144" s="962"/>
      <c r="H144" s="962"/>
      <c r="I144" s="962"/>
      <c r="J144" s="962"/>
      <c r="K144" s="962" t="e">
        <f>VLOOKUP(A144,#REF!,4,FALSE)</f>
        <v>#REF!</v>
      </c>
      <c r="L144" s="963">
        <f t="shared" si="11"/>
        <v>0</v>
      </c>
      <c r="M144" s="964"/>
    </row>
    <row r="145" spans="1:13" ht="18" customHeight="1">
      <c r="A145" s="952" t="e">
        <f>#REF!</f>
        <v>#REF!</v>
      </c>
      <c r="B145" s="960" t="e">
        <f>VLOOKUP(A145,#REF!,2,FALSE)</f>
        <v>#REF!</v>
      </c>
      <c r="C145" s="961" t="e">
        <f>VLOOKUP(A145,#REF!,3,FALSE)</f>
        <v>#REF!</v>
      </c>
      <c r="D145" s="962">
        <f t="shared" si="8"/>
        <v>0</v>
      </c>
      <c r="E145" s="962">
        <f t="shared" si="9"/>
        <v>0</v>
      </c>
      <c r="F145" s="962">
        <f t="shared" si="10"/>
        <v>0</v>
      </c>
      <c r="G145" s="962"/>
      <c r="H145" s="962"/>
      <c r="I145" s="962"/>
      <c r="J145" s="962"/>
      <c r="K145" s="962" t="e">
        <f>VLOOKUP(A145,#REF!,4,FALSE)</f>
        <v>#REF!</v>
      </c>
      <c r="L145" s="963">
        <f t="shared" si="11"/>
        <v>0</v>
      </c>
      <c r="M145" s="964"/>
    </row>
    <row r="146" spans="1:13" ht="18" customHeight="1">
      <c r="A146" s="952" t="e">
        <f>#REF!</f>
        <v>#REF!</v>
      </c>
      <c r="B146" s="960" t="e">
        <f>VLOOKUP(A146,#REF!,2,FALSE)</f>
        <v>#REF!</v>
      </c>
      <c r="C146" s="961" t="e">
        <f>VLOOKUP(A146,#REF!,3,FALSE)</f>
        <v>#REF!</v>
      </c>
      <c r="D146" s="962">
        <f t="shared" si="8"/>
        <v>0</v>
      </c>
      <c r="E146" s="962">
        <f t="shared" si="9"/>
        <v>0</v>
      </c>
      <c r="F146" s="962">
        <f t="shared" si="10"/>
        <v>0</v>
      </c>
      <c r="G146" s="962"/>
      <c r="H146" s="962"/>
      <c r="I146" s="962"/>
      <c r="J146" s="962"/>
      <c r="K146" s="962" t="e">
        <f>VLOOKUP(A146,#REF!,4,FALSE)</f>
        <v>#REF!</v>
      </c>
      <c r="L146" s="963">
        <f t="shared" si="11"/>
        <v>0</v>
      </c>
      <c r="M146" s="964"/>
    </row>
    <row r="147" spans="1:13" ht="18" customHeight="1">
      <c r="A147" s="952" t="e">
        <f>#REF!</f>
        <v>#REF!</v>
      </c>
      <c r="B147" s="960" t="e">
        <f>VLOOKUP(A147,#REF!,2,FALSE)</f>
        <v>#REF!</v>
      </c>
      <c r="C147" s="961" t="e">
        <f>VLOOKUP(A147,#REF!,3,FALSE)</f>
        <v>#REF!</v>
      </c>
      <c r="D147" s="962">
        <f t="shared" si="8"/>
        <v>0</v>
      </c>
      <c r="E147" s="962">
        <f t="shared" si="9"/>
        <v>0</v>
      </c>
      <c r="F147" s="962">
        <f t="shared" si="10"/>
        <v>0</v>
      </c>
      <c r="G147" s="962"/>
      <c r="H147" s="962"/>
      <c r="I147" s="962"/>
      <c r="J147" s="962"/>
      <c r="K147" s="962" t="e">
        <f>VLOOKUP(A147,#REF!,4,FALSE)</f>
        <v>#REF!</v>
      </c>
      <c r="L147" s="963">
        <f t="shared" si="11"/>
        <v>0</v>
      </c>
      <c r="M147" s="964"/>
    </row>
    <row r="148" spans="1:13" ht="18" customHeight="1">
      <c r="A148" s="952" t="e">
        <f>#REF!</f>
        <v>#REF!</v>
      </c>
      <c r="B148" s="960" t="e">
        <f>VLOOKUP(A148,#REF!,2,FALSE)</f>
        <v>#REF!</v>
      </c>
      <c r="C148" s="961" t="e">
        <f>VLOOKUP(A148,#REF!,3,FALSE)</f>
        <v>#REF!</v>
      </c>
      <c r="D148" s="962">
        <f t="shared" si="8"/>
        <v>0</v>
      </c>
      <c r="E148" s="962">
        <f t="shared" si="9"/>
        <v>0</v>
      </c>
      <c r="F148" s="962">
        <f t="shared" si="10"/>
        <v>0</v>
      </c>
      <c r="G148" s="962"/>
      <c r="H148" s="962"/>
      <c r="I148" s="962"/>
      <c r="J148" s="962"/>
      <c r="K148" s="962" t="e">
        <f>VLOOKUP(A148,#REF!,4,FALSE)</f>
        <v>#REF!</v>
      </c>
      <c r="L148" s="963">
        <f t="shared" si="11"/>
        <v>0</v>
      </c>
      <c r="M148" s="964"/>
    </row>
    <row r="149" spans="1:13" ht="18" customHeight="1">
      <c r="A149" s="952" t="e">
        <f>#REF!</f>
        <v>#REF!</v>
      </c>
      <c r="B149" s="960" t="e">
        <f>VLOOKUP(A149,#REF!,2,FALSE)</f>
        <v>#REF!</v>
      </c>
      <c r="C149" s="961" t="e">
        <f>VLOOKUP(A149,#REF!,3,FALSE)</f>
        <v>#REF!</v>
      </c>
      <c r="D149" s="962">
        <f t="shared" si="8"/>
        <v>0</v>
      </c>
      <c r="E149" s="962">
        <f t="shared" si="9"/>
        <v>0</v>
      </c>
      <c r="F149" s="962">
        <f t="shared" si="10"/>
        <v>0</v>
      </c>
      <c r="G149" s="962"/>
      <c r="H149" s="962"/>
      <c r="I149" s="962"/>
      <c r="J149" s="962"/>
      <c r="K149" s="962" t="e">
        <f>VLOOKUP(A149,#REF!,4,FALSE)</f>
        <v>#REF!</v>
      </c>
      <c r="L149" s="963">
        <f t="shared" si="11"/>
        <v>0</v>
      </c>
      <c r="M149" s="964"/>
    </row>
    <row r="150" spans="1:13" ht="18" customHeight="1">
      <c r="A150" s="952" t="e">
        <f>#REF!</f>
        <v>#REF!</v>
      </c>
      <c r="B150" s="960" t="e">
        <f>VLOOKUP(A150,#REF!,2,FALSE)</f>
        <v>#REF!</v>
      </c>
      <c r="C150" s="961" t="e">
        <f>VLOOKUP(A150,#REF!,3,FALSE)</f>
        <v>#REF!</v>
      </c>
      <c r="D150" s="962">
        <f t="shared" si="8"/>
        <v>0</v>
      </c>
      <c r="E150" s="962">
        <f t="shared" si="9"/>
        <v>0</v>
      </c>
      <c r="F150" s="962">
        <f t="shared" si="10"/>
        <v>0</v>
      </c>
      <c r="G150" s="962"/>
      <c r="H150" s="962"/>
      <c r="I150" s="962"/>
      <c r="J150" s="962"/>
      <c r="K150" s="962" t="e">
        <f>VLOOKUP(A150,#REF!,4,FALSE)</f>
        <v>#REF!</v>
      </c>
      <c r="L150" s="963">
        <f t="shared" si="11"/>
        <v>0</v>
      </c>
      <c r="M150" s="964"/>
    </row>
    <row r="151" spans="1:13" ht="18" customHeight="1">
      <c r="A151" s="952" t="e">
        <f>#REF!</f>
        <v>#REF!</v>
      </c>
      <c r="B151" s="960" t="e">
        <f>VLOOKUP(A151,#REF!,2,FALSE)</f>
        <v>#REF!</v>
      </c>
      <c r="C151" s="961" t="e">
        <f>VLOOKUP(A151,#REF!,3,FALSE)</f>
        <v>#REF!</v>
      </c>
      <c r="D151" s="962">
        <f t="shared" si="8"/>
        <v>0</v>
      </c>
      <c r="E151" s="962">
        <f t="shared" si="9"/>
        <v>0</v>
      </c>
      <c r="F151" s="962">
        <f t="shared" si="10"/>
        <v>0</v>
      </c>
      <c r="G151" s="962"/>
      <c r="H151" s="962"/>
      <c r="I151" s="962"/>
      <c r="J151" s="962"/>
      <c r="K151" s="962" t="e">
        <f>VLOOKUP(A151,#REF!,4,FALSE)</f>
        <v>#REF!</v>
      </c>
      <c r="L151" s="963">
        <f t="shared" si="11"/>
        <v>0</v>
      </c>
      <c r="M151" s="964"/>
    </row>
    <row r="152" spans="1:13" ht="18" customHeight="1">
      <c r="A152" s="952" t="e">
        <f>#REF!</f>
        <v>#REF!</v>
      </c>
      <c r="B152" s="960" t="e">
        <f>VLOOKUP(A152,#REF!,2,FALSE)</f>
        <v>#REF!</v>
      </c>
      <c r="C152" s="961" t="e">
        <f>VLOOKUP(A152,#REF!,3,FALSE)</f>
        <v>#REF!</v>
      </c>
      <c r="D152" s="962">
        <f t="shared" si="8"/>
        <v>0</v>
      </c>
      <c r="E152" s="962">
        <f t="shared" si="9"/>
        <v>0</v>
      </c>
      <c r="F152" s="962">
        <f t="shared" si="10"/>
        <v>0</v>
      </c>
      <c r="G152" s="962"/>
      <c r="H152" s="962"/>
      <c r="I152" s="962"/>
      <c r="J152" s="962"/>
      <c r="K152" s="962" t="e">
        <f>VLOOKUP(A152,#REF!,4,FALSE)</f>
        <v>#REF!</v>
      </c>
      <c r="L152" s="963">
        <f t="shared" si="11"/>
        <v>0</v>
      </c>
      <c r="M152" s="964"/>
    </row>
    <row r="153" spans="1:13" ht="18" customHeight="1">
      <c r="A153" s="952" t="e">
        <f>#REF!</f>
        <v>#REF!</v>
      </c>
      <c r="B153" s="960" t="e">
        <f>VLOOKUP(A153,#REF!,2,FALSE)</f>
        <v>#REF!</v>
      </c>
      <c r="C153" s="961" t="e">
        <f>VLOOKUP(A153,#REF!,3,FALSE)</f>
        <v>#REF!</v>
      </c>
      <c r="D153" s="962">
        <f t="shared" si="8"/>
        <v>0</v>
      </c>
      <c r="E153" s="962">
        <f t="shared" si="9"/>
        <v>0</v>
      </c>
      <c r="F153" s="962">
        <f t="shared" si="10"/>
        <v>0</v>
      </c>
      <c r="G153" s="962"/>
      <c r="H153" s="962"/>
      <c r="I153" s="962"/>
      <c r="J153" s="962"/>
      <c r="K153" s="962" t="e">
        <f>VLOOKUP(A153,#REF!,4,FALSE)</f>
        <v>#REF!</v>
      </c>
      <c r="L153" s="963">
        <f t="shared" si="11"/>
        <v>0</v>
      </c>
      <c r="M153" s="964"/>
    </row>
    <row r="154" spans="1:13" ht="18" customHeight="1">
      <c r="A154" s="952" t="e">
        <f>#REF!</f>
        <v>#REF!</v>
      </c>
      <c r="B154" s="960" t="e">
        <f>VLOOKUP(A154,#REF!,2,FALSE)</f>
        <v>#REF!</v>
      </c>
      <c r="C154" s="961" t="e">
        <f>VLOOKUP(A154,#REF!,3,FALSE)</f>
        <v>#REF!</v>
      </c>
      <c r="D154" s="962">
        <f t="shared" si="8"/>
        <v>0</v>
      </c>
      <c r="E154" s="962">
        <f t="shared" si="9"/>
        <v>0</v>
      </c>
      <c r="F154" s="962">
        <f t="shared" si="10"/>
        <v>0</v>
      </c>
      <c r="G154" s="962"/>
      <c r="H154" s="962"/>
      <c r="I154" s="962"/>
      <c r="J154" s="962"/>
      <c r="K154" s="962" t="e">
        <f>VLOOKUP(A154,#REF!,4,FALSE)</f>
        <v>#REF!</v>
      </c>
      <c r="L154" s="963">
        <f t="shared" si="11"/>
        <v>0</v>
      </c>
      <c r="M154" s="964"/>
    </row>
    <row r="155" spans="1:13" ht="18" customHeight="1">
      <c r="A155" s="952" t="e">
        <f>#REF!</f>
        <v>#REF!</v>
      </c>
      <c r="B155" s="960" t="e">
        <f>VLOOKUP(A155,#REF!,2,FALSE)</f>
        <v>#REF!</v>
      </c>
      <c r="C155" s="961" t="e">
        <f>VLOOKUP(A155,#REF!,3,FALSE)</f>
        <v>#REF!</v>
      </c>
      <c r="D155" s="962">
        <f t="shared" si="8"/>
        <v>0</v>
      </c>
      <c r="E155" s="962">
        <f t="shared" si="9"/>
        <v>0</v>
      </c>
      <c r="F155" s="962">
        <f t="shared" si="10"/>
        <v>0</v>
      </c>
      <c r="G155" s="962"/>
      <c r="H155" s="962"/>
      <c r="I155" s="962"/>
      <c r="J155" s="962"/>
      <c r="K155" s="962" t="e">
        <f>VLOOKUP(A155,#REF!,4,FALSE)</f>
        <v>#REF!</v>
      </c>
      <c r="L155" s="963">
        <f t="shared" si="11"/>
        <v>0</v>
      </c>
      <c r="M155" s="964"/>
    </row>
    <row r="156" spans="1:13" ht="18" customHeight="1">
      <c r="A156" s="952" t="e">
        <f>#REF!</f>
        <v>#REF!</v>
      </c>
      <c r="B156" s="960" t="e">
        <f>VLOOKUP(A156,#REF!,2,FALSE)</f>
        <v>#REF!</v>
      </c>
      <c r="C156" s="961" t="e">
        <f>VLOOKUP(A156,#REF!,3,FALSE)</f>
        <v>#REF!</v>
      </c>
      <c r="D156" s="962">
        <f t="shared" si="8"/>
        <v>0</v>
      </c>
      <c r="E156" s="962">
        <f t="shared" si="9"/>
        <v>0</v>
      </c>
      <c r="F156" s="962">
        <f t="shared" si="10"/>
        <v>0</v>
      </c>
      <c r="G156" s="962"/>
      <c r="H156" s="962"/>
      <c r="I156" s="962"/>
      <c r="J156" s="962"/>
      <c r="K156" s="962" t="e">
        <f>VLOOKUP(A156,#REF!,4,FALSE)</f>
        <v>#REF!</v>
      </c>
      <c r="L156" s="963">
        <f t="shared" si="11"/>
        <v>0</v>
      </c>
      <c r="M156" s="964"/>
    </row>
    <row r="157" spans="1:13" ht="18" customHeight="1">
      <c r="A157" s="952" t="e">
        <f>#REF!</f>
        <v>#REF!</v>
      </c>
      <c r="B157" s="960" t="e">
        <f>VLOOKUP(A157,#REF!,2,FALSE)</f>
        <v>#REF!</v>
      </c>
      <c r="C157" s="961" t="e">
        <f>VLOOKUP(A157,#REF!,3,FALSE)</f>
        <v>#REF!</v>
      </c>
      <c r="D157" s="962">
        <f t="shared" si="8"/>
        <v>0</v>
      </c>
      <c r="E157" s="962">
        <f t="shared" si="9"/>
        <v>0</v>
      </c>
      <c r="F157" s="962">
        <f t="shared" si="10"/>
        <v>0</v>
      </c>
      <c r="G157" s="962"/>
      <c r="H157" s="962"/>
      <c r="I157" s="962"/>
      <c r="J157" s="962"/>
      <c r="K157" s="962" t="e">
        <f>VLOOKUP(A157,#REF!,4,FALSE)</f>
        <v>#REF!</v>
      </c>
      <c r="L157" s="963">
        <f t="shared" si="11"/>
        <v>0</v>
      </c>
      <c r="M157" s="964"/>
    </row>
    <row r="158" spans="1:13" ht="18" customHeight="1">
      <c r="A158" s="952" t="e">
        <f>#REF!</f>
        <v>#REF!</v>
      </c>
      <c r="B158" s="960" t="e">
        <f>VLOOKUP(A158,#REF!,2,FALSE)</f>
        <v>#REF!</v>
      </c>
      <c r="C158" s="961" t="e">
        <f>VLOOKUP(A158,#REF!,3,FALSE)</f>
        <v>#REF!</v>
      </c>
      <c r="D158" s="962">
        <f t="shared" si="8"/>
        <v>0</v>
      </c>
      <c r="E158" s="962">
        <f t="shared" si="9"/>
        <v>0</v>
      </c>
      <c r="F158" s="962">
        <f t="shared" si="10"/>
        <v>0</v>
      </c>
      <c r="G158" s="962"/>
      <c r="H158" s="962"/>
      <c r="I158" s="962"/>
      <c r="J158" s="962"/>
      <c r="K158" s="962" t="e">
        <f>VLOOKUP(A158,#REF!,4,FALSE)</f>
        <v>#REF!</v>
      </c>
      <c r="L158" s="963">
        <f t="shared" si="11"/>
        <v>0</v>
      </c>
      <c r="M158" s="964"/>
    </row>
    <row r="159" spans="1:13" ht="18" customHeight="1">
      <c r="A159" s="952" t="e">
        <f>#REF!</f>
        <v>#REF!</v>
      </c>
      <c r="B159" s="960" t="e">
        <f>VLOOKUP(A159,#REF!,2,FALSE)</f>
        <v>#REF!</v>
      </c>
      <c r="C159" s="961" t="e">
        <f>VLOOKUP(A159,#REF!,3,FALSE)</f>
        <v>#REF!</v>
      </c>
      <c r="D159" s="962">
        <f t="shared" si="8"/>
        <v>0</v>
      </c>
      <c r="E159" s="962">
        <f t="shared" si="9"/>
        <v>0</v>
      </c>
      <c r="F159" s="962">
        <f t="shared" si="10"/>
        <v>0</v>
      </c>
      <c r="G159" s="962"/>
      <c r="H159" s="962"/>
      <c r="I159" s="962"/>
      <c r="J159" s="962"/>
      <c r="K159" s="962" t="e">
        <f>VLOOKUP(A159,#REF!,4,FALSE)</f>
        <v>#REF!</v>
      </c>
      <c r="L159" s="963">
        <f t="shared" si="11"/>
        <v>0</v>
      </c>
      <c r="M159" s="964"/>
    </row>
    <row r="160" spans="1:13" ht="18" customHeight="1">
      <c r="A160" s="952" t="e">
        <f>#REF!</f>
        <v>#REF!</v>
      </c>
      <c r="B160" s="960" t="e">
        <f>VLOOKUP(A160,#REF!,2,FALSE)</f>
        <v>#REF!</v>
      </c>
      <c r="C160" s="961" t="e">
        <f>VLOOKUP(A160,#REF!,3,FALSE)</f>
        <v>#REF!</v>
      </c>
      <c r="D160" s="962">
        <f t="shared" si="8"/>
        <v>0</v>
      </c>
      <c r="E160" s="962">
        <f t="shared" si="9"/>
        <v>0</v>
      </c>
      <c r="F160" s="962">
        <f t="shared" si="10"/>
        <v>0</v>
      </c>
      <c r="G160" s="962"/>
      <c r="H160" s="962"/>
      <c r="I160" s="962"/>
      <c r="J160" s="962"/>
      <c r="K160" s="962" t="e">
        <f>VLOOKUP(A160,#REF!,4,FALSE)</f>
        <v>#REF!</v>
      </c>
      <c r="L160" s="963">
        <f t="shared" si="11"/>
        <v>0</v>
      </c>
      <c r="M160" s="964"/>
    </row>
    <row r="161" spans="1:13" ht="18" customHeight="1">
      <c r="A161" s="952" t="e">
        <f>#REF!</f>
        <v>#REF!</v>
      </c>
      <c r="B161" s="960" t="e">
        <f>VLOOKUP(A161,#REF!,2,FALSE)</f>
        <v>#REF!</v>
      </c>
      <c r="C161" s="961" t="e">
        <f>VLOOKUP(A161,#REF!,3,FALSE)</f>
        <v>#REF!</v>
      </c>
      <c r="D161" s="962">
        <f t="shared" si="8"/>
        <v>0</v>
      </c>
      <c r="E161" s="962">
        <f t="shared" si="9"/>
        <v>0</v>
      </c>
      <c r="F161" s="962">
        <f t="shared" si="10"/>
        <v>0</v>
      </c>
      <c r="G161" s="962"/>
      <c r="H161" s="962"/>
      <c r="I161" s="962"/>
      <c r="J161" s="962"/>
      <c r="K161" s="962" t="e">
        <f>VLOOKUP(A161,#REF!,4,FALSE)</f>
        <v>#REF!</v>
      </c>
      <c r="L161" s="963">
        <f t="shared" si="11"/>
        <v>0</v>
      </c>
      <c r="M161" s="964"/>
    </row>
    <row r="162" spans="1:13" ht="18" customHeight="1">
      <c r="A162" s="952" t="e">
        <f>#REF!</f>
        <v>#REF!</v>
      </c>
      <c r="B162" s="960" t="e">
        <f>VLOOKUP(A162,#REF!,2,FALSE)</f>
        <v>#REF!</v>
      </c>
      <c r="C162" s="961" t="e">
        <f>VLOOKUP(A162,#REF!,3,FALSE)</f>
        <v>#REF!</v>
      </c>
      <c r="D162" s="962">
        <f t="shared" si="8"/>
        <v>0</v>
      </c>
      <c r="E162" s="962">
        <f t="shared" si="9"/>
        <v>0</v>
      </c>
      <c r="F162" s="962">
        <f t="shared" si="10"/>
        <v>0</v>
      </c>
      <c r="G162" s="962"/>
      <c r="H162" s="962"/>
      <c r="I162" s="962"/>
      <c r="J162" s="962"/>
      <c r="K162" s="962" t="e">
        <f>VLOOKUP(A162,#REF!,4,FALSE)</f>
        <v>#REF!</v>
      </c>
      <c r="L162" s="963">
        <f t="shared" si="11"/>
        <v>0</v>
      </c>
      <c r="M162" s="964"/>
    </row>
    <row r="163" spans="1:13" ht="18" customHeight="1">
      <c r="A163" s="952" t="e">
        <f>#REF!</f>
        <v>#REF!</v>
      </c>
      <c r="B163" s="960" t="e">
        <f>VLOOKUP(A163,#REF!,2,FALSE)</f>
        <v>#REF!</v>
      </c>
      <c r="C163" s="961" t="e">
        <f>VLOOKUP(A163,#REF!,3,FALSE)</f>
        <v>#REF!</v>
      </c>
      <c r="D163" s="962">
        <f t="shared" si="8"/>
        <v>0</v>
      </c>
      <c r="E163" s="962">
        <f t="shared" si="9"/>
        <v>0</v>
      </c>
      <c r="F163" s="962">
        <f t="shared" si="10"/>
        <v>0</v>
      </c>
      <c r="G163" s="962"/>
      <c r="H163" s="962"/>
      <c r="I163" s="962"/>
      <c r="J163" s="962"/>
      <c r="K163" s="962" t="e">
        <f>VLOOKUP(A163,#REF!,4,FALSE)</f>
        <v>#REF!</v>
      </c>
      <c r="L163" s="963">
        <f t="shared" si="11"/>
        <v>0</v>
      </c>
      <c r="M163" s="964"/>
    </row>
    <row r="164" spans="1:13" ht="18" customHeight="1">
      <c r="A164" s="952" t="e">
        <f>#REF!</f>
        <v>#REF!</v>
      </c>
      <c r="B164" s="960" t="e">
        <f>VLOOKUP(A164,#REF!,2,FALSE)</f>
        <v>#REF!</v>
      </c>
      <c r="C164" s="961" t="e">
        <f>VLOOKUP(A164,#REF!,3,FALSE)</f>
        <v>#REF!</v>
      </c>
      <c r="D164" s="962">
        <f t="shared" si="8"/>
        <v>0</v>
      </c>
      <c r="E164" s="962">
        <f t="shared" si="9"/>
        <v>0</v>
      </c>
      <c r="F164" s="962">
        <f t="shared" si="10"/>
        <v>0</v>
      </c>
      <c r="G164" s="962"/>
      <c r="H164" s="962"/>
      <c r="I164" s="962"/>
      <c r="J164" s="962"/>
      <c r="K164" s="962" t="e">
        <f>VLOOKUP(A164,#REF!,4,FALSE)</f>
        <v>#REF!</v>
      </c>
      <c r="L164" s="963">
        <f t="shared" si="11"/>
        <v>0</v>
      </c>
      <c r="M164" s="964"/>
    </row>
    <row r="165" spans="1:13" ht="18" customHeight="1">
      <c r="A165" s="952" t="e">
        <f>#REF!</f>
        <v>#REF!</v>
      </c>
      <c r="B165" s="960" t="e">
        <f>VLOOKUP(A165,#REF!,2,FALSE)</f>
        <v>#REF!</v>
      </c>
      <c r="C165" s="961" t="e">
        <f>VLOOKUP(A165,#REF!,3,FALSE)</f>
        <v>#REF!</v>
      </c>
      <c r="D165" s="962">
        <f t="shared" si="8"/>
        <v>0</v>
      </c>
      <c r="E165" s="962">
        <f t="shared" si="9"/>
        <v>0</v>
      </c>
      <c r="F165" s="962">
        <f t="shared" si="10"/>
        <v>0</v>
      </c>
      <c r="G165" s="962"/>
      <c r="H165" s="962"/>
      <c r="I165" s="962"/>
      <c r="J165" s="962"/>
      <c r="K165" s="962" t="e">
        <f>VLOOKUP(A165,#REF!,4,FALSE)</f>
        <v>#REF!</v>
      </c>
      <c r="L165" s="963">
        <f t="shared" si="11"/>
        <v>0</v>
      </c>
      <c r="M165" s="964"/>
    </row>
    <row r="166" spans="1:13" ht="18" customHeight="1">
      <c r="A166" s="952" t="e">
        <f>#REF!</f>
        <v>#REF!</v>
      </c>
      <c r="B166" s="960" t="e">
        <f>VLOOKUP(A166,#REF!,2,FALSE)</f>
        <v>#REF!</v>
      </c>
      <c r="C166" s="961" t="e">
        <f>VLOOKUP(A166,#REF!,3,FALSE)</f>
        <v>#REF!</v>
      </c>
      <c r="D166" s="962">
        <f t="shared" si="8"/>
        <v>0</v>
      </c>
      <c r="E166" s="962">
        <f t="shared" si="9"/>
        <v>0</v>
      </c>
      <c r="F166" s="962">
        <f t="shared" si="10"/>
        <v>0</v>
      </c>
      <c r="G166" s="962"/>
      <c r="H166" s="962"/>
      <c r="I166" s="962"/>
      <c r="J166" s="962"/>
      <c r="K166" s="962" t="e">
        <f>VLOOKUP(A166,#REF!,4,FALSE)</f>
        <v>#REF!</v>
      </c>
      <c r="L166" s="963">
        <f t="shared" si="11"/>
        <v>0</v>
      </c>
      <c r="M166" s="964"/>
    </row>
    <row r="167" spans="1:13" ht="18" customHeight="1">
      <c r="A167" s="952" t="e">
        <f>#REF!</f>
        <v>#REF!</v>
      </c>
      <c r="B167" s="960" t="e">
        <f>VLOOKUP(A167,#REF!,2,FALSE)</f>
        <v>#REF!</v>
      </c>
      <c r="C167" s="961" t="e">
        <f>VLOOKUP(A167,#REF!,3,FALSE)</f>
        <v>#REF!</v>
      </c>
      <c r="D167" s="962">
        <f t="shared" si="8"/>
        <v>0</v>
      </c>
      <c r="E167" s="962">
        <f t="shared" si="9"/>
        <v>0</v>
      </c>
      <c r="F167" s="962">
        <f t="shared" si="10"/>
        <v>0</v>
      </c>
      <c r="G167" s="962"/>
      <c r="H167" s="962"/>
      <c r="I167" s="962"/>
      <c r="J167" s="962"/>
      <c r="K167" s="962" t="e">
        <f>VLOOKUP(A167,#REF!,4,FALSE)</f>
        <v>#REF!</v>
      </c>
      <c r="L167" s="963">
        <f t="shared" si="11"/>
        <v>0</v>
      </c>
      <c r="M167" s="964"/>
    </row>
    <row r="168" spans="1:13" ht="18" customHeight="1">
      <c r="A168" s="952" t="e">
        <f>#REF!</f>
        <v>#REF!</v>
      </c>
      <c r="B168" s="960" t="e">
        <f>VLOOKUP(A168,#REF!,2,FALSE)</f>
        <v>#REF!</v>
      </c>
      <c r="C168" s="961" t="e">
        <f>VLOOKUP(A168,#REF!,3,FALSE)</f>
        <v>#REF!</v>
      </c>
      <c r="D168" s="962">
        <f t="shared" si="8"/>
        <v>0</v>
      </c>
      <c r="E168" s="962">
        <f t="shared" si="9"/>
        <v>0</v>
      </c>
      <c r="F168" s="962">
        <f t="shared" si="10"/>
        <v>0</v>
      </c>
      <c r="G168" s="962"/>
      <c r="H168" s="962"/>
      <c r="I168" s="962"/>
      <c r="J168" s="962"/>
      <c r="K168" s="962" t="e">
        <f>VLOOKUP(A168,#REF!,4,FALSE)</f>
        <v>#REF!</v>
      </c>
      <c r="L168" s="963">
        <f t="shared" si="11"/>
        <v>0</v>
      </c>
      <c r="M168" s="964"/>
    </row>
    <row r="169" spans="1:13" ht="18" customHeight="1">
      <c r="A169" s="952" t="e">
        <f>#REF!</f>
        <v>#REF!</v>
      </c>
      <c r="B169" s="960" t="e">
        <f>VLOOKUP(A169,#REF!,2,FALSE)</f>
        <v>#REF!</v>
      </c>
      <c r="C169" s="961" t="e">
        <f>VLOOKUP(A169,#REF!,3,FALSE)</f>
        <v>#REF!</v>
      </c>
      <c r="D169" s="962">
        <f t="shared" si="8"/>
        <v>0</v>
      </c>
      <c r="E169" s="962">
        <f t="shared" si="9"/>
        <v>0</v>
      </c>
      <c r="F169" s="962">
        <f t="shared" si="10"/>
        <v>0</v>
      </c>
      <c r="G169" s="962"/>
      <c r="H169" s="962"/>
      <c r="I169" s="962"/>
      <c r="J169" s="962"/>
      <c r="K169" s="962" t="e">
        <f>VLOOKUP(A169,#REF!,4,FALSE)</f>
        <v>#REF!</v>
      </c>
      <c r="L169" s="963">
        <f t="shared" si="11"/>
        <v>0</v>
      </c>
      <c r="M169" s="964"/>
    </row>
    <row r="170" spans="1:13" ht="18" customHeight="1">
      <c r="A170" s="952" t="e">
        <f>#REF!</f>
        <v>#REF!</v>
      </c>
      <c r="B170" s="960" t="e">
        <f>VLOOKUP(A170,#REF!,2,FALSE)</f>
        <v>#REF!</v>
      </c>
      <c r="C170" s="961" t="e">
        <f>VLOOKUP(A170,#REF!,3,FALSE)</f>
        <v>#REF!</v>
      </c>
      <c r="D170" s="962">
        <f t="shared" si="8"/>
        <v>0</v>
      </c>
      <c r="E170" s="962">
        <f t="shared" si="9"/>
        <v>0</v>
      </c>
      <c r="F170" s="962">
        <f t="shared" si="10"/>
        <v>0</v>
      </c>
      <c r="G170" s="962"/>
      <c r="H170" s="962"/>
      <c r="I170" s="962"/>
      <c r="J170" s="962"/>
      <c r="K170" s="962" t="e">
        <f>VLOOKUP(A170,#REF!,4,FALSE)</f>
        <v>#REF!</v>
      </c>
      <c r="L170" s="963">
        <f t="shared" si="11"/>
        <v>0</v>
      </c>
      <c r="M170" s="964"/>
    </row>
    <row r="171" spans="1:13" ht="18" customHeight="1">
      <c r="A171" s="952" t="e">
        <f>#REF!</f>
        <v>#REF!</v>
      </c>
      <c r="B171" s="960" t="e">
        <f>VLOOKUP(A171,#REF!,2,FALSE)</f>
        <v>#REF!</v>
      </c>
      <c r="C171" s="961" t="e">
        <f>VLOOKUP(A171,#REF!,3,FALSE)</f>
        <v>#REF!</v>
      </c>
      <c r="D171" s="962">
        <f t="shared" si="8"/>
        <v>0</v>
      </c>
      <c r="E171" s="962">
        <f t="shared" si="9"/>
        <v>0</v>
      </c>
      <c r="F171" s="962">
        <f t="shared" si="10"/>
        <v>0</v>
      </c>
      <c r="G171" s="962"/>
      <c r="H171" s="962"/>
      <c r="I171" s="962"/>
      <c r="J171" s="962"/>
      <c r="K171" s="962" t="e">
        <f>VLOOKUP(A171,#REF!,4,FALSE)</f>
        <v>#REF!</v>
      </c>
      <c r="L171" s="963">
        <f t="shared" si="11"/>
        <v>0</v>
      </c>
      <c r="M171" s="964"/>
    </row>
    <row r="172" spans="1:13" ht="18" customHeight="1">
      <c r="A172" s="952" t="e">
        <f>#REF!</f>
        <v>#REF!</v>
      </c>
      <c r="B172" s="960" t="e">
        <f>VLOOKUP(A172,#REF!,2,FALSE)</f>
        <v>#REF!</v>
      </c>
      <c r="C172" s="961" t="e">
        <f>VLOOKUP(A172,#REF!,3,FALSE)</f>
        <v>#REF!</v>
      </c>
      <c r="D172" s="962">
        <f t="shared" si="8"/>
        <v>0</v>
      </c>
      <c r="E172" s="962">
        <f t="shared" si="9"/>
        <v>0</v>
      </c>
      <c r="F172" s="962">
        <f t="shared" si="10"/>
        <v>0</v>
      </c>
      <c r="G172" s="962"/>
      <c r="H172" s="962"/>
      <c r="I172" s="962"/>
      <c r="J172" s="962"/>
      <c r="K172" s="962" t="e">
        <f>VLOOKUP(A172,#REF!,4,FALSE)</f>
        <v>#REF!</v>
      </c>
      <c r="L172" s="963">
        <f t="shared" si="11"/>
        <v>0</v>
      </c>
      <c r="M172" s="964"/>
    </row>
    <row r="173" spans="1:13" ht="18" customHeight="1">
      <c r="A173" s="952" t="e">
        <f>#REF!</f>
        <v>#REF!</v>
      </c>
      <c r="B173" s="960" t="e">
        <f>VLOOKUP(A173,#REF!,2,FALSE)</f>
        <v>#REF!</v>
      </c>
      <c r="C173" s="961" t="e">
        <f>VLOOKUP(A173,#REF!,3,FALSE)</f>
        <v>#REF!</v>
      </c>
      <c r="D173" s="962">
        <f t="shared" si="8"/>
        <v>0</v>
      </c>
      <c r="E173" s="962">
        <f t="shared" si="9"/>
        <v>0</v>
      </c>
      <c r="F173" s="962">
        <f t="shared" si="10"/>
        <v>0</v>
      </c>
      <c r="G173" s="962"/>
      <c r="H173" s="962"/>
      <c r="I173" s="962"/>
      <c r="J173" s="962"/>
      <c r="K173" s="962" t="e">
        <f>VLOOKUP(A173,#REF!,4,FALSE)</f>
        <v>#REF!</v>
      </c>
      <c r="L173" s="963">
        <f t="shared" si="11"/>
        <v>0</v>
      </c>
      <c r="M173" s="964"/>
    </row>
    <row r="174" spans="1:13" ht="18" customHeight="1">
      <c r="A174" s="952" t="e">
        <f>#REF!</f>
        <v>#REF!</v>
      </c>
      <c r="B174" s="960" t="e">
        <f>VLOOKUP(A174,#REF!,2,FALSE)</f>
        <v>#REF!</v>
      </c>
      <c r="C174" s="961" t="e">
        <f>VLOOKUP(A174,#REF!,3,FALSE)</f>
        <v>#REF!</v>
      </c>
      <c r="D174" s="962">
        <f t="shared" si="8"/>
        <v>0</v>
      </c>
      <c r="E174" s="962">
        <f t="shared" si="9"/>
        <v>0</v>
      </c>
      <c r="F174" s="962">
        <f t="shared" si="10"/>
        <v>0</v>
      </c>
      <c r="G174" s="962"/>
      <c r="H174" s="962"/>
      <c r="I174" s="962"/>
      <c r="J174" s="962"/>
      <c r="K174" s="962" t="e">
        <f>VLOOKUP(A174,#REF!,4,FALSE)</f>
        <v>#REF!</v>
      </c>
      <c r="L174" s="963">
        <f t="shared" si="11"/>
        <v>0</v>
      </c>
      <c r="M174" s="964"/>
    </row>
    <row r="175" spans="1:13" ht="18" customHeight="1">
      <c r="A175" s="952" t="e">
        <f>#REF!</f>
        <v>#REF!</v>
      </c>
      <c r="B175" s="960" t="e">
        <f>VLOOKUP(A175,#REF!,2,FALSE)</f>
        <v>#REF!</v>
      </c>
      <c r="C175" s="961" t="e">
        <f>VLOOKUP(A175,#REF!,3,FALSE)</f>
        <v>#REF!</v>
      </c>
      <c r="D175" s="962">
        <f t="shared" si="8"/>
        <v>0</v>
      </c>
      <c r="E175" s="962">
        <f t="shared" si="9"/>
        <v>0</v>
      </c>
      <c r="F175" s="962">
        <f t="shared" si="10"/>
        <v>0</v>
      </c>
      <c r="G175" s="962"/>
      <c r="H175" s="962"/>
      <c r="I175" s="962"/>
      <c r="J175" s="962"/>
      <c r="K175" s="962" t="e">
        <f>VLOOKUP(A175,#REF!,4,FALSE)</f>
        <v>#REF!</v>
      </c>
      <c r="L175" s="963">
        <f t="shared" si="11"/>
        <v>0</v>
      </c>
      <c r="M175" s="964"/>
    </row>
    <row r="176" spans="1:13" ht="18" customHeight="1">
      <c r="A176" s="952" t="e">
        <f>#REF!</f>
        <v>#REF!</v>
      </c>
      <c r="B176" s="960" t="e">
        <f>VLOOKUP(A176,#REF!,2,FALSE)</f>
        <v>#REF!</v>
      </c>
      <c r="C176" s="961" t="e">
        <f>VLOOKUP(A176,#REF!,3,FALSE)</f>
        <v>#REF!</v>
      </c>
      <c r="D176" s="962">
        <f t="shared" si="8"/>
        <v>0</v>
      </c>
      <c r="E176" s="962">
        <f t="shared" si="9"/>
        <v>0</v>
      </c>
      <c r="F176" s="962">
        <f t="shared" si="10"/>
        <v>0</v>
      </c>
      <c r="G176" s="962"/>
      <c r="H176" s="962"/>
      <c r="I176" s="962"/>
      <c r="J176" s="962"/>
      <c r="K176" s="962" t="e">
        <f>VLOOKUP(A176,#REF!,4,FALSE)</f>
        <v>#REF!</v>
      </c>
      <c r="L176" s="963">
        <f t="shared" si="11"/>
        <v>0</v>
      </c>
      <c r="M176" s="964"/>
    </row>
    <row r="177" spans="1:13" ht="18" customHeight="1">
      <c r="A177" s="952" t="e">
        <f>#REF!</f>
        <v>#REF!</v>
      </c>
      <c r="B177" s="960" t="e">
        <f>VLOOKUP(A177,#REF!,2,FALSE)</f>
        <v>#REF!</v>
      </c>
      <c r="C177" s="961" t="e">
        <f>VLOOKUP(A177,#REF!,3,FALSE)</f>
        <v>#REF!</v>
      </c>
      <c r="D177" s="962">
        <f t="shared" si="8"/>
        <v>0</v>
      </c>
      <c r="E177" s="962">
        <f t="shared" si="9"/>
        <v>0</v>
      </c>
      <c r="F177" s="962">
        <f t="shared" si="10"/>
        <v>0</v>
      </c>
      <c r="G177" s="962"/>
      <c r="H177" s="962"/>
      <c r="I177" s="962"/>
      <c r="J177" s="962"/>
      <c r="K177" s="962" t="e">
        <f>VLOOKUP(A177,#REF!,4,FALSE)</f>
        <v>#REF!</v>
      </c>
      <c r="L177" s="963">
        <f t="shared" si="11"/>
        <v>0</v>
      </c>
      <c r="M177" s="964"/>
    </row>
    <row r="178" spans="1:13" ht="18" customHeight="1">
      <c r="A178" s="952" t="e">
        <f>#REF!</f>
        <v>#REF!</v>
      </c>
      <c r="B178" s="960" t="e">
        <f>VLOOKUP(A178,#REF!,2,FALSE)</f>
        <v>#REF!</v>
      </c>
      <c r="C178" s="961" t="e">
        <f>VLOOKUP(A178,#REF!,3,FALSE)</f>
        <v>#REF!</v>
      </c>
      <c r="D178" s="962">
        <f t="shared" si="8"/>
        <v>0</v>
      </c>
      <c r="E178" s="962">
        <f t="shared" si="9"/>
        <v>0</v>
      </c>
      <c r="F178" s="962">
        <f t="shared" si="10"/>
        <v>0</v>
      </c>
      <c r="G178" s="962"/>
      <c r="H178" s="962"/>
      <c r="I178" s="962"/>
      <c r="J178" s="962"/>
      <c r="K178" s="962" t="e">
        <f>VLOOKUP(A178,#REF!,4,FALSE)</f>
        <v>#REF!</v>
      </c>
      <c r="L178" s="963">
        <f t="shared" si="11"/>
        <v>0</v>
      </c>
      <c r="M178" s="964"/>
    </row>
    <row r="179" spans="1:13" ht="18" customHeight="1">
      <c r="A179" s="952" t="e">
        <f>#REF!</f>
        <v>#REF!</v>
      </c>
      <c r="B179" s="960" t="e">
        <f>VLOOKUP(A179,#REF!,2,FALSE)</f>
        <v>#REF!</v>
      </c>
      <c r="C179" s="961" t="e">
        <f>VLOOKUP(A179,#REF!,3,FALSE)</f>
        <v>#REF!</v>
      </c>
      <c r="D179" s="962">
        <f t="shared" si="8"/>
        <v>0</v>
      </c>
      <c r="E179" s="962">
        <f t="shared" si="9"/>
        <v>0</v>
      </c>
      <c r="F179" s="962">
        <f t="shared" si="10"/>
        <v>0</v>
      </c>
      <c r="G179" s="962"/>
      <c r="H179" s="962"/>
      <c r="I179" s="962"/>
      <c r="J179" s="962"/>
      <c r="K179" s="962" t="e">
        <f>VLOOKUP(A179,#REF!,4,FALSE)</f>
        <v>#REF!</v>
      </c>
      <c r="L179" s="963">
        <f t="shared" si="11"/>
        <v>0</v>
      </c>
      <c r="M179" s="964"/>
    </row>
    <row r="180" spans="1:13" ht="18" customHeight="1">
      <c r="A180" s="952" t="e">
        <f>#REF!</f>
        <v>#REF!</v>
      </c>
      <c r="B180" s="960" t="e">
        <f>VLOOKUP(A180,#REF!,2,FALSE)</f>
        <v>#REF!</v>
      </c>
      <c r="C180" s="961" t="e">
        <f>VLOOKUP(A180,#REF!,3,FALSE)</f>
        <v>#REF!</v>
      </c>
      <c r="D180" s="962">
        <f t="shared" si="8"/>
        <v>0</v>
      </c>
      <c r="E180" s="962">
        <f t="shared" si="9"/>
        <v>0</v>
      </c>
      <c r="F180" s="962">
        <f t="shared" si="10"/>
        <v>0</v>
      </c>
      <c r="G180" s="962"/>
      <c r="H180" s="962"/>
      <c r="I180" s="962"/>
      <c r="J180" s="962"/>
      <c r="K180" s="962" t="e">
        <f>VLOOKUP(A180,#REF!,4,FALSE)</f>
        <v>#REF!</v>
      </c>
      <c r="L180" s="963">
        <f t="shared" si="11"/>
        <v>0</v>
      </c>
      <c r="M180" s="964"/>
    </row>
    <row r="181" spans="1:13" ht="18" customHeight="1">
      <c r="A181" s="952" t="e">
        <f>#REF!</f>
        <v>#REF!</v>
      </c>
      <c r="B181" s="960" t="e">
        <f>VLOOKUP(A181,#REF!,2,FALSE)</f>
        <v>#REF!</v>
      </c>
      <c r="C181" s="961" t="e">
        <f>VLOOKUP(A181,#REF!,3,FALSE)</f>
        <v>#REF!</v>
      </c>
      <c r="D181" s="962">
        <f t="shared" si="8"/>
        <v>0</v>
      </c>
      <c r="E181" s="962">
        <f t="shared" si="9"/>
        <v>0</v>
      </c>
      <c r="F181" s="962">
        <f t="shared" si="10"/>
        <v>0</v>
      </c>
      <c r="G181" s="962"/>
      <c r="H181" s="962"/>
      <c r="I181" s="962"/>
      <c r="J181" s="962"/>
      <c r="K181" s="962" t="e">
        <f>VLOOKUP(A181,#REF!,4,FALSE)</f>
        <v>#REF!</v>
      </c>
      <c r="L181" s="963">
        <f t="shared" si="11"/>
        <v>0</v>
      </c>
      <c r="M181" s="964"/>
    </row>
    <row r="182" spans="1:13" ht="18" customHeight="1">
      <c r="A182" s="952" t="e">
        <f>#REF!</f>
        <v>#REF!</v>
      </c>
      <c r="B182" s="960" t="e">
        <f>VLOOKUP(A182,#REF!,2,FALSE)</f>
        <v>#REF!</v>
      </c>
      <c r="C182" s="961" t="e">
        <f>VLOOKUP(A182,#REF!,3,FALSE)</f>
        <v>#REF!</v>
      </c>
      <c r="D182" s="962">
        <f t="shared" si="8"/>
        <v>0</v>
      </c>
      <c r="E182" s="962">
        <f t="shared" si="9"/>
        <v>0</v>
      </c>
      <c r="F182" s="962">
        <f t="shared" si="10"/>
        <v>0</v>
      </c>
      <c r="G182" s="962"/>
      <c r="H182" s="962"/>
      <c r="I182" s="962"/>
      <c r="J182" s="962"/>
      <c r="K182" s="962" t="e">
        <f>VLOOKUP(A182,#REF!,4,FALSE)</f>
        <v>#REF!</v>
      </c>
      <c r="L182" s="963">
        <f t="shared" si="11"/>
        <v>0</v>
      </c>
      <c r="M182" s="964"/>
    </row>
    <row r="183" spans="1:13" ht="18" customHeight="1">
      <c r="A183" s="952" t="e">
        <f>#REF!</f>
        <v>#REF!</v>
      </c>
      <c r="B183" s="960" t="e">
        <f>VLOOKUP(A183,#REF!,2,FALSE)</f>
        <v>#REF!</v>
      </c>
      <c r="C183" s="961" t="e">
        <f>VLOOKUP(A183,#REF!,3,FALSE)</f>
        <v>#REF!</v>
      </c>
      <c r="D183" s="962">
        <f t="shared" si="8"/>
        <v>0</v>
      </c>
      <c r="E183" s="962">
        <f t="shared" si="9"/>
        <v>0</v>
      </c>
      <c r="F183" s="962">
        <f t="shared" si="10"/>
        <v>0</v>
      </c>
      <c r="G183" s="962"/>
      <c r="H183" s="962"/>
      <c r="I183" s="962"/>
      <c r="J183" s="962"/>
      <c r="K183" s="962" t="e">
        <f>VLOOKUP(A183,#REF!,4,FALSE)</f>
        <v>#REF!</v>
      </c>
      <c r="L183" s="963">
        <f t="shared" si="11"/>
        <v>0</v>
      </c>
      <c r="M183" s="964"/>
    </row>
    <row r="184" spans="1:13" ht="18" customHeight="1">
      <c r="A184" s="952" t="e">
        <f>#REF!</f>
        <v>#REF!</v>
      </c>
      <c r="B184" s="960" t="e">
        <f>VLOOKUP(A184,#REF!,2,FALSE)</f>
        <v>#REF!</v>
      </c>
      <c r="C184" s="961" t="e">
        <f>VLOOKUP(A184,#REF!,3,FALSE)</f>
        <v>#REF!</v>
      </c>
      <c r="D184" s="962">
        <f t="shared" si="8"/>
        <v>0</v>
      </c>
      <c r="E184" s="962">
        <f t="shared" si="9"/>
        <v>0</v>
      </c>
      <c r="F184" s="962">
        <f t="shared" si="10"/>
        <v>0</v>
      </c>
      <c r="G184" s="962"/>
      <c r="H184" s="962"/>
      <c r="I184" s="962"/>
      <c r="J184" s="962"/>
      <c r="K184" s="962" t="e">
        <f>VLOOKUP(A184,#REF!,4,FALSE)</f>
        <v>#REF!</v>
      </c>
      <c r="L184" s="963">
        <f t="shared" si="11"/>
        <v>0</v>
      </c>
      <c r="M184" s="964"/>
    </row>
    <row r="185" spans="1:13" ht="18" customHeight="1">
      <c r="A185" s="952" t="e">
        <f>#REF!</f>
        <v>#REF!</v>
      </c>
      <c r="B185" s="960" t="e">
        <f>VLOOKUP(A185,#REF!,2,FALSE)</f>
        <v>#REF!</v>
      </c>
      <c r="C185" s="961" t="e">
        <f>VLOOKUP(A185,#REF!,3,FALSE)</f>
        <v>#REF!</v>
      </c>
      <c r="D185" s="962">
        <f t="shared" si="8"/>
        <v>0</v>
      </c>
      <c r="E185" s="962">
        <f t="shared" si="9"/>
        <v>0</v>
      </c>
      <c r="F185" s="962">
        <f t="shared" si="10"/>
        <v>0</v>
      </c>
      <c r="G185" s="962"/>
      <c r="H185" s="962"/>
      <c r="I185" s="962"/>
      <c r="J185" s="962"/>
      <c r="K185" s="962" t="e">
        <f>VLOOKUP(A185,#REF!,4,FALSE)</f>
        <v>#REF!</v>
      </c>
      <c r="L185" s="963">
        <f t="shared" si="11"/>
        <v>0</v>
      </c>
      <c r="M185" s="964"/>
    </row>
    <row r="186" spans="1:13" ht="18" customHeight="1">
      <c r="A186" s="952" t="e">
        <f>#REF!</f>
        <v>#REF!</v>
      </c>
      <c r="B186" s="960" t="e">
        <f>VLOOKUP(A186,#REF!,2,FALSE)</f>
        <v>#REF!</v>
      </c>
      <c r="C186" s="961" t="e">
        <f>VLOOKUP(A186,#REF!,3,FALSE)</f>
        <v>#REF!</v>
      </c>
      <c r="D186" s="962">
        <f t="shared" si="8"/>
        <v>0</v>
      </c>
      <c r="E186" s="962">
        <f t="shared" si="9"/>
        <v>0</v>
      </c>
      <c r="F186" s="962">
        <f t="shared" si="10"/>
        <v>0</v>
      </c>
      <c r="G186" s="962"/>
      <c r="H186" s="962"/>
      <c r="I186" s="962"/>
      <c r="J186" s="962"/>
      <c r="K186" s="962" t="e">
        <f>VLOOKUP(A186,#REF!,4,FALSE)</f>
        <v>#REF!</v>
      </c>
      <c r="L186" s="963">
        <f t="shared" si="11"/>
        <v>0</v>
      </c>
      <c r="M186" s="964"/>
    </row>
    <row r="187" spans="1:13" ht="18" customHeight="1">
      <c r="A187" s="952" t="e">
        <f>#REF!</f>
        <v>#REF!</v>
      </c>
      <c r="B187" s="960" t="e">
        <f>VLOOKUP(A187,#REF!,2,FALSE)</f>
        <v>#REF!</v>
      </c>
      <c r="C187" s="961" t="e">
        <f>VLOOKUP(A187,#REF!,3,FALSE)</f>
        <v>#REF!</v>
      </c>
      <c r="D187" s="962">
        <f t="shared" si="8"/>
        <v>0</v>
      </c>
      <c r="E187" s="962">
        <f t="shared" si="9"/>
        <v>0</v>
      </c>
      <c r="F187" s="962">
        <f t="shared" si="10"/>
        <v>0</v>
      </c>
      <c r="G187" s="962"/>
      <c r="H187" s="962"/>
      <c r="I187" s="962"/>
      <c r="J187" s="962"/>
      <c r="K187" s="962" t="e">
        <f>VLOOKUP(A187,#REF!,4,FALSE)</f>
        <v>#REF!</v>
      </c>
      <c r="L187" s="963">
        <f t="shared" si="11"/>
        <v>0</v>
      </c>
      <c r="M187" s="964"/>
    </row>
    <row r="188" spans="1:13" ht="18" customHeight="1">
      <c r="A188" s="952" t="e">
        <f>#REF!</f>
        <v>#REF!</v>
      </c>
      <c r="B188" s="960" t="e">
        <f>VLOOKUP(A188,#REF!,2,FALSE)</f>
        <v>#REF!</v>
      </c>
      <c r="C188" s="961" t="e">
        <f>VLOOKUP(A188,#REF!,3,FALSE)</f>
        <v>#REF!</v>
      </c>
      <c r="D188" s="962">
        <f t="shared" si="8"/>
        <v>0</v>
      </c>
      <c r="E188" s="962">
        <f t="shared" si="9"/>
        <v>0</v>
      </c>
      <c r="F188" s="962">
        <f t="shared" si="10"/>
        <v>0</v>
      </c>
      <c r="G188" s="962"/>
      <c r="H188" s="962"/>
      <c r="I188" s="962"/>
      <c r="J188" s="962"/>
      <c r="K188" s="962" t="e">
        <f>VLOOKUP(A188,#REF!,4,FALSE)</f>
        <v>#REF!</v>
      </c>
      <c r="L188" s="963">
        <f t="shared" si="11"/>
        <v>0</v>
      </c>
      <c r="M188" s="964"/>
    </row>
    <row r="189" spans="1:13" ht="18" customHeight="1">
      <c r="A189" s="952" t="e">
        <f>#REF!</f>
        <v>#REF!</v>
      </c>
      <c r="B189" s="960" t="e">
        <f>VLOOKUP(A189,#REF!,2,FALSE)</f>
        <v>#REF!</v>
      </c>
      <c r="C189" s="961" t="e">
        <f>VLOOKUP(A189,#REF!,3,FALSE)</f>
        <v>#REF!</v>
      </c>
      <c r="D189" s="962">
        <f t="shared" si="8"/>
        <v>0</v>
      </c>
      <c r="E189" s="962">
        <f t="shared" si="9"/>
        <v>0</v>
      </c>
      <c r="F189" s="962">
        <f t="shared" si="10"/>
        <v>0</v>
      </c>
      <c r="G189" s="962"/>
      <c r="H189" s="962"/>
      <c r="I189" s="962"/>
      <c r="J189" s="962"/>
      <c r="K189" s="962" t="e">
        <f>VLOOKUP(A189,#REF!,4,FALSE)</f>
        <v>#REF!</v>
      </c>
      <c r="L189" s="963">
        <f t="shared" si="11"/>
        <v>0</v>
      </c>
      <c r="M189" s="964"/>
    </row>
    <row r="190" spans="1:13" ht="18" customHeight="1">
      <c r="A190" s="952" t="e">
        <f>#REF!</f>
        <v>#REF!</v>
      </c>
      <c r="B190" s="960" t="e">
        <f>VLOOKUP(A190,#REF!,2,FALSE)</f>
        <v>#REF!</v>
      </c>
      <c r="C190" s="961" t="e">
        <f>VLOOKUP(A190,#REF!,3,FALSE)</f>
        <v>#REF!</v>
      </c>
      <c r="D190" s="962">
        <f t="shared" si="8"/>
        <v>0</v>
      </c>
      <c r="E190" s="962">
        <f t="shared" si="9"/>
        <v>0</v>
      </c>
      <c r="F190" s="962">
        <f t="shared" si="10"/>
        <v>0</v>
      </c>
      <c r="G190" s="962"/>
      <c r="H190" s="962"/>
      <c r="I190" s="962"/>
      <c r="J190" s="962"/>
      <c r="K190" s="962" t="e">
        <f>VLOOKUP(A190,#REF!,4,FALSE)</f>
        <v>#REF!</v>
      </c>
      <c r="L190" s="963">
        <f t="shared" si="11"/>
        <v>0</v>
      </c>
      <c r="M190" s="964"/>
    </row>
    <row r="191" spans="1:13" ht="18" customHeight="1">
      <c r="A191" s="952" t="e">
        <f>#REF!</f>
        <v>#REF!</v>
      </c>
      <c r="B191" s="960" t="e">
        <f>VLOOKUP(A191,#REF!,2,FALSE)</f>
        <v>#REF!</v>
      </c>
      <c r="C191" s="961" t="e">
        <f>VLOOKUP(A191,#REF!,3,FALSE)</f>
        <v>#REF!</v>
      </c>
      <c r="D191" s="962">
        <f t="shared" si="8"/>
        <v>0</v>
      </c>
      <c r="E191" s="962">
        <f t="shared" si="9"/>
        <v>0</v>
      </c>
      <c r="F191" s="962">
        <f t="shared" si="10"/>
        <v>0</v>
      </c>
      <c r="G191" s="962"/>
      <c r="H191" s="962"/>
      <c r="I191" s="962"/>
      <c r="J191" s="962"/>
      <c r="K191" s="962" t="e">
        <f>VLOOKUP(A191,#REF!,4,FALSE)</f>
        <v>#REF!</v>
      </c>
      <c r="L191" s="963">
        <f t="shared" si="11"/>
        <v>0</v>
      </c>
      <c r="M191" s="964"/>
    </row>
    <row r="192" spans="1:13" ht="18" customHeight="1">
      <c r="A192" s="952" t="e">
        <f>#REF!</f>
        <v>#REF!</v>
      </c>
      <c r="B192" s="960" t="e">
        <f>VLOOKUP(A192,#REF!,2,FALSE)</f>
        <v>#REF!</v>
      </c>
      <c r="C192" s="961" t="e">
        <f>VLOOKUP(A192,#REF!,3,FALSE)</f>
        <v>#REF!</v>
      </c>
      <c r="D192" s="962">
        <f t="shared" si="8"/>
        <v>0</v>
      </c>
      <c r="E192" s="962">
        <f t="shared" si="9"/>
        <v>0</v>
      </c>
      <c r="F192" s="962">
        <f t="shared" si="10"/>
        <v>0</v>
      </c>
      <c r="G192" s="962"/>
      <c r="H192" s="962"/>
      <c r="I192" s="962"/>
      <c r="J192" s="962"/>
      <c r="K192" s="962" t="e">
        <f>VLOOKUP(A192,#REF!,4,FALSE)</f>
        <v>#REF!</v>
      </c>
      <c r="L192" s="963">
        <f t="shared" si="11"/>
        <v>0</v>
      </c>
      <c r="M192" s="964"/>
    </row>
    <row r="193" spans="1:13" ht="18" customHeight="1">
      <c r="A193" s="952" t="e">
        <f>#REF!</f>
        <v>#REF!</v>
      </c>
      <c r="B193" s="960" t="e">
        <f>VLOOKUP(A193,#REF!,2,FALSE)</f>
        <v>#REF!</v>
      </c>
      <c r="C193" s="961" t="e">
        <f>VLOOKUP(A193,#REF!,3,FALSE)</f>
        <v>#REF!</v>
      </c>
      <c r="D193" s="962">
        <f t="shared" si="8"/>
        <v>0</v>
      </c>
      <c r="E193" s="962">
        <f t="shared" si="9"/>
        <v>0</v>
      </c>
      <c r="F193" s="962">
        <f t="shared" si="10"/>
        <v>0</v>
      </c>
      <c r="G193" s="962"/>
      <c r="H193" s="962"/>
      <c r="I193" s="962"/>
      <c r="J193" s="962"/>
      <c r="K193" s="962" t="e">
        <f>VLOOKUP(A193,#REF!,4,FALSE)</f>
        <v>#REF!</v>
      </c>
      <c r="L193" s="963">
        <f t="shared" si="11"/>
        <v>0</v>
      </c>
      <c r="M193" s="964"/>
    </row>
    <row r="194" spans="1:13" ht="18" customHeight="1">
      <c r="A194" s="952" t="e">
        <f>#REF!</f>
        <v>#REF!</v>
      </c>
      <c r="B194" s="960" t="e">
        <f>VLOOKUP(A194,#REF!,2,FALSE)</f>
        <v>#REF!</v>
      </c>
      <c r="C194" s="961" t="e">
        <f>VLOOKUP(A194,#REF!,3,FALSE)</f>
        <v>#REF!</v>
      </c>
      <c r="D194" s="962">
        <f t="shared" si="8"/>
        <v>0</v>
      </c>
      <c r="E194" s="962">
        <f t="shared" si="9"/>
        <v>0</v>
      </c>
      <c r="F194" s="962">
        <f t="shared" si="10"/>
        <v>0</v>
      </c>
      <c r="G194" s="962"/>
      <c r="H194" s="962"/>
      <c r="I194" s="962"/>
      <c r="J194" s="962"/>
      <c r="K194" s="962" t="e">
        <f>VLOOKUP(A194,#REF!,4,FALSE)</f>
        <v>#REF!</v>
      </c>
      <c r="L194" s="963">
        <f t="shared" si="11"/>
        <v>0</v>
      </c>
      <c r="M194" s="964"/>
    </row>
    <row r="195" spans="1:13" ht="18" customHeight="1">
      <c r="A195" s="952" t="e">
        <f>#REF!</f>
        <v>#REF!</v>
      </c>
      <c r="B195" s="960" t="e">
        <f>VLOOKUP(A195,#REF!,2,FALSE)</f>
        <v>#REF!</v>
      </c>
      <c r="C195" s="961" t="e">
        <f>VLOOKUP(A195,#REF!,3,FALSE)</f>
        <v>#REF!</v>
      </c>
      <c r="D195" s="962">
        <f t="shared" si="8"/>
        <v>0</v>
      </c>
      <c r="E195" s="962">
        <f t="shared" si="9"/>
        <v>0</v>
      </c>
      <c r="F195" s="962">
        <f t="shared" si="10"/>
        <v>0</v>
      </c>
      <c r="G195" s="962"/>
      <c r="H195" s="962"/>
      <c r="I195" s="962"/>
      <c r="J195" s="962"/>
      <c r="K195" s="962" t="e">
        <f>VLOOKUP(A195,#REF!,4,FALSE)</f>
        <v>#REF!</v>
      </c>
      <c r="L195" s="963">
        <f t="shared" si="11"/>
        <v>0</v>
      </c>
      <c r="M195" s="964"/>
    </row>
    <row r="196" spans="1:13" ht="18" customHeight="1">
      <c r="A196" s="952" t="e">
        <f>#REF!</f>
        <v>#REF!</v>
      </c>
      <c r="B196" s="960" t="e">
        <f>VLOOKUP(A196,#REF!,2,FALSE)</f>
        <v>#REF!</v>
      </c>
      <c r="C196" s="961" t="e">
        <f>VLOOKUP(A196,#REF!,3,FALSE)</f>
        <v>#REF!</v>
      </c>
      <c r="D196" s="962">
        <f t="shared" si="8"/>
        <v>0</v>
      </c>
      <c r="E196" s="962">
        <f t="shared" si="9"/>
        <v>0</v>
      </c>
      <c r="F196" s="962">
        <f t="shared" si="10"/>
        <v>0</v>
      </c>
      <c r="G196" s="962"/>
      <c r="H196" s="962"/>
      <c r="I196" s="962"/>
      <c r="J196" s="962"/>
      <c r="K196" s="962" t="e">
        <f>VLOOKUP(A196,#REF!,4,FALSE)</f>
        <v>#REF!</v>
      </c>
      <c r="L196" s="963">
        <f t="shared" si="11"/>
        <v>0</v>
      </c>
      <c r="M196" s="964"/>
    </row>
    <row r="197" spans="1:13" ht="18" customHeight="1">
      <c r="A197" s="952" t="e">
        <f>#REF!</f>
        <v>#REF!</v>
      </c>
      <c r="B197" s="960" t="e">
        <f>VLOOKUP(A197,#REF!,2,FALSE)</f>
        <v>#REF!</v>
      </c>
      <c r="C197" s="961" t="e">
        <f>VLOOKUP(A197,#REF!,3,FALSE)</f>
        <v>#REF!</v>
      </c>
      <c r="D197" s="962">
        <f t="shared" ref="D197:D260" si="12">INT(IF(ISERROR(VLOOKUP($A197,산출집계1,6,FALSE)),0,VLOOKUP($A197,산출집계1,12,FALSE)))</f>
        <v>0</v>
      </c>
      <c r="E197" s="962">
        <f t="shared" ref="E197:E260" si="13">INT(IF(ISERROR(VLOOKUP($A197,산출집계2,6,FALSE)),0,VLOOKUP($A197,산출집계2,12,FALSE)))</f>
        <v>0</v>
      </c>
      <c r="F197" s="962">
        <f t="shared" ref="F197:F260" si="14">INT(IF(ISERROR(VLOOKUP($A197,산출집계3,6,FALSE)),0,VLOOKUP($A197,산출집계3,12,FALSE)))</f>
        <v>0</v>
      </c>
      <c r="G197" s="962"/>
      <c r="H197" s="962"/>
      <c r="I197" s="962"/>
      <c r="J197" s="962"/>
      <c r="K197" s="962" t="e">
        <f>VLOOKUP(A197,#REF!,4,FALSE)</f>
        <v>#REF!</v>
      </c>
      <c r="L197" s="963">
        <f t="shared" si="11"/>
        <v>0</v>
      </c>
      <c r="M197" s="964"/>
    </row>
    <row r="198" spans="1:13" ht="18" customHeight="1">
      <c r="A198" s="952" t="e">
        <f>#REF!</f>
        <v>#REF!</v>
      </c>
      <c r="B198" s="960" t="e">
        <f>VLOOKUP(A198,#REF!,2,FALSE)</f>
        <v>#REF!</v>
      </c>
      <c r="C198" s="961" t="e">
        <f>VLOOKUP(A198,#REF!,3,FALSE)</f>
        <v>#REF!</v>
      </c>
      <c r="D198" s="962">
        <f t="shared" si="12"/>
        <v>0</v>
      </c>
      <c r="E198" s="962">
        <f t="shared" si="13"/>
        <v>0</v>
      </c>
      <c r="F198" s="962">
        <f t="shared" si="14"/>
        <v>0</v>
      </c>
      <c r="G198" s="962"/>
      <c r="H198" s="962"/>
      <c r="I198" s="962"/>
      <c r="J198" s="962"/>
      <c r="K198" s="962" t="e">
        <f>VLOOKUP(A198,#REF!,4,FALSE)</f>
        <v>#REF!</v>
      </c>
      <c r="L198" s="963">
        <f t="shared" ref="L198:L261" si="15">INT(SUM(D198:J198))</f>
        <v>0</v>
      </c>
      <c r="M198" s="964"/>
    </row>
    <row r="199" spans="1:13" ht="18" customHeight="1">
      <c r="A199" s="952" t="e">
        <f>#REF!</f>
        <v>#REF!</v>
      </c>
      <c r="B199" s="960" t="e">
        <f>VLOOKUP(A199,#REF!,2,FALSE)</f>
        <v>#REF!</v>
      </c>
      <c r="C199" s="961" t="e">
        <f>VLOOKUP(A199,#REF!,3,FALSE)</f>
        <v>#REF!</v>
      </c>
      <c r="D199" s="962">
        <f t="shared" si="12"/>
        <v>0</v>
      </c>
      <c r="E199" s="962">
        <f t="shared" si="13"/>
        <v>0</v>
      </c>
      <c r="F199" s="962">
        <f t="shared" si="14"/>
        <v>0</v>
      </c>
      <c r="G199" s="962"/>
      <c r="H199" s="962"/>
      <c r="I199" s="962"/>
      <c r="J199" s="962"/>
      <c r="K199" s="962" t="e">
        <f>VLOOKUP(A199,#REF!,4,FALSE)</f>
        <v>#REF!</v>
      </c>
      <c r="L199" s="963">
        <f t="shared" si="15"/>
        <v>0</v>
      </c>
      <c r="M199" s="964"/>
    </row>
    <row r="200" spans="1:13" ht="18" customHeight="1">
      <c r="A200" s="952" t="e">
        <f>#REF!</f>
        <v>#REF!</v>
      </c>
      <c r="B200" s="960" t="e">
        <f>VLOOKUP(A200,#REF!,2,FALSE)</f>
        <v>#REF!</v>
      </c>
      <c r="C200" s="961" t="e">
        <f>VLOOKUP(A200,#REF!,3,FALSE)</f>
        <v>#REF!</v>
      </c>
      <c r="D200" s="962">
        <f t="shared" si="12"/>
        <v>0</v>
      </c>
      <c r="E200" s="962">
        <f t="shared" si="13"/>
        <v>0</v>
      </c>
      <c r="F200" s="962">
        <f t="shared" si="14"/>
        <v>0</v>
      </c>
      <c r="G200" s="962"/>
      <c r="H200" s="962"/>
      <c r="I200" s="962"/>
      <c r="J200" s="962"/>
      <c r="K200" s="962" t="e">
        <f>VLOOKUP(A200,#REF!,4,FALSE)</f>
        <v>#REF!</v>
      </c>
      <c r="L200" s="963">
        <f t="shared" si="15"/>
        <v>0</v>
      </c>
      <c r="M200" s="964"/>
    </row>
    <row r="201" spans="1:13" ht="18" customHeight="1">
      <c r="A201" s="952" t="e">
        <f>#REF!</f>
        <v>#REF!</v>
      </c>
      <c r="B201" s="960" t="e">
        <f>VLOOKUP(A201,#REF!,2,FALSE)</f>
        <v>#REF!</v>
      </c>
      <c r="C201" s="961" t="e">
        <f>VLOOKUP(A201,#REF!,3,FALSE)</f>
        <v>#REF!</v>
      </c>
      <c r="D201" s="962">
        <f t="shared" si="12"/>
        <v>0</v>
      </c>
      <c r="E201" s="962">
        <f t="shared" si="13"/>
        <v>0</v>
      </c>
      <c r="F201" s="962">
        <f t="shared" si="14"/>
        <v>0</v>
      </c>
      <c r="G201" s="962"/>
      <c r="H201" s="962"/>
      <c r="I201" s="962"/>
      <c r="J201" s="962"/>
      <c r="K201" s="962" t="e">
        <f>VLOOKUP(A201,#REF!,4,FALSE)</f>
        <v>#REF!</v>
      </c>
      <c r="L201" s="963">
        <f t="shared" si="15"/>
        <v>0</v>
      </c>
      <c r="M201" s="964"/>
    </row>
    <row r="202" spans="1:13" ht="18" customHeight="1">
      <c r="A202" s="952" t="e">
        <f>#REF!</f>
        <v>#REF!</v>
      </c>
      <c r="B202" s="960" t="e">
        <f>VLOOKUP(A202,#REF!,2,FALSE)</f>
        <v>#REF!</v>
      </c>
      <c r="C202" s="961" t="e">
        <f>VLOOKUP(A202,#REF!,3,FALSE)</f>
        <v>#REF!</v>
      </c>
      <c r="D202" s="962">
        <f t="shared" si="12"/>
        <v>0</v>
      </c>
      <c r="E202" s="962">
        <f t="shared" si="13"/>
        <v>0</v>
      </c>
      <c r="F202" s="962">
        <f t="shared" si="14"/>
        <v>0</v>
      </c>
      <c r="G202" s="962"/>
      <c r="H202" s="962"/>
      <c r="I202" s="962"/>
      <c r="J202" s="962"/>
      <c r="K202" s="962" t="e">
        <f>VLOOKUP(A202,#REF!,4,FALSE)</f>
        <v>#REF!</v>
      </c>
      <c r="L202" s="963">
        <f t="shared" si="15"/>
        <v>0</v>
      </c>
      <c r="M202" s="964"/>
    </row>
    <row r="203" spans="1:13" ht="18" customHeight="1">
      <c r="A203" s="952" t="e">
        <f>#REF!</f>
        <v>#REF!</v>
      </c>
      <c r="B203" s="960" t="e">
        <f>VLOOKUP(A203,#REF!,2,FALSE)</f>
        <v>#REF!</v>
      </c>
      <c r="C203" s="961" t="e">
        <f>VLOOKUP(A203,#REF!,3,FALSE)</f>
        <v>#REF!</v>
      </c>
      <c r="D203" s="962">
        <f t="shared" si="12"/>
        <v>0</v>
      </c>
      <c r="E203" s="962">
        <f t="shared" si="13"/>
        <v>0</v>
      </c>
      <c r="F203" s="962">
        <f t="shared" si="14"/>
        <v>0</v>
      </c>
      <c r="G203" s="962"/>
      <c r="H203" s="962"/>
      <c r="I203" s="962"/>
      <c r="J203" s="962"/>
      <c r="K203" s="962" t="e">
        <f>VLOOKUP(A203,#REF!,4,FALSE)</f>
        <v>#REF!</v>
      </c>
      <c r="L203" s="963">
        <f t="shared" si="15"/>
        <v>0</v>
      </c>
      <c r="M203" s="964"/>
    </row>
    <row r="204" spans="1:13" ht="18" customHeight="1">
      <c r="A204" s="952" t="e">
        <f>#REF!</f>
        <v>#REF!</v>
      </c>
      <c r="B204" s="960" t="e">
        <f>VLOOKUP(A204,#REF!,2,FALSE)</f>
        <v>#REF!</v>
      </c>
      <c r="C204" s="961" t="e">
        <f>VLOOKUP(A204,#REF!,3,FALSE)</f>
        <v>#REF!</v>
      </c>
      <c r="D204" s="962">
        <f t="shared" si="12"/>
        <v>0</v>
      </c>
      <c r="E204" s="962">
        <f t="shared" si="13"/>
        <v>0</v>
      </c>
      <c r="F204" s="962">
        <f t="shared" si="14"/>
        <v>0</v>
      </c>
      <c r="G204" s="962"/>
      <c r="H204" s="962"/>
      <c r="I204" s="962"/>
      <c r="J204" s="962"/>
      <c r="K204" s="962" t="e">
        <f>VLOOKUP(A204,#REF!,4,FALSE)</f>
        <v>#REF!</v>
      </c>
      <c r="L204" s="963">
        <f t="shared" si="15"/>
        <v>0</v>
      </c>
      <c r="M204" s="964"/>
    </row>
    <row r="205" spans="1:13" ht="18" customHeight="1">
      <c r="A205" s="952" t="e">
        <f>#REF!</f>
        <v>#REF!</v>
      </c>
      <c r="B205" s="960" t="e">
        <f>VLOOKUP(A205,#REF!,2,FALSE)</f>
        <v>#REF!</v>
      </c>
      <c r="C205" s="961" t="e">
        <f>VLOOKUP(A205,#REF!,3,FALSE)</f>
        <v>#REF!</v>
      </c>
      <c r="D205" s="962">
        <f t="shared" si="12"/>
        <v>0</v>
      </c>
      <c r="E205" s="962">
        <f t="shared" si="13"/>
        <v>0</v>
      </c>
      <c r="F205" s="962">
        <f t="shared" si="14"/>
        <v>0</v>
      </c>
      <c r="G205" s="962"/>
      <c r="H205" s="962"/>
      <c r="I205" s="962"/>
      <c r="J205" s="962"/>
      <c r="K205" s="962" t="e">
        <f>VLOOKUP(A205,#REF!,4,FALSE)</f>
        <v>#REF!</v>
      </c>
      <c r="L205" s="963">
        <f t="shared" si="15"/>
        <v>0</v>
      </c>
      <c r="M205" s="964"/>
    </row>
    <row r="206" spans="1:13" ht="18" customHeight="1">
      <c r="A206" s="952" t="e">
        <f>#REF!</f>
        <v>#REF!</v>
      </c>
      <c r="B206" s="960" t="e">
        <f>VLOOKUP(A206,#REF!,2,FALSE)</f>
        <v>#REF!</v>
      </c>
      <c r="C206" s="961" t="e">
        <f>VLOOKUP(A206,#REF!,3,FALSE)</f>
        <v>#REF!</v>
      </c>
      <c r="D206" s="962">
        <f t="shared" si="12"/>
        <v>0</v>
      </c>
      <c r="E206" s="962">
        <f t="shared" si="13"/>
        <v>0</v>
      </c>
      <c r="F206" s="962">
        <f t="shared" si="14"/>
        <v>0</v>
      </c>
      <c r="G206" s="962"/>
      <c r="H206" s="962"/>
      <c r="I206" s="962"/>
      <c r="J206" s="962"/>
      <c r="K206" s="962" t="e">
        <f>VLOOKUP(A206,#REF!,4,FALSE)</f>
        <v>#REF!</v>
      </c>
      <c r="L206" s="963">
        <f t="shared" si="15"/>
        <v>0</v>
      </c>
      <c r="M206" s="964"/>
    </row>
    <row r="207" spans="1:13" ht="18" customHeight="1">
      <c r="A207" s="952" t="e">
        <f>#REF!</f>
        <v>#REF!</v>
      </c>
      <c r="B207" s="960" t="e">
        <f>VLOOKUP(A207,#REF!,2,FALSE)</f>
        <v>#REF!</v>
      </c>
      <c r="C207" s="961" t="e">
        <f>VLOOKUP(A207,#REF!,3,FALSE)</f>
        <v>#REF!</v>
      </c>
      <c r="D207" s="962">
        <f t="shared" si="12"/>
        <v>0</v>
      </c>
      <c r="E207" s="962">
        <f t="shared" si="13"/>
        <v>0</v>
      </c>
      <c r="F207" s="962">
        <f t="shared" si="14"/>
        <v>0</v>
      </c>
      <c r="G207" s="962"/>
      <c r="H207" s="962"/>
      <c r="I207" s="962"/>
      <c r="J207" s="962"/>
      <c r="K207" s="962" t="e">
        <f>VLOOKUP(A207,#REF!,4,FALSE)</f>
        <v>#REF!</v>
      </c>
      <c r="L207" s="963">
        <f t="shared" si="15"/>
        <v>0</v>
      </c>
      <c r="M207" s="964"/>
    </row>
    <row r="208" spans="1:13" ht="18" customHeight="1">
      <c r="A208" s="952" t="e">
        <f>#REF!</f>
        <v>#REF!</v>
      </c>
      <c r="B208" s="960" t="e">
        <f>VLOOKUP(A208,#REF!,2,FALSE)</f>
        <v>#REF!</v>
      </c>
      <c r="C208" s="961" t="e">
        <f>VLOOKUP(A208,#REF!,3,FALSE)</f>
        <v>#REF!</v>
      </c>
      <c r="D208" s="962">
        <f t="shared" si="12"/>
        <v>0</v>
      </c>
      <c r="E208" s="962">
        <f t="shared" si="13"/>
        <v>0</v>
      </c>
      <c r="F208" s="962">
        <f t="shared" si="14"/>
        <v>0</v>
      </c>
      <c r="G208" s="962"/>
      <c r="H208" s="962"/>
      <c r="I208" s="962"/>
      <c r="J208" s="962"/>
      <c r="K208" s="962" t="e">
        <f>VLOOKUP(A208,#REF!,4,FALSE)</f>
        <v>#REF!</v>
      </c>
      <c r="L208" s="963">
        <f t="shared" si="15"/>
        <v>0</v>
      </c>
      <c r="M208" s="964"/>
    </row>
    <row r="209" spans="1:13" ht="18" customHeight="1">
      <c r="A209" s="952" t="e">
        <f>#REF!</f>
        <v>#REF!</v>
      </c>
      <c r="B209" s="960" t="e">
        <f>VLOOKUP(A209,#REF!,2,FALSE)</f>
        <v>#REF!</v>
      </c>
      <c r="C209" s="961" t="e">
        <f>VLOOKUP(A209,#REF!,3,FALSE)</f>
        <v>#REF!</v>
      </c>
      <c r="D209" s="962">
        <f t="shared" si="12"/>
        <v>0</v>
      </c>
      <c r="E209" s="962">
        <f t="shared" si="13"/>
        <v>0</v>
      </c>
      <c r="F209" s="962">
        <f t="shared" si="14"/>
        <v>0</v>
      </c>
      <c r="G209" s="962"/>
      <c r="H209" s="962"/>
      <c r="I209" s="962"/>
      <c r="J209" s="962"/>
      <c r="K209" s="962" t="e">
        <f>VLOOKUP(A209,#REF!,4,FALSE)</f>
        <v>#REF!</v>
      </c>
      <c r="L209" s="963">
        <f t="shared" si="15"/>
        <v>0</v>
      </c>
      <c r="M209" s="964"/>
    </row>
    <row r="210" spans="1:13" ht="18" customHeight="1">
      <c r="A210" s="952" t="e">
        <f>#REF!</f>
        <v>#REF!</v>
      </c>
      <c r="B210" s="960" t="e">
        <f>VLOOKUP(A210,#REF!,2,FALSE)</f>
        <v>#REF!</v>
      </c>
      <c r="C210" s="961" t="e">
        <f>VLOOKUP(A210,#REF!,3,FALSE)</f>
        <v>#REF!</v>
      </c>
      <c r="D210" s="962">
        <f t="shared" si="12"/>
        <v>0</v>
      </c>
      <c r="E210" s="962">
        <f t="shared" si="13"/>
        <v>0</v>
      </c>
      <c r="F210" s="962">
        <f t="shared" si="14"/>
        <v>0</v>
      </c>
      <c r="G210" s="962"/>
      <c r="H210" s="962"/>
      <c r="I210" s="962"/>
      <c r="J210" s="962"/>
      <c r="K210" s="962" t="e">
        <f>VLOOKUP(A210,#REF!,4,FALSE)</f>
        <v>#REF!</v>
      </c>
      <c r="L210" s="963">
        <f t="shared" si="15"/>
        <v>0</v>
      </c>
      <c r="M210" s="964"/>
    </row>
    <row r="211" spans="1:13" ht="18" customHeight="1">
      <c r="A211" s="952" t="e">
        <f>#REF!</f>
        <v>#REF!</v>
      </c>
      <c r="B211" s="960" t="e">
        <f>VLOOKUP(A211,#REF!,2,FALSE)</f>
        <v>#REF!</v>
      </c>
      <c r="C211" s="961" t="e">
        <f>VLOOKUP(A211,#REF!,3,FALSE)</f>
        <v>#REF!</v>
      </c>
      <c r="D211" s="962">
        <f t="shared" si="12"/>
        <v>0</v>
      </c>
      <c r="E211" s="962">
        <f t="shared" si="13"/>
        <v>0</v>
      </c>
      <c r="F211" s="962">
        <f t="shared" si="14"/>
        <v>0</v>
      </c>
      <c r="G211" s="962"/>
      <c r="H211" s="962"/>
      <c r="I211" s="962"/>
      <c r="J211" s="962"/>
      <c r="K211" s="962" t="e">
        <f>VLOOKUP(A211,#REF!,4,FALSE)</f>
        <v>#REF!</v>
      </c>
      <c r="L211" s="963">
        <f t="shared" si="15"/>
        <v>0</v>
      </c>
      <c r="M211" s="964"/>
    </row>
    <row r="212" spans="1:13" ht="18" customHeight="1">
      <c r="A212" s="952" t="e">
        <f>#REF!</f>
        <v>#REF!</v>
      </c>
      <c r="B212" s="960" t="e">
        <f>VLOOKUP(A212,#REF!,2,FALSE)</f>
        <v>#REF!</v>
      </c>
      <c r="C212" s="961" t="e">
        <f>VLOOKUP(A212,#REF!,3,FALSE)</f>
        <v>#REF!</v>
      </c>
      <c r="D212" s="962">
        <f t="shared" si="12"/>
        <v>0</v>
      </c>
      <c r="E212" s="962">
        <f t="shared" si="13"/>
        <v>0</v>
      </c>
      <c r="F212" s="962">
        <f t="shared" si="14"/>
        <v>0</v>
      </c>
      <c r="G212" s="962"/>
      <c r="H212" s="962"/>
      <c r="I212" s="962"/>
      <c r="J212" s="962"/>
      <c r="K212" s="962" t="e">
        <f>VLOOKUP(A212,#REF!,4,FALSE)</f>
        <v>#REF!</v>
      </c>
      <c r="L212" s="963">
        <f t="shared" si="15"/>
        <v>0</v>
      </c>
      <c r="M212" s="964"/>
    </row>
    <row r="213" spans="1:13" ht="18" customHeight="1">
      <c r="A213" s="952" t="e">
        <f>#REF!</f>
        <v>#REF!</v>
      </c>
      <c r="B213" s="960" t="e">
        <f>VLOOKUP(A213,#REF!,2,FALSE)</f>
        <v>#REF!</v>
      </c>
      <c r="C213" s="961" t="e">
        <f>VLOOKUP(A213,#REF!,3,FALSE)</f>
        <v>#REF!</v>
      </c>
      <c r="D213" s="962">
        <f t="shared" si="12"/>
        <v>0</v>
      </c>
      <c r="E213" s="962">
        <f t="shared" si="13"/>
        <v>0</v>
      </c>
      <c r="F213" s="962">
        <f t="shared" si="14"/>
        <v>0</v>
      </c>
      <c r="G213" s="962"/>
      <c r="H213" s="962"/>
      <c r="I213" s="962"/>
      <c r="J213" s="962"/>
      <c r="K213" s="962" t="e">
        <f>VLOOKUP(A213,#REF!,4,FALSE)</f>
        <v>#REF!</v>
      </c>
      <c r="L213" s="963">
        <f t="shared" si="15"/>
        <v>0</v>
      </c>
      <c r="M213" s="964"/>
    </row>
    <row r="214" spans="1:13" ht="18" customHeight="1">
      <c r="A214" s="952" t="e">
        <f>#REF!</f>
        <v>#REF!</v>
      </c>
      <c r="B214" s="960" t="e">
        <f>VLOOKUP(A214,#REF!,2,FALSE)</f>
        <v>#REF!</v>
      </c>
      <c r="C214" s="961" t="e">
        <f>VLOOKUP(A214,#REF!,3,FALSE)</f>
        <v>#REF!</v>
      </c>
      <c r="D214" s="962">
        <f t="shared" si="12"/>
        <v>0</v>
      </c>
      <c r="E214" s="962">
        <f t="shared" si="13"/>
        <v>0</v>
      </c>
      <c r="F214" s="962">
        <f t="shared" si="14"/>
        <v>0</v>
      </c>
      <c r="G214" s="962"/>
      <c r="H214" s="962"/>
      <c r="I214" s="962"/>
      <c r="J214" s="962"/>
      <c r="K214" s="962" t="e">
        <f>VLOOKUP(A214,#REF!,4,FALSE)</f>
        <v>#REF!</v>
      </c>
      <c r="L214" s="963">
        <f t="shared" si="15"/>
        <v>0</v>
      </c>
      <c r="M214" s="964"/>
    </row>
    <row r="215" spans="1:13" ht="18" customHeight="1">
      <c r="A215" s="952" t="e">
        <f>#REF!</f>
        <v>#REF!</v>
      </c>
      <c r="B215" s="960" t="e">
        <f>VLOOKUP(A215,#REF!,2,FALSE)</f>
        <v>#REF!</v>
      </c>
      <c r="C215" s="961" t="e">
        <f>VLOOKUP(A215,#REF!,3,FALSE)</f>
        <v>#REF!</v>
      </c>
      <c r="D215" s="962">
        <f t="shared" si="12"/>
        <v>0</v>
      </c>
      <c r="E215" s="962">
        <f t="shared" si="13"/>
        <v>0</v>
      </c>
      <c r="F215" s="962">
        <f t="shared" si="14"/>
        <v>0</v>
      </c>
      <c r="G215" s="962"/>
      <c r="H215" s="962"/>
      <c r="I215" s="962"/>
      <c r="J215" s="962"/>
      <c r="K215" s="962" t="e">
        <f>VLOOKUP(A215,#REF!,4,FALSE)</f>
        <v>#REF!</v>
      </c>
      <c r="L215" s="963">
        <f t="shared" si="15"/>
        <v>0</v>
      </c>
      <c r="M215" s="964"/>
    </row>
    <row r="216" spans="1:13" ht="18" customHeight="1">
      <c r="A216" s="952" t="e">
        <f>#REF!</f>
        <v>#REF!</v>
      </c>
      <c r="B216" s="960" t="e">
        <f>VLOOKUP(A216,#REF!,2,FALSE)</f>
        <v>#REF!</v>
      </c>
      <c r="C216" s="961" t="e">
        <f>VLOOKUP(A216,#REF!,3,FALSE)</f>
        <v>#REF!</v>
      </c>
      <c r="D216" s="962">
        <f t="shared" si="12"/>
        <v>0</v>
      </c>
      <c r="E216" s="962">
        <f t="shared" si="13"/>
        <v>0</v>
      </c>
      <c r="F216" s="962">
        <f t="shared" si="14"/>
        <v>0</v>
      </c>
      <c r="G216" s="962"/>
      <c r="H216" s="962"/>
      <c r="I216" s="962"/>
      <c r="J216" s="962"/>
      <c r="K216" s="962" t="e">
        <f>VLOOKUP(A216,#REF!,4,FALSE)</f>
        <v>#REF!</v>
      </c>
      <c r="L216" s="963">
        <f t="shared" si="15"/>
        <v>0</v>
      </c>
      <c r="M216" s="964"/>
    </row>
    <row r="217" spans="1:13" ht="18" customHeight="1">
      <c r="A217" s="952" t="e">
        <f>#REF!</f>
        <v>#REF!</v>
      </c>
      <c r="B217" s="960" t="e">
        <f>VLOOKUP(A217,#REF!,2,FALSE)</f>
        <v>#REF!</v>
      </c>
      <c r="C217" s="961" t="e">
        <f>VLOOKUP(A217,#REF!,3,FALSE)</f>
        <v>#REF!</v>
      </c>
      <c r="D217" s="962">
        <f t="shared" si="12"/>
        <v>0</v>
      </c>
      <c r="E217" s="962">
        <f t="shared" si="13"/>
        <v>0</v>
      </c>
      <c r="F217" s="962">
        <f t="shared" si="14"/>
        <v>0</v>
      </c>
      <c r="G217" s="962"/>
      <c r="H217" s="962"/>
      <c r="I217" s="962"/>
      <c r="J217" s="962"/>
      <c r="K217" s="962" t="e">
        <f>VLOOKUP(A217,#REF!,4,FALSE)</f>
        <v>#REF!</v>
      </c>
      <c r="L217" s="963">
        <f t="shared" si="15"/>
        <v>0</v>
      </c>
      <c r="M217" s="964"/>
    </row>
    <row r="218" spans="1:13" ht="18" customHeight="1">
      <c r="A218" s="952" t="e">
        <f>#REF!</f>
        <v>#REF!</v>
      </c>
      <c r="B218" s="960" t="e">
        <f>VLOOKUP(A218,#REF!,2,FALSE)</f>
        <v>#REF!</v>
      </c>
      <c r="C218" s="961" t="e">
        <f>VLOOKUP(A218,#REF!,3,FALSE)</f>
        <v>#REF!</v>
      </c>
      <c r="D218" s="962">
        <f t="shared" si="12"/>
        <v>0</v>
      </c>
      <c r="E218" s="962">
        <f t="shared" si="13"/>
        <v>0</v>
      </c>
      <c r="F218" s="962">
        <f t="shared" si="14"/>
        <v>0</v>
      </c>
      <c r="G218" s="962"/>
      <c r="H218" s="962"/>
      <c r="I218" s="962"/>
      <c r="J218" s="962"/>
      <c r="K218" s="962" t="e">
        <f>VLOOKUP(A218,#REF!,4,FALSE)</f>
        <v>#REF!</v>
      </c>
      <c r="L218" s="963">
        <f t="shared" si="15"/>
        <v>0</v>
      </c>
      <c r="M218" s="964"/>
    </row>
    <row r="219" spans="1:13" ht="18" customHeight="1">
      <c r="A219" s="952" t="e">
        <f>#REF!</f>
        <v>#REF!</v>
      </c>
      <c r="B219" s="960" t="e">
        <f>VLOOKUP(A219,#REF!,2,FALSE)</f>
        <v>#REF!</v>
      </c>
      <c r="C219" s="961" t="e">
        <f>VLOOKUP(A219,#REF!,3,FALSE)</f>
        <v>#REF!</v>
      </c>
      <c r="D219" s="962">
        <f t="shared" si="12"/>
        <v>0</v>
      </c>
      <c r="E219" s="962">
        <f t="shared" si="13"/>
        <v>0</v>
      </c>
      <c r="F219" s="962">
        <f t="shared" si="14"/>
        <v>0</v>
      </c>
      <c r="G219" s="962"/>
      <c r="H219" s="962"/>
      <c r="I219" s="962"/>
      <c r="J219" s="962"/>
      <c r="K219" s="962" t="e">
        <f>VLOOKUP(A219,#REF!,4,FALSE)</f>
        <v>#REF!</v>
      </c>
      <c r="L219" s="963">
        <f t="shared" si="15"/>
        <v>0</v>
      </c>
      <c r="M219" s="964"/>
    </row>
    <row r="220" spans="1:13" ht="18" customHeight="1">
      <c r="A220" s="952" t="e">
        <f>#REF!</f>
        <v>#REF!</v>
      </c>
      <c r="B220" s="960" t="e">
        <f>VLOOKUP(A220,#REF!,2,FALSE)</f>
        <v>#REF!</v>
      </c>
      <c r="C220" s="961" t="e">
        <f>VLOOKUP(A220,#REF!,3,FALSE)</f>
        <v>#REF!</v>
      </c>
      <c r="D220" s="962">
        <f t="shared" si="12"/>
        <v>0</v>
      </c>
      <c r="E220" s="962">
        <f t="shared" si="13"/>
        <v>0</v>
      </c>
      <c r="F220" s="962">
        <f t="shared" si="14"/>
        <v>0</v>
      </c>
      <c r="G220" s="962"/>
      <c r="H220" s="962"/>
      <c r="I220" s="962"/>
      <c r="J220" s="962"/>
      <c r="K220" s="962" t="e">
        <f>VLOOKUP(A220,#REF!,4,FALSE)</f>
        <v>#REF!</v>
      </c>
      <c r="L220" s="963">
        <f t="shared" si="15"/>
        <v>0</v>
      </c>
      <c r="M220" s="964"/>
    </row>
    <row r="221" spans="1:13" ht="18" customHeight="1">
      <c r="A221" s="952" t="e">
        <f>#REF!</f>
        <v>#REF!</v>
      </c>
      <c r="B221" s="960" t="e">
        <f>VLOOKUP(A221,#REF!,2,FALSE)</f>
        <v>#REF!</v>
      </c>
      <c r="C221" s="961" t="e">
        <f>VLOOKUP(A221,#REF!,3,FALSE)</f>
        <v>#REF!</v>
      </c>
      <c r="D221" s="962">
        <f t="shared" si="12"/>
        <v>0</v>
      </c>
      <c r="E221" s="962">
        <f t="shared" si="13"/>
        <v>0</v>
      </c>
      <c r="F221" s="962">
        <f t="shared" si="14"/>
        <v>0</v>
      </c>
      <c r="G221" s="962"/>
      <c r="H221" s="962"/>
      <c r="I221" s="962"/>
      <c r="J221" s="962"/>
      <c r="K221" s="962" t="e">
        <f>VLOOKUP(A221,#REF!,4,FALSE)</f>
        <v>#REF!</v>
      </c>
      <c r="L221" s="963">
        <f t="shared" si="15"/>
        <v>0</v>
      </c>
      <c r="M221" s="964"/>
    </row>
    <row r="222" spans="1:13" ht="18" customHeight="1">
      <c r="A222" s="952" t="e">
        <f>#REF!</f>
        <v>#REF!</v>
      </c>
      <c r="B222" s="960" t="e">
        <f>VLOOKUP(A222,#REF!,2,FALSE)</f>
        <v>#REF!</v>
      </c>
      <c r="C222" s="961" t="e">
        <f>VLOOKUP(A222,#REF!,3,FALSE)</f>
        <v>#REF!</v>
      </c>
      <c r="D222" s="962">
        <f t="shared" si="12"/>
        <v>0</v>
      </c>
      <c r="E222" s="962">
        <f t="shared" si="13"/>
        <v>0</v>
      </c>
      <c r="F222" s="962">
        <f t="shared" si="14"/>
        <v>0</v>
      </c>
      <c r="G222" s="962"/>
      <c r="H222" s="962"/>
      <c r="I222" s="962"/>
      <c r="J222" s="962"/>
      <c r="K222" s="962" t="e">
        <f>VLOOKUP(A222,#REF!,4,FALSE)</f>
        <v>#REF!</v>
      </c>
      <c r="L222" s="963">
        <f t="shared" si="15"/>
        <v>0</v>
      </c>
      <c r="M222" s="964"/>
    </row>
    <row r="223" spans="1:13" ht="18" customHeight="1">
      <c r="A223" s="952" t="e">
        <f>#REF!</f>
        <v>#REF!</v>
      </c>
      <c r="B223" s="960" t="e">
        <f>VLOOKUP(A223,#REF!,2,FALSE)</f>
        <v>#REF!</v>
      </c>
      <c r="C223" s="961" t="e">
        <f>VLOOKUP(A223,#REF!,3,FALSE)</f>
        <v>#REF!</v>
      </c>
      <c r="D223" s="962">
        <f t="shared" si="12"/>
        <v>0</v>
      </c>
      <c r="E223" s="962">
        <f t="shared" si="13"/>
        <v>0</v>
      </c>
      <c r="F223" s="962">
        <f t="shared" si="14"/>
        <v>0</v>
      </c>
      <c r="G223" s="962"/>
      <c r="H223" s="962"/>
      <c r="I223" s="962"/>
      <c r="J223" s="962"/>
      <c r="K223" s="962" t="e">
        <f>VLOOKUP(A223,#REF!,4,FALSE)</f>
        <v>#REF!</v>
      </c>
      <c r="L223" s="963">
        <f t="shared" si="15"/>
        <v>0</v>
      </c>
      <c r="M223" s="964"/>
    </row>
    <row r="224" spans="1:13" ht="18" customHeight="1">
      <c r="A224" s="952" t="e">
        <f>#REF!</f>
        <v>#REF!</v>
      </c>
      <c r="B224" s="960" t="e">
        <f>VLOOKUP(A224,#REF!,2,FALSE)</f>
        <v>#REF!</v>
      </c>
      <c r="C224" s="961" t="e">
        <f>VLOOKUP(A224,#REF!,3,FALSE)</f>
        <v>#REF!</v>
      </c>
      <c r="D224" s="962">
        <f t="shared" si="12"/>
        <v>0</v>
      </c>
      <c r="E224" s="962">
        <f t="shared" si="13"/>
        <v>0</v>
      </c>
      <c r="F224" s="962">
        <f t="shared" si="14"/>
        <v>0</v>
      </c>
      <c r="G224" s="962"/>
      <c r="H224" s="962"/>
      <c r="I224" s="962"/>
      <c r="J224" s="962"/>
      <c r="K224" s="962" t="e">
        <f>VLOOKUP(A224,#REF!,4,FALSE)</f>
        <v>#REF!</v>
      </c>
      <c r="L224" s="963">
        <f t="shared" si="15"/>
        <v>0</v>
      </c>
      <c r="M224" s="964"/>
    </row>
    <row r="225" spans="1:13" ht="18" customHeight="1">
      <c r="A225" s="952" t="e">
        <f>#REF!</f>
        <v>#REF!</v>
      </c>
      <c r="B225" s="960" t="e">
        <f>VLOOKUP(A225,#REF!,2,FALSE)</f>
        <v>#REF!</v>
      </c>
      <c r="C225" s="961" t="e">
        <f>VLOOKUP(A225,#REF!,3,FALSE)</f>
        <v>#REF!</v>
      </c>
      <c r="D225" s="962">
        <f t="shared" si="12"/>
        <v>0</v>
      </c>
      <c r="E225" s="962">
        <f t="shared" si="13"/>
        <v>0</v>
      </c>
      <c r="F225" s="962">
        <f t="shared" si="14"/>
        <v>0</v>
      </c>
      <c r="G225" s="962"/>
      <c r="H225" s="962"/>
      <c r="I225" s="962"/>
      <c r="J225" s="962"/>
      <c r="K225" s="962" t="e">
        <f>VLOOKUP(A225,#REF!,4,FALSE)</f>
        <v>#REF!</v>
      </c>
      <c r="L225" s="963">
        <f t="shared" si="15"/>
        <v>0</v>
      </c>
      <c r="M225" s="964"/>
    </row>
    <row r="226" spans="1:13" ht="18" customHeight="1">
      <c r="A226" s="952" t="e">
        <f>#REF!</f>
        <v>#REF!</v>
      </c>
      <c r="B226" s="960" t="e">
        <f>VLOOKUP(A226,#REF!,2,FALSE)</f>
        <v>#REF!</v>
      </c>
      <c r="C226" s="961" t="e">
        <f>VLOOKUP(A226,#REF!,3,FALSE)</f>
        <v>#REF!</v>
      </c>
      <c r="D226" s="962">
        <f t="shared" si="12"/>
        <v>0</v>
      </c>
      <c r="E226" s="962">
        <f t="shared" si="13"/>
        <v>0</v>
      </c>
      <c r="F226" s="962">
        <f t="shared" si="14"/>
        <v>0</v>
      </c>
      <c r="G226" s="962"/>
      <c r="H226" s="962"/>
      <c r="I226" s="962"/>
      <c r="J226" s="962"/>
      <c r="K226" s="962" t="e">
        <f>VLOOKUP(A226,#REF!,4,FALSE)</f>
        <v>#REF!</v>
      </c>
      <c r="L226" s="963">
        <f t="shared" si="15"/>
        <v>0</v>
      </c>
      <c r="M226" s="964"/>
    </row>
    <row r="227" spans="1:13" ht="18" customHeight="1">
      <c r="A227" s="952" t="e">
        <f>#REF!</f>
        <v>#REF!</v>
      </c>
      <c r="B227" s="960" t="e">
        <f>VLOOKUP(A227,#REF!,2,FALSE)</f>
        <v>#REF!</v>
      </c>
      <c r="C227" s="961" t="e">
        <f>VLOOKUP(A227,#REF!,3,FALSE)</f>
        <v>#REF!</v>
      </c>
      <c r="D227" s="962">
        <f t="shared" si="12"/>
        <v>0</v>
      </c>
      <c r="E227" s="962">
        <f t="shared" si="13"/>
        <v>0</v>
      </c>
      <c r="F227" s="962">
        <f t="shared" si="14"/>
        <v>0</v>
      </c>
      <c r="G227" s="962"/>
      <c r="H227" s="962"/>
      <c r="I227" s="962"/>
      <c r="J227" s="962"/>
      <c r="K227" s="962" t="e">
        <f>VLOOKUP(A227,#REF!,4,FALSE)</f>
        <v>#REF!</v>
      </c>
      <c r="L227" s="963">
        <f t="shared" si="15"/>
        <v>0</v>
      </c>
      <c r="M227" s="964"/>
    </row>
    <row r="228" spans="1:13" ht="18" customHeight="1">
      <c r="A228" s="952" t="e">
        <f>#REF!</f>
        <v>#REF!</v>
      </c>
      <c r="B228" s="960" t="e">
        <f>VLOOKUP(A228,#REF!,2,FALSE)</f>
        <v>#REF!</v>
      </c>
      <c r="C228" s="961" t="e">
        <f>VLOOKUP(A228,#REF!,3,FALSE)</f>
        <v>#REF!</v>
      </c>
      <c r="D228" s="962">
        <f t="shared" si="12"/>
        <v>0</v>
      </c>
      <c r="E228" s="962">
        <f t="shared" si="13"/>
        <v>0</v>
      </c>
      <c r="F228" s="962">
        <f t="shared" si="14"/>
        <v>0</v>
      </c>
      <c r="G228" s="962"/>
      <c r="H228" s="962"/>
      <c r="I228" s="962"/>
      <c r="J228" s="962"/>
      <c r="K228" s="962" t="e">
        <f>VLOOKUP(A228,#REF!,4,FALSE)</f>
        <v>#REF!</v>
      </c>
      <c r="L228" s="963">
        <f t="shared" si="15"/>
        <v>0</v>
      </c>
      <c r="M228" s="964"/>
    </row>
    <row r="229" spans="1:13" ht="18" customHeight="1">
      <c r="A229" s="952" t="e">
        <f>#REF!</f>
        <v>#REF!</v>
      </c>
      <c r="B229" s="960" t="e">
        <f>VLOOKUP(A229,#REF!,2,FALSE)</f>
        <v>#REF!</v>
      </c>
      <c r="C229" s="961" t="e">
        <f>VLOOKUP(A229,#REF!,3,FALSE)</f>
        <v>#REF!</v>
      </c>
      <c r="D229" s="962">
        <f t="shared" si="12"/>
        <v>0</v>
      </c>
      <c r="E229" s="962">
        <f t="shared" si="13"/>
        <v>0</v>
      </c>
      <c r="F229" s="962">
        <f t="shared" si="14"/>
        <v>0</v>
      </c>
      <c r="G229" s="962"/>
      <c r="H229" s="962"/>
      <c r="I229" s="962"/>
      <c r="J229" s="962"/>
      <c r="K229" s="962" t="e">
        <f>VLOOKUP(A229,#REF!,4,FALSE)</f>
        <v>#REF!</v>
      </c>
      <c r="L229" s="963">
        <f t="shared" si="15"/>
        <v>0</v>
      </c>
      <c r="M229" s="964"/>
    </row>
    <row r="230" spans="1:13" ht="18" customHeight="1">
      <c r="A230" s="952" t="e">
        <f>#REF!</f>
        <v>#REF!</v>
      </c>
      <c r="B230" s="960" t="e">
        <f>VLOOKUP(A230,#REF!,2,FALSE)</f>
        <v>#REF!</v>
      </c>
      <c r="C230" s="961" t="e">
        <f>VLOOKUP(A230,#REF!,3,FALSE)</f>
        <v>#REF!</v>
      </c>
      <c r="D230" s="962">
        <f t="shared" si="12"/>
        <v>0</v>
      </c>
      <c r="E230" s="962">
        <f t="shared" si="13"/>
        <v>0</v>
      </c>
      <c r="F230" s="962">
        <f t="shared" si="14"/>
        <v>0</v>
      </c>
      <c r="G230" s="962"/>
      <c r="H230" s="962"/>
      <c r="I230" s="962"/>
      <c r="J230" s="962"/>
      <c r="K230" s="962" t="e">
        <f>VLOOKUP(A230,#REF!,4,FALSE)</f>
        <v>#REF!</v>
      </c>
      <c r="L230" s="963">
        <f t="shared" si="15"/>
        <v>0</v>
      </c>
      <c r="M230" s="964"/>
    </row>
    <row r="231" spans="1:13" ht="18" customHeight="1">
      <c r="A231" s="952" t="e">
        <f>#REF!</f>
        <v>#REF!</v>
      </c>
      <c r="B231" s="960" t="e">
        <f>VLOOKUP(A231,#REF!,2,FALSE)</f>
        <v>#REF!</v>
      </c>
      <c r="C231" s="961" t="e">
        <f>VLOOKUP(A231,#REF!,3,FALSE)</f>
        <v>#REF!</v>
      </c>
      <c r="D231" s="962">
        <f t="shared" si="12"/>
        <v>0</v>
      </c>
      <c r="E231" s="962">
        <f t="shared" si="13"/>
        <v>0</v>
      </c>
      <c r="F231" s="962">
        <f t="shared" si="14"/>
        <v>0</v>
      </c>
      <c r="G231" s="962"/>
      <c r="H231" s="962"/>
      <c r="I231" s="962"/>
      <c r="J231" s="962"/>
      <c r="K231" s="962" t="e">
        <f>VLOOKUP(A231,#REF!,4,FALSE)</f>
        <v>#REF!</v>
      </c>
      <c r="L231" s="963">
        <f t="shared" si="15"/>
        <v>0</v>
      </c>
      <c r="M231" s="964"/>
    </row>
    <row r="232" spans="1:13" ht="18" customHeight="1">
      <c r="A232" s="952" t="e">
        <f>#REF!</f>
        <v>#REF!</v>
      </c>
      <c r="B232" s="960" t="e">
        <f>VLOOKUP(A232,#REF!,2,FALSE)</f>
        <v>#REF!</v>
      </c>
      <c r="C232" s="961" t="e">
        <f>VLOOKUP(A232,#REF!,3,FALSE)</f>
        <v>#REF!</v>
      </c>
      <c r="D232" s="962">
        <f t="shared" si="12"/>
        <v>0</v>
      </c>
      <c r="E232" s="962">
        <f t="shared" si="13"/>
        <v>0</v>
      </c>
      <c r="F232" s="962">
        <f t="shared" si="14"/>
        <v>0</v>
      </c>
      <c r="G232" s="962"/>
      <c r="H232" s="962"/>
      <c r="I232" s="962"/>
      <c r="J232" s="962"/>
      <c r="K232" s="962" t="e">
        <f>VLOOKUP(A232,#REF!,4,FALSE)</f>
        <v>#REF!</v>
      </c>
      <c r="L232" s="963">
        <f t="shared" si="15"/>
        <v>0</v>
      </c>
      <c r="M232" s="964"/>
    </row>
    <row r="233" spans="1:13" ht="18" customHeight="1">
      <c r="A233" s="952" t="e">
        <f>#REF!</f>
        <v>#REF!</v>
      </c>
      <c r="B233" s="960" t="e">
        <f>VLOOKUP(A233,#REF!,2,FALSE)</f>
        <v>#REF!</v>
      </c>
      <c r="C233" s="961" t="e">
        <f>VLOOKUP(A233,#REF!,3,FALSE)</f>
        <v>#REF!</v>
      </c>
      <c r="D233" s="962">
        <f t="shared" si="12"/>
        <v>0</v>
      </c>
      <c r="E233" s="962">
        <f t="shared" si="13"/>
        <v>0</v>
      </c>
      <c r="F233" s="962">
        <f t="shared" si="14"/>
        <v>0</v>
      </c>
      <c r="G233" s="962"/>
      <c r="H233" s="962"/>
      <c r="I233" s="962"/>
      <c r="J233" s="962"/>
      <c r="K233" s="962" t="e">
        <f>VLOOKUP(A233,#REF!,4,FALSE)</f>
        <v>#REF!</v>
      </c>
      <c r="L233" s="963">
        <f t="shared" si="15"/>
        <v>0</v>
      </c>
      <c r="M233" s="964"/>
    </row>
    <row r="234" spans="1:13" ht="18" customHeight="1">
      <c r="A234" s="952" t="e">
        <f>#REF!</f>
        <v>#REF!</v>
      </c>
      <c r="B234" s="960" t="e">
        <f>VLOOKUP(A234,#REF!,2,FALSE)</f>
        <v>#REF!</v>
      </c>
      <c r="C234" s="961" t="e">
        <f>VLOOKUP(A234,#REF!,3,FALSE)</f>
        <v>#REF!</v>
      </c>
      <c r="D234" s="962">
        <f t="shared" si="12"/>
        <v>0</v>
      </c>
      <c r="E234" s="962">
        <f t="shared" si="13"/>
        <v>0</v>
      </c>
      <c r="F234" s="962">
        <f t="shared" si="14"/>
        <v>0</v>
      </c>
      <c r="G234" s="962"/>
      <c r="H234" s="962"/>
      <c r="I234" s="962"/>
      <c r="J234" s="962"/>
      <c r="K234" s="962" t="e">
        <f>VLOOKUP(A234,#REF!,4,FALSE)</f>
        <v>#REF!</v>
      </c>
      <c r="L234" s="963">
        <f t="shared" si="15"/>
        <v>0</v>
      </c>
      <c r="M234" s="964"/>
    </row>
    <row r="235" spans="1:13" ht="18" customHeight="1">
      <c r="A235" s="952" t="e">
        <f>#REF!</f>
        <v>#REF!</v>
      </c>
      <c r="B235" s="960" t="e">
        <f>VLOOKUP(A235,#REF!,2,FALSE)</f>
        <v>#REF!</v>
      </c>
      <c r="C235" s="961" t="e">
        <f>VLOOKUP(A235,#REF!,3,FALSE)</f>
        <v>#REF!</v>
      </c>
      <c r="D235" s="962">
        <f t="shared" si="12"/>
        <v>0</v>
      </c>
      <c r="E235" s="962">
        <f t="shared" si="13"/>
        <v>0</v>
      </c>
      <c r="F235" s="962">
        <f t="shared" si="14"/>
        <v>0</v>
      </c>
      <c r="G235" s="962"/>
      <c r="H235" s="962"/>
      <c r="I235" s="962"/>
      <c r="J235" s="962"/>
      <c r="K235" s="962" t="e">
        <f>VLOOKUP(A235,#REF!,4,FALSE)</f>
        <v>#REF!</v>
      </c>
      <c r="L235" s="963">
        <f t="shared" si="15"/>
        <v>0</v>
      </c>
      <c r="M235" s="964"/>
    </row>
    <row r="236" spans="1:13" ht="18" customHeight="1">
      <c r="A236" s="952" t="e">
        <f>#REF!</f>
        <v>#REF!</v>
      </c>
      <c r="B236" s="960" t="e">
        <f>VLOOKUP(A236,#REF!,2,FALSE)</f>
        <v>#REF!</v>
      </c>
      <c r="C236" s="961" t="e">
        <f>VLOOKUP(A236,#REF!,3,FALSE)</f>
        <v>#REF!</v>
      </c>
      <c r="D236" s="962">
        <f t="shared" si="12"/>
        <v>0</v>
      </c>
      <c r="E236" s="962">
        <f t="shared" si="13"/>
        <v>0</v>
      </c>
      <c r="F236" s="962">
        <f t="shared" si="14"/>
        <v>0</v>
      </c>
      <c r="G236" s="962"/>
      <c r="H236" s="962"/>
      <c r="I236" s="962"/>
      <c r="J236" s="962"/>
      <c r="K236" s="962" t="e">
        <f>VLOOKUP(A236,#REF!,4,FALSE)</f>
        <v>#REF!</v>
      </c>
      <c r="L236" s="963">
        <f t="shared" si="15"/>
        <v>0</v>
      </c>
      <c r="M236" s="964"/>
    </row>
    <row r="237" spans="1:13" ht="18" customHeight="1">
      <c r="A237" s="952" t="e">
        <f>#REF!</f>
        <v>#REF!</v>
      </c>
      <c r="B237" s="960" t="e">
        <f>VLOOKUP(A237,#REF!,2,FALSE)</f>
        <v>#REF!</v>
      </c>
      <c r="C237" s="961" t="e">
        <f>VLOOKUP(A237,#REF!,3,FALSE)</f>
        <v>#REF!</v>
      </c>
      <c r="D237" s="962">
        <f t="shared" si="12"/>
        <v>0</v>
      </c>
      <c r="E237" s="962">
        <f t="shared" si="13"/>
        <v>0</v>
      </c>
      <c r="F237" s="962">
        <f t="shared" si="14"/>
        <v>0</v>
      </c>
      <c r="G237" s="962"/>
      <c r="H237" s="962"/>
      <c r="I237" s="962"/>
      <c r="J237" s="962"/>
      <c r="K237" s="962" t="e">
        <f>VLOOKUP(A237,#REF!,4,FALSE)</f>
        <v>#REF!</v>
      </c>
      <c r="L237" s="963">
        <f t="shared" si="15"/>
        <v>0</v>
      </c>
      <c r="M237" s="964"/>
    </row>
    <row r="238" spans="1:13" ht="18" customHeight="1">
      <c r="A238" s="952" t="e">
        <f>#REF!</f>
        <v>#REF!</v>
      </c>
      <c r="B238" s="960" t="e">
        <f>VLOOKUP(A238,#REF!,2,FALSE)</f>
        <v>#REF!</v>
      </c>
      <c r="C238" s="961" t="e">
        <f>VLOOKUP(A238,#REF!,3,FALSE)</f>
        <v>#REF!</v>
      </c>
      <c r="D238" s="962">
        <f t="shared" si="12"/>
        <v>0</v>
      </c>
      <c r="E238" s="962">
        <f t="shared" si="13"/>
        <v>0</v>
      </c>
      <c r="F238" s="962">
        <f t="shared" si="14"/>
        <v>0</v>
      </c>
      <c r="G238" s="962"/>
      <c r="H238" s="962"/>
      <c r="I238" s="962"/>
      <c r="J238" s="962"/>
      <c r="K238" s="962" t="e">
        <f>VLOOKUP(A238,#REF!,4,FALSE)</f>
        <v>#REF!</v>
      </c>
      <c r="L238" s="963">
        <f t="shared" si="15"/>
        <v>0</v>
      </c>
      <c r="M238" s="964"/>
    </row>
    <row r="239" spans="1:13" ht="18" customHeight="1">
      <c r="A239" s="952" t="e">
        <f>#REF!</f>
        <v>#REF!</v>
      </c>
      <c r="B239" s="960" t="e">
        <f>VLOOKUP(A239,#REF!,2,FALSE)</f>
        <v>#REF!</v>
      </c>
      <c r="C239" s="961" t="e">
        <f>VLOOKUP(A239,#REF!,3,FALSE)</f>
        <v>#REF!</v>
      </c>
      <c r="D239" s="962">
        <f t="shared" si="12"/>
        <v>0</v>
      </c>
      <c r="E239" s="962">
        <f t="shared" si="13"/>
        <v>0</v>
      </c>
      <c r="F239" s="962">
        <f t="shared" si="14"/>
        <v>0</v>
      </c>
      <c r="G239" s="962"/>
      <c r="H239" s="962"/>
      <c r="I239" s="962"/>
      <c r="J239" s="962"/>
      <c r="K239" s="962" t="e">
        <f>VLOOKUP(A239,#REF!,4,FALSE)</f>
        <v>#REF!</v>
      </c>
      <c r="L239" s="963">
        <f t="shared" si="15"/>
        <v>0</v>
      </c>
      <c r="M239" s="964"/>
    </row>
    <row r="240" spans="1:13" ht="18" customHeight="1">
      <c r="A240" s="952" t="e">
        <f>#REF!</f>
        <v>#REF!</v>
      </c>
      <c r="B240" s="960" t="e">
        <f>VLOOKUP(A240,#REF!,2,FALSE)</f>
        <v>#REF!</v>
      </c>
      <c r="C240" s="961" t="e">
        <f>VLOOKUP(A240,#REF!,3,FALSE)</f>
        <v>#REF!</v>
      </c>
      <c r="D240" s="962">
        <f t="shared" si="12"/>
        <v>0</v>
      </c>
      <c r="E240" s="962">
        <f t="shared" si="13"/>
        <v>0</v>
      </c>
      <c r="F240" s="962">
        <f t="shared" si="14"/>
        <v>0</v>
      </c>
      <c r="G240" s="962"/>
      <c r="H240" s="962"/>
      <c r="I240" s="962"/>
      <c r="J240" s="962"/>
      <c r="K240" s="962" t="e">
        <f>VLOOKUP(A240,#REF!,4,FALSE)</f>
        <v>#REF!</v>
      </c>
      <c r="L240" s="963">
        <f t="shared" si="15"/>
        <v>0</v>
      </c>
      <c r="M240" s="964"/>
    </row>
    <row r="241" spans="1:13" ht="18" customHeight="1">
      <c r="A241" s="952" t="e">
        <f>#REF!</f>
        <v>#REF!</v>
      </c>
      <c r="B241" s="960" t="e">
        <f>VLOOKUP(A241,#REF!,2,FALSE)</f>
        <v>#REF!</v>
      </c>
      <c r="C241" s="961" t="e">
        <f>VLOOKUP(A241,#REF!,3,FALSE)</f>
        <v>#REF!</v>
      </c>
      <c r="D241" s="962">
        <f t="shared" si="12"/>
        <v>0</v>
      </c>
      <c r="E241" s="962">
        <f t="shared" si="13"/>
        <v>0</v>
      </c>
      <c r="F241" s="962">
        <f t="shared" si="14"/>
        <v>0</v>
      </c>
      <c r="G241" s="962"/>
      <c r="H241" s="962"/>
      <c r="I241" s="962"/>
      <c r="J241" s="962"/>
      <c r="K241" s="962" t="e">
        <f>VLOOKUP(A241,#REF!,4,FALSE)</f>
        <v>#REF!</v>
      </c>
      <c r="L241" s="963">
        <f t="shared" si="15"/>
        <v>0</v>
      </c>
      <c r="M241" s="964"/>
    </row>
    <row r="242" spans="1:13" ht="18" customHeight="1">
      <c r="A242" s="952" t="e">
        <f>#REF!</f>
        <v>#REF!</v>
      </c>
      <c r="B242" s="960" t="e">
        <f>VLOOKUP(A242,#REF!,2,FALSE)</f>
        <v>#REF!</v>
      </c>
      <c r="C242" s="961" t="e">
        <f>VLOOKUP(A242,#REF!,3,FALSE)</f>
        <v>#REF!</v>
      </c>
      <c r="D242" s="962">
        <f t="shared" si="12"/>
        <v>0</v>
      </c>
      <c r="E242" s="962">
        <f t="shared" si="13"/>
        <v>0</v>
      </c>
      <c r="F242" s="962">
        <f t="shared" si="14"/>
        <v>0</v>
      </c>
      <c r="G242" s="962"/>
      <c r="H242" s="962"/>
      <c r="I242" s="962"/>
      <c r="J242" s="962"/>
      <c r="K242" s="962" t="e">
        <f>VLOOKUP(A242,#REF!,4,FALSE)</f>
        <v>#REF!</v>
      </c>
      <c r="L242" s="963">
        <f t="shared" si="15"/>
        <v>0</v>
      </c>
      <c r="M242" s="964"/>
    </row>
    <row r="243" spans="1:13" ht="18" customHeight="1">
      <c r="A243" s="952" t="e">
        <f>#REF!</f>
        <v>#REF!</v>
      </c>
      <c r="B243" s="960" t="e">
        <f>VLOOKUP(A243,#REF!,2,FALSE)</f>
        <v>#REF!</v>
      </c>
      <c r="C243" s="961" t="e">
        <f>VLOOKUP(A243,#REF!,3,FALSE)</f>
        <v>#REF!</v>
      </c>
      <c r="D243" s="962">
        <f t="shared" si="12"/>
        <v>0</v>
      </c>
      <c r="E243" s="962">
        <f t="shared" si="13"/>
        <v>0</v>
      </c>
      <c r="F243" s="962">
        <f t="shared" si="14"/>
        <v>0</v>
      </c>
      <c r="G243" s="962"/>
      <c r="H243" s="962"/>
      <c r="I243" s="962"/>
      <c r="J243" s="962"/>
      <c r="K243" s="962" t="e">
        <f>VLOOKUP(A243,#REF!,4,FALSE)</f>
        <v>#REF!</v>
      </c>
      <c r="L243" s="963">
        <f t="shared" si="15"/>
        <v>0</v>
      </c>
      <c r="M243" s="964"/>
    </row>
    <row r="244" spans="1:13" ht="18" customHeight="1">
      <c r="A244" s="952" t="e">
        <f>#REF!</f>
        <v>#REF!</v>
      </c>
      <c r="B244" s="960" t="e">
        <f>VLOOKUP(A244,#REF!,2,FALSE)</f>
        <v>#REF!</v>
      </c>
      <c r="C244" s="961" t="e">
        <f>VLOOKUP(A244,#REF!,3,FALSE)</f>
        <v>#REF!</v>
      </c>
      <c r="D244" s="962">
        <f t="shared" si="12"/>
        <v>0</v>
      </c>
      <c r="E244" s="962">
        <f t="shared" si="13"/>
        <v>0</v>
      </c>
      <c r="F244" s="962">
        <f t="shared" si="14"/>
        <v>0</v>
      </c>
      <c r="G244" s="962"/>
      <c r="H244" s="962"/>
      <c r="I244" s="962"/>
      <c r="J244" s="962"/>
      <c r="K244" s="962" t="e">
        <f>VLOOKUP(A244,#REF!,4,FALSE)</f>
        <v>#REF!</v>
      </c>
      <c r="L244" s="963">
        <f t="shared" si="15"/>
        <v>0</v>
      </c>
      <c r="M244" s="964"/>
    </row>
    <row r="245" spans="1:13" ht="18" customHeight="1">
      <c r="A245" s="952" t="e">
        <f>#REF!</f>
        <v>#REF!</v>
      </c>
      <c r="B245" s="960" t="e">
        <f>VLOOKUP(A245,#REF!,2,FALSE)</f>
        <v>#REF!</v>
      </c>
      <c r="C245" s="961" t="e">
        <f>VLOOKUP(A245,#REF!,3,FALSE)</f>
        <v>#REF!</v>
      </c>
      <c r="D245" s="962">
        <f t="shared" si="12"/>
        <v>0</v>
      </c>
      <c r="E245" s="962">
        <f t="shared" si="13"/>
        <v>0</v>
      </c>
      <c r="F245" s="962">
        <f t="shared" si="14"/>
        <v>0</v>
      </c>
      <c r="G245" s="962"/>
      <c r="H245" s="962"/>
      <c r="I245" s="962"/>
      <c r="J245" s="962"/>
      <c r="K245" s="962" t="e">
        <f>VLOOKUP(A245,#REF!,4,FALSE)</f>
        <v>#REF!</v>
      </c>
      <c r="L245" s="963">
        <f t="shared" si="15"/>
        <v>0</v>
      </c>
      <c r="M245" s="964"/>
    </row>
    <row r="246" spans="1:13" ht="18" customHeight="1">
      <c r="A246" s="952" t="e">
        <f>#REF!</f>
        <v>#REF!</v>
      </c>
      <c r="B246" s="960" t="e">
        <f>VLOOKUP(A246,#REF!,2,FALSE)</f>
        <v>#REF!</v>
      </c>
      <c r="C246" s="961" t="e">
        <f>VLOOKUP(A246,#REF!,3,FALSE)</f>
        <v>#REF!</v>
      </c>
      <c r="D246" s="962">
        <f t="shared" si="12"/>
        <v>0</v>
      </c>
      <c r="E246" s="962">
        <f t="shared" si="13"/>
        <v>0</v>
      </c>
      <c r="F246" s="962">
        <f t="shared" si="14"/>
        <v>0</v>
      </c>
      <c r="G246" s="962"/>
      <c r="H246" s="962"/>
      <c r="I246" s="962"/>
      <c r="J246" s="962"/>
      <c r="K246" s="962" t="e">
        <f>VLOOKUP(A246,#REF!,4,FALSE)</f>
        <v>#REF!</v>
      </c>
      <c r="L246" s="963">
        <f t="shared" si="15"/>
        <v>0</v>
      </c>
      <c r="M246" s="964"/>
    </row>
    <row r="247" spans="1:13" ht="18" customHeight="1">
      <c r="A247" s="952" t="e">
        <f>#REF!</f>
        <v>#REF!</v>
      </c>
      <c r="B247" s="960" t="e">
        <f>VLOOKUP(A247,#REF!,2,FALSE)</f>
        <v>#REF!</v>
      </c>
      <c r="C247" s="961" t="e">
        <f>VLOOKUP(A247,#REF!,3,FALSE)</f>
        <v>#REF!</v>
      </c>
      <c r="D247" s="962">
        <f t="shared" si="12"/>
        <v>0</v>
      </c>
      <c r="E247" s="962">
        <f t="shared" si="13"/>
        <v>0</v>
      </c>
      <c r="F247" s="962">
        <f t="shared" si="14"/>
        <v>0</v>
      </c>
      <c r="G247" s="962"/>
      <c r="H247" s="962"/>
      <c r="I247" s="962"/>
      <c r="J247" s="962"/>
      <c r="K247" s="962" t="e">
        <f>VLOOKUP(A247,#REF!,4,FALSE)</f>
        <v>#REF!</v>
      </c>
      <c r="L247" s="963">
        <f t="shared" si="15"/>
        <v>0</v>
      </c>
      <c r="M247" s="964"/>
    </row>
    <row r="248" spans="1:13" ht="18" customHeight="1">
      <c r="A248" s="952" t="e">
        <f>#REF!</f>
        <v>#REF!</v>
      </c>
      <c r="B248" s="960" t="e">
        <f>VLOOKUP(A248,#REF!,2,FALSE)</f>
        <v>#REF!</v>
      </c>
      <c r="C248" s="961" t="e">
        <f>VLOOKUP(A248,#REF!,3,FALSE)</f>
        <v>#REF!</v>
      </c>
      <c r="D248" s="962">
        <f t="shared" si="12"/>
        <v>0</v>
      </c>
      <c r="E248" s="962">
        <f t="shared" si="13"/>
        <v>0</v>
      </c>
      <c r="F248" s="962">
        <f t="shared" si="14"/>
        <v>0</v>
      </c>
      <c r="G248" s="962"/>
      <c r="H248" s="962"/>
      <c r="I248" s="962"/>
      <c r="J248" s="962"/>
      <c r="K248" s="962" t="e">
        <f>VLOOKUP(A248,#REF!,4,FALSE)</f>
        <v>#REF!</v>
      </c>
      <c r="L248" s="963">
        <f t="shared" si="15"/>
        <v>0</v>
      </c>
      <c r="M248" s="964"/>
    </row>
    <row r="249" spans="1:13" ht="18" customHeight="1">
      <c r="A249" s="952" t="e">
        <f>#REF!</f>
        <v>#REF!</v>
      </c>
      <c r="B249" s="960" t="e">
        <f>VLOOKUP(A249,#REF!,2,FALSE)</f>
        <v>#REF!</v>
      </c>
      <c r="C249" s="961" t="e">
        <f>VLOOKUP(A249,#REF!,3,FALSE)</f>
        <v>#REF!</v>
      </c>
      <c r="D249" s="962">
        <f t="shared" si="12"/>
        <v>0</v>
      </c>
      <c r="E249" s="962">
        <f t="shared" si="13"/>
        <v>0</v>
      </c>
      <c r="F249" s="962">
        <f t="shared" si="14"/>
        <v>0</v>
      </c>
      <c r="G249" s="962"/>
      <c r="H249" s="962"/>
      <c r="I249" s="962"/>
      <c r="J249" s="962"/>
      <c r="K249" s="962" t="e">
        <f>VLOOKUP(A249,#REF!,4,FALSE)</f>
        <v>#REF!</v>
      </c>
      <c r="L249" s="963">
        <f t="shared" si="15"/>
        <v>0</v>
      </c>
      <c r="M249" s="964"/>
    </row>
    <row r="250" spans="1:13" ht="18" customHeight="1">
      <c r="A250" s="952" t="e">
        <f>#REF!</f>
        <v>#REF!</v>
      </c>
      <c r="B250" s="960" t="e">
        <f>VLOOKUP(A250,#REF!,2,FALSE)</f>
        <v>#REF!</v>
      </c>
      <c r="C250" s="961" t="e">
        <f>VLOOKUP(A250,#REF!,3,FALSE)</f>
        <v>#REF!</v>
      </c>
      <c r="D250" s="962">
        <f t="shared" si="12"/>
        <v>0</v>
      </c>
      <c r="E250" s="962">
        <f t="shared" si="13"/>
        <v>0</v>
      </c>
      <c r="F250" s="962">
        <f t="shared" si="14"/>
        <v>0</v>
      </c>
      <c r="G250" s="962"/>
      <c r="H250" s="962"/>
      <c r="I250" s="962"/>
      <c r="J250" s="962"/>
      <c r="K250" s="962" t="e">
        <f>VLOOKUP(A250,#REF!,4,FALSE)</f>
        <v>#REF!</v>
      </c>
      <c r="L250" s="963">
        <f t="shared" si="15"/>
        <v>0</v>
      </c>
      <c r="M250" s="964"/>
    </row>
    <row r="251" spans="1:13" ht="18" customHeight="1">
      <c r="A251" s="952" t="e">
        <f>#REF!</f>
        <v>#REF!</v>
      </c>
      <c r="B251" s="960" t="e">
        <f>VLOOKUP(A251,#REF!,2,FALSE)</f>
        <v>#REF!</v>
      </c>
      <c r="C251" s="961" t="e">
        <f>VLOOKUP(A251,#REF!,3,FALSE)</f>
        <v>#REF!</v>
      </c>
      <c r="D251" s="962">
        <f t="shared" si="12"/>
        <v>0</v>
      </c>
      <c r="E251" s="962">
        <f t="shared" si="13"/>
        <v>0</v>
      </c>
      <c r="F251" s="962">
        <f t="shared" si="14"/>
        <v>0</v>
      </c>
      <c r="G251" s="962"/>
      <c r="H251" s="962"/>
      <c r="I251" s="962"/>
      <c r="J251" s="962"/>
      <c r="K251" s="962" t="e">
        <f>VLOOKUP(A251,#REF!,4,FALSE)</f>
        <v>#REF!</v>
      </c>
      <c r="L251" s="963">
        <f t="shared" si="15"/>
        <v>0</v>
      </c>
      <c r="M251" s="964"/>
    </row>
    <row r="252" spans="1:13" ht="18" customHeight="1">
      <c r="A252" s="952" t="e">
        <f>#REF!</f>
        <v>#REF!</v>
      </c>
      <c r="B252" s="960" t="e">
        <f>VLOOKUP(A252,#REF!,2,FALSE)</f>
        <v>#REF!</v>
      </c>
      <c r="C252" s="961" t="e">
        <f>VLOOKUP(A252,#REF!,3,FALSE)</f>
        <v>#REF!</v>
      </c>
      <c r="D252" s="962">
        <f t="shared" si="12"/>
        <v>0</v>
      </c>
      <c r="E252" s="962">
        <f t="shared" si="13"/>
        <v>0</v>
      </c>
      <c r="F252" s="962">
        <f t="shared" si="14"/>
        <v>0</v>
      </c>
      <c r="G252" s="962"/>
      <c r="H252" s="962"/>
      <c r="I252" s="962"/>
      <c r="J252" s="962"/>
      <c r="K252" s="962" t="e">
        <f>VLOOKUP(A252,#REF!,4,FALSE)</f>
        <v>#REF!</v>
      </c>
      <c r="L252" s="963">
        <f t="shared" si="15"/>
        <v>0</v>
      </c>
      <c r="M252" s="964"/>
    </row>
    <row r="253" spans="1:13" ht="18" customHeight="1">
      <c r="A253" s="952" t="e">
        <f>#REF!</f>
        <v>#REF!</v>
      </c>
      <c r="B253" s="960" t="e">
        <f>VLOOKUP(A253,#REF!,2,FALSE)</f>
        <v>#REF!</v>
      </c>
      <c r="C253" s="961" t="e">
        <f>VLOOKUP(A253,#REF!,3,FALSE)</f>
        <v>#REF!</v>
      </c>
      <c r="D253" s="962">
        <f t="shared" si="12"/>
        <v>0</v>
      </c>
      <c r="E253" s="962">
        <f t="shared" si="13"/>
        <v>0</v>
      </c>
      <c r="F253" s="962">
        <f t="shared" si="14"/>
        <v>0</v>
      </c>
      <c r="G253" s="962"/>
      <c r="H253" s="962"/>
      <c r="I253" s="962"/>
      <c r="J253" s="962"/>
      <c r="K253" s="962" t="e">
        <f>VLOOKUP(A253,#REF!,4,FALSE)</f>
        <v>#REF!</v>
      </c>
      <c r="L253" s="963">
        <f t="shared" si="15"/>
        <v>0</v>
      </c>
      <c r="M253" s="964"/>
    </row>
    <row r="254" spans="1:13" ht="18" customHeight="1">
      <c r="A254" s="952" t="e">
        <f>#REF!</f>
        <v>#REF!</v>
      </c>
      <c r="B254" s="960" t="e">
        <f>VLOOKUP(A254,#REF!,2,FALSE)</f>
        <v>#REF!</v>
      </c>
      <c r="C254" s="961" t="e">
        <f>VLOOKUP(A254,#REF!,3,FALSE)</f>
        <v>#REF!</v>
      </c>
      <c r="D254" s="962">
        <f t="shared" si="12"/>
        <v>0</v>
      </c>
      <c r="E254" s="962">
        <f t="shared" si="13"/>
        <v>0</v>
      </c>
      <c r="F254" s="962">
        <f t="shared" si="14"/>
        <v>0</v>
      </c>
      <c r="G254" s="962"/>
      <c r="H254" s="962"/>
      <c r="I254" s="962"/>
      <c r="J254" s="962"/>
      <c r="K254" s="962" t="e">
        <f>VLOOKUP(A254,#REF!,4,FALSE)</f>
        <v>#REF!</v>
      </c>
      <c r="L254" s="963">
        <f t="shared" si="15"/>
        <v>0</v>
      </c>
      <c r="M254" s="964"/>
    </row>
    <row r="255" spans="1:13" ht="18" customHeight="1">
      <c r="A255" s="952" t="e">
        <f>#REF!</f>
        <v>#REF!</v>
      </c>
      <c r="B255" s="960" t="e">
        <f>VLOOKUP(A255,#REF!,2,FALSE)</f>
        <v>#REF!</v>
      </c>
      <c r="C255" s="961" t="e">
        <f>VLOOKUP(A255,#REF!,3,FALSE)</f>
        <v>#REF!</v>
      </c>
      <c r="D255" s="962">
        <f t="shared" si="12"/>
        <v>0</v>
      </c>
      <c r="E255" s="962">
        <f t="shared" si="13"/>
        <v>0</v>
      </c>
      <c r="F255" s="962">
        <f t="shared" si="14"/>
        <v>0</v>
      </c>
      <c r="G255" s="962"/>
      <c r="H255" s="962"/>
      <c r="I255" s="962"/>
      <c r="J255" s="962"/>
      <c r="K255" s="962" t="e">
        <f>VLOOKUP(A255,#REF!,4,FALSE)</f>
        <v>#REF!</v>
      </c>
      <c r="L255" s="963">
        <f t="shared" si="15"/>
        <v>0</v>
      </c>
      <c r="M255" s="964"/>
    </row>
    <row r="256" spans="1:13" ht="18" customHeight="1">
      <c r="A256" s="952" t="e">
        <f>#REF!</f>
        <v>#REF!</v>
      </c>
      <c r="B256" s="960" t="e">
        <f>VLOOKUP(A256,#REF!,2,FALSE)</f>
        <v>#REF!</v>
      </c>
      <c r="C256" s="961" t="e">
        <f>VLOOKUP(A256,#REF!,3,FALSE)</f>
        <v>#REF!</v>
      </c>
      <c r="D256" s="962">
        <f t="shared" si="12"/>
        <v>0</v>
      </c>
      <c r="E256" s="962">
        <f t="shared" si="13"/>
        <v>0</v>
      </c>
      <c r="F256" s="962">
        <f t="shared" si="14"/>
        <v>0</v>
      </c>
      <c r="G256" s="962"/>
      <c r="H256" s="962"/>
      <c r="I256" s="962"/>
      <c r="J256" s="962"/>
      <c r="K256" s="962" t="e">
        <f>VLOOKUP(A256,#REF!,4,FALSE)</f>
        <v>#REF!</v>
      </c>
      <c r="L256" s="963">
        <f t="shared" si="15"/>
        <v>0</v>
      </c>
      <c r="M256" s="964"/>
    </row>
    <row r="257" spans="1:13" ht="18" customHeight="1">
      <c r="A257" s="952" t="e">
        <f>#REF!</f>
        <v>#REF!</v>
      </c>
      <c r="B257" s="960" t="e">
        <f>VLOOKUP(A257,#REF!,2,FALSE)</f>
        <v>#REF!</v>
      </c>
      <c r="C257" s="961" t="e">
        <f>VLOOKUP(A257,#REF!,3,FALSE)</f>
        <v>#REF!</v>
      </c>
      <c r="D257" s="962">
        <f t="shared" si="12"/>
        <v>0</v>
      </c>
      <c r="E257" s="962">
        <f t="shared" si="13"/>
        <v>0</v>
      </c>
      <c r="F257" s="962">
        <f t="shared" si="14"/>
        <v>0</v>
      </c>
      <c r="G257" s="962"/>
      <c r="H257" s="962"/>
      <c r="I257" s="962"/>
      <c r="J257" s="962"/>
      <c r="K257" s="962" t="e">
        <f>VLOOKUP(A257,#REF!,4,FALSE)</f>
        <v>#REF!</v>
      </c>
      <c r="L257" s="963">
        <f t="shared" si="15"/>
        <v>0</v>
      </c>
      <c r="M257" s="964"/>
    </row>
    <row r="258" spans="1:13" ht="18" customHeight="1">
      <c r="A258" s="952" t="e">
        <f>#REF!</f>
        <v>#REF!</v>
      </c>
      <c r="B258" s="960" t="e">
        <f>VLOOKUP(A258,#REF!,2,FALSE)</f>
        <v>#REF!</v>
      </c>
      <c r="C258" s="961" t="e">
        <f>VLOOKUP(A258,#REF!,3,FALSE)</f>
        <v>#REF!</v>
      </c>
      <c r="D258" s="962">
        <f t="shared" si="12"/>
        <v>0</v>
      </c>
      <c r="E258" s="962">
        <f t="shared" si="13"/>
        <v>0</v>
      </c>
      <c r="F258" s="962">
        <f t="shared" si="14"/>
        <v>0</v>
      </c>
      <c r="G258" s="962"/>
      <c r="H258" s="962"/>
      <c r="I258" s="962"/>
      <c r="J258" s="962"/>
      <c r="K258" s="962" t="e">
        <f>VLOOKUP(A258,#REF!,4,FALSE)</f>
        <v>#REF!</v>
      </c>
      <c r="L258" s="963">
        <f t="shared" si="15"/>
        <v>0</v>
      </c>
      <c r="M258" s="964"/>
    </row>
    <row r="259" spans="1:13" ht="18" customHeight="1">
      <c r="A259" s="952" t="e">
        <f>#REF!</f>
        <v>#REF!</v>
      </c>
      <c r="B259" s="960" t="e">
        <f>VLOOKUP(A259,#REF!,2,FALSE)</f>
        <v>#REF!</v>
      </c>
      <c r="C259" s="961" t="e">
        <f>VLOOKUP(A259,#REF!,3,FALSE)</f>
        <v>#REF!</v>
      </c>
      <c r="D259" s="962">
        <f t="shared" si="12"/>
        <v>0</v>
      </c>
      <c r="E259" s="962">
        <f t="shared" si="13"/>
        <v>0</v>
      </c>
      <c r="F259" s="962">
        <f t="shared" si="14"/>
        <v>0</v>
      </c>
      <c r="G259" s="962"/>
      <c r="H259" s="962"/>
      <c r="I259" s="962"/>
      <c r="J259" s="962"/>
      <c r="K259" s="962" t="e">
        <f>VLOOKUP(A259,#REF!,4,FALSE)</f>
        <v>#REF!</v>
      </c>
      <c r="L259" s="963">
        <f t="shared" si="15"/>
        <v>0</v>
      </c>
      <c r="M259" s="964"/>
    </row>
    <row r="260" spans="1:13" ht="18" customHeight="1">
      <c r="A260" s="952" t="e">
        <f>#REF!</f>
        <v>#REF!</v>
      </c>
      <c r="B260" s="960" t="e">
        <f>VLOOKUP(A260,#REF!,2,FALSE)</f>
        <v>#REF!</v>
      </c>
      <c r="C260" s="961" t="e">
        <f>VLOOKUP(A260,#REF!,3,FALSE)</f>
        <v>#REF!</v>
      </c>
      <c r="D260" s="962">
        <f t="shared" si="12"/>
        <v>0</v>
      </c>
      <c r="E260" s="962">
        <f t="shared" si="13"/>
        <v>0</v>
      </c>
      <c r="F260" s="962">
        <f t="shared" si="14"/>
        <v>0</v>
      </c>
      <c r="G260" s="962"/>
      <c r="H260" s="962"/>
      <c r="I260" s="962"/>
      <c r="J260" s="962"/>
      <c r="K260" s="962" t="e">
        <f>VLOOKUP(A260,#REF!,4,FALSE)</f>
        <v>#REF!</v>
      </c>
      <c r="L260" s="963">
        <f t="shared" si="15"/>
        <v>0</v>
      </c>
      <c r="M260" s="964"/>
    </row>
    <row r="261" spans="1:13" ht="18" customHeight="1">
      <c r="A261" s="952" t="e">
        <f>#REF!</f>
        <v>#REF!</v>
      </c>
      <c r="B261" s="960" t="e">
        <f>VLOOKUP(A261,#REF!,2,FALSE)</f>
        <v>#REF!</v>
      </c>
      <c r="C261" s="961" t="e">
        <f>VLOOKUP(A261,#REF!,3,FALSE)</f>
        <v>#REF!</v>
      </c>
      <c r="D261" s="962">
        <f t="shared" ref="D261:D282" si="16">INT(IF(ISERROR(VLOOKUP($A261,산출집계1,6,FALSE)),0,VLOOKUP($A261,산출집계1,12,FALSE)))</f>
        <v>0</v>
      </c>
      <c r="E261" s="962">
        <f t="shared" ref="E261:E282" si="17">INT(IF(ISERROR(VLOOKUP($A261,산출집계2,6,FALSE)),0,VLOOKUP($A261,산출집계2,12,FALSE)))</f>
        <v>0</v>
      </c>
      <c r="F261" s="962">
        <f t="shared" ref="F261:F282" si="18">INT(IF(ISERROR(VLOOKUP($A261,산출집계3,6,FALSE)),0,VLOOKUP($A261,산출집계3,12,FALSE)))</f>
        <v>0</v>
      </c>
      <c r="G261" s="962"/>
      <c r="H261" s="962"/>
      <c r="I261" s="962"/>
      <c r="J261" s="962"/>
      <c r="K261" s="962" t="e">
        <f>VLOOKUP(A261,#REF!,4,FALSE)</f>
        <v>#REF!</v>
      </c>
      <c r="L261" s="963">
        <f t="shared" si="15"/>
        <v>0</v>
      </c>
      <c r="M261" s="964"/>
    </row>
    <row r="262" spans="1:13" ht="18" customHeight="1">
      <c r="A262" s="952" t="e">
        <f>#REF!</f>
        <v>#REF!</v>
      </c>
      <c r="B262" s="960" t="e">
        <f>VLOOKUP(A262,#REF!,2,FALSE)</f>
        <v>#REF!</v>
      </c>
      <c r="C262" s="961" t="e">
        <f>VLOOKUP(A262,#REF!,3,FALSE)</f>
        <v>#REF!</v>
      </c>
      <c r="D262" s="962">
        <f t="shared" si="16"/>
        <v>0</v>
      </c>
      <c r="E262" s="962">
        <f t="shared" si="17"/>
        <v>0</v>
      </c>
      <c r="F262" s="962">
        <f t="shared" si="18"/>
        <v>0</v>
      </c>
      <c r="G262" s="962"/>
      <c r="H262" s="962"/>
      <c r="I262" s="962"/>
      <c r="J262" s="962"/>
      <c r="K262" s="962" t="e">
        <f>VLOOKUP(A262,#REF!,4,FALSE)</f>
        <v>#REF!</v>
      </c>
      <c r="L262" s="963">
        <f t="shared" ref="L262:L278" si="19">INT(SUM(D262:J262))</f>
        <v>0</v>
      </c>
      <c r="M262" s="964"/>
    </row>
    <row r="263" spans="1:13" ht="18" customHeight="1">
      <c r="A263" s="952" t="e">
        <f>#REF!</f>
        <v>#REF!</v>
      </c>
      <c r="B263" s="960" t="e">
        <f>VLOOKUP(A263,#REF!,2,FALSE)</f>
        <v>#REF!</v>
      </c>
      <c r="C263" s="961" t="e">
        <f>VLOOKUP(A263,#REF!,3,FALSE)</f>
        <v>#REF!</v>
      </c>
      <c r="D263" s="962">
        <f t="shared" si="16"/>
        <v>0</v>
      </c>
      <c r="E263" s="962">
        <f t="shared" si="17"/>
        <v>0</v>
      </c>
      <c r="F263" s="962">
        <f t="shared" si="18"/>
        <v>0</v>
      </c>
      <c r="G263" s="962"/>
      <c r="H263" s="962"/>
      <c r="I263" s="962"/>
      <c r="J263" s="962"/>
      <c r="K263" s="962" t="e">
        <f>VLOOKUP(A263,#REF!,4,FALSE)</f>
        <v>#REF!</v>
      </c>
      <c r="L263" s="963">
        <f t="shared" si="19"/>
        <v>0</v>
      </c>
      <c r="M263" s="964"/>
    </row>
    <row r="264" spans="1:13" ht="18" customHeight="1">
      <c r="A264" s="952" t="e">
        <f>#REF!</f>
        <v>#REF!</v>
      </c>
      <c r="B264" s="960" t="e">
        <f>VLOOKUP(A264,#REF!,2,FALSE)</f>
        <v>#REF!</v>
      </c>
      <c r="C264" s="961" t="e">
        <f>VLOOKUP(A264,#REF!,3,FALSE)</f>
        <v>#REF!</v>
      </c>
      <c r="D264" s="962">
        <f t="shared" si="16"/>
        <v>0</v>
      </c>
      <c r="E264" s="962">
        <f t="shared" si="17"/>
        <v>0</v>
      </c>
      <c r="F264" s="962">
        <f t="shared" si="18"/>
        <v>0</v>
      </c>
      <c r="G264" s="962"/>
      <c r="H264" s="962"/>
      <c r="I264" s="962"/>
      <c r="J264" s="962"/>
      <c r="K264" s="962" t="e">
        <f>VLOOKUP(A264,#REF!,4,FALSE)</f>
        <v>#REF!</v>
      </c>
      <c r="L264" s="963">
        <f t="shared" si="19"/>
        <v>0</v>
      </c>
      <c r="M264" s="964"/>
    </row>
    <row r="265" spans="1:13" ht="18" customHeight="1">
      <c r="A265" s="952" t="e">
        <f>#REF!</f>
        <v>#REF!</v>
      </c>
      <c r="B265" s="960" t="e">
        <f>VLOOKUP(A265,#REF!,2,FALSE)</f>
        <v>#REF!</v>
      </c>
      <c r="C265" s="961" t="e">
        <f>VLOOKUP(A265,#REF!,3,FALSE)</f>
        <v>#REF!</v>
      </c>
      <c r="D265" s="962">
        <f t="shared" si="16"/>
        <v>0</v>
      </c>
      <c r="E265" s="962">
        <f t="shared" si="17"/>
        <v>0</v>
      </c>
      <c r="F265" s="962">
        <f t="shared" si="18"/>
        <v>0</v>
      </c>
      <c r="G265" s="962"/>
      <c r="H265" s="962"/>
      <c r="I265" s="962"/>
      <c r="J265" s="962"/>
      <c r="K265" s="962" t="e">
        <f>VLOOKUP(A265,#REF!,4,FALSE)</f>
        <v>#REF!</v>
      </c>
      <c r="L265" s="963">
        <f t="shared" si="19"/>
        <v>0</v>
      </c>
      <c r="M265" s="964"/>
    </row>
    <row r="266" spans="1:13" ht="18" customHeight="1">
      <c r="A266" s="952" t="e">
        <f>#REF!</f>
        <v>#REF!</v>
      </c>
      <c r="B266" s="960" t="e">
        <f>VLOOKUP(A266,#REF!,2,FALSE)</f>
        <v>#REF!</v>
      </c>
      <c r="C266" s="961" t="e">
        <f>VLOOKUP(A266,#REF!,3,FALSE)</f>
        <v>#REF!</v>
      </c>
      <c r="D266" s="962">
        <f t="shared" si="16"/>
        <v>0</v>
      </c>
      <c r="E266" s="962">
        <f t="shared" si="17"/>
        <v>0</v>
      </c>
      <c r="F266" s="962">
        <f t="shared" si="18"/>
        <v>0</v>
      </c>
      <c r="G266" s="962"/>
      <c r="H266" s="962"/>
      <c r="I266" s="962"/>
      <c r="J266" s="962"/>
      <c r="K266" s="962" t="e">
        <f>VLOOKUP(A266,#REF!,4,FALSE)</f>
        <v>#REF!</v>
      </c>
      <c r="L266" s="963">
        <f t="shared" si="19"/>
        <v>0</v>
      </c>
      <c r="M266" s="964"/>
    </row>
    <row r="267" spans="1:13" ht="18" customHeight="1">
      <c r="A267" s="952" t="e">
        <f>#REF!</f>
        <v>#REF!</v>
      </c>
      <c r="B267" s="960" t="e">
        <f>VLOOKUP(A267,#REF!,2,FALSE)</f>
        <v>#REF!</v>
      </c>
      <c r="C267" s="961" t="e">
        <f>VLOOKUP(A267,#REF!,3,FALSE)</f>
        <v>#REF!</v>
      </c>
      <c r="D267" s="962">
        <f t="shared" si="16"/>
        <v>0</v>
      </c>
      <c r="E267" s="962">
        <f t="shared" si="17"/>
        <v>0</v>
      </c>
      <c r="F267" s="962">
        <f t="shared" si="18"/>
        <v>0</v>
      </c>
      <c r="G267" s="962"/>
      <c r="H267" s="962"/>
      <c r="I267" s="962"/>
      <c r="J267" s="962"/>
      <c r="K267" s="962" t="e">
        <f>VLOOKUP(A267,#REF!,4,FALSE)</f>
        <v>#REF!</v>
      </c>
      <c r="L267" s="963">
        <f t="shared" si="19"/>
        <v>0</v>
      </c>
      <c r="M267" s="964"/>
    </row>
    <row r="268" spans="1:13" ht="18" customHeight="1">
      <c r="A268" s="952" t="e">
        <f>#REF!</f>
        <v>#REF!</v>
      </c>
      <c r="B268" s="960" t="e">
        <f>VLOOKUP(A268,#REF!,2,FALSE)</f>
        <v>#REF!</v>
      </c>
      <c r="C268" s="961" t="e">
        <f>VLOOKUP(A268,#REF!,3,FALSE)</f>
        <v>#REF!</v>
      </c>
      <c r="D268" s="962">
        <f t="shared" si="16"/>
        <v>0</v>
      </c>
      <c r="E268" s="962">
        <f t="shared" si="17"/>
        <v>0</v>
      </c>
      <c r="F268" s="962">
        <f t="shared" si="18"/>
        <v>0</v>
      </c>
      <c r="G268" s="962"/>
      <c r="H268" s="962"/>
      <c r="I268" s="962"/>
      <c r="J268" s="962"/>
      <c r="K268" s="962" t="e">
        <f>VLOOKUP(A268,#REF!,4,FALSE)</f>
        <v>#REF!</v>
      </c>
      <c r="L268" s="963">
        <f t="shared" si="19"/>
        <v>0</v>
      </c>
      <c r="M268" s="964"/>
    </row>
    <row r="269" spans="1:13" ht="18" customHeight="1">
      <c r="A269" s="952" t="e">
        <f>#REF!</f>
        <v>#REF!</v>
      </c>
      <c r="B269" s="960" t="e">
        <f>VLOOKUP(A269,#REF!,2,FALSE)</f>
        <v>#REF!</v>
      </c>
      <c r="C269" s="961" t="e">
        <f>VLOOKUP(A269,#REF!,3,FALSE)</f>
        <v>#REF!</v>
      </c>
      <c r="D269" s="962">
        <f t="shared" si="16"/>
        <v>0</v>
      </c>
      <c r="E269" s="962">
        <f t="shared" si="17"/>
        <v>0</v>
      </c>
      <c r="F269" s="962">
        <f t="shared" si="18"/>
        <v>0</v>
      </c>
      <c r="G269" s="962"/>
      <c r="H269" s="962"/>
      <c r="I269" s="962"/>
      <c r="J269" s="962"/>
      <c r="K269" s="962" t="e">
        <f>VLOOKUP(A269,#REF!,4,FALSE)</f>
        <v>#REF!</v>
      </c>
      <c r="L269" s="963">
        <f t="shared" si="19"/>
        <v>0</v>
      </c>
      <c r="M269" s="964"/>
    </row>
    <row r="270" spans="1:13" ht="18" customHeight="1">
      <c r="A270" s="952" t="e">
        <f>#REF!</f>
        <v>#REF!</v>
      </c>
      <c r="B270" s="960" t="e">
        <f>VLOOKUP(A270,#REF!,2,FALSE)</f>
        <v>#REF!</v>
      </c>
      <c r="C270" s="961" t="e">
        <f>VLOOKUP(A270,#REF!,3,FALSE)</f>
        <v>#REF!</v>
      </c>
      <c r="D270" s="962">
        <f t="shared" si="16"/>
        <v>0</v>
      </c>
      <c r="E270" s="962">
        <f t="shared" si="17"/>
        <v>0</v>
      </c>
      <c r="F270" s="962">
        <f t="shared" si="18"/>
        <v>0</v>
      </c>
      <c r="G270" s="962"/>
      <c r="H270" s="962"/>
      <c r="I270" s="962"/>
      <c r="J270" s="962"/>
      <c r="K270" s="962" t="e">
        <f>VLOOKUP(A270,#REF!,4,FALSE)</f>
        <v>#REF!</v>
      </c>
      <c r="L270" s="963">
        <f t="shared" si="19"/>
        <v>0</v>
      </c>
      <c r="M270" s="964"/>
    </row>
    <row r="271" spans="1:13" ht="18" customHeight="1">
      <c r="A271" s="952" t="e">
        <f>#REF!</f>
        <v>#REF!</v>
      </c>
      <c r="B271" s="960" t="e">
        <f>VLOOKUP(A271,#REF!,2,FALSE)</f>
        <v>#REF!</v>
      </c>
      <c r="C271" s="961" t="e">
        <f>VLOOKUP(A271,#REF!,3,FALSE)</f>
        <v>#REF!</v>
      </c>
      <c r="D271" s="962">
        <f t="shared" si="16"/>
        <v>0</v>
      </c>
      <c r="E271" s="962">
        <f t="shared" si="17"/>
        <v>0</v>
      </c>
      <c r="F271" s="962">
        <f t="shared" si="18"/>
        <v>0</v>
      </c>
      <c r="G271" s="962"/>
      <c r="H271" s="962"/>
      <c r="I271" s="962"/>
      <c r="J271" s="962"/>
      <c r="K271" s="962" t="e">
        <f>VLOOKUP(A271,#REF!,4,FALSE)</f>
        <v>#REF!</v>
      </c>
      <c r="L271" s="963">
        <f t="shared" si="19"/>
        <v>0</v>
      </c>
      <c r="M271" s="964"/>
    </row>
    <row r="272" spans="1:13" ht="18" customHeight="1">
      <c r="A272" s="952" t="e">
        <f>#REF!</f>
        <v>#REF!</v>
      </c>
      <c r="B272" s="960" t="e">
        <f>VLOOKUP(A272,#REF!,2,FALSE)</f>
        <v>#REF!</v>
      </c>
      <c r="C272" s="961" t="e">
        <f>VLOOKUP(A272,#REF!,3,FALSE)</f>
        <v>#REF!</v>
      </c>
      <c r="D272" s="962">
        <f t="shared" si="16"/>
        <v>0</v>
      </c>
      <c r="E272" s="962">
        <f t="shared" si="17"/>
        <v>0</v>
      </c>
      <c r="F272" s="962">
        <f t="shared" si="18"/>
        <v>0</v>
      </c>
      <c r="G272" s="962"/>
      <c r="H272" s="962"/>
      <c r="I272" s="962"/>
      <c r="J272" s="962"/>
      <c r="K272" s="962" t="e">
        <f>VLOOKUP(A272,#REF!,4,FALSE)</f>
        <v>#REF!</v>
      </c>
      <c r="L272" s="963">
        <f t="shared" si="19"/>
        <v>0</v>
      </c>
      <c r="M272" s="964"/>
    </row>
    <row r="273" spans="1:13" ht="18" customHeight="1">
      <c r="A273" s="952" t="e">
        <f>#REF!</f>
        <v>#REF!</v>
      </c>
      <c r="B273" s="960" t="e">
        <f>VLOOKUP(A273,#REF!,2,FALSE)</f>
        <v>#REF!</v>
      </c>
      <c r="C273" s="961" t="e">
        <f>VLOOKUP(A273,#REF!,3,FALSE)</f>
        <v>#REF!</v>
      </c>
      <c r="D273" s="962">
        <f t="shared" si="16"/>
        <v>0</v>
      </c>
      <c r="E273" s="962">
        <f t="shared" si="17"/>
        <v>0</v>
      </c>
      <c r="F273" s="962">
        <f t="shared" si="18"/>
        <v>0</v>
      </c>
      <c r="G273" s="962"/>
      <c r="H273" s="962"/>
      <c r="I273" s="962"/>
      <c r="J273" s="962"/>
      <c r="K273" s="962" t="e">
        <f>VLOOKUP(A273,#REF!,4,FALSE)</f>
        <v>#REF!</v>
      </c>
      <c r="L273" s="963">
        <f t="shared" si="19"/>
        <v>0</v>
      </c>
      <c r="M273" s="964"/>
    </row>
    <row r="274" spans="1:13" ht="18" customHeight="1">
      <c r="A274" s="952" t="e">
        <f>#REF!</f>
        <v>#REF!</v>
      </c>
      <c r="B274" s="960" t="e">
        <f>VLOOKUP(A274,#REF!,2,FALSE)</f>
        <v>#REF!</v>
      </c>
      <c r="C274" s="961" t="e">
        <f>VLOOKUP(A274,#REF!,3,FALSE)</f>
        <v>#REF!</v>
      </c>
      <c r="D274" s="962">
        <f t="shared" si="16"/>
        <v>0</v>
      </c>
      <c r="E274" s="962">
        <f t="shared" si="17"/>
        <v>0</v>
      </c>
      <c r="F274" s="962">
        <f t="shared" si="18"/>
        <v>0</v>
      </c>
      <c r="G274" s="962"/>
      <c r="H274" s="962"/>
      <c r="I274" s="962"/>
      <c r="J274" s="962"/>
      <c r="K274" s="962" t="e">
        <f>VLOOKUP(A274,#REF!,4,FALSE)</f>
        <v>#REF!</v>
      </c>
      <c r="L274" s="963">
        <f t="shared" si="19"/>
        <v>0</v>
      </c>
      <c r="M274" s="964"/>
    </row>
    <row r="275" spans="1:13" ht="18" customHeight="1">
      <c r="A275" s="952" t="e">
        <f>#REF!</f>
        <v>#REF!</v>
      </c>
      <c r="B275" s="960" t="e">
        <f>VLOOKUP(A275,#REF!,2,FALSE)</f>
        <v>#REF!</v>
      </c>
      <c r="C275" s="961" t="e">
        <f>VLOOKUP(A275,#REF!,3,FALSE)</f>
        <v>#REF!</v>
      </c>
      <c r="D275" s="962">
        <f t="shared" si="16"/>
        <v>0</v>
      </c>
      <c r="E275" s="962">
        <f t="shared" si="17"/>
        <v>0</v>
      </c>
      <c r="F275" s="962">
        <f t="shared" si="18"/>
        <v>0</v>
      </c>
      <c r="G275" s="962"/>
      <c r="H275" s="962"/>
      <c r="I275" s="962"/>
      <c r="J275" s="962"/>
      <c r="K275" s="962" t="e">
        <f>VLOOKUP(A275,#REF!,4,FALSE)</f>
        <v>#REF!</v>
      </c>
      <c r="L275" s="963">
        <f t="shared" si="19"/>
        <v>0</v>
      </c>
      <c r="M275" s="964"/>
    </row>
    <row r="276" spans="1:13" ht="18" customHeight="1">
      <c r="A276" s="952" t="e">
        <f>#REF!</f>
        <v>#REF!</v>
      </c>
      <c r="B276" s="960" t="e">
        <f>VLOOKUP(A276,#REF!,2,FALSE)</f>
        <v>#REF!</v>
      </c>
      <c r="C276" s="961" t="e">
        <f>VLOOKUP(A276,#REF!,3,FALSE)</f>
        <v>#REF!</v>
      </c>
      <c r="D276" s="962">
        <f t="shared" si="16"/>
        <v>0</v>
      </c>
      <c r="E276" s="962">
        <f t="shared" si="17"/>
        <v>0</v>
      </c>
      <c r="F276" s="962">
        <f t="shared" si="18"/>
        <v>0</v>
      </c>
      <c r="G276" s="962"/>
      <c r="H276" s="962"/>
      <c r="I276" s="962"/>
      <c r="J276" s="962"/>
      <c r="K276" s="962" t="e">
        <f>VLOOKUP(A276,#REF!,4,FALSE)</f>
        <v>#REF!</v>
      </c>
      <c r="L276" s="963">
        <f t="shared" si="19"/>
        <v>0</v>
      </c>
      <c r="M276" s="964"/>
    </row>
    <row r="277" spans="1:13" ht="18" customHeight="1">
      <c r="A277" s="952" t="e">
        <f>#REF!</f>
        <v>#REF!</v>
      </c>
      <c r="B277" s="960" t="e">
        <f>VLOOKUP(A277,#REF!,2,FALSE)</f>
        <v>#REF!</v>
      </c>
      <c r="C277" s="961" t="e">
        <f>VLOOKUP(A277,#REF!,3,FALSE)</f>
        <v>#REF!</v>
      </c>
      <c r="D277" s="962">
        <f t="shared" si="16"/>
        <v>0</v>
      </c>
      <c r="E277" s="962">
        <f t="shared" si="17"/>
        <v>0</v>
      </c>
      <c r="F277" s="962">
        <f t="shared" si="18"/>
        <v>0</v>
      </c>
      <c r="G277" s="962"/>
      <c r="H277" s="962"/>
      <c r="I277" s="962"/>
      <c r="J277" s="962"/>
      <c r="K277" s="962" t="e">
        <f>VLOOKUP(A277,#REF!,4,FALSE)</f>
        <v>#REF!</v>
      </c>
      <c r="L277" s="963">
        <f t="shared" si="19"/>
        <v>0</v>
      </c>
      <c r="M277" s="964"/>
    </row>
    <row r="278" spans="1:13" ht="18" customHeight="1">
      <c r="A278" s="952" t="e">
        <f>#REF!</f>
        <v>#REF!</v>
      </c>
      <c r="B278" s="960" t="e">
        <f>VLOOKUP(A278,#REF!,2,FALSE)</f>
        <v>#REF!</v>
      </c>
      <c r="C278" s="961" t="e">
        <f>VLOOKUP(A278,#REF!,3,FALSE)</f>
        <v>#REF!</v>
      </c>
      <c r="D278" s="962">
        <f t="shared" si="16"/>
        <v>0</v>
      </c>
      <c r="E278" s="962">
        <f t="shared" si="17"/>
        <v>0</v>
      </c>
      <c r="F278" s="962">
        <f t="shared" si="18"/>
        <v>0</v>
      </c>
      <c r="G278" s="962"/>
      <c r="H278" s="962"/>
      <c r="I278" s="962"/>
      <c r="J278" s="962"/>
      <c r="K278" s="962" t="e">
        <f>VLOOKUP(A278,#REF!,4,FALSE)</f>
        <v>#REF!</v>
      </c>
      <c r="L278" s="963">
        <f t="shared" si="19"/>
        <v>0</v>
      </c>
      <c r="M278" s="964"/>
    </row>
    <row r="279" spans="1:13" ht="18" customHeight="1">
      <c r="A279" s="952" t="e">
        <f>#REF!</f>
        <v>#REF!</v>
      </c>
      <c r="B279" s="960" t="e">
        <f>VLOOKUP(A279,#REF!,2,FALSE)</f>
        <v>#REF!</v>
      </c>
      <c r="C279" s="961" t="e">
        <f>VLOOKUP(A279,#REF!,3,FALSE)</f>
        <v>#REF!</v>
      </c>
      <c r="D279" s="962">
        <f t="shared" si="16"/>
        <v>0</v>
      </c>
      <c r="E279" s="962">
        <f t="shared" si="17"/>
        <v>0</v>
      </c>
      <c r="F279" s="962">
        <f t="shared" si="18"/>
        <v>0</v>
      </c>
      <c r="G279" s="962"/>
      <c r="H279" s="962"/>
      <c r="I279" s="962"/>
      <c r="J279" s="962"/>
      <c r="K279" s="962" t="e">
        <f>VLOOKUP(A279,#REF!,4,FALSE)</f>
        <v>#REF!</v>
      </c>
      <c r="L279" s="963">
        <f t="shared" ref="L279:L282" si="20">INT(SUM(D279:J279))</f>
        <v>0</v>
      </c>
      <c r="M279" s="964"/>
    </row>
    <row r="280" spans="1:13" ht="18" customHeight="1">
      <c r="A280" s="952" t="e">
        <f>#REF!</f>
        <v>#REF!</v>
      </c>
      <c r="B280" s="960" t="e">
        <f>VLOOKUP(A280,#REF!,2,FALSE)</f>
        <v>#REF!</v>
      </c>
      <c r="C280" s="961" t="e">
        <f>VLOOKUP(A280,#REF!,3,FALSE)</f>
        <v>#REF!</v>
      </c>
      <c r="D280" s="962">
        <f t="shared" si="16"/>
        <v>0</v>
      </c>
      <c r="E280" s="962">
        <f t="shared" si="17"/>
        <v>0</v>
      </c>
      <c r="F280" s="962">
        <f t="shared" si="18"/>
        <v>0</v>
      </c>
      <c r="G280" s="962"/>
      <c r="H280" s="962"/>
      <c r="I280" s="962"/>
      <c r="J280" s="962"/>
      <c r="K280" s="962" t="e">
        <f>VLOOKUP(A280,#REF!,4,FALSE)</f>
        <v>#REF!</v>
      </c>
      <c r="L280" s="963">
        <f t="shared" si="20"/>
        <v>0</v>
      </c>
      <c r="M280" s="964"/>
    </row>
    <row r="281" spans="1:13" ht="18" customHeight="1">
      <c r="A281" s="952" t="e">
        <f>#REF!</f>
        <v>#REF!</v>
      </c>
      <c r="B281" s="960" t="e">
        <f>VLOOKUP(A281,#REF!,2,FALSE)</f>
        <v>#REF!</v>
      </c>
      <c r="C281" s="961" t="e">
        <f>VLOOKUP(A281,#REF!,3,FALSE)</f>
        <v>#REF!</v>
      </c>
      <c r="D281" s="962">
        <f t="shared" si="16"/>
        <v>0</v>
      </c>
      <c r="E281" s="962">
        <f t="shared" si="17"/>
        <v>0</v>
      </c>
      <c r="F281" s="962">
        <f t="shared" si="18"/>
        <v>0</v>
      </c>
      <c r="G281" s="962"/>
      <c r="H281" s="962"/>
      <c r="I281" s="962"/>
      <c r="J281" s="962"/>
      <c r="K281" s="962" t="e">
        <f>VLOOKUP(A281,#REF!,4,FALSE)</f>
        <v>#REF!</v>
      </c>
      <c r="L281" s="963">
        <f t="shared" si="20"/>
        <v>0</v>
      </c>
      <c r="M281" s="964"/>
    </row>
    <row r="282" spans="1:13" ht="18" customHeight="1">
      <c r="A282" s="952" t="e">
        <f>#REF!</f>
        <v>#REF!</v>
      </c>
      <c r="B282" s="960" t="e">
        <f>VLOOKUP(A282,#REF!,2,FALSE)</f>
        <v>#REF!</v>
      </c>
      <c r="C282" s="961" t="e">
        <f>VLOOKUP(A282,#REF!,3,FALSE)</f>
        <v>#REF!</v>
      </c>
      <c r="D282" s="962">
        <f t="shared" si="16"/>
        <v>0</v>
      </c>
      <c r="E282" s="962">
        <f t="shared" si="17"/>
        <v>0</v>
      </c>
      <c r="F282" s="962">
        <f t="shared" si="18"/>
        <v>0</v>
      </c>
      <c r="G282" s="962"/>
      <c r="H282" s="962"/>
      <c r="I282" s="962"/>
      <c r="J282" s="962"/>
      <c r="K282" s="962" t="e">
        <f>VLOOKUP(A282,#REF!,4,FALSE)</f>
        <v>#REF!</v>
      </c>
      <c r="L282" s="963">
        <f t="shared" si="20"/>
        <v>0</v>
      </c>
      <c r="M282" s="964"/>
    </row>
    <row r="283" spans="1:13" ht="18" customHeight="1">
      <c r="A283" s="952" t="e">
        <f>#REF!</f>
        <v>#REF!</v>
      </c>
    </row>
    <row r="284" spans="1:13" ht="18" customHeight="1">
      <c r="A284" s="952" t="e">
        <f>#REF!</f>
        <v>#REF!</v>
      </c>
    </row>
    <row r="285" spans="1:13" ht="18" customHeight="1">
      <c r="A285" s="952" t="e">
        <f>#REF!</f>
        <v>#REF!</v>
      </c>
    </row>
    <row r="286" spans="1:13" ht="18" customHeight="1">
      <c r="A286" s="952" t="e">
        <f>#REF!</f>
        <v>#REF!</v>
      </c>
    </row>
    <row r="287" spans="1:13" ht="18" customHeight="1">
      <c r="A287" s="952" t="e">
        <f>#REF!</f>
        <v>#REF!</v>
      </c>
    </row>
    <row r="288" spans="1:13" ht="18" customHeight="1">
      <c r="A288" s="952" t="e">
        <f>#REF!</f>
        <v>#REF!</v>
      </c>
    </row>
    <row r="289" spans="1:1" ht="18" customHeight="1">
      <c r="A289" s="952" t="e">
        <f>#REF!</f>
        <v>#REF!</v>
      </c>
    </row>
    <row r="290" spans="1:1" ht="18" customHeight="1">
      <c r="A290" s="952" t="e">
        <f>#REF!</f>
        <v>#REF!</v>
      </c>
    </row>
    <row r="291" spans="1:1" ht="18" customHeight="1">
      <c r="A291" s="952" t="e">
        <f>#REF!</f>
        <v>#REF!</v>
      </c>
    </row>
    <row r="292" spans="1:1" ht="18" customHeight="1">
      <c r="A292" s="952" t="e">
        <f>#REF!</f>
        <v>#REF!</v>
      </c>
    </row>
    <row r="293" spans="1:1" ht="18" customHeight="1">
      <c r="A293" s="952" t="e">
        <f>#REF!</f>
        <v>#REF!</v>
      </c>
    </row>
    <row r="294" spans="1:1" ht="18" customHeight="1">
      <c r="A294" s="952" t="e">
        <f>#REF!</f>
        <v>#REF!</v>
      </c>
    </row>
    <row r="295" spans="1:1" ht="18" customHeight="1">
      <c r="A295" s="952" t="e">
        <f>#REF!</f>
        <v>#REF!</v>
      </c>
    </row>
    <row r="296" spans="1:1" ht="18" customHeight="1">
      <c r="A296" s="952" t="e">
        <f>#REF!</f>
        <v>#REF!</v>
      </c>
    </row>
    <row r="297" spans="1:1" ht="18" customHeight="1">
      <c r="A297" s="952" t="e">
        <f>#REF!</f>
        <v>#REF!</v>
      </c>
    </row>
  </sheetData>
  <mergeCells count="7">
    <mergeCell ref="B2:M2"/>
    <mergeCell ref="B3:B4"/>
    <mergeCell ref="C3:C4"/>
    <mergeCell ref="D3:J3"/>
    <mergeCell ref="K3:K4"/>
    <mergeCell ref="L3:L4"/>
    <mergeCell ref="M3:M4"/>
  </mergeCells>
  <phoneticPr fontId="4" type="noConversion"/>
  <printOptions horizontalCentered="1" verticalCentered="1"/>
  <pageMargins left="0.59055118110236227" right="0.39370078740157483" top="0.59055118110236227" bottom="0.78740157480314965" header="0.39370078740157483" footer="0.19685039370078741"/>
  <pageSetup paperSize="9" scale="38" orientation="landscape" r:id="rId1"/>
  <headerFooter alignWithMargins="0">
    <oddHeader xml:space="preserve">&amp;C&amp;"맑은 고딕,굵게"&amp;20&amp;U 산 출 집 계 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5">
    <tabColor rgb="FFFF9797"/>
  </sheetPr>
  <dimension ref="A1:I37"/>
  <sheetViews>
    <sheetView showZeros="0" view="pageBreakPreview" zoomScaleSheetLayoutView="100" workbookViewId="0">
      <pane xSplit="1" ySplit="3" topLeftCell="B4" activePane="bottomRight" state="frozen"/>
      <selection activeCell="F13" sqref="F13:J13"/>
      <selection pane="topRight" activeCell="F13" sqref="F13:J13"/>
      <selection pane="bottomLeft" activeCell="F13" sqref="F13:J13"/>
      <selection pane="bottomRight" activeCell="C25" sqref="C25"/>
    </sheetView>
  </sheetViews>
  <sheetFormatPr defaultColWidth="8.88671875" defaultRowHeight="18" customHeight="1"/>
  <cols>
    <col min="1" max="1" width="15.77734375" style="458" customWidth="1"/>
    <col min="2" max="2" width="39.77734375" style="414" customWidth="1"/>
    <col min="3" max="3" width="28.77734375" style="474" customWidth="1"/>
    <col min="4" max="4" width="60.77734375" style="414" customWidth="1"/>
    <col min="5" max="5" width="7.5546875" style="414" customWidth="1"/>
    <col min="6" max="6" width="10.21875" style="433" customWidth="1"/>
    <col min="7" max="7" width="9" style="414" customWidth="1"/>
    <col min="8" max="8" width="15.5546875" style="414" customWidth="1"/>
    <col min="9" max="9" width="16.109375" style="414" customWidth="1"/>
    <col min="10" max="10" width="16.44140625" style="414" customWidth="1"/>
    <col min="11" max="16384" width="8.88671875" style="414"/>
  </cols>
  <sheetData>
    <row r="1" spans="1:9" ht="11.25" customHeight="1"/>
    <row r="2" spans="1:9" ht="23.1" customHeight="1">
      <c r="B2" s="1323" t="e">
        <f>#REF!</f>
        <v>#REF!</v>
      </c>
      <c r="C2" s="1324"/>
      <c r="D2" s="1324"/>
      <c r="E2" s="1324"/>
      <c r="F2" s="1324"/>
      <c r="G2" s="1324"/>
    </row>
    <row r="3" spans="1:9" s="432" customFormat="1" ht="18" customHeight="1">
      <c r="A3" s="458"/>
      <c r="B3" s="459" t="s">
        <v>32</v>
      </c>
      <c r="C3" s="481" t="s">
        <v>33</v>
      </c>
      <c r="D3" s="460" t="s">
        <v>521</v>
      </c>
      <c r="E3" s="460" t="s">
        <v>30</v>
      </c>
      <c r="F3" s="461" t="s">
        <v>34</v>
      </c>
      <c r="G3" s="462" t="s">
        <v>35</v>
      </c>
      <c r="H3" s="434"/>
      <c r="I3" s="463"/>
    </row>
    <row r="4" spans="1:9" s="432" customFormat="1" ht="18" customHeight="1">
      <c r="A4" s="653" t="s">
        <v>727</v>
      </c>
      <c r="B4" s="601" t="s">
        <v>755</v>
      </c>
      <c r="C4" s="602"/>
      <c r="D4" s="603"/>
      <c r="E4" s="603"/>
      <c r="F4" s="604"/>
      <c r="G4" s="603"/>
    </row>
    <row r="5" spans="1:9" s="432" customFormat="1" ht="18" customHeight="1">
      <c r="A5" s="653"/>
      <c r="B5" s="1370" t="s">
        <v>821</v>
      </c>
      <c r="C5" s="1370"/>
      <c r="D5" s="588"/>
      <c r="E5" s="589" t="s">
        <v>698</v>
      </c>
      <c r="F5" s="605">
        <f t="shared" ref="F5" si="0">INT(dhTextEvaluate(D5))</f>
        <v>0</v>
      </c>
      <c r="G5" s="1371" t="s">
        <v>595</v>
      </c>
    </row>
    <row r="6" spans="1:9" s="432" customFormat="1" ht="18" customHeight="1">
      <c r="A6" s="653"/>
      <c r="B6" s="1370" t="s">
        <v>825</v>
      </c>
      <c r="C6" s="1370"/>
      <c r="D6" s="588"/>
      <c r="E6" s="589" t="s">
        <v>698</v>
      </c>
      <c r="F6" s="605">
        <f t="shared" ref="F6:F10" si="1">INT(dhTextEvaluate(D6))</f>
        <v>0</v>
      </c>
      <c r="G6" s="1371"/>
    </row>
    <row r="7" spans="1:9" s="432" customFormat="1" ht="18" customHeight="1">
      <c r="A7" s="653"/>
      <c r="B7" s="1370" t="s">
        <v>826</v>
      </c>
      <c r="C7" s="1370"/>
      <c r="D7" s="588"/>
      <c r="E7" s="589" t="s">
        <v>698</v>
      </c>
      <c r="F7" s="605">
        <f t="shared" si="1"/>
        <v>0</v>
      </c>
      <c r="G7" s="1371"/>
    </row>
    <row r="8" spans="1:9" s="432" customFormat="1" ht="18" customHeight="1">
      <c r="A8" s="653"/>
      <c r="B8" s="1370" t="s">
        <v>827</v>
      </c>
      <c r="C8" s="1370"/>
      <c r="D8" s="588"/>
      <c r="E8" s="589" t="s">
        <v>698</v>
      </c>
      <c r="F8" s="605">
        <f t="shared" si="1"/>
        <v>0</v>
      </c>
      <c r="G8" s="1371"/>
    </row>
    <row r="9" spans="1:9" s="432" customFormat="1" ht="18" customHeight="1">
      <c r="A9" s="653"/>
      <c r="B9" s="880"/>
      <c r="C9" s="880"/>
      <c r="D9" s="588"/>
      <c r="E9" s="589"/>
      <c r="F9" s="605"/>
      <c r="G9" s="1371"/>
    </row>
    <row r="10" spans="1:9" s="432" customFormat="1" ht="18" customHeight="1">
      <c r="A10" s="653"/>
      <c r="B10" s="1370" t="s">
        <v>822</v>
      </c>
      <c r="C10" s="1370"/>
      <c r="D10" s="588"/>
      <c r="E10" s="589" t="s">
        <v>698</v>
      </c>
      <c r="F10" s="605">
        <f t="shared" si="1"/>
        <v>0</v>
      </c>
      <c r="G10" s="1371"/>
    </row>
    <row r="11" spans="1:9" s="432" customFormat="1" ht="18" customHeight="1">
      <c r="A11" s="653"/>
      <c r="B11" s="880"/>
      <c r="C11" s="880"/>
      <c r="D11" s="588"/>
      <c r="E11" s="589"/>
      <c r="F11" s="605"/>
      <c r="G11" s="606"/>
    </row>
    <row r="12" spans="1:9" s="432" customFormat="1" ht="18" customHeight="1">
      <c r="A12" s="653"/>
      <c r="B12" s="607"/>
      <c r="C12" s="608"/>
      <c r="D12" s="609"/>
      <c r="E12" s="589"/>
      <c r="F12" s="605"/>
      <c r="G12" s="879"/>
      <c r="H12" s="465">
        <f t="shared" ref="H12" si="2">F12</f>
        <v>0</v>
      </c>
    </row>
    <row r="13" spans="1:9" s="432" customFormat="1" ht="18" customHeight="1">
      <c r="A13" s="653"/>
      <c r="B13" s="607"/>
      <c r="C13" s="608"/>
      <c r="D13" s="609"/>
      <c r="E13" s="589"/>
      <c r="F13" s="605"/>
      <c r="G13" s="879"/>
      <c r="H13" s="465">
        <f t="shared" ref="H13" si="3">F13</f>
        <v>0</v>
      </c>
    </row>
    <row r="14" spans="1:9" s="432" customFormat="1" ht="18" customHeight="1">
      <c r="A14" s="475"/>
      <c r="B14" s="607"/>
      <c r="C14" s="608"/>
      <c r="D14" s="609"/>
      <c r="E14" s="589"/>
      <c r="F14" s="605"/>
      <c r="G14" s="879"/>
      <c r="H14" s="465"/>
    </row>
    <row r="15" spans="1:9" s="432" customFormat="1" ht="18" customHeight="1">
      <c r="A15" s="475"/>
      <c r="B15" s="607"/>
      <c r="C15" s="608"/>
      <c r="D15" s="609"/>
      <c r="E15" s="589"/>
      <c r="F15" s="605"/>
      <c r="G15" s="879"/>
      <c r="H15" s="465"/>
    </row>
    <row r="16" spans="1:9" s="432" customFormat="1" ht="18" customHeight="1">
      <c r="A16" s="475"/>
      <c r="B16" s="607"/>
      <c r="C16" s="608"/>
      <c r="D16" s="609"/>
      <c r="E16" s="589"/>
      <c r="F16" s="605"/>
      <c r="G16" s="879"/>
      <c r="H16" s="465"/>
    </row>
    <row r="17" spans="1:8" s="432" customFormat="1" ht="18" customHeight="1">
      <c r="A17" s="475"/>
      <c r="B17" s="607"/>
      <c r="C17" s="608"/>
      <c r="D17" s="609"/>
      <c r="E17" s="589"/>
      <c r="F17" s="605"/>
      <c r="G17" s="879"/>
      <c r="H17" s="465"/>
    </row>
    <row r="18" spans="1:8" s="432" customFormat="1" ht="18" customHeight="1">
      <c r="A18" s="475"/>
      <c r="B18" s="607"/>
      <c r="C18" s="608"/>
      <c r="D18" s="609"/>
      <c r="E18" s="589"/>
      <c r="F18" s="605"/>
      <c r="G18" s="879"/>
      <c r="H18" s="465"/>
    </row>
    <row r="19" spans="1:8" s="432" customFormat="1" ht="18" customHeight="1">
      <c r="A19" s="475"/>
      <c r="B19" s="607"/>
      <c r="C19" s="608"/>
      <c r="D19" s="609"/>
      <c r="E19" s="589"/>
      <c r="F19" s="605"/>
      <c r="G19" s="879"/>
      <c r="H19" s="465"/>
    </row>
    <row r="20" spans="1:8" s="432" customFormat="1" ht="18" customHeight="1">
      <c r="A20" s="475"/>
      <c r="B20" s="607"/>
      <c r="C20" s="608"/>
      <c r="D20" s="609"/>
      <c r="E20" s="589"/>
      <c r="F20" s="605"/>
      <c r="G20" s="879"/>
      <c r="H20" s="465"/>
    </row>
    <row r="21" spans="1:8" s="432" customFormat="1" ht="18" customHeight="1">
      <c r="A21" s="475"/>
      <c r="B21" s="607"/>
      <c r="C21" s="608"/>
      <c r="D21" s="609"/>
      <c r="E21" s="589"/>
      <c r="F21" s="605"/>
      <c r="G21" s="879"/>
      <c r="H21" s="465"/>
    </row>
    <row r="22" spans="1:8" s="432" customFormat="1" ht="18" customHeight="1">
      <c r="A22" s="475"/>
      <c r="B22" s="607"/>
      <c r="C22" s="608"/>
      <c r="D22" s="609"/>
      <c r="E22" s="589"/>
      <c r="F22" s="605"/>
      <c r="G22" s="879"/>
      <c r="H22" s="465"/>
    </row>
    <row r="23" spans="1:8" s="432" customFormat="1" ht="18" customHeight="1">
      <c r="A23" s="475"/>
      <c r="B23" s="607"/>
      <c r="C23" s="608"/>
      <c r="D23" s="609"/>
      <c r="E23" s="589"/>
      <c r="F23" s="605"/>
      <c r="G23" s="879"/>
      <c r="H23" s="465"/>
    </row>
    <row r="24" spans="1:8" s="432" customFormat="1" ht="18" customHeight="1">
      <c r="A24" s="475"/>
      <c r="B24" s="607"/>
      <c r="C24" s="608"/>
      <c r="D24" s="609"/>
      <c r="E24" s="589"/>
      <c r="F24" s="605"/>
      <c r="G24" s="879"/>
      <c r="H24" s="465"/>
    </row>
    <row r="25" spans="1:8" s="432" customFormat="1" ht="18" customHeight="1">
      <c r="A25" s="475"/>
      <c r="B25" s="607"/>
      <c r="C25" s="608"/>
      <c r="D25" s="609"/>
      <c r="E25" s="589"/>
      <c r="F25" s="605"/>
      <c r="G25" s="879"/>
      <c r="H25" s="465"/>
    </row>
    <row r="26" spans="1:8" s="432" customFormat="1" ht="18" customHeight="1">
      <c r="A26" s="475"/>
      <c r="B26" s="607"/>
      <c r="C26" s="608"/>
      <c r="D26" s="609"/>
      <c r="E26" s="589"/>
      <c r="F26" s="605"/>
      <c r="G26" s="879"/>
      <c r="H26" s="465"/>
    </row>
    <row r="27" spans="1:8" s="432" customFormat="1" ht="18" customHeight="1">
      <c r="A27" s="653"/>
      <c r="B27" s="880"/>
      <c r="C27" s="880"/>
      <c r="D27" s="588"/>
      <c r="E27" s="589"/>
      <c r="F27" s="605"/>
      <c r="G27" s="606"/>
    </row>
    <row r="28" spans="1:8" s="432" customFormat="1" ht="18" customHeight="1">
      <c r="A28" s="653"/>
      <c r="B28" s="880"/>
      <c r="C28" s="880"/>
      <c r="D28" s="588"/>
      <c r="E28" s="589"/>
      <c r="F28" s="605"/>
      <c r="G28" s="606"/>
    </row>
    <row r="29" spans="1:8" s="432" customFormat="1" ht="18" customHeight="1">
      <c r="A29" s="653"/>
      <c r="B29" s="880"/>
      <c r="C29" s="880"/>
      <c r="D29" s="588"/>
      <c r="E29" s="589"/>
      <c r="F29" s="605"/>
      <c r="G29" s="606"/>
    </row>
    <row r="30" spans="1:8" s="432" customFormat="1" ht="18" customHeight="1">
      <c r="A30" s="475"/>
      <c r="B30" s="607"/>
      <c r="C30" s="608"/>
      <c r="D30" s="609"/>
      <c r="E30" s="589"/>
      <c r="F30" s="605"/>
      <c r="G30" s="879"/>
      <c r="H30" s="465"/>
    </row>
    <row r="31" spans="1:8" s="432" customFormat="1" ht="18" customHeight="1">
      <c r="A31" s="475"/>
      <c r="B31" s="607"/>
      <c r="C31" s="608"/>
      <c r="D31" s="609"/>
      <c r="E31" s="589"/>
      <c r="F31" s="605"/>
      <c r="G31" s="879"/>
      <c r="H31" s="465"/>
    </row>
    <row r="32" spans="1:8" s="432" customFormat="1" ht="18" customHeight="1">
      <c r="A32" s="475"/>
      <c r="B32" s="607"/>
      <c r="C32" s="608"/>
      <c r="D32" s="609"/>
      <c r="E32" s="589"/>
      <c r="F32" s="605"/>
      <c r="G32" s="879"/>
      <c r="H32" s="465"/>
    </row>
    <row r="33" spans="1:9" s="432" customFormat="1" ht="18" customHeight="1">
      <c r="A33" s="475"/>
      <c r="B33" s="607"/>
      <c r="C33" s="608"/>
      <c r="D33" s="609"/>
      <c r="E33" s="589"/>
      <c r="F33" s="605"/>
      <c r="G33" s="879"/>
      <c r="H33" s="465"/>
    </row>
    <row r="34" spans="1:9" s="432" customFormat="1" ht="18" customHeight="1">
      <c r="A34" s="475"/>
      <c r="B34" s="607"/>
      <c r="C34" s="608"/>
      <c r="D34" s="609"/>
      <c r="E34" s="589"/>
      <c r="F34" s="605"/>
      <c r="G34" s="879"/>
      <c r="H34" s="465"/>
    </row>
    <row r="35" spans="1:9" s="432" customFormat="1" ht="18" customHeight="1">
      <c r="A35" s="475"/>
      <c r="B35" s="607"/>
      <c r="C35" s="608"/>
      <c r="D35" s="609"/>
      <c r="E35" s="589"/>
      <c r="F35" s="605"/>
      <c r="G35" s="879"/>
      <c r="H35" s="465"/>
    </row>
    <row r="36" spans="1:9" s="432" customFormat="1" ht="18" customHeight="1">
      <c r="A36" s="475"/>
      <c r="B36" s="607"/>
      <c r="C36" s="608"/>
      <c r="D36" s="609"/>
      <c r="E36" s="589"/>
      <c r="F36" s="605"/>
      <c r="G36" s="879"/>
      <c r="H36" s="465"/>
    </row>
    <row r="37" spans="1:9" s="435" customFormat="1" ht="18" customHeight="1">
      <c r="A37" s="475"/>
      <c r="B37" s="610"/>
      <c r="C37" s="611"/>
      <c r="D37" s="612"/>
      <c r="E37" s="592"/>
      <c r="F37" s="613"/>
      <c r="G37" s="592"/>
      <c r="H37" s="464"/>
      <c r="I37" s="465"/>
    </row>
  </sheetData>
  <mergeCells count="7">
    <mergeCell ref="B2:G2"/>
    <mergeCell ref="B5:C5"/>
    <mergeCell ref="G5:G10"/>
    <mergeCell ref="B6:C6"/>
    <mergeCell ref="B7:C7"/>
    <mergeCell ref="B8:C8"/>
    <mergeCell ref="B10:C10"/>
  </mergeCells>
  <phoneticPr fontId="4" type="noConversion"/>
  <printOptions horizontalCentered="1" verticalCentered="1"/>
  <pageMargins left="0.59055118110236227" right="0.39370078740157483" top="0.59055118110236227" bottom="0.59055118110236227" header="0.39370078740157483" footer="0.19685039370078741"/>
  <pageSetup paperSize="9" scale="76" orientation="landscape" r:id="rId1"/>
  <headerFooter alignWithMargins="0">
    <oddHeader>&amp;C&amp;"맑은 고딕,굵게"&amp;20&amp;U수 량 산 출 서 [고재처리비]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2"/>
  <dimension ref="A1:Q31"/>
  <sheetViews>
    <sheetView view="pageBreakPreview" zoomScale="42" zoomScaleSheetLayoutView="42" workbookViewId="0">
      <selection activeCell="A10" sqref="A10"/>
    </sheetView>
  </sheetViews>
  <sheetFormatPr defaultColWidth="8.88671875" defaultRowHeight="13.5"/>
  <cols>
    <col min="1" max="15" width="7.44140625" style="2" customWidth="1"/>
    <col min="16" max="16" width="2.88671875" style="2" customWidth="1"/>
    <col min="17" max="17" width="13.6640625" style="2" customWidth="1"/>
    <col min="18" max="18" width="10.5546875" style="2" bestFit="1" customWidth="1"/>
    <col min="19" max="16384" width="8.88671875" style="2"/>
  </cols>
  <sheetData>
    <row r="1" spans="1:17" ht="27" customHeight="1"/>
    <row r="2" spans="1:17" ht="27" customHeight="1"/>
    <row r="3" spans="1:17" ht="27" customHeight="1"/>
    <row r="4" spans="1:17" ht="27" customHeight="1">
      <c r="B4" s="3"/>
    </row>
    <row r="5" spans="1:17" ht="21.75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</row>
    <row r="6" spans="1:17" ht="22.5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7" s="6" customFormat="1" ht="40.5" customHeight="1">
      <c r="A7" s="1320" t="s">
        <v>283</v>
      </c>
      <c r="B7" s="1320"/>
      <c r="C7" s="1320"/>
      <c r="D7" s="1320"/>
      <c r="E7" s="1320"/>
      <c r="F7" s="1320"/>
      <c r="G7" s="1320"/>
      <c r="H7" s="1320"/>
      <c r="I7" s="1320"/>
      <c r="J7" s="1320"/>
      <c r="K7" s="1320"/>
      <c r="L7" s="1320"/>
      <c r="M7" s="1320"/>
      <c r="N7" s="1320"/>
      <c r="O7" s="1320"/>
    </row>
    <row r="8" spans="1:17" ht="20.25" customHeight="1">
      <c r="A8" s="9"/>
      <c r="B8" s="11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spans="1:17" ht="27" customHeight="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7" ht="27" customHeight="1">
      <c r="B10" s="5"/>
      <c r="H10" s="4"/>
      <c r="Q10" s="7"/>
    </row>
    <row r="11" spans="1:17" ht="27" customHeight="1">
      <c r="Q11" s="8"/>
    </row>
    <row r="12" spans="1:17" ht="27" customHeight="1">
      <c r="Q12" s="8"/>
    </row>
    <row r="13" spans="1:17" ht="27" customHeight="1">
      <c r="Q13" s="8"/>
    </row>
    <row r="14" spans="1:17" ht="27" customHeight="1">
      <c r="Q14" s="8"/>
    </row>
    <row r="15" spans="1:17" ht="27" customHeight="1"/>
    <row r="16" spans="1:17" ht="27" customHeight="1"/>
    <row r="17" spans="3:3" ht="27" customHeight="1"/>
    <row r="18" spans="3:3" ht="27" customHeight="1"/>
    <row r="19" spans="3:3" ht="27" customHeight="1"/>
    <row r="20" spans="3:3" ht="27" customHeight="1"/>
    <row r="21" spans="3:3" ht="27" customHeight="1"/>
    <row r="22" spans="3:3" ht="27" customHeight="1">
      <c r="C22" s="9"/>
    </row>
    <row r="23" spans="3:3" ht="27" customHeight="1"/>
    <row r="24" spans="3:3" ht="27" customHeight="1"/>
    <row r="25" spans="3:3" ht="27" customHeight="1"/>
    <row r="26" spans="3:3" ht="27" customHeight="1"/>
    <row r="27" spans="3:3" ht="27" customHeight="1"/>
    <row r="28" spans="3:3" ht="27" customHeight="1"/>
    <row r="29" spans="3:3" ht="27" customHeight="1"/>
    <row r="30" spans="3:3" ht="27" customHeight="1"/>
    <row r="31" spans="3:3" ht="27" customHeight="1"/>
  </sheetData>
  <mergeCells count="1">
    <mergeCell ref="A7:O7"/>
  </mergeCells>
  <phoneticPr fontId="4" type="noConversion"/>
  <pageMargins left="0.9" right="0.64" top="1" bottom="1" header="0.5" footer="0.5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7">
    <tabColor rgb="FF00B050"/>
  </sheetPr>
  <dimension ref="A1:R25"/>
  <sheetViews>
    <sheetView showZeros="0" view="pageBreakPreview" zoomScaleSheetLayoutView="100" workbookViewId="0">
      <selection activeCell="K14" sqref="K14"/>
    </sheetView>
  </sheetViews>
  <sheetFormatPr defaultColWidth="8.88671875" defaultRowHeight="18" customHeight="1"/>
  <cols>
    <col min="1" max="1" width="22.88671875" style="414" customWidth="1"/>
    <col min="2" max="2" width="15.44140625" style="430" customWidth="1"/>
    <col min="3" max="3" width="11.109375" style="430" customWidth="1"/>
    <col min="4" max="4" width="4.109375" style="414" customWidth="1"/>
    <col min="5" max="8" width="6.21875" style="414" customWidth="1"/>
    <col min="9" max="9" width="5.21875" style="414" customWidth="1"/>
    <col min="10" max="13" width="6.21875" style="414" customWidth="1"/>
    <col min="14" max="14" width="5.21875" style="414" customWidth="1"/>
    <col min="15" max="17" width="6.21875" style="414" customWidth="1"/>
    <col min="18" max="18" width="5.33203125" style="414" customWidth="1"/>
    <col min="19" max="16384" width="8.88671875" style="414"/>
  </cols>
  <sheetData>
    <row r="1" spans="1:18" ht="11.25" customHeight="1"/>
    <row r="2" spans="1:18" ht="23.1" customHeight="1">
      <c r="B2" s="1323" t="e">
        <f>#REF!</f>
        <v>#REF!</v>
      </c>
      <c r="C2" s="1324"/>
      <c r="D2" s="1324"/>
      <c r="E2" s="1324"/>
      <c r="F2" s="1324"/>
      <c r="G2" s="1324"/>
      <c r="H2" s="1324"/>
      <c r="I2" s="1324"/>
      <c r="J2" s="1324"/>
      <c r="K2" s="1324"/>
      <c r="L2" s="1324"/>
      <c r="M2" s="1324"/>
      <c r="N2" s="1324"/>
      <c r="O2" s="1324"/>
      <c r="P2" s="1324"/>
      <c r="Q2" s="1324"/>
      <c r="R2" s="1324"/>
    </row>
    <row r="3" spans="1:18" s="432" customFormat="1" ht="20.100000000000001" customHeight="1">
      <c r="B3" s="1373" t="s">
        <v>518</v>
      </c>
      <c r="C3" s="1373" t="s">
        <v>519</v>
      </c>
      <c r="D3" s="1373" t="s">
        <v>505</v>
      </c>
      <c r="E3" s="1375" t="s">
        <v>872</v>
      </c>
      <c r="F3" s="1373"/>
      <c r="G3" s="1373"/>
      <c r="H3" s="1373"/>
      <c r="I3" s="1373"/>
      <c r="J3" s="1375" t="s">
        <v>871</v>
      </c>
      <c r="K3" s="1373"/>
      <c r="L3" s="1373"/>
      <c r="M3" s="1373"/>
      <c r="N3" s="1373"/>
      <c r="O3" s="1373" t="s">
        <v>522</v>
      </c>
      <c r="P3" s="1373"/>
      <c r="Q3" s="1373"/>
      <c r="R3" s="1373" t="s">
        <v>520</v>
      </c>
    </row>
    <row r="4" spans="1:18" s="435" customFormat="1" ht="20.100000000000001" customHeight="1">
      <c r="B4" s="1374"/>
      <c r="C4" s="1374"/>
      <c r="D4" s="1374"/>
      <c r="E4" s="581" t="s">
        <v>379</v>
      </c>
      <c r="F4" s="581" t="s">
        <v>378</v>
      </c>
      <c r="G4" s="581" t="s">
        <v>523</v>
      </c>
      <c r="H4" s="581" t="s">
        <v>524</v>
      </c>
      <c r="I4" s="581" t="s">
        <v>525</v>
      </c>
      <c r="J4" s="581" t="s">
        <v>379</v>
      </c>
      <c r="K4" s="581" t="s">
        <v>378</v>
      </c>
      <c r="L4" s="581" t="s">
        <v>523</v>
      </c>
      <c r="M4" s="581" t="s">
        <v>524</v>
      </c>
      <c r="N4" s="581" t="s">
        <v>525</v>
      </c>
      <c r="O4" s="581" t="s">
        <v>379</v>
      </c>
      <c r="P4" s="581" t="s">
        <v>378</v>
      </c>
      <c r="Q4" s="581" t="s">
        <v>523</v>
      </c>
      <c r="R4" s="1374"/>
    </row>
    <row r="5" spans="1:18" s="436" customFormat="1" ht="20.100000000000001" customHeight="1">
      <c r="A5" s="440" t="str">
        <f t="shared" ref="A5:A6" si="0">CONCATENATE(B5,C5)</f>
        <v>용접기 손료교류200Amp</v>
      </c>
      <c r="B5" s="582" t="s">
        <v>723</v>
      </c>
      <c r="C5" s="582" t="s">
        <v>860</v>
      </c>
      <c r="D5" s="583" t="s">
        <v>724</v>
      </c>
      <c r="E5" s="584"/>
      <c r="F5" s="584"/>
      <c r="G5" s="584">
        <v>370</v>
      </c>
      <c r="H5" s="584">
        <f>E5+F5+G5</f>
        <v>370</v>
      </c>
      <c r="I5" s="585">
        <v>170</v>
      </c>
      <c r="J5" s="585"/>
      <c r="K5" s="585"/>
      <c r="L5" s="584"/>
      <c r="M5" s="584"/>
      <c r="N5" s="585"/>
      <c r="O5" s="584">
        <f t="shared" ref="O5:Q5" si="1">MIN(E5,J5)</f>
        <v>0</v>
      </c>
      <c r="P5" s="584">
        <f t="shared" si="1"/>
        <v>0</v>
      </c>
      <c r="Q5" s="584">
        <f t="shared" si="1"/>
        <v>370</v>
      </c>
      <c r="R5" s="586"/>
    </row>
    <row r="6" spans="1:18" s="436" customFormat="1" ht="20.100000000000001" customHeight="1">
      <c r="A6" s="440" t="str">
        <f t="shared" si="0"/>
        <v>전력량산업용</v>
      </c>
      <c r="B6" s="582" t="s">
        <v>868</v>
      </c>
      <c r="C6" s="582" t="s">
        <v>869</v>
      </c>
      <c r="D6" s="583" t="s">
        <v>870</v>
      </c>
      <c r="E6" s="584"/>
      <c r="F6" s="584"/>
      <c r="G6" s="587">
        <v>85.9</v>
      </c>
      <c r="H6" s="587">
        <f t="shared" ref="H6" si="2">E6+F6+G6</f>
        <v>85.9</v>
      </c>
      <c r="I6" s="585">
        <v>326</v>
      </c>
      <c r="J6" s="584"/>
      <c r="K6" s="584"/>
      <c r="L6" s="587"/>
      <c r="M6" s="584"/>
      <c r="N6" s="584"/>
      <c r="O6" s="584">
        <f t="shared" ref="O6" si="3">MIN(E6,J6)</f>
        <v>0</v>
      </c>
      <c r="P6" s="584">
        <f t="shared" ref="P6" si="4">MIN(F6,K6)</f>
        <v>0</v>
      </c>
      <c r="Q6" s="584">
        <f t="shared" ref="Q6" si="5">MIN(G6,L6)</f>
        <v>85.9</v>
      </c>
      <c r="R6" s="586"/>
    </row>
    <row r="7" spans="1:18" s="436" customFormat="1" ht="20.100000000000001" customHeight="1">
      <c r="A7" s="440"/>
      <c r="B7" s="582"/>
      <c r="C7" s="582"/>
      <c r="D7" s="583"/>
      <c r="E7" s="584"/>
      <c r="F7" s="584"/>
      <c r="G7" s="584"/>
      <c r="H7" s="584"/>
      <c r="I7" s="585"/>
      <c r="J7" s="584"/>
      <c r="K7" s="584"/>
      <c r="L7" s="587"/>
      <c r="M7" s="584"/>
      <c r="N7" s="584"/>
      <c r="O7" s="584"/>
      <c r="P7" s="584"/>
      <c r="Q7" s="584"/>
      <c r="R7" s="586"/>
    </row>
    <row r="8" spans="1:18" s="436" customFormat="1" ht="20.100000000000001" customHeight="1">
      <c r="A8" s="440"/>
      <c r="B8" s="582"/>
      <c r="C8" s="582"/>
      <c r="D8" s="583"/>
      <c r="E8" s="584"/>
      <c r="F8" s="584"/>
      <c r="G8" s="584"/>
      <c r="H8" s="584"/>
      <c r="I8" s="585"/>
      <c r="J8" s="584"/>
      <c r="K8" s="584"/>
      <c r="L8" s="587"/>
      <c r="M8" s="584"/>
      <c r="N8" s="584"/>
      <c r="O8" s="584"/>
      <c r="P8" s="584"/>
      <c r="Q8" s="584"/>
      <c r="R8" s="586"/>
    </row>
    <row r="9" spans="1:18" s="436" customFormat="1" ht="20.100000000000001" customHeight="1">
      <c r="B9" s="582"/>
      <c r="C9" s="582"/>
      <c r="D9" s="583"/>
      <c r="E9" s="584"/>
      <c r="F9" s="584"/>
      <c r="G9" s="584"/>
      <c r="H9" s="584"/>
      <c r="I9" s="585"/>
      <c r="J9" s="585"/>
      <c r="K9" s="585"/>
      <c r="L9" s="585"/>
      <c r="M9" s="584"/>
      <c r="N9" s="585"/>
      <c r="O9" s="584"/>
      <c r="P9" s="584"/>
      <c r="Q9" s="584"/>
      <c r="R9" s="586"/>
    </row>
    <row r="10" spans="1:18" s="436" customFormat="1" ht="20.100000000000001" customHeight="1">
      <c r="B10" s="582"/>
      <c r="C10" s="582"/>
      <c r="D10" s="583"/>
      <c r="E10" s="584"/>
      <c r="F10" s="584"/>
      <c r="G10" s="584"/>
      <c r="H10" s="584"/>
      <c r="I10" s="585"/>
      <c r="J10" s="585"/>
      <c r="K10" s="585"/>
      <c r="L10" s="585"/>
      <c r="M10" s="584"/>
      <c r="N10" s="585"/>
      <c r="O10" s="584"/>
      <c r="P10" s="584"/>
      <c r="Q10" s="584"/>
      <c r="R10" s="586"/>
    </row>
    <row r="11" spans="1:18" s="436" customFormat="1" ht="20.100000000000001" customHeight="1">
      <c r="B11" s="582"/>
      <c r="C11" s="582"/>
      <c r="D11" s="583"/>
      <c r="E11" s="584"/>
      <c r="F11" s="584"/>
      <c r="G11" s="584"/>
      <c r="H11" s="584"/>
      <c r="I11" s="585"/>
      <c r="J11" s="585"/>
      <c r="K11" s="585"/>
      <c r="L11" s="585"/>
      <c r="M11" s="584"/>
      <c r="N11" s="585"/>
      <c r="O11" s="584"/>
      <c r="P11" s="584"/>
      <c r="Q11" s="584"/>
      <c r="R11" s="586"/>
    </row>
    <row r="12" spans="1:18" s="436" customFormat="1" ht="20.100000000000001" customHeight="1">
      <c r="B12" s="582"/>
      <c r="C12" s="582"/>
      <c r="D12" s="583"/>
      <c r="E12" s="584"/>
      <c r="F12" s="584"/>
      <c r="G12" s="584"/>
      <c r="H12" s="584"/>
      <c r="I12" s="585"/>
      <c r="J12" s="585"/>
      <c r="K12" s="585"/>
      <c r="L12" s="585"/>
      <c r="M12" s="584"/>
      <c r="N12" s="585"/>
      <c r="O12" s="584"/>
      <c r="P12" s="584"/>
      <c r="Q12" s="584"/>
      <c r="R12" s="586"/>
    </row>
    <row r="13" spans="1:18" s="436" customFormat="1" ht="20.100000000000001" customHeight="1">
      <c r="B13" s="582"/>
      <c r="C13" s="582"/>
      <c r="D13" s="583"/>
      <c r="E13" s="584"/>
      <c r="F13" s="584"/>
      <c r="G13" s="584"/>
      <c r="H13" s="584"/>
      <c r="I13" s="585"/>
      <c r="J13" s="585"/>
      <c r="K13" s="585"/>
      <c r="L13" s="585"/>
      <c r="M13" s="584"/>
      <c r="N13" s="585"/>
      <c r="O13" s="584"/>
      <c r="P13" s="584"/>
      <c r="Q13" s="584"/>
      <c r="R13" s="586"/>
    </row>
    <row r="14" spans="1:18" s="436" customFormat="1" ht="20.100000000000001" customHeight="1">
      <c r="B14" s="582"/>
      <c r="C14" s="582"/>
      <c r="D14" s="583"/>
      <c r="E14" s="584"/>
      <c r="F14" s="584"/>
      <c r="G14" s="584"/>
      <c r="H14" s="584"/>
      <c r="I14" s="585"/>
      <c r="J14" s="585"/>
      <c r="K14" s="585"/>
      <c r="L14" s="585"/>
      <c r="M14" s="584"/>
      <c r="N14" s="585"/>
      <c r="O14" s="584"/>
      <c r="P14" s="584"/>
      <c r="Q14" s="584"/>
      <c r="R14" s="586"/>
    </row>
    <row r="15" spans="1:18" s="438" customFormat="1" ht="20.100000000000001" customHeight="1">
      <c r="A15" s="437"/>
      <c r="B15" s="588"/>
      <c r="C15" s="588"/>
      <c r="D15" s="589"/>
      <c r="E15" s="589"/>
      <c r="F15" s="589"/>
      <c r="G15" s="589"/>
      <c r="H15" s="589"/>
      <c r="I15" s="589"/>
      <c r="J15" s="589"/>
      <c r="K15" s="589"/>
      <c r="L15" s="589"/>
      <c r="M15" s="589"/>
      <c r="N15" s="589"/>
      <c r="O15" s="589"/>
      <c r="P15" s="589"/>
      <c r="Q15" s="589"/>
      <c r="R15" s="589"/>
    </row>
    <row r="16" spans="1:18" s="438" customFormat="1" ht="20.100000000000001" customHeight="1">
      <c r="A16" s="437"/>
      <c r="B16" s="588"/>
      <c r="C16" s="588"/>
      <c r="D16" s="589"/>
      <c r="E16" s="589"/>
      <c r="F16" s="589"/>
      <c r="G16" s="589"/>
      <c r="H16" s="589"/>
      <c r="I16" s="589"/>
      <c r="J16" s="589"/>
      <c r="K16" s="589"/>
      <c r="L16" s="589"/>
      <c r="M16" s="589"/>
      <c r="N16" s="589"/>
      <c r="O16" s="589"/>
      <c r="P16" s="589"/>
      <c r="Q16" s="589"/>
      <c r="R16" s="589"/>
    </row>
    <row r="17" spans="1:18" s="438" customFormat="1" ht="20.100000000000001" customHeight="1">
      <c r="A17" s="437"/>
      <c r="B17" s="588"/>
      <c r="C17" s="588"/>
      <c r="D17" s="589"/>
      <c r="E17" s="589"/>
      <c r="F17" s="589"/>
      <c r="G17" s="589"/>
      <c r="H17" s="589"/>
      <c r="I17" s="589"/>
      <c r="J17" s="589"/>
      <c r="K17" s="589"/>
      <c r="L17" s="589"/>
      <c r="M17" s="589"/>
      <c r="N17" s="589"/>
      <c r="O17" s="589"/>
      <c r="P17" s="589"/>
      <c r="Q17" s="589"/>
      <c r="R17" s="589"/>
    </row>
    <row r="18" spans="1:18" s="438" customFormat="1" ht="20.100000000000001" customHeight="1">
      <c r="A18" s="437"/>
      <c r="B18" s="588"/>
      <c r="C18" s="588"/>
      <c r="D18" s="589"/>
      <c r="E18" s="589"/>
      <c r="F18" s="589"/>
      <c r="G18" s="589"/>
      <c r="H18" s="589"/>
      <c r="I18" s="589"/>
      <c r="J18" s="589"/>
      <c r="K18" s="589"/>
      <c r="L18" s="589"/>
      <c r="M18" s="589"/>
      <c r="N18" s="589"/>
      <c r="O18" s="589"/>
      <c r="P18" s="589"/>
      <c r="Q18" s="589"/>
      <c r="R18" s="589"/>
    </row>
    <row r="19" spans="1:18" s="438" customFormat="1" ht="20.100000000000001" customHeight="1">
      <c r="A19" s="437"/>
      <c r="B19" s="588"/>
      <c r="C19" s="588"/>
      <c r="D19" s="589"/>
      <c r="E19" s="589"/>
      <c r="F19" s="589"/>
      <c r="G19" s="589"/>
      <c r="H19" s="589"/>
      <c r="I19" s="589"/>
      <c r="J19" s="589"/>
      <c r="K19" s="589"/>
      <c r="L19" s="589"/>
      <c r="M19" s="589"/>
      <c r="N19" s="589"/>
      <c r="O19" s="589"/>
      <c r="P19" s="589"/>
      <c r="Q19" s="589"/>
      <c r="R19" s="589"/>
    </row>
    <row r="20" spans="1:18" s="438" customFormat="1" ht="20.100000000000001" customHeight="1">
      <c r="A20" s="437"/>
      <c r="B20" s="588"/>
      <c r="C20" s="588"/>
      <c r="D20" s="589"/>
      <c r="E20" s="589"/>
      <c r="F20" s="589"/>
      <c r="G20" s="589"/>
      <c r="H20" s="589"/>
      <c r="I20" s="589"/>
      <c r="J20" s="589"/>
      <c r="K20" s="589"/>
      <c r="L20" s="589"/>
      <c r="M20" s="589"/>
      <c r="N20" s="589"/>
      <c r="O20" s="589"/>
      <c r="P20" s="589"/>
      <c r="Q20" s="589"/>
      <c r="R20" s="590"/>
    </row>
    <row r="21" spans="1:18" s="438" customFormat="1" ht="20.100000000000001" customHeight="1">
      <c r="A21" s="437"/>
      <c r="B21" s="588"/>
      <c r="C21" s="588"/>
      <c r="D21" s="589"/>
      <c r="E21" s="589"/>
      <c r="F21" s="589"/>
      <c r="G21" s="589"/>
      <c r="H21" s="589"/>
      <c r="I21" s="589"/>
      <c r="J21" s="589"/>
      <c r="K21" s="589"/>
      <c r="L21" s="589"/>
      <c r="M21" s="589"/>
      <c r="N21" s="589"/>
      <c r="O21" s="589"/>
      <c r="P21" s="589"/>
      <c r="Q21" s="589"/>
      <c r="R21" s="589"/>
    </row>
    <row r="22" spans="1:18" s="438" customFormat="1" ht="20.100000000000001" customHeight="1">
      <c r="A22" s="437"/>
      <c r="B22" s="588"/>
      <c r="C22" s="588"/>
      <c r="D22" s="589"/>
      <c r="E22" s="589"/>
      <c r="F22" s="589"/>
      <c r="G22" s="589"/>
      <c r="H22" s="589"/>
      <c r="I22" s="589"/>
      <c r="J22" s="589"/>
      <c r="K22" s="589"/>
      <c r="L22" s="589"/>
      <c r="M22" s="589"/>
      <c r="N22" s="589"/>
      <c r="O22" s="589"/>
      <c r="P22" s="589"/>
      <c r="Q22" s="589"/>
      <c r="R22" s="589"/>
    </row>
    <row r="23" spans="1:18" s="438" customFormat="1" ht="20.100000000000001" customHeight="1">
      <c r="A23" s="437"/>
      <c r="B23" s="588"/>
      <c r="C23" s="588"/>
      <c r="D23" s="589"/>
      <c r="E23" s="589"/>
      <c r="F23" s="589"/>
      <c r="G23" s="589"/>
      <c r="H23" s="589"/>
      <c r="I23" s="589"/>
      <c r="J23" s="589"/>
      <c r="K23" s="589"/>
      <c r="L23" s="589"/>
      <c r="M23" s="589"/>
      <c r="N23" s="589"/>
      <c r="O23" s="589"/>
      <c r="P23" s="589"/>
      <c r="Q23" s="589"/>
      <c r="R23" s="589"/>
    </row>
    <row r="24" spans="1:18" s="438" customFormat="1" ht="20.100000000000001" customHeight="1">
      <c r="A24" s="437"/>
      <c r="B24" s="588"/>
      <c r="C24" s="588"/>
      <c r="D24" s="589"/>
      <c r="E24" s="589"/>
      <c r="F24" s="589"/>
      <c r="G24" s="589"/>
      <c r="H24" s="589"/>
      <c r="I24" s="589"/>
      <c r="J24" s="589"/>
      <c r="K24" s="589"/>
      <c r="L24" s="589"/>
      <c r="M24" s="589"/>
      <c r="N24" s="589"/>
      <c r="O24" s="589"/>
      <c r="P24" s="589"/>
      <c r="Q24" s="589"/>
      <c r="R24" s="589"/>
    </row>
    <row r="25" spans="1:18" s="438" customFormat="1" ht="20.100000000000001" customHeight="1">
      <c r="A25" s="437"/>
      <c r="B25" s="591"/>
      <c r="C25" s="591"/>
      <c r="D25" s="592"/>
      <c r="E25" s="592"/>
      <c r="F25" s="592"/>
      <c r="G25" s="592"/>
      <c r="H25" s="592"/>
      <c r="I25" s="592"/>
      <c r="J25" s="592"/>
      <c r="K25" s="592"/>
      <c r="L25" s="592"/>
      <c r="M25" s="592"/>
      <c r="N25" s="592"/>
      <c r="O25" s="592"/>
      <c r="P25" s="592"/>
      <c r="Q25" s="592"/>
      <c r="R25" s="592"/>
    </row>
  </sheetData>
  <mergeCells count="8">
    <mergeCell ref="B2:R2"/>
    <mergeCell ref="B3:B4"/>
    <mergeCell ref="C3:C4"/>
    <mergeCell ref="D3:D4"/>
    <mergeCell ref="R3:R4"/>
    <mergeCell ref="E3:I3"/>
    <mergeCell ref="J3:N3"/>
    <mergeCell ref="O3:Q3"/>
  </mergeCells>
  <phoneticPr fontId="4" type="noConversion"/>
  <printOptions horizontalCentered="1" verticalCentered="1"/>
  <pageMargins left="0.59055118110236227" right="0.39370078740157483" top="0.59055118110236227" bottom="0.59055118110236227" header="0.39370078740157483" footer="0.19685039370078741"/>
  <pageSetup paperSize="9" orientation="landscape" r:id="rId1"/>
  <headerFooter alignWithMargins="0">
    <oddHeader>&amp;C&amp;"맑은 고딕,굵게"&amp;20&amp;U부 록 단 가 비 교 표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7"/>
  <dimension ref="A1:Q34"/>
  <sheetViews>
    <sheetView view="pageBreakPreview" workbookViewId="0">
      <selection activeCell="J24" sqref="J24:M24"/>
    </sheetView>
  </sheetViews>
  <sheetFormatPr defaultColWidth="8.88671875" defaultRowHeight="13.5"/>
  <cols>
    <col min="1" max="15" width="7.44140625" style="2" customWidth="1"/>
    <col min="16" max="16" width="2.88671875" style="2" customWidth="1"/>
    <col min="17" max="17" width="13.6640625" style="2" customWidth="1"/>
    <col min="18" max="18" width="10.5546875" style="2" bestFit="1" customWidth="1"/>
    <col min="19" max="16384" width="8.88671875" style="2"/>
  </cols>
  <sheetData>
    <row r="1" spans="1:17" ht="27" customHeight="1"/>
    <row r="2" spans="1:17" ht="27" customHeight="1"/>
    <row r="3" spans="1:17" ht="27" customHeight="1"/>
    <row r="4" spans="1:17" ht="27" customHeight="1">
      <c r="B4" s="3"/>
    </row>
    <row r="5" spans="1:17" ht="21.75" customHeight="1"/>
    <row r="6" spans="1:17" ht="22.5" customHeight="1"/>
    <row r="7" spans="1:17" s="6" customFormat="1" ht="40.5" customHeight="1">
      <c r="A7" s="1320" t="s">
        <v>281</v>
      </c>
      <c r="B7" s="1320"/>
      <c r="C7" s="1320"/>
      <c r="D7" s="1320"/>
      <c r="E7" s="1320"/>
      <c r="F7" s="1320"/>
      <c r="G7" s="1320"/>
      <c r="H7" s="1320"/>
      <c r="I7" s="1320"/>
      <c r="J7" s="1320"/>
      <c r="K7" s="1320"/>
      <c r="L7" s="1320"/>
      <c r="M7" s="1320"/>
      <c r="N7" s="1320"/>
      <c r="O7" s="1320"/>
    </row>
    <row r="8" spans="1:17" ht="20.25" customHeight="1">
      <c r="B8" s="4"/>
    </row>
    <row r="9" spans="1:17" ht="27" customHeight="1"/>
    <row r="10" spans="1:17" ht="27" customHeight="1">
      <c r="B10" s="5"/>
      <c r="H10" s="4"/>
      <c r="Q10" s="7"/>
    </row>
    <row r="11" spans="1:17" ht="27" customHeight="1">
      <c r="Q11" s="8"/>
    </row>
    <row r="12" spans="1:17" ht="27" customHeight="1">
      <c r="Q12" s="8"/>
    </row>
    <row r="13" spans="1:17" ht="27" customHeight="1">
      <c r="Q13" s="8"/>
    </row>
    <row r="14" spans="1:17" ht="27" customHeight="1">
      <c r="Q14" s="8"/>
    </row>
    <row r="15" spans="1:17" ht="27" customHeight="1"/>
    <row r="16" spans="1:17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  <row r="31" ht="27" customHeight="1"/>
    <row r="32" ht="27" customHeight="1"/>
    <row r="33" ht="27" customHeight="1"/>
    <row r="34" ht="27" customHeight="1"/>
  </sheetData>
  <mergeCells count="1">
    <mergeCell ref="A7:O7"/>
  </mergeCells>
  <phoneticPr fontId="4" type="noConversion"/>
  <pageMargins left="0.9" right="0.64" top="1" bottom="1" header="0.5" footer="0.5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/>
  <dimension ref="A1:V1049"/>
  <sheetViews>
    <sheetView view="pageBreakPreview" topLeftCell="A96" zoomScale="85" zoomScaleNormal="100" zoomScaleSheetLayoutView="85" workbookViewId="0">
      <selection activeCell="J24" sqref="J24:M24"/>
    </sheetView>
  </sheetViews>
  <sheetFormatPr defaultColWidth="8" defaultRowHeight="13.5"/>
  <cols>
    <col min="1" max="1" width="20.77734375" style="254" customWidth="1"/>
    <col min="2" max="2" width="6.77734375" style="254" customWidth="1"/>
    <col min="3" max="9" width="4.77734375" style="254" customWidth="1"/>
    <col min="10" max="15" width="5.77734375" style="254" customWidth="1"/>
    <col min="16" max="16" width="7.21875" style="254" customWidth="1"/>
    <col min="17" max="17" width="4.44140625" style="413" customWidth="1"/>
    <col min="18" max="21" width="8" style="254"/>
    <col min="22" max="22" width="10.6640625" style="254" bestFit="1" customWidth="1"/>
    <col min="23" max="16384" width="8" style="254"/>
  </cols>
  <sheetData>
    <row r="1" spans="2:20" ht="24.95" hidden="1" customHeight="1">
      <c r="B1" s="468" t="s">
        <v>38</v>
      </c>
      <c r="C1" s="1382" t="e">
        <f>#REF!</f>
        <v>#REF!</v>
      </c>
      <c r="D1" s="1383"/>
      <c r="E1" s="1383"/>
      <c r="F1" s="1383"/>
      <c r="G1" s="1383"/>
      <c r="H1" s="1383"/>
      <c r="I1" s="1383" t="e">
        <f>#REF!</f>
        <v>#REF!</v>
      </c>
      <c r="J1" s="1383"/>
      <c r="K1" s="1383"/>
      <c r="L1" s="1384"/>
      <c r="M1" s="1384"/>
      <c r="N1" s="1384"/>
      <c r="O1" s="1384"/>
      <c r="P1" s="1384"/>
      <c r="Q1" s="1384"/>
      <c r="R1" s="1384"/>
      <c r="S1" s="1384"/>
      <c r="T1" s="1385"/>
    </row>
    <row r="2" spans="2:20" ht="15" hidden="1" customHeight="1">
      <c r="B2" s="670"/>
      <c r="C2" s="671"/>
      <c r="D2" s="672"/>
      <c r="E2" s="672"/>
      <c r="F2" s="672"/>
      <c r="G2" s="672"/>
      <c r="H2" s="672"/>
      <c r="I2" s="673"/>
      <c r="J2" s="967"/>
      <c r="K2" s="967"/>
      <c r="L2" s="967" t="s">
        <v>39</v>
      </c>
      <c r="M2" s="967" t="s">
        <v>40</v>
      </c>
      <c r="N2" s="967" t="s">
        <v>41</v>
      </c>
      <c r="O2" s="968" t="s">
        <v>42</v>
      </c>
      <c r="P2" s="968" t="s">
        <v>43</v>
      </c>
      <c r="Q2" s="968"/>
      <c r="R2" s="968"/>
      <c r="S2" s="969" t="s">
        <v>44</v>
      </c>
      <c r="T2" s="966"/>
    </row>
    <row r="3" spans="2:20" ht="15" hidden="1" customHeight="1">
      <c r="B3" s="670"/>
      <c r="C3" s="671"/>
      <c r="D3" s="672"/>
      <c r="E3" s="672"/>
      <c r="F3" s="672"/>
      <c r="G3" s="672"/>
      <c r="H3" s="672"/>
      <c r="I3" s="673"/>
      <c r="J3" s="841" t="s">
        <v>45</v>
      </c>
      <c r="K3" s="970"/>
      <c r="L3" s="970" t="s">
        <v>46</v>
      </c>
      <c r="M3" s="870"/>
      <c r="N3" s="870"/>
      <c r="O3" s="713"/>
      <c r="P3" s="871"/>
      <c r="Q3" s="871"/>
      <c r="R3" s="871"/>
      <c r="S3" s="872"/>
      <c r="T3" s="716"/>
    </row>
    <row r="4" spans="2:20" ht="15" hidden="1" customHeight="1">
      <c r="B4" s="670"/>
      <c r="C4" s="1396">
        <f>C26+(0.3*(H15)*2)</f>
        <v>1500</v>
      </c>
      <c r="D4" s="1396"/>
      <c r="E4" s="1396"/>
      <c r="F4" s="1396"/>
      <c r="G4" s="674"/>
      <c r="H4" s="675"/>
      <c r="I4" s="673"/>
      <c r="J4" s="971" t="s">
        <v>47</v>
      </c>
      <c r="K4" s="844">
        <f>C4/1000</f>
        <v>1.5</v>
      </c>
      <c r="L4" s="844"/>
      <c r="M4" s="844"/>
      <c r="N4" s="972" t="s">
        <v>48</v>
      </c>
      <c r="O4" s="973">
        <f>C26/1000</f>
        <v>0.9</v>
      </c>
      <c r="P4" s="720"/>
      <c r="Q4" s="721" t="s">
        <v>49</v>
      </c>
      <c r="R4" s="722">
        <f>(H15)/1000</f>
        <v>1</v>
      </c>
      <c r="S4" s="723"/>
      <c r="T4" s="724"/>
    </row>
    <row r="5" spans="2:20" ht="15" hidden="1" customHeight="1">
      <c r="B5" s="670"/>
      <c r="C5" s="894"/>
      <c r="D5" s="895"/>
      <c r="E5" s="895"/>
      <c r="F5" s="679"/>
      <c r="G5" s="674"/>
      <c r="H5" s="675"/>
      <c r="I5" s="676"/>
      <c r="J5" s="971" t="s">
        <v>50</v>
      </c>
      <c r="K5" s="844">
        <f>C6/1000</f>
        <v>1.3</v>
      </c>
      <c r="L5" s="844"/>
      <c r="M5" s="844"/>
      <c r="N5" s="972" t="s">
        <v>51</v>
      </c>
      <c r="O5" s="973">
        <f>C28/1000</f>
        <v>0.7</v>
      </c>
      <c r="P5" s="720"/>
      <c r="Q5" s="713"/>
      <c r="R5" s="675"/>
      <c r="S5" s="974"/>
      <c r="T5" s="724"/>
    </row>
    <row r="6" spans="2:20" ht="15" hidden="1" customHeight="1">
      <c r="B6" s="670"/>
      <c r="C6" s="1439">
        <f>C28+(0.3*(H15)*2)</f>
        <v>1300</v>
      </c>
      <c r="D6" s="1440"/>
      <c r="E6" s="1440"/>
      <c r="F6" s="1441"/>
      <c r="G6" s="674"/>
      <c r="H6" s="675"/>
      <c r="I6" s="676"/>
      <c r="J6" s="975" t="s">
        <v>52</v>
      </c>
      <c r="K6" s="976"/>
      <c r="L6" s="976"/>
      <c r="M6" s="976"/>
      <c r="N6" s="976"/>
      <c r="O6" s="977"/>
      <c r="P6" s="976"/>
      <c r="Q6" s="978"/>
      <c r="R6" s="978"/>
      <c r="S6" s="979">
        <f>ROUNDDOWN(R4/6*((2*K4+O4)*K5+(2*O4+K4)*O5),3)</f>
        <v>1.23</v>
      </c>
      <c r="T6" s="980" t="s">
        <v>178</v>
      </c>
    </row>
    <row r="7" spans="2:20" ht="15" hidden="1" customHeight="1">
      <c r="B7" s="670"/>
      <c r="C7" s="677"/>
      <c r="D7" s="678"/>
      <c r="E7" s="678"/>
      <c r="F7" s="679"/>
      <c r="G7" s="674"/>
      <c r="H7" s="675"/>
      <c r="I7" s="676"/>
      <c r="J7" s="841" t="s">
        <v>53</v>
      </c>
      <c r="K7" s="869"/>
      <c r="L7" s="869" t="s">
        <v>54</v>
      </c>
      <c r="M7" s="981"/>
      <c r="N7" s="981"/>
      <c r="O7" s="981"/>
      <c r="P7" s="869"/>
      <c r="Q7" s="970"/>
      <c r="R7" s="970"/>
      <c r="S7" s="872"/>
      <c r="T7" s="783"/>
    </row>
    <row r="8" spans="2:20" ht="15" hidden="1" customHeight="1">
      <c r="B8" s="670"/>
      <c r="C8" s="680"/>
      <c r="D8" s="1402">
        <v>700</v>
      </c>
      <c r="E8" s="1403"/>
      <c r="F8" s="681"/>
      <c r="G8" s="674"/>
      <c r="H8" s="675"/>
      <c r="I8" s="676"/>
      <c r="J8" s="971" t="s">
        <v>47</v>
      </c>
      <c r="K8" s="844">
        <f>D8/1000</f>
        <v>0.7</v>
      </c>
      <c r="L8" s="844"/>
      <c r="M8" s="844"/>
      <c r="N8" s="972" t="s">
        <v>48</v>
      </c>
      <c r="O8" s="844">
        <f>D23/1000</f>
        <v>0.5</v>
      </c>
      <c r="P8" s="720"/>
      <c r="Q8" s="721" t="s">
        <v>49</v>
      </c>
      <c r="R8" s="722">
        <f>H15/1000</f>
        <v>1</v>
      </c>
      <c r="S8" s="897">
        <f>ROUNDDOWN(K8*O8*R8,2)</f>
        <v>0.35</v>
      </c>
      <c r="T8" s="541" t="s">
        <v>55</v>
      </c>
    </row>
    <row r="9" spans="2:20" ht="15" hidden="1" customHeight="1">
      <c r="B9" s="670"/>
      <c r="C9" s="682"/>
      <c r="D9" s="898"/>
      <c r="E9" s="899"/>
      <c r="F9" s="683"/>
      <c r="G9" s="672"/>
      <c r="H9" s="675"/>
      <c r="I9" s="676"/>
      <c r="J9" s="971"/>
      <c r="K9" s="844"/>
      <c r="L9" s="844"/>
      <c r="M9" s="844"/>
      <c r="N9" s="972"/>
      <c r="O9" s="844"/>
      <c r="P9" s="720"/>
      <c r="Q9" s="721"/>
      <c r="R9" s="722"/>
      <c r="S9" s="897"/>
      <c r="T9" s="541"/>
    </row>
    <row r="10" spans="2:20" ht="15" hidden="1" customHeight="1">
      <c r="B10" s="670"/>
      <c r="C10" s="682"/>
      <c r="D10" s="900"/>
      <c r="E10" s="683"/>
      <c r="F10" s="683"/>
      <c r="G10" s="672"/>
      <c r="H10" s="675"/>
      <c r="I10" s="676"/>
      <c r="J10" s="971"/>
      <c r="K10" s="844"/>
      <c r="L10" s="844"/>
      <c r="M10" s="844"/>
      <c r="N10" s="972"/>
      <c r="O10" s="844"/>
      <c r="P10" s="720"/>
      <c r="Q10" s="721"/>
      <c r="R10" s="722"/>
      <c r="S10" s="897"/>
      <c r="T10" s="541"/>
    </row>
    <row r="11" spans="2:20" ht="15" hidden="1" customHeight="1">
      <c r="B11" s="670"/>
      <c r="C11" s="682"/>
      <c r="D11" s="900"/>
      <c r="E11" s="683"/>
      <c r="F11" s="683"/>
      <c r="G11" s="672"/>
      <c r="H11" s="675"/>
      <c r="I11" s="676"/>
      <c r="J11" s="971"/>
      <c r="K11" s="844"/>
      <c r="L11" s="844"/>
      <c r="M11" s="844"/>
      <c r="N11" s="684"/>
      <c r="O11" s="844"/>
      <c r="P11" s="720"/>
      <c r="Q11" s="721"/>
      <c r="R11" s="722"/>
      <c r="S11" s="897"/>
      <c r="T11" s="541"/>
    </row>
    <row r="12" spans="2:20" ht="15" hidden="1" customHeight="1">
      <c r="B12" s="670"/>
      <c r="C12" s="682"/>
      <c r="D12" s="900"/>
      <c r="E12" s="683"/>
      <c r="F12" s="683"/>
      <c r="G12" s="672"/>
      <c r="H12" s="684"/>
      <c r="I12" s="676"/>
      <c r="J12" s="975" t="s">
        <v>57</v>
      </c>
      <c r="K12" s="976"/>
      <c r="L12" s="976"/>
      <c r="M12" s="976"/>
      <c r="N12" s="976"/>
      <c r="O12" s="977"/>
      <c r="P12" s="976"/>
      <c r="Q12" s="982"/>
      <c r="R12" s="983"/>
      <c r="S12" s="979">
        <f>SUM(S8:S11)</f>
        <v>0.35</v>
      </c>
      <c r="T12" s="980" t="s">
        <v>178</v>
      </c>
    </row>
    <row r="13" spans="2:20" ht="15" hidden="1" customHeight="1">
      <c r="B13" s="670"/>
      <c r="C13" s="682"/>
      <c r="D13" s="900"/>
      <c r="E13" s="683"/>
      <c r="F13" s="683"/>
      <c r="G13" s="672"/>
      <c r="H13" s="675"/>
      <c r="I13" s="685"/>
      <c r="J13" s="841" t="s">
        <v>58</v>
      </c>
      <c r="K13" s="981"/>
      <c r="L13" s="543" t="s">
        <v>334</v>
      </c>
      <c r="M13" s="543" t="s">
        <v>335</v>
      </c>
      <c r="N13" s="903" t="s">
        <v>336</v>
      </c>
      <c r="O13" s="904"/>
      <c r="P13" s="543"/>
      <c r="Q13" s="887"/>
      <c r="R13" s="887"/>
      <c r="S13" s="905"/>
      <c r="T13" s="783"/>
    </row>
    <row r="14" spans="2:20" ht="15" hidden="1" customHeight="1" thickBot="1">
      <c r="B14" s="686"/>
      <c r="C14" s="1404"/>
      <c r="D14" s="1404"/>
      <c r="E14" s="1404"/>
      <c r="F14" s="1404"/>
      <c r="G14" s="687"/>
      <c r="H14" s="687"/>
      <c r="I14" s="688"/>
      <c r="J14" s="984"/>
      <c r="K14" s="985"/>
      <c r="L14" s="985" t="s">
        <v>334</v>
      </c>
      <c r="M14" s="986">
        <f>S6</f>
        <v>1.23</v>
      </c>
      <c r="N14" s="985" t="s">
        <v>337</v>
      </c>
      <c r="O14" s="987">
        <f>S16</f>
        <v>0.35</v>
      </c>
      <c r="P14" s="988"/>
      <c r="Q14" s="989"/>
      <c r="R14" s="990"/>
      <c r="S14" s="991">
        <f>ROUNDDOWN(M14-O14,3)</f>
        <v>0.88</v>
      </c>
      <c r="T14" s="980" t="s">
        <v>178</v>
      </c>
    </row>
    <row r="15" spans="2:20" ht="15" hidden="1" customHeight="1">
      <c r="B15" s="670"/>
      <c r="C15" s="689"/>
      <c r="D15" s="882"/>
      <c r="E15" s="883"/>
      <c r="F15" s="690"/>
      <c r="G15" s="691"/>
      <c r="H15" s="1405">
        <v>1000</v>
      </c>
      <c r="I15" s="1408">
        <f>H12+H14+H15</f>
        <v>1000</v>
      </c>
      <c r="J15" s="841" t="s">
        <v>338</v>
      </c>
      <c r="K15" s="981"/>
      <c r="L15" s="981" t="s">
        <v>339</v>
      </c>
      <c r="M15" s="543"/>
      <c r="N15" s="903" t="s">
        <v>340</v>
      </c>
      <c r="O15" s="981"/>
      <c r="P15" s="981"/>
      <c r="Q15" s="911"/>
      <c r="R15" s="781"/>
      <c r="S15" s="872"/>
      <c r="T15" s="783"/>
    </row>
    <row r="16" spans="2:20" ht="15" hidden="1" customHeight="1">
      <c r="B16" s="692"/>
      <c r="C16" s="689"/>
      <c r="D16" s="912"/>
      <c r="E16" s="913"/>
      <c r="F16" s="690"/>
      <c r="G16" s="914"/>
      <c r="H16" s="1406"/>
      <c r="I16" s="1403"/>
      <c r="J16" s="992"/>
      <c r="K16" s="993"/>
      <c r="L16" s="994" t="s">
        <v>339</v>
      </c>
      <c r="M16" s="993"/>
      <c r="N16" s="993"/>
      <c r="O16" s="976">
        <f>S8</f>
        <v>0.35</v>
      </c>
      <c r="P16" s="976"/>
      <c r="Q16" s="976"/>
      <c r="R16" s="978"/>
      <c r="S16" s="995">
        <f>ROUNDDOWN(O16+Q16,3)</f>
        <v>0.35</v>
      </c>
      <c r="T16" s="673" t="s">
        <v>178</v>
      </c>
    </row>
    <row r="17" spans="2:20" ht="15" hidden="1" customHeight="1">
      <c r="B17" s="670"/>
      <c r="C17" s="689"/>
      <c r="D17" s="912"/>
      <c r="E17" s="913"/>
      <c r="F17" s="690"/>
      <c r="G17" s="914"/>
      <c r="H17" s="1406"/>
      <c r="I17" s="1403"/>
      <c r="J17" s="852" t="s">
        <v>584</v>
      </c>
      <c r="K17" s="981"/>
      <c r="L17" s="981"/>
      <c r="M17" s="981"/>
      <c r="N17" s="981"/>
      <c r="O17" s="996"/>
      <c r="P17" s="780"/>
      <c r="Q17" s="781"/>
      <c r="R17" s="782"/>
      <c r="S17" s="872"/>
      <c r="T17" s="783"/>
    </row>
    <row r="18" spans="2:20" ht="15" hidden="1" customHeight="1">
      <c r="B18" s="670"/>
      <c r="C18" s="689"/>
      <c r="D18" s="912"/>
      <c r="E18" s="913"/>
      <c r="F18" s="690"/>
      <c r="G18" s="914"/>
      <c r="H18" s="1406"/>
      <c r="I18" s="1403"/>
      <c r="J18" s="997" t="s">
        <v>341</v>
      </c>
      <c r="K18" s="998">
        <f>D8/1000</f>
        <v>0.7</v>
      </c>
      <c r="L18" s="999" t="s">
        <v>59</v>
      </c>
      <c r="M18" s="1000">
        <f>D23/1000</f>
        <v>0.5</v>
      </c>
      <c r="N18" s="1001" t="s">
        <v>137</v>
      </c>
      <c r="O18" s="1002" t="s">
        <v>342</v>
      </c>
      <c r="P18" s="973">
        <f>I15/1000</f>
        <v>1</v>
      </c>
      <c r="Q18" s="1003" t="s">
        <v>343</v>
      </c>
      <c r="R18" s="672">
        <v>4</v>
      </c>
      <c r="S18" s="1004">
        <f>((K18+M18)/2)*P18*R18</f>
        <v>2.4</v>
      </c>
      <c r="T18" s="673" t="s">
        <v>344</v>
      </c>
    </row>
    <row r="19" spans="2:20" ht="15" hidden="1" customHeight="1" thickBot="1">
      <c r="B19" s="670"/>
      <c r="C19" s="696"/>
      <c r="D19" s="884"/>
      <c r="E19" s="885"/>
      <c r="F19" s="697"/>
      <c r="G19" s="915"/>
      <c r="H19" s="1407"/>
      <c r="I19" s="1403"/>
      <c r="J19" s="841"/>
      <c r="K19" s="870"/>
      <c r="L19" s="870"/>
      <c r="M19" s="870"/>
      <c r="N19" s="870"/>
      <c r="O19" s="871"/>
      <c r="P19" s="871"/>
      <c r="Q19" s="781"/>
      <c r="R19" s="781"/>
      <c r="S19" s="872"/>
      <c r="T19" s="716"/>
    </row>
    <row r="20" spans="2:20" ht="15" hidden="1" customHeight="1">
      <c r="B20" s="670"/>
      <c r="C20" s="916"/>
      <c r="D20" s="917"/>
      <c r="E20" s="918"/>
      <c r="F20" s="919"/>
      <c r="G20" s="672"/>
      <c r="H20" s="675"/>
      <c r="I20" s="676"/>
      <c r="J20" s="873"/>
      <c r="K20" s="874"/>
      <c r="L20" s="874"/>
      <c r="M20" s="874"/>
      <c r="N20" s="874"/>
      <c r="O20" s="711"/>
      <c r="P20" s="800"/>
      <c r="Q20" s="711"/>
      <c r="R20" s="711"/>
      <c r="S20" s="875"/>
      <c r="T20" s="814"/>
    </row>
    <row r="21" spans="2:20" ht="15" hidden="1" customHeight="1">
      <c r="B21" s="670"/>
      <c r="C21" s="920">
        <v>100</v>
      </c>
      <c r="D21" s="1393">
        <f>D8</f>
        <v>700</v>
      </c>
      <c r="E21" s="1394"/>
      <c r="F21" s="921">
        <v>100</v>
      </c>
      <c r="G21" s="674"/>
      <c r="H21" s="700"/>
      <c r="I21" s="676"/>
      <c r="J21" s="841"/>
      <c r="K21" s="398"/>
      <c r="L21" s="398"/>
      <c r="M21" s="398"/>
      <c r="N21" s="398"/>
      <c r="O21" s="399"/>
      <c r="P21" s="400"/>
      <c r="Q21" s="399"/>
      <c r="R21" s="399"/>
      <c r="S21" s="401"/>
      <c r="T21" s="402"/>
    </row>
    <row r="22" spans="2:20" ht="15" hidden="1" customHeight="1">
      <c r="B22" s="701"/>
      <c r="C22" s="922"/>
      <c r="D22" s="900"/>
      <c r="E22" s="683"/>
      <c r="F22" s="923"/>
      <c r="G22" s="702"/>
      <c r="H22" s="700"/>
      <c r="I22" s="676"/>
      <c r="J22" s="403"/>
      <c r="K22" s="404"/>
      <c r="L22" s="404"/>
      <c r="M22" s="404"/>
      <c r="N22" s="404"/>
      <c r="O22" s="711"/>
      <c r="P22" s="405"/>
      <c r="Q22" s="405"/>
      <c r="R22" s="405"/>
      <c r="S22" s="875"/>
      <c r="T22" s="814"/>
    </row>
    <row r="23" spans="2:20" ht="15" hidden="1" customHeight="1">
      <c r="B23" s="670"/>
      <c r="C23" s="920">
        <v>100</v>
      </c>
      <c r="D23" s="1393">
        <v>500</v>
      </c>
      <c r="E23" s="1394"/>
      <c r="F23" s="921">
        <v>100</v>
      </c>
      <c r="G23" s="674"/>
      <c r="H23" s="700"/>
      <c r="I23" s="676"/>
      <c r="J23" s="485"/>
      <c r="K23" s="870"/>
      <c r="L23" s="870"/>
      <c r="M23" s="870"/>
      <c r="N23" s="870"/>
      <c r="O23" s="871"/>
      <c r="P23" s="871"/>
      <c r="Q23" s="781"/>
      <c r="R23" s="781"/>
      <c r="S23" s="872"/>
      <c r="T23" s="716"/>
    </row>
    <row r="24" spans="2:20" ht="15" hidden="1" customHeight="1">
      <c r="B24" s="670"/>
      <c r="C24" s="677"/>
      <c r="D24" s="706"/>
      <c r="E24" s="706"/>
      <c r="F24" s="924"/>
      <c r="G24" s="702"/>
      <c r="H24" s="700"/>
      <c r="I24" s="676"/>
      <c r="J24" s="873"/>
      <c r="K24" s="874"/>
      <c r="L24" s="874"/>
      <c r="M24" s="874"/>
      <c r="N24" s="874"/>
      <c r="O24" s="711"/>
      <c r="P24" s="800"/>
      <c r="Q24" s="711"/>
      <c r="R24" s="711"/>
      <c r="S24" s="875"/>
      <c r="T24" s="814"/>
    </row>
    <row r="25" spans="2:20" ht="15" hidden="1" customHeight="1">
      <c r="B25" s="670"/>
      <c r="C25" s="1395"/>
      <c r="D25" s="1396"/>
      <c r="E25" s="1396"/>
      <c r="F25" s="1397"/>
      <c r="G25" s="674"/>
      <c r="H25" s="675"/>
      <c r="I25" s="676"/>
      <c r="J25" s="485"/>
      <c r="K25" s="870"/>
      <c r="L25" s="870"/>
      <c r="M25" s="870"/>
      <c r="N25" s="870"/>
      <c r="O25" s="871"/>
      <c r="P25" s="871"/>
      <c r="Q25" s="781"/>
      <c r="R25" s="781"/>
      <c r="S25" s="872"/>
      <c r="T25" s="716"/>
    </row>
    <row r="26" spans="2:20" ht="15" hidden="1" customHeight="1">
      <c r="B26" s="670"/>
      <c r="C26" s="1393">
        <f>C21+D21+F21</f>
        <v>900</v>
      </c>
      <c r="D26" s="1398"/>
      <c r="E26" s="1398"/>
      <c r="F26" s="1394"/>
      <c r="G26" s="674"/>
      <c r="H26" s="672"/>
      <c r="I26" s="673"/>
      <c r="J26" s="873"/>
      <c r="K26" s="874"/>
      <c r="L26" s="874"/>
      <c r="M26" s="874"/>
      <c r="N26" s="874"/>
      <c r="O26" s="711"/>
      <c r="P26" s="800"/>
      <c r="Q26" s="711"/>
      <c r="R26" s="711"/>
      <c r="S26" s="875"/>
      <c r="T26" s="814"/>
    </row>
    <row r="27" spans="2:20" ht="15" hidden="1" customHeight="1">
      <c r="B27" s="670"/>
      <c r="C27" s="705"/>
      <c r="D27" s="706"/>
      <c r="E27" s="706"/>
      <c r="F27" s="707"/>
      <c r="G27" s="674"/>
      <c r="H27" s="675"/>
      <c r="I27" s="673"/>
      <c r="J27" s="485"/>
      <c r="K27" s="870"/>
      <c r="L27" s="870"/>
      <c r="M27" s="870"/>
      <c r="N27" s="870"/>
      <c r="O27" s="871"/>
      <c r="P27" s="871"/>
      <c r="Q27" s="781"/>
      <c r="R27" s="781"/>
      <c r="S27" s="872"/>
      <c r="T27" s="716"/>
    </row>
    <row r="28" spans="2:20" ht="15" hidden="1" customHeight="1">
      <c r="B28" s="670"/>
      <c r="C28" s="1393">
        <f>C23+D23+F23</f>
        <v>700</v>
      </c>
      <c r="D28" s="1398"/>
      <c r="E28" s="1398"/>
      <c r="F28" s="1394"/>
      <c r="G28" s="674"/>
      <c r="H28" s="672"/>
      <c r="I28" s="673"/>
      <c r="J28" s="873"/>
      <c r="K28" s="874"/>
      <c r="L28" s="874"/>
      <c r="M28" s="874"/>
      <c r="N28" s="874"/>
      <c r="O28" s="711"/>
      <c r="P28" s="800"/>
      <c r="Q28" s="711"/>
      <c r="R28" s="711"/>
      <c r="S28" s="875"/>
      <c r="T28" s="814"/>
    </row>
    <row r="29" spans="2:20" ht="15" hidden="1" customHeight="1">
      <c r="B29" s="670"/>
      <c r="C29" s="671"/>
      <c r="D29" s="672"/>
      <c r="E29" s="672"/>
      <c r="F29" s="672"/>
      <c r="G29" s="672"/>
      <c r="H29" s="672"/>
      <c r="I29" s="673"/>
      <c r="J29" s="841"/>
      <c r="K29" s="869"/>
      <c r="L29" s="869"/>
      <c r="M29" s="981"/>
      <c r="N29" s="981"/>
      <c r="O29" s="981"/>
      <c r="P29" s="869"/>
      <c r="Q29" s="970"/>
      <c r="R29" s="970"/>
      <c r="S29" s="872"/>
      <c r="T29" s="783"/>
    </row>
    <row r="30" spans="2:20" ht="15" hidden="1" customHeight="1">
      <c r="B30" s="670"/>
      <c r="C30" s="671"/>
      <c r="D30" s="672"/>
      <c r="E30" s="672"/>
      <c r="F30" s="672"/>
      <c r="G30" s="672"/>
      <c r="H30" s="672"/>
      <c r="I30" s="675"/>
      <c r="J30" s="971"/>
      <c r="K30" s="844"/>
      <c r="L30" s="844"/>
      <c r="M30" s="844"/>
      <c r="N30" s="972"/>
      <c r="O30" s="844"/>
      <c r="P30" s="720"/>
      <c r="Q30" s="721"/>
      <c r="R30" s="722"/>
      <c r="S30" s="897"/>
      <c r="T30" s="541"/>
    </row>
    <row r="31" spans="2:20" ht="15" hidden="1" customHeight="1">
      <c r="B31" s="670"/>
      <c r="C31" s="671"/>
      <c r="D31" s="672"/>
      <c r="E31" s="672"/>
      <c r="F31" s="672"/>
      <c r="G31" s="672"/>
      <c r="H31" s="672"/>
      <c r="I31" s="673"/>
      <c r="J31" s="485"/>
      <c r="K31" s="870"/>
      <c r="L31" s="870"/>
      <c r="M31" s="870"/>
      <c r="N31" s="870"/>
      <c r="O31" s="871"/>
      <c r="P31" s="871"/>
      <c r="Q31" s="781"/>
      <c r="R31" s="781"/>
      <c r="S31" s="872"/>
      <c r="T31" s="716"/>
    </row>
    <row r="32" spans="2:20" ht="15" hidden="1" customHeight="1">
      <c r="B32" s="708"/>
      <c r="C32" s="709"/>
      <c r="D32" s="710"/>
      <c r="E32" s="710"/>
      <c r="F32" s="710"/>
      <c r="G32" s="710"/>
      <c r="H32" s="710"/>
      <c r="I32" s="711"/>
      <c r="J32" s="873"/>
      <c r="K32" s="874"/>
      <c r="L32" s="874"/>
      <c r="M32" s="874"/>
      <c r="N32" s="874"/>
      <c r="O32" s="711"/>
      <c r="P32" s="800"/>
      <c r="Q32" s="711"/>
      <c r="R32" s="711"/>
      <c r="S32" s="875"/>
      <c r="T32" s="814"/>
    </row>
    <row r="33" spans="2:20" s="713" customFormat="1" ht="24.95" hidden="1" customHeight="1">
      <c r="B33" s="468" t="s">
        <v>349</v>
      </c>
      <c r="C33" s="1383" t="s">
        <v>592</v>
      </c>
      <c r="D33" s="1383"/>
      <c r="E33" s="1383"/>
      <c r="F33" s="1383"/>
      <c r="G33" s="1383"/>
      <c r="H33" s="1399"/>
      <c r="I33" s="1400" t="s">
        <v>862</v>
      </c>
      <c r="J33" s="1400"/>
      <c r="K33" s="1401"/>
      <c r="L33" s="1384"/>
      <c r="M33" s="1384"/>
      <c r="N33" s="1384"/>
      <c r="O33" s="1384"/>
      <c r="P33" s="1384"/>
      <c r="Q33" s="1384"/>
      <c r="R33" s="1384"/>
      <c r="S33" s="1384"/>
      <c r="T33" s="1385"/>
    </row>
    <row r="34" spans="2:20" s="713" customFormat="1" ht="15" hidden="1" customHeight="1">
      <c r="B34" s="886"/>
      <c r="C34" s="887"/>
      <c r="D34" s="888"/>
      <c r="E34" s="888"/>
      <c r="F34" s="888"/>
      <c r="G34" s="888"/>
      <c r="H34" s="888"/>
      <c r="I34" s="889"/>
      <c r="J34" s="890"/>
      <c r="K34" s="890"/>
      <c r="L34" s="890" t="s">
        <v>39</v>
      </c>
      <c r="M34" s="890" t="s">
        <v>40</v>
      </c>
      <c r="N34" s="890" t="s">
        <v>41</v>
      </c>
      <c r="O34" s="891" t="s">
        <v>42</v>
      </c>
      <c r="P34" s="891" t="s">
        <v>43</v>
      </c>
      <c r="Q34" s="891"/>
      <c r="R34" s="891"/>
      <c r="S34" s="892" t="s">
        <v>44</v>
      </c>
      <c r="T34" s="893"/>
    </row>
    <row r="35" spans="2:20" s="713" customFormat="1" ht="15" hidden="1" customHeight="1">
      <c r="B35" s="670"/>
      <c r="C35" s="671"/>
      <c r="D35" s="672"/>
      <c r="E35" s="672"/>
      <c r="F35" s="672"/>
      <c r="G35" s="672"/>
      <c r="H35" s="672"/>
      <c r="I35" s="673"/>
      <c r="J35" s="476" t="s">
        <v>45</v>
      </c>
      <c r="K35" s="712"/>
      <c r="L35" s="712" t="s">
        <v>46</v>
      </c>
      <c r="M35" s="652"/>
      <c r="N35" s="652"/>
      <c r="P35" s="714"/>
      <c r="Q35" s="714"/>
      <c r="R35" s="714"/>
      <c r="S35" s="715"/>
      <c r="T35" s="716"/>
    </row>
    <row r="36" spans="2:20" s="713" customFormat="1" ht="15" hidden="1" customHeight="1">
      <c r="B36" s="670"/>
      <c r="C36" s="1396">
        <f>C58+(0.3*(H47)*2)</f>
        <v>1020</v>
      </c>
      <c r="D36" s="1396"/>
      <c r="E36" s="1396"/>
      <c r="F36" s="1396"/>
      <c r="G36" s="674"/>
      <c r="H36" s="675"/>
      <c r="I36" s="673"/>
      <c r="J36" s="717" t="s">
        <v>47</v>
      </c>
      <c r="K36" s="542">
        <f>C36/1000</f>
        <v>1.02</v>
      </c>
      <c r="L36" s="542"/>
      <c r="M36" s="542"/>
      <c r="N36" s="718" t="s">
        <v>48</v>
      </c>
      <c r="O36" s="719">
        <f>C58/1000</f>
        <v>0.66</v>
      </c>
      <c r="P36" s="720"/>
      <c r="Q36" s="721" t="s">
        <v>49</v>
      </c>
      <c r="R36" s="722">
        <f>(H47)/1000</f>
        <v>0.6</v>
      </c>
      <c r="S36" s="723"/>
      <c r="T36" s="724"/>
    </row>
    <row r="37" spans="2:20" s="713" customFormat="1" ht="15" hidden="1" customHeight="1">
      <c r="B37" s="670"/>
      <c r="C37" s="894"/>
      <c r="D37" s="895"/>
      <c r="E37" s="895"/>
      <c r="F37" s="679"/>
      <c r="G37" s="674"/>
      <c r="H37" s="675"/>
      <c r="I37" s="676"/>
      <c r="J37" s="717" t="s">
        <v>50</v>
      </c>
      <c r="K37" s="542">
        <f>C38/1000</f>
        <v>1.02</v>
      </c>
      <c r="L37" s="542"/>
      <c r="M37" s="542"/>
      <c r="N37" s="718" t="s">
        <v>51</v>
      </c>
      <c r="O37" s="719">
        <f>C60/1000</f>
        <v>0.66</v>
      </c>
      <c r="P37" s="720"/>
      <c r="R37" s="725"/>
      <c r="S37" s="726"/>
      <c r="T37" s="724"/>
    </row>
    <row r="38" spans="2:20" s="713" customFormat="1" ht="15" hidden="1" customHeight="1">
      <c r="B38" s="670"/>
      <c r="C38" s="1393">
        <f>C60+(0.3*(H47)*2)</f>
        <v>1020</v>
      </c>
      <c r="D38" s="1398"/>
      <c r="E38" s="1398"/>
      <c r="F38" s="1394"/>
      <c r="G38" s="674"/>
      <c r="H38" s="675"/>
      <c r="I38" s="676"/>
      <c r="J38" s="727" t="s">
        <v>52</v>
      </c>
      <c r="K38" s="728"/>
      <c r="L38" s="728"/>
      <c r="M38" s="728"/>
      <c r="N38" s="728"/>
      <c r="O38" s="729"/>
      <c r="P38" s="728"/>
      <c r="Q38" s="730"/>
      <c r="R38" s="730"/>
      <c r="S38" s="731">
        <f>ROUNDDOWN(R36/6*((2*K36+O36)*K37+(2*O36+K36)*O37),2)</f>
        <v>0.42</v>
      </c>
      <c r="T38" s="732" t="s">
        <v>178</v>
      </c>
    </row>
    <row r="39" spans="2:20" s="713" customFormat="1" ht="15" hidden="1" customHeight="1">
      <c r="B39" s="670"/>
      <c r="C39" s="677"/>
      <c r="D39" s="678"/>
      <c r="E39" s="678"/>
      <c r="F39" s="679"/>
      <c r="G39" s="674"/>
      <c r="H39" s="675"/>
      <c r="I39" s="676"/>
      <c r="J39" s="476" t="s">
        <v>351</v>
      </c>
      <c r="K39" s="896"/>
      <c r="L39" s="896" t="s">
        <v>54</v>
      </c>
      <c r="M39" s="778"/>
      <c r="N39" s="778"/>
      <c r="O39" s="778"/>
      <c r="P39" s="896"/>
      <c r="Q39" s="712"/>
      <c r="R39" s="712"/>
      <c r="S39" s="715"/>
      <c r="T39" s="783"/>
    </row>
    <row r="40" spans="2:20" s="713" customFormat="1" ht="15" hidden="1" customHeight="1">
      <c r="B40" s="670"/>
      <c r="C40" s="680"/>
      <c r="D40" s="1402">
        <v>460</v>
      </c>
      <c r="E40" s="1403"/>
      <c r="F40" s="681"/>
      <c r="G40" s="674"/>
      <c r="H40" s="675"/>
      <c r="I40" s="676"/>
      <c r="J40" s="717" t="s">
        <v>47</v>
      </c>
      <c r="K40" s="542">
        <f>D40/1000</f>
        <v>0.46</v>
      </c>
      <c r="L40" s="542"/>
      <c r="M40" s="542"/>
      <c r="N40" s="718" t="s">
        <v>48</v>
      </c>
      <c r="O40" s="542">
        <f>D55/1000</f>
        <v>0.46</v>
      </c>
      <c r="P40" s="720"/>
      <c r="Q40" s="721" t="s">
        <v>49</v>
      </c>
      <c r="R40" s="722">
        <f>H47/1000</f>
        <v>0.6</v>
      </c>
      <c r="S40" s="897">
        <f>ROUNDDOWN(K40*O40*R40,2)</f>
        <v>0.12</v>
      </c>
      <c r="T40" s="541" t="s">
        <v>55</v>
      </c>
    </row>
    <row r="41" spans="2:20" s="713" customFormat="1" ht="15" hidden="1" customHeight="1">
      <c r="B41" s="670"/>
      <c r="C41" s="682"/>
      <c r="D41" s="898"/>
      <c r="E41" s="899"/>
      <c r="F41" s="683"/>
      <c r="G41" s="672"/>
      <c r="H41" s="675"/>
      <c r="I41" s="676"/>
      <c r="J41" s="717"/>
      <c r="K41" s="542"/>
      <c r="L41" s="542"/>
      <c r="M41" s="542"/>
      <c r="N41" s="718"/>
      <c r="O41" s="542"/>
      <c r="P41" s="720"/>
      <c r="Q41" s="721"/>
      <c r="R41" s="722"/>
      <c r="S41" s="897">
        <f>ROUNDDOWN(K41*O41*R41,2)</f>
        <v>0</v>
      </c>
      <c r="T41" s="541" t="s">
        <v>56</v>
      </c>
    </row>
    <row r="42" spans="2:20" s="713" customFormat="1" ht="15" hidden="1" customHeight="1">
      <c r="B42" s="670"/>
      <c r="C42" s="682"/>
      <c r="D42" s="900"/>
      <c r="E42" s="683"/>
      <c r="F42" s="683"/>
      <c r="G42" s="672"/>
      <c r="H42" s="675"/>
      <c r="I42" s="676"/>
      <c r="J42" s="717"/>
      <c r="K42" s="542"/>
      <c r="L42" s="542"/>
      <c r="M42" s="542"/>
      <c r="N42" s="901"/>
      <c r="O42" s="542"/>
      <c r="P42" s="720"/>
      <c r="Q42" s="721"/>
      <c r="R42" s="722"/>
      <c r="S42" s="897"/>
      <c r="T42" s="541"/>
    </row>
    <row r="43" spans="2:20" s="713" customFormat="1" ht="15" hidden="1" customHeight="1">
      <c r="B43" s="670"/>
      <c r="C43" s="682"/>
      <c r="D43" s="900"/>
      <c r="E43" s="683"/>
      <c r="F43" s="683"/>
      <c r="G43" s="672"/>
      <c r="H43" s="675"/>
      <c r="I43" s="676"/>
      <c r="J43" s="717"/>
      <c r="K43" s="542"/>
      <c r="L43" s="542"/>
      <c r="M43" s="542"/>
      <c r="N43" s="901"/>
      <c r="O43" s="542"/>
      <c r="P43" s="720"/>
      <c r="Q43" s="721"/>
      <c r="R43" s="722"/>
      <c r="S43" s="897"/>
      <c r="T43" s="541"/>
    </row>
    <row r="44" spans="2:20" s="713" customFormat="1" ht="15" hidden="1" customHeight="1">
      <c r="B44" s="670"/>
      <c r="C44" s="682"/>
      <c r="D44" s="900"/>
      <c r="E44" s="683"/>
      <c r="F44" s="683"/>
      <c r="G44" s="672"/>
      <c r="H44" s="684"/>
      <c r="I44" s="676"/>
      <c r="J44" s="727" t="s">
        <v>57</v>
      </c>
      <c r="K44" s="728"/>
      <c r="L44" s="728"/>
      <c r="M44" s="728"/>
      <c r="N44" s="728"/>
      <c r="O44" s="729"/>
      <c r="P44" s="728"/>
      <c r="Q44" s="799"/>
      <c r="R44" s="902"/>
      <c r="S44" s="731">
        <f>SUM(S40:S43)</f>
        <v>0.12</v>
      </c>
      <c r="T44" s="732" t="s">
        <v>178</v>
      </c>
    </row>
    <row r="45" spans="2:20" s="713" customFormat="1" ht="15" hidden="1" customHeight="1">
      <c r="B45" s="670"/>
      <c r="C45" s="682"/>
      <c r="D45" s="900"/>
      <c r="E45" s="683"/>
      <c r="F45" s="683"/>
      <c r="G45" s="672"/>
      <c r="H45" s="675"/>
      <c r="I45" s="685"/>
      <c r="J45" s="476" t="s">
        <v>58</v>
      </c>
      <c r="K45" s="778"/>
      <c r="L45" s="543" t="s">
        <v>334</v>
      </c>
      <c r="M45" s="543" t="s">
        <v>335</v>
      </c>
      <c r="N45" s="903" t="s">
        <v>336</v>
      </c>
      <c r="O45" s="904"/>
      <c r="P45" s="543"/>
      <c r="Q45" s="887"/>
      <c r="R45" s="887"/>
      <c r="S45" s="905"/>
      <c r="T45" s="783"/>
    </row>
    <row r="46" spans="2:20" s="713" customFormat="1" ht="15" hidden="1" customHeight="1" thickBot="1">
      <c r="B46" s="686"/>
      <c r="C46" s="1404"/>
      <c r="D46" s="1404"/>
      <c r="E46" s="1404"/>
      <c r="F46" s="1404"/>
      <c r="G46" s="687"/>
      <c r="H46" s="687"/>
      <c r="I46" s="688"/>
      <c r="J46" s="906"/>
      <c r="K46" s="907"/>
      <c r="L46" s="907" t="s">
        <v>334</v>
      </c>
      <c r="M46" s="907">
        <f>S38</f>
        <v>0.42</v>
      </c>
      <c r="N46" s="907" t="s">
        <v>337</v>
      </c>
      <c r="O46" s="908">
        <f>S44</f>
        <v>0.12</v>
      </c>
      <c r="P46" s="791"/>
      <c r="Q46" s="909"/>
      <c r="R46" s="910"/>
      <c r="S46" s="795">
        <f>ROUNDDOWN(M46-O46,2)</f>
        <v>0.3</v>
      </c>
      <c r="T46" s="732" t="s">
        <v>178</v>
      </c>
    </row>
    <row r="47" spans="2:20" s="713" customFormat="1" ht="15" hidden="1" customHeight="1">
      <c r="B47" s="670"/>
      <c r="C47" s="689"/>
      <c r="D47" s="882"/>
      <c r="E47" s="883"/>
      <c r="F47" s="690"/>
      <c r="G47" s="691"/>
      <c r="H47" s="1405">
        <v>600</v>
      </c>
      <c r="I47" s="1408">
        <f>H44+H46+H47</f>
        <v>600</v>
      </c>
      <c r="J47" s="476" t="s">
        <v>881</v>
      </c>
      <c r="K47" s="778"/>
      <c r="L47" s="543" t="s">
        <v>882</v>
      </c>
      <c r="M47" s="543"/>
      <c r="N47" s="903"/>
      <c r="O47" s="904"/>
      <c r="P47" s="543"/>
      <c r="Q47" s="887"/>
      <c r="R47" s="887"/>
      <c r="S47" s="905"/>
      <c r="T47" s="783"/>
    </row>
    <row r="48" spans="2:20" s="713" customFormat="1" ht="15" hidden="1" customHeight="1">
      <c r="B48" s="692"/>
      <c r="C48" s="689"/>
      <c r="D48" s="912"/>
      <c r="E48" s="913"/>
      <c r="F48" s="690"/>
      <c r="G48" s="914"/>
      <c r="H48" s="1406"/>
      <c r="I48" s="1403"/>
      <c r="J48" s="906"/>
      <c r="K48" s="907"/>
      <c r="L48" s="907"/>
      <c r="M48" s="542">
        <f>C58/1000</f>
        <v>0.66</v>
      </c>
      <c r="N48" s="544" t="s">
        <v>883</v>
      </c>
      <c r="O48" s="542">
        <f>C58/1000</f>
        <v>0.66</v>
      </c>
      <c r="P48" s="544" t="s">
        <v>883</v>
      </c>
      <c r="Q48" s="721" t="s">
        <v>49</v>
      </c>
      <c r="R48" s="722">
        <f>80/1000</f>
        <v>0.08</v>
      </c>
      <c r="S48" s="897">
        <f>ROUNDDOWN(M48*O48*R48,2)</f>
        <v>0.03</v>
      </c>
      <c r="T48" s="732" t="s">
        <v>178</v>
      </c>
    </row>
    <row r="49" spans="2:20" s="713" customFormat="1" ht="15" hidden="1" customHeight="1">
      <c r="B49" s="670"/>
      <c r="C49" s="689"/>
      <c r="D49" s="912"/>
      <c r="E49" s="913"/>
      <c r="F49" s="690"/>
      <c r="G49" s="914"/>
      <c r="H49" s="1406"/>
      <c r="I49" s="1403"/>
      <c r="J49" s="476"/>
      <c r="K49" s="778"/>
      <c r="L49" s="543"/>
      <c r="M49" s="543"/>
      <c r="N49" s="903"/>
      <c r="O49" s="1005"/>
      <c r="P49" s="543"/>
      <c r="Q49" s="887"/>
      <c r="R49" s="887"/>
      <c r="S49" s="905"/>
      <c r="T49" s="783"/>
    </row>
    <row r="50" spans="2:20" s="713" customFormat="1" ht="15" hidden="1" customHeight="1">
      <c r="B50" s="670"/>
      <c r="C50" s="689"/>
      <c r="D50" s="912"/>
      <c r="E50" s="913"/>
      <c r="F50" s="690"/>
      <c r="G50" s="914"/>
      <c r="H50" s="1406"/>
      <c r="I50" s="1403"/>
      <c r="J50" s="906"/>
      <c r="K50" s="907"/>
      <c r="L50" s="907"/>
      <c r="M50" s="542"/>
      <c r="N50" s="544"/>
      <c r="O50" s="542"/>
      <c r="P50" s="544"/>
      <c r="Q50" s="721"/>
      <c r="R50" s="722"/>
      <c r="S50" s="897"/>
      <c r="T50" s="732"/>
    </row>
    <row r="51" spans="2:20" s="713" customFormat="1" ht="15" hidden="1" customHeight="1" thickBot="1">
      <c r="B51" s="670"/>
      <c r="C51" s="696"/>
      <c r="D51" s="884"/>
      <c r="E51" s="885"/>
      <c r="F51" s="697"/>
      <c r="G51" s="915"/>
      <c r="H51" s="1407"/>
      <c r="I51" s="1403"/>
      <c r="J51" s="469"/>
      <c r="K51" s="785"/>
      <c r="L51" s="785"/>
      <c r="M51" s="785"/>
      <c r="N51" s="785"/>
      <c r="O51" s="786"/>
      <c r="P51" s="781"/>
      <c r="Q51" s="781"/>
      <c r="R51" s="781"/>
      <c r="S51" s="787"/>
      <c r="T51" s="788"/>
    </row>
    <row r="52" spans="2:20" s="713" customFormat="1" ht="15" hidden="1" customHeight="1">
      <c r="B52" s="670"/>
      <c r="C52" s="916"/>
      <c r="D52" s="917"/>
      <c r="E52" s="918"/>
      <c r="F52" s="919"/>
      <c r="G52" s="672"/>
      <c r="H52" s="675"/>
      <c r="I52" s="676"/>
      <c r="J52" s="789"/>
      <c r="K52" s="790"/>
      <c r="L52" s="791"/>
      <c r="M52" s="792"/>
      <c r="N52" s="793"/>
      <c r="P52" s="794"/>
      <c r="Q52" s="710"/>
      <c r="R52" s="710"/>
      <c r="S52" s="795"/>
      <c r="T52" s="541"/>
    </row>
    <row r="53" spans="2:20" s="713" customFormat="1" ht="15" hidden="1" customHeight="1">
      <c r="B53" s="670"/>
      <c r="C53" s="920">
        <v>100</v>
      </c>
      <c r="D53" s="1393">
        <v>460</v>
      </c>
      <c r="E53" s="1394"/>
      <c r="F53" s="921">
        <v>100</v>
      </c>
      <c r="G53" s="674"/>
      <c r="H53" s="700"/>
      <c r="I53" s="676"/>
      <c r="J53" s="469"/>
      <c r="K53" s="785"/>
      <c r="L53" s="785"/>
      <c r="M53" s="785"/>
      <c r="N53" s="785"/>
      <c r="O53" s="796"/>
      <c r="P53" s="797"/>
      <c r="Q53" s="796"/>
      <c r="R53" s="714"/>
      <c r="S53" s="715"/>
      <c r="T53" s="783"/>
    </row>
    <row r="54" spans="2:20" s="713" customFormat="1" ht="15" hidden="1" customHeight="1">
      <c r="B54" s="701"/>
      <c r="C54" s="922"/>
      <c r="D54" s="900"/>
      <c r="E54" s="683"/>
      <c r="F54" s="923"/>
      <c r="G54" s="702"/>
      <c r="H54" s="700"/>
      <c r="I54" s="676"/>
      <c r="J54" s="798"/>
      <c r="K54" s="799"/>
      <c r="L54" s="799"/>
      <c r="M54" s="799"/>
      <c r="N54" s="799"/>
      <c r="O54" s="800"/>
      <c r="P54" s="800"/>
      <c r="Q54" s="800"/>
      <c r="R54" s="800"/>
      <c r="S54" s="801"/>
      <c r="T54" s="802"/>
    </row>
    <row r="55" spans="2:20" s="713" customFormat="1" ht="15" hidden="1" customHeight="1">
      <c r="B55" s="670"/>
      <c r="C55" s="920">
        <v>100</v>
      </c>
      <c r="D55" s="1393">
        <v>460</v>
      </c>
      <c r="E55" s="1394"/>
      <c r="F55" s="921">
        <v>100</v>
      </c>
      <c r="G55" s="674"/>
      <c r="H55" s="700"/>
      <c r="I55" s="676"/>
      <c r="J55" s="469"/>
      <c r="K55" s="470"/>
      <c r="L55" s="470"/>
      <c r="M55" s="470"/>
      <c r="N55" s="470"/>
      <c r="O55" s="725"/>
      <c r="P55" s="803"/>
      <c r="Q55" s="803"/>
      <c r="R55" s="803"/>
      <c r="S55" s="804"/>
      <c r="T55" s="805"/>
    </row>
    <row r="56" spans="2:20" s="713" customFormat="1" ht="15" hidden="1" customHeight="1">
      <c r="B56" s="670"/>
      <c r="C56" s="677"/>
      <c r="D56" s="706"/>
      <c r="E56" s="706"/>
      <c r="F56" s="924"/>
      <c r="G56" s="702"/>
      <c r="H56" s="700"/>
      <c r="I56" s="676"/>
      <c r="J56" s="806"/>
      <c r="K56" s="807"/>
      <c r="L56" s="807"/>
      <c r="M56" s="807"/>
      <c r="N56" s="807"/>
      <c r="O56" s="808"/>
      <c r="P56" s="809"/>
      <c r="Q56" s="800"/>
      <c r="R56" s="730"/>
      <c r="S56" s="810"/>
      <c r="T56" s="802"/>
    </row>
    <row r="57" spans="2:20" s="713" customFormat="1" ht="15" hidden="1" customHeight="1">
      <c r="B57" s="670"/>
      <c r="C57" s="1395"/>
      <c r="D57" s="1396"/>
      <c r="E57" s="1396"/>
      <c r="F57" s="1397"/>
      <c r="G57" s="674"/>
      <c r="H57" s="675"/>
      <c r="I57" s="676"/>
      <c r="J57" s="476"/>
      <c r="K57" s="470"/>
      <c r="L57" s="652"/>
      <c r="M57" s="652"/>
      <c r="N57" s="652"/>
      <c r="O57" s="714"/>
      <c r="P57" s="714"/>
      <c r="Q57" s="781"/>
      <c r="R57" s="781"/>
      <c r="S57" s="715"/>
      <c r="T57" s="716"/>
    </row>
    <row r="58" spans="2:20" s="713" customFormat="1" ht="15" hidden="1" customHeight="1">
      <c r="B58" s="670"/>
      <c r="C58" s="1393">
        <f>C53+D53+F53</f>
        <v>660</v>
      </c>
      <c r="D58" s="1398"/>
      <c r="E58" s="1398"/>
      <c r="F58" s="1394"/>
      <c r="G58" s="674"/>
      <c r="H58" s="672"/>
      <c r="I58" s="673"/>
      <c r="J58" s="811"/>
      <c r="K58" s="812"/>
      <c r="L58" s="812"/>
      <c r="M58" s="812"/>
      <c r="N58" s="812"/>
      <c r="O58" s="730"/>
      <c r="P58" s="800"/>
      <c r="Q58" s="730"/>
      <c r="R58" s="730"/>
      <c r="S58" s="813"/>
      <c r="T58" s="814"/>
    </row>
    <row r="59" spans="2:20" s="713" customFormat="1" ht="15" hidden="1" customHeight="1">
      <c r="B59" s="670"/>
      <c r="C59" s="705"/>
      <c r="D59" s="706"/>
      <c r="E59" s="706"/>
      <c r="F59" s="707"/>
      <c r="G59" s="674"/>
      <c r="H59" s="675"/>
      <c r="I59" s="673"/>
      <c r="J59" s="476"/>
      <c r="K59" s="398"/>
      <c r="L59" s="398"/>
      <c r="M59" s="398"/>
      <c r="N59" s="398"/>
      <c r="O59" s="399"/>
      <c r="P59" s="400"/>
      <c r="Q59" s="399"/>
      <c r="R59" s="399"/>
      <c r="S59" s="401"/>
      <c r="T59" s="402"/>
    </row>
    <row r="60" spans="2:20" s="713" customFormat="1" ht="15" hidden="1" customHeight="1">
      <c r="B60" s="670"/>
      <c r="C60" s="1393">
        <f>C55+D55+F55</f>
        <v>660</v>
      </c>
      <c r="D60" s="1398"/>
      <c r="E60" s="1398"/>
      <c r="F60" s="1394"/>
      <c r="G60" s="674"/>
      <c r="H60" s="672"/>
      <c r="I60" s="673"/>
      <c r="J60" s="403"/>
      <c r="K60" s="404"/>
      <c r="L60" s="404"/>
      <c r="M60" s="404"/>
      <c r="N60" s="404"/>
      <c r="O60" s="730"/>
      <c r="P60" s="405"/>
      <c r="Q60" s="405"/>
      <c r="R60" s="405"/>
      <c r="S60" s="813"/>
      <c r="T60" s="814"/>
    </row>
    <row r="61" spans="2:20" s="713" customFormat="1" ht="15" hidden="1" customHeight="1">
      <c r="B61" s="670"/>
      <c r="C61" s="671"/>
      <c r="D61" s="672"/>
      <c r="E61" s="672"/>
      <c r="F61" s="672"/>
      <c r="G61" s="672"/>
      <c r="H61" s="672"/>
      <c r="I61" s="673"/>
      <c r="J61" s="485"/>
      <c r="K61" s="652"/>
      <c r="L61" s="652"/>
      <c r="M61" s="652"/>
      <c r="N61" s="652"/>
      <c r="O61" s="714"/>
      <c r="P61" s="714"/>
      <c r="Q61" s="781"/>
      <c r="R61" s="781"/>
      <c r="S61" s="715"/>
      <c r="T61" s="716"/>
    </row>
    <row r="62" spans="2:20" s="713" customFormat="1" ht="15" hidden="1" customHeight="1">
      <c r="B62" s="670"/>
      <c r="C62" s="671"/>
      <c r="D62" s="672"/>
      <c r="E62" s="672"/>
      <c r="F62" s="672"/>
      <c r="G62" s="672"/>
      <c r="H62" s="672"/>
      <c r="I62" s="675"/>
      <c r="J62" s="811"/>
      <c r="K62" s="812"/>
      <c r="L62" s="812"/>
      <c r="M62" s="812"/>
      <c r="N62" s="812"/>
      <c r="O62" s="730"/>
      <c r="P62" s="800"/>
      <c r="Q62" s="730"/>
      <c r="R62" s="730"/>
      <c r="S62" s="813"/>
      <c r="T62" s="814"/>
    </row>
    <row r="63" spans="2:20" s="713" customFormat="1" ht="15" hidden="1" customHeight="1">
      <c r="B63" s="708"/>
      <c r="C63" s="709"/>
      <c r="D63" s="710"/>
      <c r="E63" s="710"/>
      <c r="F63" s="710"/>
      <c r="G63" s="710"/>
      <c r="H63" s="710"/>
      <c r="I63" s="925"/>
      <c r="J63" s="926"/>
      <c r="K63" s="890"/>
      <c r="L63" s="890"/>
      <c r="M63" s="890"/>
      <c r="N63" s="890"/>
      <c r="O63" s="891"/>
      <c r="P63" s="891"/>
      <c r="Q63" s="891"/>
      <c r="R63" s="891"/>
      <c r="S63" s="927"/>
      <c r="T63" s="893"/>
    </row>
    <row r="64" spans="2:20" ht="24.95" hidden="1" customHeight="1">
      <c r="B64" s="468" t="s">
        <v>349</v>
      </c>
      <c r="C64" s="1382" t="e">
        <f>#REF!</f>
        <v>#REF!</v>
      </c>
      <c r="D64" s="1383"/>
      <c r="E64" s="1383"/>
      <c r="F64" s="1383"/>
      <c r="G64" s="1383"/>
      <c r="H64" s="1383"/>
      <c r="I64" s="1383" t="e">
        <f>#REF!</f>
        <v>#REF!</v>
      </c>
      <c r="J64" s="1383"/>
      <c r="K64" s="1383"/>
      <c r="L64" s="1384"/>
      <c r="M64" s="1384"/>
      <c r="N64" s="1384"/>
      <c r="O64" s="1384"/>
      <c r="P64" s="1384"/>
      <c r="Q64" s="1384"/>
      <c r="R64" s="1384"/>
      <c r="S64" s="1384"/>
      <c r="T64" s="1385"/>
    </row>
    <row r="65" spans="2:20" ht="15" hidden="1" customHeight="1">
      <c r="B65" s="255"/>
      <c r="C65" s="256"/>
      <c r="D65" s="456"/>
      <c r="E65" s="456"/>
      <c r="F65" s="456"/>
      <c r="G65" s="456"/>
      <c r="H65" s="456"/>
      <c r="I65" s="257"/>
      <c r="J65" s="826"/>
      <c r="K65" s="826"/>
      <c r="L65" s="826" t="s">
        <v>39</v>
      </c>
      <c r="M65" s="826" t="s">
        <v>40</v>
      </c>
      <c r="N65" s="826" t="s">
        <v>41</v>
      </c>
      <c r="O65" s="410" t="s">
        <v>42</v>
      </c>
      <c r="P65" s="410" t="s">
        <v>43</v>
      </c>
      <c r="Q65" s="410"/>
      <c r="R65" s="410"/>
      <c r="S65" s="827" t="s">
        <v>44</v>
      </c>
      <c r="T65" s="261"/>
    </row>
    <row r="66" spans="2:20" ht="15" hidden="1" customHeight="1">
      <c r="B66" s="255"/>
      <c r="C66" s="256"/>
      <c r="D66" s="456"/>
      <c r="E66" s="456"/>
      <c r="F66" s="456"/>
      <c r="G66" s="456"/>
      <c r="H66" s="456"/>
      <c r="I66" s="257"/>
      <c r="J66" s="828" t="s">
        <v>45</v>
      </c>
      <c r="K66" s="829"/>
      <c r="L66" s="829" t="s">
        <v>46</v>
      </c>
      <c r="M66" s="830"/>
      <c r="N66" s="830"/>
      <c r="P66" s="831"/>
      <c r="Q66" s="831"/>
      <c r="R66" s="831"/>
      <c r="S66" s="832"/>
      <c r="T66" s="267"/>
    </row>
    <row r="67" spans="2:20" ht="15" hidden="1" customHeight="1">
      <c r="B67" s="255"/>
      <c r="C67" s="1377">
        <f>C89+(0.3*(H78)*2)</f>
        <v>1200</v>
      </c>
      <c r="D67" s="1377"/>
      <c r="E67" s="1377"/>
      <c r="F67" s="1377"/>
      <c r="G67" s="268"/>
      <c r="H67" s="269"/>
      <c r="I67" s="257"/>
      <c r="J67" s="833" t="s">
        <v>47</v>
      </c>
      <c r="K67" s="834">
        <f>C67/1000</f>
        <v>1.2</v>
      </c>
      <c r="L67" s="834"/>
      <c r="M67" s="834"/>
      <c r="N67" s="835" t="s">
        <v>48</v>
      </c>
      <c r="O67" s="649">
        <f>C89/1000</f>
        <v>0.9</v>
      </c>
      <c r="P67" s="274"/>
      <c r="Q67" s="275" t="s">
        <v>49</v>
      </c>
      <c r="R67" s="276">
        <f>(H78)/1000</f>
        <v>0.5</v>
      </c>
      <c r="S67" s="277"/>
      <c r="T67" s="278"/>
    </row>
    <row r="68" spans="2:20" ht="15" hidden="1" customHeight="1">
      <c r="B68" s="255"/>
      <c r="C68" s="279"/>
      <c r="D68" s="280"/>
      <c r="E68" s="280"/>
      <c r="F68" s="281"/>
      <c r="G68" s="268"/>
      <c r="H68" s="269"/>
      <c r="I68" s="282"/>
      <c r="J68" s="833" t="s">
        <v>50</v>
      </c>
      <c r="K68" s="834">
        <f>C69/1000</f>
        <v>0.8</v>
      </c>
      <c r="L68" s="834"/>
      <c r="M68" s="834"/>
      <c r="N68" s="835" t="s">
        <v>51</v>
      </c>
      <c r="O68" s="649">
        <f>C91/1000</f>
        <v>0.5</v>
      </c>
      <c r="P68" s="274"/>
      <c r="Q68" s="254"/>
      <c r="R68" s="269"/>
      <c r="S68" s="836"/>
      <c r="T68" s="278"/>
    </row>
    <row r="69" spans="2:20" ht="15" hidden="1" customHeight="1">
      <c r="B69" s="255"/>
      <c r="C69" s="1379">
        <f>C91+(0.3*(H78)*2)</f>
        <v>800</v>
      </c>
      <c r="D69" s="1380"/>
      <c r="E69" s="1380"/>
      <c r="F69" s="1381"/>
      <c r="G69" s="268"/>
      <c r="H69" s="269"/>
      <c r="I69" s="282"/>
      <c r="J69" s="837" t="s">
        <v>52</v>
      </c>
      <c r="K69" s="838"/>
      <c r="L69" s="838"/>
      <c r="M69" s="838"/>
      <c r="N69" s="838"/>
      <c r="O69" s="839"/>
      <c r="P69" s="838"/>
      <c r="Q69" s="410"/>
      <c r="R69" s="410"/>
      <c r="S69" s="840">
        <f>ROUNDDOWN(R67/6*((2*K67+O67)*K68+(2*O67+K67)*O68),3)</f>
        <v>0.34499999999999997</v>
      </c>
      <c r="T69" s="599" t="s">
        <v>178</v>
      </c>
    </row>
    <row r="70" spans="2:20" ht="15" hidden="1" customHeight="1">
      <c r="B70" s="255"/>
      <c r="C70" s="290"/>
      <c r="D70" s="291"/>
      <c r="E70" s="291"/>
      <c r="F70" s="281"/>
      <c r="G70" s="268"/>
      <c r="H70" s="269"/>
      <c r="I70" s="282"/>
      <c r="J70" s="841" t="s">
        <v>53</v>
      </c>
      <c r="K70" s="842"/>
      <c r="L70" s="842" t="s">
        <v>54</v>
      </c>
      <c r="M70" s="843"/>
      <c r="N70" s="843"/>
      <c r="O70" s="843"/>
      <c r="P70" s="842"/>
      <c r="Q70" s="829"/>
      <c r="R70" s="829"/>
      <c r="S70" s="832"/>
      <c r="T70" s="294"/>
    </row>
    <row r="71" spans="2:20" ht="15" hidden="1" customHeight="1">
      <c r="B71" s="255"/>
      <c r="C71" s="295"/>
      <c r="D71" s="1386">
        <v>700</v>
      </c>
      <c r="E71" s="1387"/>
      <c r="F71" s="296"/>
      <c r="G71" s="268"/>
      <c r="H71" s="269"/>
      <c r="I71" s="282"/>
      <c r="J71" s="833" t="s">
        <v>47</v>
      </c>
      <c r="K71" s="844">
        <f>D71/1000</f>
        <v>0.7</v>
      </c>
      <c r="L71" s="834"/>
      <c r="M71" s="834"/>
      <c r="N71" s="835" t="s">
        <v>48</v>
      </c>
      <c r="O71" s="834">
        <f>D86/1000</f>
        <v>0.3</v>
      </c>
      <c r="P71" s="274"/>
      <c r="Q71" s="275" t="s">
        <v>49</v>
      </c>
      <c r="R71" s="276">
        <f>H78/1000</f>
        <v>0.5</v>
      </c>
      <c r="S71" s="297">
        <f>ROUNDDOWN(K71*O71*R71,2)</f>
        <v>0.1</v>
      </c>
      <c r="T71" s="298" t="s">
        <v>55</v>
      </c>
    </row>
    <row r="72" spans="2:20" ht="15" hidden="1" customHeight="1">
      <c r="B72" s="255"/>
      <c r="C72" s="299"/>
      <c r="D72" s="300"/>
      <c r="E72" s="301"/>
      <c r="F72" s="302"/>
      <c r="G72" s="456"/>
      <c r="H72" s="269"/>
      <c r="I72" s="282"/>
      <c r="J72" s="833"/>
      <c r="K72" s="834"/>
      <c r="L72" s="834"/>
      <c r="M72" s="834"/>
      <c r="N72" s="835"/>
      <c r="O72" s="834"/>
      <c r="P72" s="274"/>
      <c r="Q72" s="275"/>
      <c r="R72" s="276"/>
      <c r="S72" s="297"/>
      <c r="T72" s="298"/>
    </row>
    <row r="73" spans="2:20" ht="15" hidden="1" customHeight="1">
      <c r="B73" s="255"/>
      <c r="C73" s="299"/>
      <c r="D73" s="303"/>
      <c r="E73" s="302"/>
      <c r="F73" s="302"/>
      <c r="G73" s="456"/>
      <c r="H73" s="269"/>
      <c r="I73" s="282"/>
      <c r="J73" s="833"/>
      <c r="K73" s="834"/>
      <c r="L73" s="834"/>
      <c r="M73" s="834"/>
      <c r="N73" s="835"/>
      <c r="O73" s="834"/>
      <c r="P73" s="274"/>
      <c r="Q73" s="275"/>
      <c r="R73" s="276"/>
      <c r="S73" s="297"/>
      <c r="T73" s="541"/>
    </row>
    <row r="74" spans="2:20" ht="15" hidden="1" customHeight="1">
      <c r="B74" s="255"/>
      <c r="C74" s="299"/>
      <c r="D74" s="303"/>
      <c r="E74" s="302"/>
      <c r="F74" s="302"/>
      <c r="G74" s="456"/>
      <c r="H74" s="269"/>
      <c r="I74" s="282"/>
      <c r="J74" s="833"/>
      <c r="K74" s="834"/>
      <c r="L74" s="834"/>
      <c r="M74" s="834"/>
      <c r="N74" s="305"/>
      <c r="O74" s="834"/>
      <c r="P74" s="274"/>
      <c r="Q74" s="275"/>
      <c r="R74" s="276"/>
      <c r="S74" s="297"/>
      <c r="T74" s="298"/>
    </row>
    <row r="75" spans="2:20" ht="15" hidden="1" customHeight="1">
      <c r="B75" s="255"/>
      <c r="C75" s="299"/>
      <c r="D75" s="303"/>
      <c r="E75" s="302"/>
      <c r="F75" s="302"/>
      <c r="G75" s="456"/>
      <c r="H75" s="305"/>
      <c r="I75" s="282"/>
      <c r="J75" s="837" t="s">
        <v>57</v>
      </c>
      <c r="K75" s="838"/>
      <c r="L75" s="838"/>
      <c r="M75" s="838"/>
      <c r="N75" s="838"/>
      <c r="O75" s="839"/>
      <c r="P75" s="838"/>
      <c r="Q75" s="306"/>
      <c r="R75" s="307"/>
      <c r="S75" s="840">
        <f>SUM(S71:S74)</f>
        <v>0.1</v>
      </c>
      <c r="T75" s="599" t="s">
        <v>178</v>
      </c>
    </row>
    <row r="76" spans="2:20" ht="15" hidden="1" customHeight="1">
      <c r="B76" s="255"/>
      <c r="C76" s="299"/>
      <c r="D76" s="303"/>
      <c r="E76" s="302"/>
      <c r="F76" s="302"/>
      <c r="G76" s="456"/>
      <c r="H76" s="269"/>
      <c r="I76" s="308"/>
      <c r="J76" s="828" t="s">
        <v>58</v>
      </c>
      <c r="K76" s="843"/>
      <c r="L76" s="309" t="s">
        <v>334</v>
      </c>
      <c r="M76" s="309" t="s">
        <v>335</v>
      </c>
      <c r="N76" s="310" t="s">
        <v>336</v>
      </c>
      <c r="O76" s="311"/>
      <c r="P76" s="309"/>
      <c r="Q76" s="312"/>
      <c r="R76" s="312"/>
      <c r="S76" s="313"/>
      <c r="T76" s="294"/>
    </row>
    <row r="77" spans="2:20" ht="15" hidden="1" customHeight="1" thickBot="1">
      <c r="B77" s="314"/>
      <c r="C77" s="1388"/>
      <c r="D77" s="1388"/>
      <c r="E77" s="1388"/>
      <c r="F77" s="1388"/>
      <c r="G77" s="315"/>
      <c r="H77" s="315"/>
      <c r="I77" s="316"/>
      <c r="J77" s="317"/>
      <c r="K77" s="318"/>
      <c r="L77" s="318" t="s">
        <v>334</v>
      </c>
      <c r="M77" s="845">
        <f>S69</f>
        <v>0.34499999999999997</v>
      </c>
      <c r="N77" s="318" t="s">
        <v>337</v>
      </c>
      <c r="O77" s="319">
        <f>S79</f>
        <v>0.1</v>
      </c>
      <c r="P77" s="348"/>
      <c r="Q77" s="321"/>
      <c r="R77" s="846"/>
      <c r="S77" s="847">
        <f>ROUNDDOWN(M77-O77,3)</f>
        <v>0.245</v>
      </c>
      <c r="T77" s="599" t="s">
        <v>178</v>
      </c>
    </row>
    <row r="78" spans="2:20" ht="15" hidden="1" customHeight="1">
      <c r="B78" s="255"/>
      <c r="C78" s="324"/>
      <c r="D78" s="457"/>
      <c r="E78" s="325"/>
      <c r="F78" s="326"/>
      <c r="G78" s="327"/>
      <c r="H78" s="1389">
        <v>500</v>
      </c>
      <c r="I78" s="1392">
        <f>H75+H77+H78</f>
        <v>500</v>
      </c>
      <c r="J78" s="828" t="s">
        <v>338</v>
      </c>
      <c r="K78" s="843"/>
      <c r="L78" s="843" t="s">
        <v>339</v>
      </c>
      <c r="M78" s="309"/>
      <c r="N78" s="310" t="s">
        <v>340</v>
      </c>
      <c r="O78" s="843"/>
      <c r="P78" s="843"/>
      <c r="Q78" s="328"/>
      <c r="R78" s="329"/>
      <c r="S78" s="832"/>
      <c r="T78" s="294"/>
    </row>
    <row r="79" spans="2:20" ht="15" hidden="1" customHeight="1">
      <c r="B79" s="330"/>
      <c r="C79" s="324"/>
      <c r="D79" s="331"/>
      <c r="E79" s="332"/>
      <c r="F79" s="326"/>
      <c r="G79" s="333"/>
      <c r="H79" s="1390"/>
      <c r="I79" s="1387"/>
      <c r="J79" s="848"/>
      <c r="K79" s="849"/>
      <c r="L79" s="850" t="s">
        <v>339</v>
      </c>
      <c r="M79" s="849"/>
      <c r="N79" s="849"/>
      <c r="O79" s="838">
        <f>S71</f>
        <v>0.1</v>
      </c>
      <c r="P79" s="838"/>
      <c r="Q79" s="838"/>
      <c r="R79" s="410"/>
      <c r="S79" s="851">
        <f>ROUNDDOWN(O79+Q79,3)</f>
        <v>0.1</v>
      </c>
      <c r="T79" s="257" t="s">
        <v>178</v>
      </c>
    </row>
    <row r="80" spans="2:20" ht="15" hidden="1" customHeight="1">
      <c r="B80" s="255"/>
      <c r="C80" s="324"/>
      <c r="D80" s="331"/>
      <c r="E80" s="332"/>
      <c r="F80" s="326"/>
      <c r="G80" s="333"/>
      <c r="H80" s="1390"/>
      <c r="I80" s="1387"/>
      <c r="J80" s="852" t="s">
        <v>584</v>
      </c>
      <c r="K80" s="843"/>
      <c r="L80" s="843"/>
      <c r="M80" s="843"/>
      <c r="N80" s="843"/>
      <c r="O80" s="853"/>
      <c r="P80" s="340"/>
      <c r="Q80" s="329"/>
      <c r="R80" s="341"/>
      <c r="S80" s="832"/>
      <c r="T80" s="294"/>
    </row>
    <row r="81" spans="2:22" ht="15" hidden="1" customHeight="1">
      <c r="B81" s="255"/>
      <c r="C81" s="324"/>
      <c r="D81" s="331"/>
      <c r="E81" s="332"/>
      <c r="F81" s="326"/>
      <c r="G81" s="333"/>
      <c r="H81" s="1390"/>
      <c r="I81" s="1387"/>
      <c r="J81" s="645" t="s">
        <v>341</v>
      </c>
      <c r="K81" s="834">
        <f>D71/1000</f>
        <v>0.7</v>
      </c>
      <c r="L81" s="646" t="s">
        <v>59</v>
      </c>
      <c r="M81" s="965">
        <f>D86/1000</f>
        <v>0.3</v>
      </c>
      <c r="N81" s="648" t="s">
        <v>137</v>
      </c>
      <c r="O81" s="347" t="s">
        <v>342</v>
      </c>
      <c r="P81" s="649">
        <f>I78/1000</f>
        <v>0.5</v>
      </c>
      <c r="Q81" s="650" t="s">
        <v>343</v>
      </c>
      <c r="R81" s="456">
        <v>4</v>
      </c>
      <c r="S81" s="947">
        <f>((K81+M81)/2)*P81*R81</f>
        <v>1</v>
      </c>
      <c r="T81" s="257" t="s">
        <v>344</v>
      </c>
    </row>
    <row r="82" spans="2:22" ht="15" hidden="1" customHeight="1" thickBot="1">
      <c r="B82" s="255"/>
      <c r="C82" s="352"/>
      <c r="D82" s="353"/>
      <c r="E82" s="354"/>
      <c r="F82" s="355"/>
      <c r="G82" s="356"/>
      <c r="H82" s="1391"/>
      <c r="I82" s="1387"/>
      <c r="J82" s="841"/>
      <c r="K82" s="830"/>
      <c r="L82" s="870"/>
      <c r="M82" s="830"/>
      <c r="N82" s="830"/>
      <c r="O82" s="831"/>
      <c r="P82" s="831"/>
      <c r="Q82" s="329"/>
      <c r="R82" s="329"/>
      <c r="S82" s="832"/>
      <c r="T82" s="267"/>
    </row>
    <row r="83" spans="2:22" ht="15" hidden="1" customHeight="1">
      <c r="B83" s="255"/>
      <c r="C83" s="362"/>
      <c r="D83" s="363"/>
      <c r="E83" s="364"/>
      <c r="F83" s="365"/>
      <c r="G83" s="456"/>
      <c r="H83" s="269"/>
      <c r="I83" s="282"/>
      <c r="J83" s="848"/>
      <c r="K83" s="826"/>
      <c r="L83" s="826"/>
      <c r="M83" s="826"/>
      <c r="N83" s="826"/>
      <c r="O83" s="410"/>
      <c r="P83" s="381"/>
      <c r="Q83" s="410"/>
      <c r="R83" s="410"/>
      <c r="S83" s="868"/>
      <c r="T83" s="261"/>
    </row>
    <row r="84" spans="2:22" ht="15" hidden="1" customHeight="1">
      <c r="B84" s="255"/>
      <c r="C84" s="371">
        <v>100</v>
      </c>
      <c r="D84" s="1379">
        <f>D71</f>
        <v>700</v>
      </c>
      <c r="E84" s="1381"/>
      <c r="F84" s="372">
        <v>100</v>
      </c>
      <c r="G84" s="268"/>
      <c r="H84" s="373"/>
      <c r="I84" s="282"/>
      <c r="J84" s="841"/>
      <c r="K84" s="830"/>
      <c r="L84" s="870"/>
      <c r="M84" s="830"/>
      <c r="N84" s="830"/>
      <c r="O84" s="831"/>
      <c r="P84" s="831"/>
      <c r="Q84" s="329"/>
      <c r="R84" s="329"/>
      <c r="S84" s="832"/>
      <c r="T84" s="267"/>
    </row>
    <row r="85" spans="2:22" ht="15" hidden="1" customHeight="1">
      <c r="B85" s="376"/>
      <c r="C85" s="377"/>
      <c r="D85" s="303"/>
      <c r="E85" s="302"/>
      <c r="F85" s="378"/>
      <c r="G85" s="379"/>
      <c r="H85" s="373"/>
      <c r="I85" s="282"/>
      <c r="J85" s="848"/>
      <c r="K85" s="826"/>
      <c r="L85" s="826"/>
      <c r="M85" s="826"/>
      <c r="N85" s="826"/>
      <c r="O85" s="410"/>
      <c r="P85" s="381"/>
      <c r="Q85" s="410"/>
      <c r="R85" s="410"/>
      <c r="S85" s="868"/>
      <c r="T85" s="261"/>
    </row>
    <row r="86" spans="2:22" ht="15" hidden="1" customHeight="1">
      <c r="B86" s="255"/>
      <c r="C86" s="371">
        <v>100</v>
      </c>
      <c r="D86" s="1379">
        <v>300</v>
      </c>
      <c r="E86" s="1381"/>
      <c r="F86" s="372">
        <v>100</v>
      </c>
      <c r="G86" s="268"/>
      <c r="H86" s="373"/>
      <c r="I86" s="282"/>
      <c r="J86" s="841"/>
      <c r="K86" s="830"/>
      <c r="L86" s="870"/>
      <c r="M86" s="830"/>
      <c r="N86" s="830"/>
      <c r="O86" s="831"/>
      <c r="P86" s="831"/>
      <c r="Q86" s="329"/>
      <c r="R86" s="329"/>
      <c r="S86" s="832"/>
      <c r="T86" s="267"/>
    </row>
    <row r="87" spans="2:22" ht="15" hidden="1" customHeight="1">
      <c r="B87" s="255"/>
      <c r="C87" s="290"/>
      <c r="D87" s="388"/>
      <c r="E87" s="388"/>
      <c r="F87" s="389"/>
      <c r="G87" s="379"/>
      <c r="H87" s="373"/>
      <c r="I87" s="282"/>
      <c r="J87" s="848"/>
      <c r="K87" s="826"/>
      <c r="L87" s="826"/>
      <c r="M87" s="826"/>
      <c r="N87" s="826"/>
      <c r="O87" s="410"/>
      <c r="P87" s="381"/>
      <c r="Q87" s="410"/>
      <c r="R87" s="410"/>
      <c r="S87" s="868"/>
      <c r="T87" s="802"/>
    </row>
    <row r="88" spans="2:22" ht="15" hidden="1" customHeight="1">
      <c r="B88" s="255"/>
      <c r="C88" s="1376"/>
      <c r="D88" s="1377"/>
      <c r="E88" s="1377"/>
      <c r="F88" s="1378"/>
      <c r="G88" s="268"/>
      <c r="H88" s="269"/>
      <c r="I88" s="282"/>
      <c r="J88" s="841"/>
      <c r="K88" s="830"/>
      <c r="L88" s="870"/>
      <c r="M88" s="830"/>
      <c r="N88" s="830"/>
      <c r="O88" s="831"/>
      <c r="P88" s="831"/>
      <c r="Q88" s="329"/>
      <c r="R88" s="329"/>
      <c r="S88" s="832"/>
      <c r="T88" s="267"/>
    </row>
    <row r="89" spans="2:22" ht="15" hidden="1" customHeight="1">
      <c r="B89" s="255"/>
      <c r="C89" s="1379">
        <f>C84+D84+F84</f>
        <v>900</v>
      </c>
      <c r="D89" s="1380"/>
      <c r="E89" s="1380"/>
      <c r="F89" s="1381"/>
      <c r="G89" s="268"/>
      <c r="H89" s="456"/>
      <c r="I89" s="257"/>
      <c r="J89" s="848"/>
      <c r="K89" s="826"/>
      <c r="L89" s="826"/>
      <c r="M89" s="826"/>
      <c r="N89" s="826"/>
      <c r="O89" s="410"/>
      <c r="P89" s="381"/>
      <c r="Q89" s="410"/>
      <c r="R89" s="410"/>
      <c r="S89" s="868"/>
      <c r="T89" s="802"/>
    </row>
    <row r="90" spans="2:22" ht="15" hidden="1" customHeight="1">
      <c r="B90" s="255"/>
      <c r="C90" s="396"/>
      <c r="D90" s="388"/>
      <c r="E90" s="388"/>
      <c r="F90" s="397"/>
      <c r="G90" s="268"/>
      <c r="H90" s="269"/>
      <c r="I90" s="257"/>
      <c r="J90" s="841"/>
      <c r="K90" s="398"/>
      <c r="L90" s="398"/>
      <c r="M90" s="398"/>
      <c r="N90" s="398"/>
      <c r="O90" s="399"/>
      <c r="P90" s="400"/>
      <c r="Q90" s="399"/>
      <c r="R90" s="399"/>
      <c r="S90" s="401"/>
      <c r="T90" s="402"/>
    </row>
    <row r="91" spans="2:22" ht="15" hidden="1" customHeight="1">
      <c r="B91" s="255"/>
      <c r="C91" s="1379">
        <f>C86+D86+F86</f>
        <v>500</v>
      </c>
      <c r="D91" s="1380"/>
      <c r="E91" s="1380"/>
      <c r="F91" s="1381"/>
      <c r="G91" s="268"/>
      <c r="H91" s="456"/>
      <c r="I91" s="257"/>
      <c r="J91" s="403"/>
      <c r="K91" s="404"/>
      <c r="L91" s="404"/>
      <c r="M91" s="404"/>
      <c r="N91" s="404"/>
      <c r="O91" s="410"/>
      <c r="P91" s="405"/>
      <c r="Q91" s="405"/>
      <c r="R91" s="405"/>
      <c r="S91" s="868"/>
      <c r="T91" s="261"/>
    </row>
    <row r="92" spans="2:22" ht="15" hidden="1" customHeight="1">
      <c r="B92" s="255"/>
      <c r="C92" s="256"/>
      <c r="D92" s="456"/>
      <c r="E92" s="456"/>
      <c r="F92" s="456"/>
      <c r="G92" s="456"/>
      <c r="H92" s="456"/>
      <c r="I92" s="257"/>
      <c r="J92" s="841"/>
      <c r="K92" s="842"/>
      <c r="L92" s="869"/>
      <c r="M92" s="843"/>
      <c r="N92" s="843"/>
      <c r="O92" s="843"/>
      <c r="P92" s="842"/>
      <c r="Q92" s="829"/>
      <c r="R92" s="829"/>
      <c r="S92" s="832"/>
      <c r="T92" s="294"/>
    </row>
    <row r="93" spans="2:22" ht="15" hidden="1" customHeight="1">
      <c r="B93" s="255"/>
      <c r="C93" s="256"/>
      <c r="D93" s="456"/>
      <c r="E93" s="456"/>
      <c r="F93" s="456"/>
      <c r="G93" s="456"/>
      <c r="H93" s="456"/>
      <c r="I93" s="269"/>
      <c r="J93" s="833"/>
      <c r="K93" s="844"/>
      <c r="L93" s="834"/>
      <c r="M93" s="834"/>
      <c r="N93" s="835"/>
      <c r="O93" s="834"/>
      <c r="P93" s="274"/>
      <c r="Q93" s="275"/>
      <c r="R93" s="276"/>
      <c r="S93" s="297"/>
      <c r="T93" s="298"/>
    </row>
    <row r="94" spans="2:22" ht="15" hidden="1" customHeight="1">
      <c r="B94" s="255"/>
      <c r="C94" s="256"/>
      <c r="D94" s="456"/>
      <c r="E94" s="456"/>
      <c r="F94" s="456"/>
      <c r="G94" s="456"/>
      <c r="H94" s="456"/>
      <c r="I94" s="257"/>
      <c r="J94" s="485"/>
      <c r="K94" s="870"/>
      <c r="L94" s="870"/>
      <c r="M94" s="870"/>
      <c r="N94" s="870"/>
      <c r="O94" s="871"/>
      <c r="P94" s="871"/>
      <c r="Q94" s="781"/>
      <c r="R94" s="781"/>
      <c r="S94" s="872"/>
      <c r="T94" s="716"/>
    </row>
    <row r="95" spans="2:22" ht="15" hidden="1" customHeight="1">
      <c r="B95" s="408"/>
      <c r="C95" s="409"/>
      <c r="D95" s="350"/>
      <c r="E95" s="350"/>
      <c r="F95" s="350"/>
      <c r="G95" s="350"/>
      <c r="H95" s="350"/>
      <c r="I95" s="410"/>
      <c r="J95" s="873"/>
      <c r="K95" s="874"/>
      <c r="L95" s="874"/>
      <c r="M95" s="874"/>
      <c r="N95" s="874"/>
      <c r="O95" s="711"/>
      <c r="P95" s="800"/>
      <c r="Q95" s="711"/>
      <c r="R95" s="711"/>
      <c r="S95" s="875"/>
      <c r="T95" s="814"/>
    </row>
    <row r="96" spans="2:22" ht="24.95" customHeight="1">
      <c r="B96" s="468" t="s">
        <v>38</v>
      </c>
      <c r="C96" s="1382" t="e">
        <f>#REF!</f>
        <v>#REF!</v>
      </c>
      <c r="D96" s="1383"/>
      <c r="E96" s="1383"/>
      <c r="F96" s="1383"/>
      <c r="G96" s="1383"/>
      <c r="H96" s="1383"/>
      <c r="I96" s="1383" t="e">
        <f>#REF!</f>
        <v>#REF!</v>
      </c>
      <c r="J96" s="1383"/>
      <c r="K96" s="1383"/>
      <c r="L96" s="1384"/>
      <c r="M96" s="1384"/>
      <c r="N96" s="1384"/>
      <c r="O96" s="1384"/>
      <c r="P96" s="1384"/>
      <c r="Q96" s="1384"/>
      <c r="R96" s="1384"/>
      <c r="S96" s="1384"/>
      <c r="T96" s="1385"/>
      <c r="V96" s="1202" t="e">
        <f>#REF!</f>
        <v>#REF!</v>
      </c>
    </row>
    <row r="97" spans="2:20" ht="15" customHeight="1">
      <c r="B97" s="255"/>
      <c r="C97" s="256"/>
      <c r="D97" s="456"/>
      <c r="E97" s="456"/>
      <c r="F97" s="456"/>
      <c r="G97" s="456"/>
      <c r="H97" s="456"/>
      <c r="I97" s="257"/>
      <c r="J97" s="826"/>
      <c r="K97" s="826"/>
      <c r="L97" s="826" t="s">
        <v>39</v>
      </c>
      <c r="M97" s="826" t="s">
        <v>40</v>
      </c>
      <c r="N97" s="826" t="s">
        <v>41</v>
      </c>
      <c r="O97" s="410" t="s">
        <v>42</v>
      </c>
      <c r="P97" s="410" t="s">
        <v>43</v>
      </c>
      <c r="Q97" s="410"/>
      <c r="R97" s="410"/>
      <c r="S97" s="827" t="s">
        <v>44</v>
      </c>
      <c r="T97" s="261"/>
    </row>
    <row r="98" spans="2:20" ht="15" customHeight="1">
      <c r="B98" s="255"/>
      <c r="C98" s="256"/>
      <c r="D98" s="456"/>
      <c r="E98" s="456"/>
      <c r="F98" s="456"/>
      <c r="G98" s="456"/>
      <c r="H98" s="456"/>
      <c r="I98" s="257"/>
      <c r="J98" s="828" t="s">
        <v>45</v>
      </c>
      <c r="K98" s="829"/>
      <c r="L98" s="829" t="s">
        <v>46</v>
      </c>
      <c r="M98" s="830"/>
      <c r="N98" s="830"/>
      <c r="P98" s="831"/>
      <c r="Q98" s="831"/>
      <c r="R98" s="831"/>
      <c r="S98" s="832"/>
      <c r="T98" s="267"/>
    </row>
    <row r="99" spans="2:20" ht="15" customHeight="1">
      <c r="B99" s="255"/>
      <c r="C99" s="1377">
        <f>C121+(0.3*(H110)*2)</f>
        <v>1460</v>
      </c>
      <c r="D99" s="1377"/>
      <c r="E99" s="1377"/>
      <c r="F99" s="1377"/>
      <c r="G99" s="268"/>
      <c r="H99" s="269"/>
      <c r="I99" s="257"/>
      <c r="J99" s="833" t="s">
        <v>47</v>
      </c>
      <c r="K99" s="834">
        <f>C99/1000</f>
        <v>1.46</v>
      </c>
      <c r="L99" s="834"/>
      <c r="M99" s="834"/>
      <c r="N99" s="835" t="s">
        <v>48</v>
      </c>
      <c r="O99" s="649">
        <f>C121/1000</f>
        <v>1.1000000000000001</v>
      </c>
      <c r="P99" s="274"/>
      <c r="Q99" s="275" t="s">
        <v>49</v>
      </c>
      <c r="R99" s="276">
        <f>(H110)/1000</f>
        <v>0.6</v>
      </c>
      <c r="S99" s="277"/>
      <c r="T99" s="278"/>
    </row>
    <row r="100" spans="2:20" ht="15" customHeight="1">
      <c r="B100" s="255"/>
      <c r="C100" s="279"/>
      <c r="D100" s="280"/>
      <c r="E100" s="280"/>
      <c r="F100" s="281"/>
      <c r="G100" s="268"/>
      <c r="H100" s="269"/>
      <c r="I100" s="282"/>
      <c r="J100" s="833" t="s">
        <v>50</v>
      </c>
      <c r="K100" s="834">
        <f>C101/1000</f>
        <v>1.46</v>
      </c>
      <c r="L100" s="834"/>
      <c r="M100" s="834"/>
      <c r="N100" s="835" t="s">
        <v>51</v>
      </c>
      <c r="O100" s="649">
        <f>C123/1000</f>
        <v>1.1000000000000001</v>
      </c>
      <c r="P100" s="274"/>
      <c r="Q100" s="254"/>
      <c r="R100" s="269"/>
      <c r="S100" s="836"/>
      <c r="T100" s="278"/>
    </row>
    <row r="101" spans="2:20" ht="15" customHeight="1">
      <c r="B101" s="255"/>
      <c r="C101" s="1379">
        <f>C123+(0.3*(H110)*2)</f>
        <v>1460</v>
      </c>
      <c r="D101" s="1380"/>
      <c r="E101" s="1380"/>
      <c r="F101" s="1381"/>
      <c r="G101" s="268"/>
      <c r="H101" s="269"/>
      <c r="I101" s="282"/>
      <c r="J101" s="837" t="s">
        <v>52</v>
      </c>
      <c r="K101" s="838"/>
      <c r="L101" s="838"/>
      <c r="M101" s="838"/>
      <c r="N101" s="838"/>
      <c r="O101" s="839"/>
      <c r="P101" s="838"/>
      <c r="Q101" s="410"/>
      <c r="R101" s="410"/>
      <c r="S101" s="840">
        <f>ROUNDDOWN(R99/6*((2*K99+O99)*K100+(2*O99+K99)*O100),3)</f>
        <v>0.98899999999999999</v>
      </c>
      <c r="T101" s="599" t="s">
        <v>178</v>
      </c>
    </row>
    <row r="102" spans="2:20" ht="15" customHeight="1">
      <c r="B102" s="255"/>
      <c r="C102" s="290"/>
      <c r="D102" s="291"/>
      <c r="E102" s="291"/>
      <c r="F102" s="281"/>
      <c r="G102" s="268"/>
      <c r="H102" s="269"/>
      <c r="I102" s="282"/>
      <c r="J102" s="841" t="s">
        <v>53</v>
      </c>
      <c r="K102" s="842"/>
      <c r="L102" s="842" t="s">
        <v>54</v>
      </c>
      <c r="M102" s="843"/>
      <c r="N102" s="843"/>
      <c r="O102" s="843"/>
      <c r="P102" s="842"/>
      <c r="Q102" s="829"/>
      <c r="R102" s="829"/>
      <c r="S102" s="832"/>
      <c r="T102" s="294"/>
    </row>
    <row r="103" spans="2:20" ht="15" customHeight="1">
      <c r="B103" s="255"/>
      <c r="C103" s="295"/>
      <c r="D103" s="1386">
        <v>900</v>
      </c>
      <c r="E103" s="1387"/>
      <c r="F103" s="296"/>
      <c r="G103" s="268"/>
      <c r="H103" s="269"/>
      <c r="I103" s="282"/>
      <c r="J103" s="833" t="s">
        <v>47</v>
      </c>
      <c r="K103" s="844">
        <f>D103/1000</f>
        <v>0.9</v>
      </c>
      <c r="L103" s="834"/>
      <c r="M103" s="834"/>
      <c r="N103" s="835" t="s">
        <v>48</v>
      </c>
      <c r="O103" s="834">
        <f>D118/1000</f>
        <v>0.9</v>
      </c>
      <c r="P103" s="274"/>
      <c r="Q103" s="275" t="s">
        <v>49</v>
      </c>
      <c r="R103" s="276">
        <f>H110/1000</f>
        <v>0.6</v>
      </c>
      <c r="S103" s="297">
        <f>ROUNDDOWN(K103*O103*R103,2)</f>
        <v>0.48</v>
      </c>
      <c r="T103" s="298" t="s">
        <v>55</v>
      </c>
    </row>
    <row r="104" spans="2:20" ht="15" customHeight="1">
      <c r="B104" s="255"/>
      <c r="C104" s="299"/>
      <c r="D104" s="300"/>
      <c r="E104" s="301"/>
      <c r="F104" s="302"/>
      <c r="G104" s="456"/>
      <c r="H104" s="269"/>
      <c r="I104" s="282"/>
      <c r="J104" s="833"/>
      <c r="K104" s="834"/>
      <c r="L104" s="834"/>
      <c r="M104" s="834"/>
      <c r="N104" s="835"/>
      <c r="O104" s="834"/>
      <c r="P104" s="274"/>
      <c r="Q104" s="275"/>
      <c r="R104" s="276"/>
      <c r="S104" s="297"/>
      <c r="T104" s="298"/>
    </row>
    <row r="105" spans="2:20" ht="15" customHeight="1">
      <c r="B105" s="255"/>
      <c r="C105" s="299"/>
      <c r="D105" s="303"/>
      <c r="E105" s="302"/>
      <c r="F105" s="302"/>
      <c r="G105" s="456"/>
      <c r="H105" s="269"/>
      <c r="I105" s="282"/>
      <c r="J105" s="833"/>
      <c r="K105" s="834"/>
      <c r="L105" s="834"/>
      <c r="M105" s="834"/>
      <c r="N105" s="835"/>
      <c r="O105" s="834"/>
      <c r="P105" s="274"/>
      <c r="Q105" s="275"/>
      <c r="R105" s="276"/>
      <c r="S105" s="297"/>
      <c r="T105" s="541"/>
    </row>
    <row r="106" spans="2:20" ht="15" customHeight="1">
      <c r="B106" s="255"/>
      <c r="C106" s="299"/>
      <c r="D106" s="303"/>
      <c r="E106" s="302"/>
      <c r="F106" s="302"/>
      <c r="G106" s="456"/>
      <c r="H106" s="269"/>
      <c r="I106" s="282"/>
      <c r="J106" s="833"/>
      <c r="K106" s="834"/>
      <c r="L106" s="834"/>
      <c r="M106" s="834"/>
      <c r="N106" s="305"/>
      <c r="O106" s="834"/>
      <c r="P106" s="274"/>
      <c r="Q106" s="275"/>
      <c r="R106" s="276"/>
      <c r="S106" s="297"/>
      <c r="T106" s="298"/>
    </row>
    <row r="107" spans="2:20" ht="15" customHeight="1">
      <c r="B107" s="255"/>
      <c r="C107" s="299"/>
      <c r="D107" s="303"/>
      <c r="E107" s="302"/>
      <c r="F107" s="302"/>
      <c r="G107" s="456"/>
      <c r="H107" s="305"/>
      <c r="I107" s="282"/>
      <c r="J107" s="837" t="s">
        <v>57</v>
      </c>
      <c r="K107" s="838"/>
      <c r="L107" s="838"/>
      <c r="M107" s="838"/>
      <c r="N107" s="838"/>
      <c r="O107" s="839"/>
      <c r="P107" s="838"/>
      <c r="Q107" s="306"/>
      <c r="R107" s="307"/>
      <c r="S107" s="840">
        <f>SUM(S103:S106)</f>
        <v>0.48</v>
      </c>
      <c r="T107" s="599" t="s">
        <v>178</v>
      </c>
    </row>
    <row r="108" spans="2:20" ht="15" customHeight="1">
      <c r="B108" s="255"/>
      <c r="C108" s="299"/>
      <c r="D108" s="303"/>
      <c r="E108" s="302"/>
      <c r="F108" s="302"/>
      <c r="G108" s="456"/>
      <c r="H108" s="269"/>
      <c r="I108" s="308"/>
      <c r="J108" s="828" t="s">
        <v>58</v>
      </c>
      <c r="K108" s="843"/>
      <c r="L108" s="309" t="s">
        <v>334</v>
      </c>
      <c r="M108" s="309" t="s">
        <v>335</v>
      </c>
      <c r="N108" s="310" t="s">
        <v>336</v>
      </c>
      <c r="O108" s="311"/>
      <c r="P108" s="309"/>
      <c r="Q108" s="312"/>
      <c r="R108" s="312"/>
      <c r="S108" s="313"/>
      <c r="T108" s="294"/>
    </row>
    <row r="109" spans="2:20" ht="15" customHeight="1" thickBot="1">
      <c r="B109" s="314"/>
      <c r="C109" s="1388"/>
      <c r="D109" s="1388"/>
      <c r="E109" s="1388"/>
      <c r="F109" s="1388"/>
      <c r="G109" s="315"/>
      <c r="H109" s="315"/>
      <c r="I109" s="316"/>
      <c r="J109" s="317"/>
      <c r="K109" s="318"/>
      <c r="L109" s="318" t="s">
        <v>334</v>
      </c>
      <c r="M109" s="845">
        <f>S101</f>
        <v>0.98899999999999999</v>
      </c>
      <c r="N109" s="318" t="s">
        <v>337</v>
      </c>
      <c r="O109" s="319">
        <f>S111</f>
        <v>0.48</v>
      </c>
      <c r="P109" s="348"/>
      <c r="Q109" s="321"/>
      <c r="R109" s="846"/>
      <c r="S109" s="847">
        <f>ROUNDDOWN(M109-O109,3)</f>
        <v>0.50900000000000001</v>
      </c>
      <c r="T109" s="599" t="s">
        <v>178</v>
      </c>
    </row>
    <row r="110" spans="2:20" ht="15" customHeight="1">
      <c r="B110" s="255"/>
      <c r="C110" s="324"/>
      <c r="D110" s="457"/>
      <c r="E110" s="325"/>
      <c r="F110" s="326"/>
      <c r="G110" s="327"/>
      <c r="H110" s="1389">
        <v>600</v>
      </c>
      <c r="I110" s="1392">
        <f>H107+H109+H110</f>
        <v>600</v>
      </c>
      <c r="J110" s="828" t="s">
        <v>338</v>
      </c>
      <c r="K110" s="843"/>
      <c r="L110" s="843" t="s">
        <v>339</v>
      </c>
      <c r="M110" s="309"/>
      <c r="N110" s="310" t="s">
        <v>340</v>
      </c>
      <c r="O110" s="843"/>
      <c r="P110" s="843"/>
      <c r="Q110" s="328"/>
      <c r="R110" s="329"/>
      <c r="S110" s="832"/>
      <c r="T110" s="294"/>
    </row>
    <row r="111" spans="2:20" ht="15" customHeight="1">
      <c r="B111" s="330"/>
      <c r="C111" s="324"/>
      <c r="D111" s="331"/>
      <c r="E111" s="332"/>
      <c r="F111" s="326"/>
      <c r="G111" s="333"/>
      <c r="H111" s="1390"/>
      <c r="I111" s="1387"/>
      <c r="J111" s="848"/>
      <c r="K111" s="849"/>
      <c r="L111" s="850" t="s">
        <v>339</v>
      </c>
      <c r="M111" s="849"/>
      <c r="N111" s="849"/>
      <c r="O111" s="838">
        <f>S103</f>
        <v>0.48</v>
      </c>
      <c r="P111" s="838"/>
      <c r="Q111" s="838"/>
      <c r="R111" s="410"/>
      <c r="S111" s="851">
        <f>ROUNDDOWN(O111+Q111,3)</f>
        <v>0.48</v>
      </c>
      <c r="T111" s="257" t="s">
        <v>178</v>
      </c>
    </row>
    <row r="112" spans="2:20" ht="15" customHeight="1">
      <c r="B112" s="255"/>
      <c r="C112" s="324"/>
      <c r="D112" s="331"/>
      <c r="E112" s="332"/>
      <c r="F112" s="326"/>
      <c r="G112" s="333"/>
      <c r="H112" s="1390"/>
      <c r="I112" s="1387"/>
      <c r="J112" s="852" t="s">
        <v>584</v>
      </c>
      <c r="K112" s="843"/>
      <c r="L112" s="843"/>
      <c r="M112" s="843"/>
      <c r="N112" s="843"/>
      <c r="O112" s="853"/>
      <c r="P112" s="340"/>
      <c r="Q112" s="329"/>
      <c r="R112" s="341"/>
      <c r="S112" s="832"/>
      <c r="T112" s="294"/>
    </row>
    <row r="113" spans="2:20" ht="15" customHeight="1">
      <c r="B113" s="255"/>
      <c r="C113" s="324"/>
      <c r="D113" s="331"/>
      <c r="E113" s="332"/>
      <c r="F113" s="326"/>
      <c r="G113" s="333"/>
      <c r="H113" s="1390"/>
      <c r="I113" s="1387"/>
      <c r="J113" s="645" t="s">
        <v>341</v>
      </c>
      <c r="K113" s="834">
        <f>D103/1000</f>
        <v>0.9</v>
      </c>
      <c r="L113" s="646" t="s">
        <v>59</v>
      </c>
      <c r="M113" s="965">
        <f>D118/1000</f>
        <v>0.9</v>
      </c>
      <c r="N113" s="648" t="s">
        <v>137</v>
      </c>
      <c r="O113" s="347" t="s">
        <v>342</v>
      </c>
      <c r="P113" s="649">
        <f>I110/1000</f>
        <v>0.6</v>
      </c>
      <c r="Q113" s="650" t="s">
        <v>343</v>
      </c>
      <c r="R113" s="456">
        <v>4</v>
      </c>
      <c r="S113" s="947">
        <f>((K113+M113)/2)*P113*R113</f>
        <v>2.16</v>
      </c>
      <c r="T113" s="257" t="s">
        <v>344</v>
      </c>
    </row>
    <row r="114" spans="2:20" ht="15" customHeight="1" thickBot="1">
      <c r="B114" s="255"/>
      <c r="C114" s="352"/>
      <c r="D114" s="353"/>
      <c r="E114" s="354"/>
      <c r="F114" s="355"/>
      <c r="G114" s="356"/>
      <c r="H114" s="1391"/>
      <c r="I114" s="1387"/>
      <c r="J114" s="841"/>
      <c r="K114" s="870"/>
      <c r="L114" s="870"/>
      <c r="M114" s="870"/>
      <c r="N114" s="870"/>
      <c r="O114" s="871"/>
      <c r="P114" s="871"/>
      <c r="Q114" s="781"/>
      <c r="R114" s="781"/>
      <c r="S114" s="872"/>
      <c r="T114" s="716"/>
    </row>
    <row r="115" spans="2:20" ht="15" customHeight="1">
      <c r="B115" s="255"/>
      <c r="C115" s="362"/>
      <c r="D115" s="363"/>
      <c r="E115" s="364"/>
      <c r="F115" s="365"/>
      <c r="G115" s="456"/>
      <c r="H115" s="269"/>
      <c r="I115" s="282"/>
      <c r="J115" s="873"/>
      <c r="K115" s="874"/>
      <c r="L115" s="874"/>
      <c r="M115" s="874"/>
      <c r="N115" s="874"/>
      <c r="O115" s="711"/>
      <c r="P115" s="800"/>
      <c r="Q115" s="711"/>
      <c r="R115" s="711"/>
      <c r="S115" s="875"/>
      <c r="T115" s="814"/>
    </row>
    <row r="116" spans="2:20" ht="15" customHeight="1">
      <c r="B116" s="255"/>
      <c r="C116" s="371">
        <v>100</v>
      </c>
      <c r="D116" s="1379">
        <f>D103</f>
        <v>900</v>
      </c>
      <c r="E116" s="1381"/>
      <c r="F116" s="372">
        <v>100</v>
      </c>
      <c r="G116" s="268"/>
      <c r="H116" s="373"/>
      <c r="I116" s="282"/>
      <c r="J116" s="841"/>
      <c r="K116" s="398"/>
      <c r="L116" s="398"/>
      <c r="M116" s="398"/>
      <c r="N116" s="398"/>
      <c r="O116" s="399"/>
      <c r="P116" s="400"/>
      <c r="Q116" s="399"/>
      <c r="R116" s="399"/>
      <c r="S116" s="401"/>
      <c r="T116" s="402"/>
    </row>
    <row r="117" spans="2:20" ht="15" customHeight="1">
      <c r="B117" s="376"/>
      <c r="C117" s="377"/>
      <c r="D117" s="303"/>
      <c r="E117" s="302"/>
      <c r="F117" s="378"/>
      <c r="G117" s="379"/>
      <c r="H117" s="373"/>
      <c r="I117" s="282"/>
      <c r="J117" s="403"/>
      <c r="K117" s="404"/>
      <c r="L117" s="404"/>
      <c r="M117" s="404"/>
      <c r="N117" s="404"/>
      <c r="O117" s="711"/>
      <c r="P117" s="405"/>
      <c r="Q117" s="405"/>
      <c r="R117" s="405"/>
      <c r="S117" s="875"/>
      <c r="T117" s="814"/>
    </row>
    <row r="118" spans="2:20" ht="15" customHeight="1">
      <c r="B118" s="255"/>
      <c r="C118" s="371">
        <v>100</v>
      </c>
      <c r="D118" s="1379">
        <v>900</v>
      </c>
      <c r="E118" s="1381"/>
      <c r="F118" s="372">
        <v>100</v>
      </c>
      <c r="G118" s="268"/>
      <c r="H118" s="373"/>
      <c r="I118" s="282"/>
      <c r="J118" s="485"/>
      <c r="K118" s="870"/>
      <c r="L118" s="870"/>
      <c r="M118" s="870"/>
      <c r="N118" s="870"/>
      <c r="O118" s="871"/>
      <c r="P118" s="871"/>
      <c r="Q118" s="781"/>
      <c r="R118" s="781"/>
      <c r="S118" s="872"/>
      <c r="T118" s="716"/>
    </row>
    <row r="119" spans="2:20" ht="15" customHeight="1">
      <c r="B119" s="255"/>
      <c r="C119" s="290"/>
      <c r="D119" s="388"/>
      <c r="E119" s="388"/>
      <c r="F119" s="389"/>
      <c r="G119" s="379"/>
      <c r="H119" s="373"/>
      <c r="I119" s="282"/>
      <c r="J119" s="873"/>
      <c r="K119" s="874"/>
      <c r="L119" s="874"/>
      <c r="M119" s="874"/>
      <c r="N119" s="874"/>
      <c r="O119" s="711"/>
      <c r="P119" s="800"/>
      <c r="Q119" s="711"/>
      <c r="R119" s="711"/>
      <c r="S119" s="875"/>
      <c r="T119" s="814"/>
    </row>
    <row r="120" spans="2:20" ht="15" customHeight="1">
      <c r="B120" s="255"/>
      <c r="C120" s="1376"/>
      <c r="D120" s="1377"/>
      <c r="E120" s="1377"/>
      <c r="F120" s="1378"/>
      <c r="G120" s="268"/>
      <c r="H120" s="269"/>
      <c r="I120" s="282"/>
      <c r="J120" s="485"/>
      <c r="K120" s="870"/>
      <c r="L120" s="870"/>
      <c r="M120" s="870"/>
      <c r="N120" s="870"/>
      <c r="O120" s="871"/>
      <c r="P120" s="871"/>
      <c r="Q120" s="781"/>
      <c r="R120" s="781"/>
      <c r="S120" s="872"/>
      <c r="T120" s="716"/>
    </row>
    <row r="121" spans="2:20" ht="15" customHeight="1">
      <c r="B121" s="255"/>
      <c r="C121" s="1379">
        <f>C116+D116+F116</f>
        <v>1100</v>
      </c>
      <c r="D121" s="1380"/>
      <c r="E121" s="1380"/>
      <c r="F121" s="1381"/>
      <c r="G121" s="268"/>
      <c r="H121" s="456"/>
      <c r="I121" s="257"/>
      <c r="J121" s="873"/>
      <c r="K121" s="874"/>
      <c r="L121" s="874"/>
      <c r="M121" s="874"/>
      <c r="N121" s="874"/>
      <c r="O121" s="711"/>
      <c r="P121" s="800"/>
      <c r="Q121" s="711"/>
      <c r="R121" s="711"/>
      <c r="S121" s="875"/>
      <c r="T121" s="814"/>
    </row>
    <row r="122" spans="2:20" ht="15" customHeight="1">
      <c r="B122" s="255"/>
      <c r="C122" s="396"/>
      <c r="D122" s="388"/>
      <c r="E122" s="388"/>
      <c r="F122" s="397"/>
      <c r="G122" s="268"/>
      <c r="H122" s="269"/>
      <c r="I122" s="257"/>
      <c r="J122" s="841"/>
      <c r="K122" s="398"/>
      <c r="L122" s="398"/>
      <c r="M122" s="398"/>
      <c r="N122" s="398"/>
      <c r="O122" s="399"/>
      <c r="P122" s="400"/>
      <c r="Q122" s="399"/>
      <c r="R122" s="399"/>
      <c r="S122" s="401"/>
      <c r="T122" s="402"/>
    </row>
    <row r="123" spans="2:20" ht="15" customHeight="1">
      <c r="B123" s="255"/>
      <c r="C123" s="1379">
        <f>C118+D118+F118</f>
        <v>1100</v>
      </c>
      <c r="D123" s="1380"/>
      <c r="E123" s="1380"/>
      <c r="F123" s="1381"/>
      <c r="G123" s="268"/>
      <c r="H123" s="456"/>
      <c r="I123" s="257"/>
      <c r="J123" s="403"/>
      <c r="K123" s="404"/>
      <c r="L123" s="404"/>
      <c r="M123" s="404"/>
      <c r="N123" s="404"/>
      <c r="O123" s="410"/>
      <c r="P123" s="405"/>
      <c r="Q123" s="405"/>
      <c r="R123" s="405"/>
      <c r="S123" s="868"/>
      <c r="T123" s="261"/>
    </row>
    <row r="124" spans="2:20" ht="15" customHeight="1">
      <c r="B124" s="255"/>
      <c r="C124" s="256"/>
      <c r="D124" s="456"/>
      <c r="E124" s="456"/>
      <c r="F124" s="456"/>
      <c r="G124" s="456"/>
      <c r="H124" s="456"/>
      <c r="I124" s="257"/>
      <c r="J124" s="841"/>
      <c r="K124" s="842"/>
      <c r="L124" s="869"/>
      <c r="M124" s="843"/>
      <c r="N124" s="843"/>
      <c r="O124" s="843"/>
      <c r="P124" s="842"/>
      <c r="Q124" s="829"/>
      <c r="R124" s="829"/>
      <c r="S124" s="832"/>
      <c r="T124" s="294"/>
    </row>
    <row r="125" spans="2:20" ht="15" customHeight="1">
      <c r="B125" s="255"/>
      <c r="C125" s="256"/>
      <c r="D125" s="456"/>
      <c r="E125" s="456"/>
      <c r="F125" s="456"/>
      <c r="G125" s="456"/>
      <c r="H125" s="456"/>
      <c r="I125" s="269"/>
      <c r="J125" s="833"/>
      <c r="K125" s="844"/>
      <c r="L125" s="834"/>
      <c r="M125" s="834"/>
      <c r="N125" s="835"/>
      <c r="O125" s="834"/>
      <c r="P125" s="274"/>
      <c r="Q125" s="275"/>
      <c r="R125" s="276"/>
      <c r="S125" s="297"/>
      <c r="T125" s="298"/>
    </row>
    <row r="126" spans="2:20" ht="15" customHeight="1">
      <c r="B126" s="255"/>
      <c r="C126" s="256"/>
      <c r="D126" s="456"/>
      <c r="E126" s="456"/>
      <c r="F126" s="456"/>
      <c r="G126" s="456"/>
      <c r="H126" s="456"/>
      <c r="I126" s="257"/>
      <c r="J126" s="485"/>
      <c r="K126" s="870"/>
      <c r="L126" s="870"/>
      <c r="M126" s="870"/>
      <c r="N126" s="870"/>
      <c r="O126" s="871"/>
      <c r="P126" s="871"/>
      <c r="Q126" s="781"/>
      <c r="R126" s="781"/>
      <c r="S126" s="872"/>
      <c r="T126" s="716"/>
    </row>
    <row r="127" spans="2:20" ht="15" customHeight="1">
      <c r="B127" s="408"/>
      <c r="C127" s="409"/>
      <c r="D127" s="350"/>
      <c r="E127" s="350"/>
      <c r="F127" s="350"/>
      <c r="G127" s="350"/>
      <c r="H127" s="350"/>
      <c r="I127" s="410"/>
      <c r="J127" s="873"/>
      <c r="K127" s="874"/>
      <c r="L127" s="874"/>
      <c r="M127" s="874"/>
      <c r="N127" s="874"/>
      <c r="O127" s="711"/>
      <c r="P127" s="800"/>
      <c r="Q127" s="711"/>
      <c r="R127" s="711"/>
      <c r="S127" s="875"/>
      <c r="T127" s="814"/>
    </row>
    <row r="128" spans="2:20" ht="24.95" customHeight="1">
      <c r="B128" s="468" t="s">
        <v>349</v>
      </c>
      <c r="C128" s="1382" t="e">
        <f>#REF!</f>
        <v>#REF!</v>
      </c>
      <c r="D128" s="1383"/>
      <c r="E128" s="1383"/>
      <c r="F128" s="1383"/>
      <c r="G128" s="1383"/>
      <c r="H128" s="1383"/>
      <c r="I128" s="1383" t="e">
        <f>#REF!</f>
        <v>#REF!</v>
      </c>
      <c r="J128" s="1383"/>
      <c r="K128" s="1383"/>
      <c r="L128" s="1384"/>
      <c r="M128" s="1384"/>
      <c r="N128" s="1384"/>
      <c r="O128" s="1384"/>
      <c r="P128" s="1384"/>
      <c r="Q128" s="1384"/>
      <c r="R128" s="1384"/>
      <c r="S128" s="1384"/>
      <c r="T128" s="1385"/>
    </row>
    <row r="129" spans="2:20" ht="15" customHeight="1">
      <c r="B129" s="255"/>
      <c r="C129" s="256"/>
      <c r="D129" s="456"/>
      <c r="E129" s="456"/>
      <c r="F129" s="456"/>
      <c r="G129" s="456"/>
      <c r="H129" s="456"/>
      <c r="I129" s="257"/>
      <c r="J129" s="826"/>
      <c r="K129" s="826"/>
      <c r="L129" s="826" t="s">
        <v>39</v>
      </c>
      <c r="M129" s="826" t="s">
        <v>40</v>
      </c>
      <c r="N129" s="826" t="s">
        <v>41</v>
      </c>
      <c r="O129" s="410" t="s">
        <v>42</v>
      </c>
      <c r="P129" s="410" t="s">
        <v>43</v>
      </c>
      <c r="Q129" s="410"/>
      <c r="R129" s="410"/>
      <c r="S129" s="827" t="s">
        <v>44</v>
      </c>
      <c r="T129" s="261"/>
    </row>
    <row r="130" spans="2:20" ht="15" customHeight="1">
      <c r="B130" s="255"/>
      <c r="C130" s="256"/>
      <c r="D130" s="456"/>
      <c r="E130" s="456"/>
      <c r="F130" s="456"/>
      <c r="G130" s="456"/>
      <c r="H130" s="456"/>
      <c r="I130" s="257"/>
      <c r="J130" s="828" t="s">
        <v>45</v>
      </c>
      <c r="K130" s="829"/>
      <c r="L130" s="829" t="s">
        <v>46</v>
      </c>
      <c r="M130" s="830"/>
      <c r="N130" s="830"/>
      <c r="P130" s="831"/>
      <c r="Q130" s="831"/>
      <c r="R130" s="831"/>
      <c r="S130" s="832"/>
      <c r="T130" s="267"/>
    </row>
    <row r="131" spans="2:20" ht="15" customHeight="1">
      <c r="B131" s="255"/>
      <c r="C131" s="1377">
        <f>C153+(0.3*(H142)*2)</f>
        <v>1560</v>
      </c>
      <c r="D131" s="1377"/>
      <c r="E131" s="1377"/>
      <c r="F131" s="1377"/>
      <c r="G131" s="268"/>
      <c r="H131" s="269"/>
      <c r="I131" s="257"/>
      <c r="J131" s="833" t="s">
        <v>47</v>
      </c>
      <c r="K131" s="834">
        <f>C131/1000</f>
        <v>1.56</v>
      </c>
      <c r="L131" s="834"/>
      <c r="M131" s="834"/>
      <c r="N131" s="835" t="s">
        <v>48</v>
      </c>
      <c r="O131" s="649">
        <f>C153/1000</f>
        <v>1.2</v>
      </c>
      <c r="P131" s="274"/>
      <c r="Q131" s="275" t="s">
        <v>49</v>
      </c>
      <c r="R131" s="276">
        <f>(H142)/1000</f>
        <v>0.6</v>
      </c>
      <c r="S131" s="277"/>
      <c r="T131" s="278"/>
    </row>
    <row r="132" spans="2:20" ht="15" customHeight="1">
      <c r="B132" s="255"/>
      <c r="C132" s="279"/>
      <c r="D132" s="280"/>
      <c r="E132" s="280"/>
      <c r="F132" s="281"/>
      <c r="G132" s="268"/>
      <c r="H132" s="269"/>
      <c r="I132" s="282"/>
      <c r="J132" s="833" t="s">
        <v>50</v>
      </c>
      <c r="K132" s="834">
        <f>C133/1000</f>
        <v>1.1599999999999999</v>
      </c>
      <c r="L132" s="834"/>
      <c r="M132" s="834"/>
      <c r="N132" s="835" t="s">
        <v>51</v>
      </c>
      <c r="O132" s="649">
        <f>C155/1000</f>
        <v>0.8</v>
      </c>
      <c r="P132" s="274"/>
      <c r="Q132" s="254"/>
      <c r="R132" s="269"/>
      <c r="S132" s="836"/>
      <c r="T132" s="278"/>
    </row>
    <row r="133" spans="2:20" ht="15" customHeight="1">
      <c r="B133" s="255"/>
      <c r="C133" s="1379">
        <f>C155+(0.3*(H142)*2)</f>
        <v>1160</v>
      </c>
      <c r="D133" s="1380"/>
      <c r="E133" s="1380"/>
      <c r="F133" s="1381"/>
      <c r="G133" s="268"/>
      <c r="H133" s="269"/>
      <c r="I133" s="282"/>
      <c r="J133" s="837" t="s">
        <v>52</v>
      </c>
      <c r="K133" s="838"/>
      <c r="L133" s="838"/>
      <c r="M133" s="838"/>
      <c r="N133" s="838"/>
      <c r="O133" s="839"/>
      <c r="P133" s="838"/>
      <c r="Q133" s="410"/>
      <c r="R133" s="410"/>
      <c r="S133" s="840">
        <f>ROUNDDOWN(R131/6*((2*K131+O131)*K132+(2*O131+K131)*O132),3)</f>
        <v>0.81699999999999995</v>
      </c>
      <c r="T133" s="599" t="s">
        <v>178</v>
      </c>
    </row>
    <row r="134" spans="2:20" ht="15" customHeight="1">
      <c r="B134" s="255"/>
      <c r="C134" s="290"/>
      <c r="D134" s="291"/>
      <c r="E134" s="291"/>
      <c r="F134" s="281"/>
      <c r="G134" s="268"/>
      <c r="H134" s="269"/>
      <c r="I134" s="282"/>
      <c r="J134" s="841" t="s">
        <v>53</v>
      </c>
      <c r="K134" s="842"/>
      <c r="L134" s="842" t="s">
        <v>54</v>
      </c>
      <c r="M134" s="843"/>
      <c r="N134" s="843"/>
      <c r="O134" s="843"/>
      <c r="P134" s="842"/>
      <c r="Q134" s="829"/>
      <c r="R134" s="829"/>
      <c r="S134" s="832"/>
      <c r="T134" s="294"/>
    </row>
    <row r="135" spans="2:20" ht="15" customHeight="1">
      <c r="B135" s="255"/>
      <c r="C135" s="295"/>
      <c r="D135" s="1386">
        <v>1000</v>
      </c>
      <c r="E135" s="1387"/>
      <c r="F135" s="296"/>
      <c r="G135" s="268"/>
      <c r="H135" s="269"/>
      <c r="I135" s="282"/>
      <c r="J135" s="833" t="s">
        <v>47</v>
      </c>
      <c r="K135" s="844">
        <f>D135/1000</f>
        <v>1</v>
      </c>
      <c r="L135" s="834"/>
      <c r="M135" s="834"/>
      <c r="N135" s="835" t="s">
        <v>48</v>
      </c>
      <c r="O135" s="834">
        <f>D150/1000</f>
        <v>0.6</v>
      </c>
      <c r="P135" s="274"/>
      <c r="Q135" s="275" t="s">
        <v>49</v>
      </c>
      <c r="R135" s="276">
        <f>H142/1000</f>
        <v>0.6</v>
      </c>
      <c r="S135" s="297">
        <f>ROUNDDOWN(K135*O135*R135,2)</f>
        <v>0.36</v>
      </c>
      <c r="T135" s="298" t="s">
        <v>55</v>
      </c>
    </row>
    <row r="136" spans="2:20" ht="15" customHeight="1">
      <c r="B136" s="255"/>
      <c r="C136" s="299"/>
      <c r="D136" s="300"/>
      <c r="E136" s="301"/>
      <c r="F136" s="302"/>
      <c r="G136" s="456"/>
      <c r="H136" s="269"/>
      <c r="I136" s="282"/>
      <c r="J136" s="833"/>
      <c r="K136" s="834"/>
      <c r="L136" s="834"/>
      <c r="M136" s="834"/>
      <c r="N136" s="835"/>
      <c r="O136" s="834"/>
      <c r="P136" s="274"/>
      <c r="Q136" s="275"/>
      <c r="R136" s="276"/>
      <c r="S136" s="297"/>
      <c r="T136" s="298"/>
    </row>
    <row r="137" spans="2:20" ht="15" customHeight="1">
      <c r="B137" s="255"/>
      <c r="C137" s="299"/>
      <c r="D137" s="303"/>
      <c r="E137" s="302"/>
      <c r="F137" s="302"/>
      <c r="G137" s="456"/>
      <c r="H137" s="269"/>
      <c r="I137" s="282"/>
      <c r="J137" s="833"/>
      <c r="K137" s="834"/>
      <c r="L137" s="834"/>
      <c r="M137" s="834"/>
      <c r="N137" s="835"/>
      <c r="O137" s="834"/>
      <c r="P137" s="274"/>
      <c r="Q137" s="275"/>
      <c r="R137" s="276"/>
      <c r="S137" s="297"/>
      <c r="T137" s="541"/>
    </row>
    <row r="138" spans="2:20" ht="15" customHeight="1">
      <c r="B138" s="255"/>
      <c r="C138" s="299"/>
      <c r="D138" s="303"/>
      <c r="E138" s="302"/>
      <c r="F138" s="302"/>
      <c r="G138" s="456"/>
      <c r="H138" s="269"/>
      <c r="I138" s="282"/>
      <c r="J138" s="833"/>
      <c r="K138" s="834"/>
      <c r="L138" s="834"/>
      <c r="M138" s="834"/>
      <c r="N138" s="305"/>
      <c r="O138" s="834"/>
      <c r="P138" s="274"/>
      <c r="Q138" s="275"/>
      <c r="R138" s="276"/>
      <c r="S138" s="297"/>
      <c r="T138" s="298"/>
    </row>
    <row r="139" spans="2:20" ht="15" customHeight="1">
      <c r="B139" s="255"/>
      <c r="C139" s="299"/>
      <c r="D139" s="303"/>
      <c r="E139" s="302"/>
      <c r="F139" s="302"/>
      <c r="G139" s="456"/>
      <c r="H139" s="305"/>
      <c r="I139" s="282"/>
      <c r="J139" s="837" t="s">
        <v>57</v>
      </c>
      <c r="K139" s="838"/>
      <c r="L139" s="838"/>
      <c r="M139" s="838"/>
      <c r="N139" s="838"/>
      <c r="O139" s="839"/>
      <c r="P139" s="838"/>
      <c r="Q139" s="306"/>
      <c r="R139" s="307"/>
      <c r="S139" s="840">
        <f>SUM(S135:S138)</f>
        <v>0.36</v>
      </c>
      <c r="T139" s="599" t="s">
        <v>178</v>
      </c>
    </row>
    <row r="140" spans="2:20" ht="15" customHeight="1">
      <c r="B140" s="255"/>
      <c r="C140" s="299"/>
      <c r="D140" s="303"/>
      <c r="E140" s="302"/>
      <c r="F140" s="302"/>
      <c r="G140" s="456"/>
      <c r="H140" s="269"/>
      <c r="I140" s="308"/>
      <c r="J140" s="828" t="s">
        <v>58</v>
      </c>
      <c r="K140" s="843"/>
      <c r="L140" s="309" t="s">
        <v>334</v>
      </c>
      <c r="M140" s="309" t="s">
        <v>335</v>
      </c>
      <c r="N140" s="310" t="s">
        <v>336</v>
      </c>
      <c r="O140" s="311"/>
      <c r="P140" s="309"/>
      <c r="Q140" s="312"/>
      <c r="R140" s="312"/>
      <c r="S140" s="313"/>
      <c r="T140" s="294"/>
    </row>
    <row r="141" spans="2:20" ht="15" customHeight="1" thickBot="1">
      <c r="B141" s="314"/>
      <c r="C141" s="1388"/>
      <c r="D141" s="1388"/>
      <c r="E141" s="1388"/>
      <c r="F141" s="1388"/>
      <c r="G141" s="315"/>
      <c r="H141" s="315"/>
      <c r="I141" s="316"/>
      <c r="J141" s="317"/>
      <c r="K141" s="318"/>
      <c r="L141" s="318" t="s">
        <v>334</v>
      </c>
      <c r="M141" s="845">
        <f>S133</f>
        <v>0.81699999999999995</v>
      </c>
      <c r="N141" s="318" t="s">
        <v>337</v>
      </c>
      <c r="O141" s="319">
        <f>S143</f>
        <v>0.36</v>
      </c>
      <c r="P141" s="348"/>
      <c r="Q141" s="321"/>
      <c r="R141" s="846"/>
      <c r="S141" s="847">
        <f>ROUNDDOWN(M141-O141,3)</f>
        <v>0.45700000000000002</v>
      </c>
      <c r="T141" s="599" t="s">
        <v>178</v>
      </c>
    </row>
    <row r="142" spans="2:20" ht="15" customHeight="1">
      <c r="B142" s="255"/>
      <c r="C142" s="324"/>
      <c r="D142" s="457"/>
      <c r="E142" s="325"/>
      <c r="F142" s="326"/>
      <c r="G142" s="327"/>
      <c r="H142" s="1389">
        <v>600</v>
      </c>
      <c r="I142" s="1392">
        <f>H139+H141+H142</f>
        <v>600</v>
      </c>
      <c r="J142" s="828" t="s">
        <v>338</v>
      </c>
      <c r="K142" s="843"/>
      <c r="L142" s="843" t="s">
        <v>339</v>
      </c>
      <c r="M142" s="309"/>
      <c r="N142" s="310" t="s">
        <v>340</v>
      </c>
      <c r="O142" s="843"/>
      <c r="P142" s="843"/>
      <c r="Q142" s="328"/>
      <c r="R142" s="329"/>
      <c r="S142" s="832"/>
      <c r="T142" s="294"/>
    </row>
    <row r="143" spans="2:20" ht="15" customHeight="1">
      <c r="B143" s="330"/>
      <c r="C143" s="324"/>
      <c r="D143" s="331"/>
      <c r="E143" s="332"/>
      <c r="F143" s="326"/>
      <c r="G143" s="333"/>
      <c r="H143" s="1390"/>
      <c r="I143" s="1387"/>
      <c r="J143" s="848"/>
      <c r="K143" s="849"/>
      <c r="L143" s="850" t="s">
        <v>339</v>
      </c>
      <c r="M143" s="849"/>
      <c r="N143" s="849"/>
      <c r="O143" s="838">
        <f>S135</f>
        <v>0.36</v>
      </c>
      <c r="P143" s="838"/>
      <c r="Q143" s="838"/>
      <c r="R143" s="410"/>
      <c r="S143" s="851">
        <f>ROUNDDOWN(O143+Q143,3)</f>
        <v>0.36</v>
      </c>
      <c r="T143" s="257" t="s">
        <v>178</v>
      </c>
    </row>
    <row r="144" spans="2:20" ht="15" customHeight="1">
      <c r="B144" s="255"/>
      <c r="C144" s="324"/>
      <c r="D144" s="331"/>
      <c r="E144" s="332"/>
      <c r="F144" s="326"/>
      <c r="G144" s="333"/>
      <c r="H144" s="1390"/>
      <c r="I144" s="1387"/>
      <c r="J144" s="852" t="s">
        <v>584</v>
      </c>
      <c r="K144" s="843"/>
      <c r="L144" s="843"/>
      <c r="M144" s="843"/>
      <c r="N144" s="843"/>
      <c r="O144" s="853"/>
      <c r="P144" s="340"/>
      <c r="Q144" s="329"/>
      <c r="R144" s="341"/>
      <c r="S144" s="832"/>
      <c r="T144" s="294"/>
    </row>
    <row r="145" spans="2:20" ht="15" customHeight="1">
      <c r="B145" s="255"/>
      <c r="C145" s="324"/>
      <c r="D145" s="331"/>
      <c r="E145" s="332"/>
      <c r="F145" s="326"/>
      <c r="G145" s="333"/>
      <c r="H145" s="1390"/>
      <c r="I145" s="1387"/>
      <c r="J145" s="645" t="s">
        <v>341</v>
      </c>
      <c r="K145" s="834">
        <f>D135/1000</f>
        <v>1</v>
      </c>
      <c r="L145" s="646" t="s">
        <v>59</v>
      </c>
      <c r="M145" s="965">
        <f>D150/1000</f>
        <v>0.6</v>
      </c>
      <c r="N145" s="648" t="s">
        <v>137</v>
      </c>
      <c r="O145" s="347" t="s">
        <v>342</v>
      </c>
      <c r="P145" s="649">
        <f>I142/1000</f>
        <v>0.6</v>
      </c>
      <c r="Q145" s="650" t="s">
        <v>343</v>
      </c>
      <c r="R145" s="456">
        <v>4</v>
      </c>
      <c r="S145" s="947">
        <f>((K145+M145)/2)*P145*R145</f>
        <v>1.92</v>
      </c>
      <c r="T145" s="257" t="s">
        <v>344</v>
      </c>
    </row>
    <row r="146" spans="2:20" ht="15" customHeight="1" thickBot="1">
      <c r="B146" s="255"/>
      <c r="C146" s="352"/>
      <c r="D146" s="353"/>
      <c r="E146" s="354"/>
      <c r="F146" s="355"/>
      <c r="G146" s="356"/>
      <c r="H146" s="1391"/>
      <c r="I146" s="1387"/>
      <c r="J146" s="841"/>
      <c r="K146" s="870"/>
      <c r="L146" s="870"/>
      <c r="M146" s="870"/>
      <c r="N146" s="870"/>
      <c r="O146" s="871"/>
      <c r="P146" s="871"/>
      <c r="Q146" s="781"/>
      <c r="R146" s="781"/>
      <c r="S146" s="872"/>
      <c r="T146" s="716"/>
    </row>
    <row r="147" spans="2:20" ht="15" customHeight="1">
      <c r="B147" s="255"/>
      <c r="C147" s="362"/>
      <c r="D147" s="363"/>
      <c r="E147" s="364"/>
      <c r="F147" s="365"/>
      <c r="G147" s="456"/>
      <c r="H147" s="269"/>
      <c r="I147" s="282"/>
      <c r="J147" s="873"/>
      <c r="K147" s="874"/>
      <c r="L147" s="874"/>
      <c r="M147" s="874"/>
      <c r="N147" s="874"/>
      <c r="O147" s="711"/>
      <c r="P147" s="800"/>
      <c r="Q147" s="711"/>
      <c r="R147" s="711"/>
      <c r="S147" s="875"/>
      <c r="T147" s="814"/>
    </row>
    <row r="148" spans="2:20" ht="15" customHeight="1">
      <c r="B148" s="255"/>
      <c r="C148" s="371">
        <v>100</v>
      </c>
      <c r="D148" s="1379">
        <f>D135</f>
        <v>1000</v>
      </c>
      <c r="E148" s="1381"/>
      <c r="F148" s="372">
        <v>100</v>
      </c>
      <c r="G148" s="268"/>
      <c r="H148" s="373"/>
      <c r="I148" s="282"/>
      <c r="J148" s="841"/>
      <c r="K148" s="398"/>
      <c r="L148" s="398"/>
      <c r="M148" s="398"/>
      <c r="N148" s="398"/>
      <c r="O148" s="399"/>
      <c r="P148" s="400"/>
      <c r="Q148" s="399"/>
      <c r="R148" s="399"/>
      <c r="S148" s="401"/>
      <c r="T148" s="402"/>
    </row>
    <row r="149" spans="2:20" ht="15" customHeight="1">
      <c r="B149" s="376"/>
      <c r="C149" s="377"/>
      <c r="D149" s="303"/>
      <c r="E149" s="302"/>
      <c r="F149" s="378"/>
      <c r="G149" s="379"/>
      <c r="H149" s="373"/>
      <c r="I149" s="282"/>
      <c r="J149" s="403"/>
      <c r="K149" s="404"/>
      <c r="L149" s="404"/>
      <c r="M149" s="404"/>
      <c r="N149" s="404"/>
      <c r="O149" s="711"/>
      <c r="P149" s="405"/>
      <c r="Q149" s="405"/>
      <c r="R149" s="405"/>
      <c r="S149" s="875"/>
      <c r="T149" s="814"/>
    </row>
    <row r="150" spans="2:20" ht="15" customHeight="1">
      <c r="B150" s="255"/>
      <c r="C150" s="371">
        <v>100</v>
      </c>
      <c r="D150" s="1379">
        <v>600</v>
      </c>
      <c r="E150" s="1381"/>
      <c r="F150" s="372">
        <v>100</v>
      </c>
      <c r="G150" s="268"/>
      <c r="H150" s="373"/>
      <c r="I150" s="282"/>
      <c r="J150" s="485"/>
      <c r="K150" s="870"/>
      <c r="L150" s="870"/>
      <c r="M150" s="870"/>
      <c r="N150" s="870"/>
      <c r="O150" s="871"/>
      <c r="P150" s="871"/>
      <c r="Q150" s="781"/>
      <c r="R150" s="781"/>
      <c r="S150" s="872"/>
      <c r="T150" s="716"/>
    </row>
    <row r="151" spans="2:20" ht="15" customHeight="1">
      <c r="B151" s="255"/>
      <c r="C151" s="290"/>
      <c r="D151" s="388"/>
      <c r="E151" s="388"/>
      <c r="F151" s="389"/>
      <c r="G151" s="379"/>
      <c r="H151" s="373"/>
      <c r="I151" s="282"/>
      <c r="J151" s="873"/>
      <c r="K151" s="874"/>
      <c r="L151" s="874"/>
      <c r="M151" s="874"/>
      <c r="N151" s="874"/>
      <c r="O151" s="711"/>
      <c r="P151" s="800"/>
      <c r="Q151" s="711"/>
      <c r="R151" s="711"/>
      <c r="S151" s="875"/>
      <c r="T151" s="814"/>
    </row>
    <row r="152" spans="2:20" ht="15" customHeight="1">
      <c r="B152" s="255"/>
      <c r="C152" s="1376"/>
      <c r="D152" s="1377"/>
      <c r="E152" s="1377"/>
      <c r="F152" s="1378"/>
      <c r="G152" s="268"/>
      <c r="H152" s="269"/>
      <c r="I152" s="282"/>
      <c r="J152" s="485"/>
      <c r="K152" s="870"/>
      <c r="L152" s="870"/>
      <c r="M152" s="870"/>
      <c r="N152" s="870"/>
      <c r="O152" s="871"/>
      <c r="P152" s="871"/>
      <c r="Q152" s="781"/>
      <c r="R152" s="781"/>
      <c r="S152" s="872"/>
      <c r="T152" s="716"/>
    </row>
    <row r="153" spans="2:20" ht="15" customHeight="1">
      <c r="B153" s="255"/>
      <c r="C153" s="1379">
        <f>C148+D148+F148</f>
        <v>1200</v>
      </c>
      <c r="D153" s="1380"/>
      <c r="E153" s="1380"/>
      <c r="F153" s="1381"/>
      <c r="G153" s="268"/>
      <c r="H153" s="456"/>
      <c r="I153" s="257"/>
      <c r="J153" s="873"/>
      <c r="K153" s="874"/>
      <c r="L153" s="874"/>
      <c r="M153" s="874"/>
      <c r="N153" s="874"/>
      <c r="O153" s="711"/>
      <c r="P153" s="800"/>
      <c r="Q153" s="711"/>
      <c r="R153" s="711"/>
      <c r="S153" s="875"/>
      <c r="T153" s="814"/>
    </row>
    <row r="154" spans="2:20" ht="15" customHeight="1">
      <c r="B154" s="255"/>
      <c r="C154" s="396"/>
      <c r="D154" s="388"/>
      <c r="E154" s="388"/>
      <c r="F154" s="397"/>
      <c r="G154" s="268"/>
      <c r="H154" s="269"/>
      <c r="I154" s="257"/>
      <c r="J154" s="841"/>
      <c r="K154" s="398"/>
      <c r="L154" s="398"/>
      <c r="M154" s="398"/>
      <c r="N154" s="398"/>
      <c r="O154" s="399"/>
      <c r="P154" s="400"/>
      <c r="Q154" s="399"/>
      <c r="R154" s="399"/>
      <c r="S154" s="401"/>
      <c r="T154" s="402"/>
    </row>
    <row r="155" spans="2:20" ht="15" customHeight="1">
      <c r="B155" s="255"/>
      <c r="C155" s="1379">
        <f>C150+D150+F150</f>
        <v>800</v>
      </c>
      <c r="D155" s="1380"/>
      <c r="E155" s="1380"/>
      <c r="F155" s="1381"/>
      <c r="G155" s="268"/>
      <c r="H155" s="456"/>
      <c r="I155" s="257"/>
      <c r="J155" s="403"/>
      <c r="K155" s="404"/>
      <c r="L155" s="404"/>
      <c r="M155" s="404"/>
      <c r="N155" s="404"/>
      <c r="O155" s="410"/>
      <c r="P155" s="405"/>
      <c r="Q155" s="405"/>
      <c r="R155" s="405"/>
      <c r="S155" s="868"/>
      <c r="T155" s="261"/>
    </row>
    <row r="156" spans="2:20" ht="15" customHeight="1">
      <c r="B156" s="255"/>
      <c r="C156" s="256"/>
      <c r="D156" s="456"/>
      <c r="E156" s="456"/>
      <c r="F156" s="456"/>
      <c r="G156" s="456"/>
      <c r="H156" s="456"/>
      <c r="I156" s="257"/>
      <c r="J156" s="841"/>
      <c r="K156" s="842"/>
      <c r="L156" s="869"/>
      <c r="M156" s="843"/>
      <c r="N156" s="843"/>
      <c r="O156" s="843"/>
      <c r="P156" s="842"/>
      <c r="Q156" s="829"/>
      <c r="R156" s="829"/>
      <c r="S156" s="832"/>
      <c r="T156" s="294"/>
    </row>
    <row r="157" spans="2:20" ht="15" customHeight="1">
      <c r="B157" s="255"/>
      <c r="C157" s="256"/>
      <c r="D157" s="456"/>
      <c r="E157" s="456"/>
      <c r="F157" s="456"/>
      <c r="G157" s="456"/>
      <c r="H157" s="456"/>
      <c r="I157" s="269"/>
      <c r="J157" s="833"/>
      <c r="K157" s="844"/>
      <c r="L157" s="834"/>
      <c r="M157" s="834"/>
      <c r="N157" s="835"/>
      <c r="O157" s="834"/>
      <c r="P157" s="274"/>
      <c r="Q157" s="275"/>
      <c r="R157" s="276"/>
      <c r="S157" s="297"/>
      <c r="T157" s="298"/>
    </row>
    <row r="158" spans="2:20" ht="15" customHeight="1">
      <c r="B158" s="255"/>
      <c r="C158" s="256"/>
      <c r="D158" s="456"/>
      <c r="E158" s="456"/>
      <c r="F158" s="456"/>
      <c r="G158" s="456"/>
      <c r="H158" s="456"/>
      <c r="I158" s="257"/>
      <c r="J158" s="485"/>
      <c r="K158" s="870"/>
      <c r="L158" s="870"/>
      <c r="M158" s="870"/>
      <c r="N158" s="870"/>
      <c r="O158" s="871"/>
      <c r="P158" s="871"/>
      <c r="Q158" s="781"/>
      <c r="R158" s="781"/>
      <c r="S158" s="872"/>
      <c r="T158" s="716"/>
    </row>
    <row r="159" spans="2:20" ht="15" customHeight="1">
      <c r="B159" s="408"/>
      <c r="C159" s="409"/>
      <c r="D159" s="350"/>
      <c r="E159" s="350"/>
      <c r="F159" s="350"/>
      <c r="G159" s="350"/>
      <c r="H159" s="350"/>
      <c r="I159" s="410"/>
      <c r="J159" s="873"/>
      <c r="K159" s="874"/>
      <c r="L159" s="874"/>
      <c r="M159" s="874"/>
      <c r="N159" s="874"/>
      <c r="O159" s="711"/>
      <c r="P159" s="800"/>
      <c r="Q159" s="711"/>
      <c r="R159" s="711"/>
      <c r="S159" s="875"/>
      <c r="T159" s="814"/>
    </row>
    <row r="160" spans="2:20" ht="24.95" hidden="1" customHeight="1">
      <c r="B160" s="468" t="s">
        <v>706</v>
      </c>
      <c r="C160" s="1382" t="e">
        <f>#REF!</f>
        <v>#REF!</v>
      </c>
      <c r="D160" s="1383"/>
      <c r="E160" s="1383"/>
      <c r="F160" s="1383"/>
      <c r="G160" s="1383"/>
      <c r="H160" s="1383"/>
      <c r="I160" s="1383" t="e">
        <f>#REF!</f>
        <v>#REF!</v>
      </c>
      <c r="J160" s="1383"/>
      <c r="K160" s="1383"/>
      <c r="L160" s="1384"/>
      <c r="M160" s="1384"/>
      <c r="N160" s="1384"/>
      <c r="O160" s="1384"/>
      <c r="P160" s="1384"/>
      <c r="Q160" s="1384"/>
      <c r="R160" s="1384"/>
      <c r="S160" s="1384"/>
      <c r="T160" s="1385"/>
    </row>
    <row r="161" spans="2:20" ht="15" hidden="1" customHeight="1">
      <c r="B161" s="255"/>
      <c r="C161" s="256"/>
      <c r="D161" s="456"/>
      <c r="E161" s="456"/>
      <c r="F161" s="456"/>
      <c r="G161" s="456"/>
      <c r="H161" s="456"/>
      <c r="I161" s="257"/>
      <c r="J161" s="826"/>
      <c r="K161" s="826"/>
      <c r="L161" s="826" t="s">
        <v>39</v>
      </c>
      <c r="M161" s="826" t="s">
        <v>40</v>
      </c>
      <c r="N161" s="826" t="s">
        <v>41</v>
      </c>
      <c r="O161" s="410" t="s">
        <v>42</v>
      </c>
      <c r="P161" s="410" t="s">
        <v>43</v>
      </c>
      <c r="Q161" s="410"/>
      <c r="R161" s="410"/>
      <c r="S161" s="827" t="s">
        <v>44</v>
      </c>
      <c r="T161" s="261"/>
    </row>
    <row r="162" spans="2:20" ht="15" hidden="1" customHeight="1">
      <c r="B162" s="255"/>
      <c r="C162" s="256"/>
      <c r="D162" s="456"/>
      <c r="E162" s="456"/>
      <c r="F162" s="456"/>
      <c r="G162" s="456"/>
      <c r="H162" s="456"/>
      <c r="I162" s="257"/>
      <c r="J162" s="828" t="s">
        <v>45</v>
      </c>
      <c r="K162" s="829"/>
      <c r="L162" s="829" t="s">
        <v>46</v>
      </c>
      <c r="M162" s="830"/>
      <c r="N162" s="830"/>
      <c r="P162" s="831"/>
      <c r="Q162" s="831"/>
      <c r="R162" s="831"/>
      <c r="S162" s="832"/>
      <c r="T162" s="267"/>
    </row>
    <row r="163" spans="2:20" ht="15" hidden="1" customHeight="1">
      <c r="B163" s="255"/>
      <c r="C163" s="1377">
        <f>C185+(0.3*(H174)*2)</f>
        <v>1260</v>
      </c>
      <c r="D163" s="1377"/>
      <c r="E163" s="1377"/>
      <c r="F163" s="1377"/>
      <c r="G163" s="268"/>
      <c r="H163" s="269"/>
      <c r="I163" s="257"/>
      <c r="J163" s="833" t="s">
        <v>47</v>
      </c>
      <c r="K163" s="834">
        <f>C163/1000</f>
        <v>1.26</v>
      </c>
      <c r="L163" s="834"/>
      <c r="M163" s="834"/>
      <c r="N163" s="835" t="s">
        <v>48</v>
      </c>
      <c r="O163" s="649">
        <f>C185/1000</f>
        <v>1.2</v>
      </c>
      <c r="P163" s="274"/>
      <c r="Q163" s="275" t="s">
        <v>49</v>
      </c>
      <c r="R163" s="276">
        <f>(H174)/1000</f>
        <v>0.1</v>
      </c>
      <c r="S163" s="277"/>
      <c r="T163" s="278"/>
    </row>
    <row r="164" spans="2:20" ht="15" hidden="1" customHeight="1">
      <c r="B164" s="255"/>
      <c r="C164" s="279"/>
      <c r="D164" s="280"/>
      <c r="E164" s="280"/>
      <c r="F164" s="281"/>
      <c r="G164" s="268"/>
      <c r="H164" s="269"/>
      <c r="I164" s="282"/>
      <c r="J164" s="833" t="s">
        <v>50</v>
      </c>
      <c r="K164" s="834">
        <f>C165/1000</f>
        <v>0.32</v>
      </c>
      <c r="L164" s="834"/>
      <c r="M164" s="834"/>
      <c r="N164" s="835" t="s">
        <v>51</v>
      </c>
      <c r="O164" s="649">
        <f>C187/1000</f>
        <v>0.26</v>
      </c>
      <c r="P164" s="274"/>
      <c r="Q164" s="254"/>
      <c r="R164" s="269"/>
      <c r="S164" s="836"/>
      <c r="T164" s="278"/>
    </row>
    <row r="165" spans="2:20" ht="15" hidden="1" customHeight="1">
      <c r="B165" s="255"/>
      <c r="C165" s="1379">
        <f>C187+(0.3*(H174)*2)</f>
        <v>320</v>
      </c>
      <c r="D165" s="1380"/>
      <c r="E165" s="1380"/>
      <c r="F165" s="1381"/>
      <c r="G165" s="268"/>
      <c r="H165" s="269"/>
      <c r="I165" s="282"/>
      <c r="J165" s="837" t="s">
        <v>52</v>
      </c>
      <c r="K165" s="838"/>
      <c r="L165" s="838"/>
      <c r="M165" s="838"/>
      <c r="N165" s="838"/>
      <c r="O165" s="839"/>
      <c r="P165" s="838"/>
      <c r="Q165" s="410"/>
      <c r="R165" s="410"/>
      <c r="S165" s="840">
        <f>ROUNDDOWN(R163/6*((2*K163+O163)*K164+(2*O163+K163)*O164),3)</f>
        <v>3.5000000000000003E-2</v>
      </c>
      <c r="T165" s="599" t="s">
        <v>178</v>
      </c>
    </row>
    <row r="166" spans="2:20" ht="15" hidden="1" customHeight="1">
      <c r="B166" s="255"/>
      <c r="C166" s="290"/>
      <c r="D166" s="291"/>
      <c r="E166" s="291"/>
      <c r="F166" s="281"/>
      <c r="G166" s="268"/>
      <c r="H166" s="269"/>
      <c r="I166" s="282"/>
      <c r="J166" s="841" t="s">
        <v>53</v>
      </c>
      <c r="K166" s="842"/>
      <c r="L166" s="842" t="s">
        <v>54</v>
      </c>
      <c r="M166" s="843"/>
      <c r="N166" s="843"/>
      <c r="O166" s="843"/>
      <c r="P166" s="842"/>
      <c r="Q166" s="829"/>
      <c r="R166" s="829"/>
      <c r="S166" s="832"/>
      <c r="T166" s="294"/>
    </row>
    <row r="167" spans="2:20" ht="15" hidden="1" customHeight="1">
      <c r="B167" s="255"/>
      <c r="C167" s="295"/>
      <c r="D167" s="1386">
        <v>1000</v>
      </c>
      <c r="E167" s="1387"/>
      <c r="F167" s="296"/>
      <c r="G167" s="268"/>
      <c r="H167" s="269"/>
      <c r="I167" s="282"/>
      <c r="J167" s="833" t="s">
        <v>47</v>
      </c>
      <c r="K167" s="844">
        <f>D167/1000</f>
        <v>1</v>
      </c>
      <c r="L167" s="834"/>
      <c r="M167" s="834"/>
      <c r="N167" s="835" t="s">
        <v>48</v>
      </c>
      <c r="O167" s="834">
        <f>D182/1000</f>
        <v>0.06</v>
      </c>
      <c r="P167" s="274"/>
      <c r="Q167" s="275" t="s">
        <v>49</v>
      </c>
      <c r="R167" s="276">
        <f>H174/1000</f>
        <v>0.1</v>
      </c>
      <c r="S167" s="297">
        <f>(K167*O167*R167)</f>
        <v>6.0000000000000001E-3</v>
      </c>
      <c r="T167" s="298" t="s">
        <v>55</v>
      </c>
    </row>
    <row r="168" spans="2:20" ht="15" hidden="1" customHeight="1">
      <c r="B168" s="255"/>
      <c r="C168" s="299"/>
      <c r="D168" s="300"/>
      <c r="E168" s="301"/>
      <c r="F168" s="302"/>
      <c r="G168" s="456"/>
      <c r="H168" s="269"/>
      <c r="I168" s="282"/>
      <c r="J168" s="833"/>
      <c r="K168" s="834"/>
      <c r="L168" s="834"/>
      <c r="M168" s="834"/>
      <c r="N168" s="835"/>
      <c r="O168" s="834"/>
      <c r="P168" s="274"/>
      <c r="Q168" s="275"/>
      <c r="R168" s="276"/>
      <c r="S168" s="297"/>
      <c r="T168" s="298"/>
    </row>
    <row r="169" spans="2:20" ht="15" hidden="1" customHeight="1">
      <c r="B169" s="255"/>
      <c r="C169" s="299"/>
      <c r="D169" s="303"/>
      <c r="E169" s="302"/>
      <c r="F169" s="302"/>
      <c r="G169" s="456"/>
      <c r="H169" s="269"/>
      <c r="I169" s="282"/>
      <c r="J169" s="833"/>
      <c r="K169" s="834"/>
      <c r="L169" s="834"/>
      <c r="M169" s="834"/>
      <c r="N169" s="835"/>
      <c r="O169" s="834"/>
      <c r="P169" s="274"/>
      <c r="Q169" s="275"/>
      <c r="R169" s="276"/>
      <c r="S169" s="297"/>
      <c r="T169" s="541"/>
    </row>
    <row r="170" spans="2:20" ht="15" hidden="1" customHeight="1">
      <c r="B170" s="255"/>
      <c r="C170" s="299"/>
      <c r="D170" s="303"/>
      <c r="E170" s="302"/>
      <c r="F170" s="302"/>
      <c r="G170" s="456"/>
      <c r="H170" s="269"/>
      <c r="I170" s="282"/>
      <c r="J170" s="833"/>
      <c r="K170" s="834"/>
      <c r="L170" s="834"/>
      <c r="M170" s="834"/>
      <c r="N170" s="305"/>
      <c r="O170" s="834"/>
      <c r="P170" s="274"/>
      <c r="Q170" s="275"/>
      <c r="R170" s="276"/>
      <c r="S170" s="297"/>
      <c r="T170" s="298"/>
    </row>
    <row r="171" spans="2:20" ht="15" hidden="1" customHeight="1">
      <c r="B171" s="255"/>
      <c r="C171" s="299"/>
      <c r="D171" s="303"/>
      <c r="E171" s="302"/>
      <c r="F171" s="302"/>
      <c r="G171" s="456"/>
      <c r="H171" s="305"/>
      <c r="I171" s="282"/>
      <c r="J171" s="837" t="s">
        <v>57</v>
      </c>
      <c r="K171" s="838"/>
      <c r="L171" s="838"/>
      <c r="M171" s="838"/>
      <c r="N171" s="838"/>
      <c r="O171" s="839"/>
      <c r="P171" s="838"/>
      <c r="Q171" s="306"/>
      <c r="R171" s="307"/>
      <c r="S171" s="840">
        <f>SUM(S167:S170)</f>
        <v>6.0000000000000001E-3</v>
      </c>
      <c r="T171" s="599" t="s">
        <v>178</v>
      </c>
    </row>
    <row r="172" spans="2:20" ht="15" hidden="1" customHeight="1">
      <c r="B172" s="255"/>
      <c r="C172" s="299"/>
      <c r="D172" s="303"/>
      <c r="E172" s="302"/>
      <c r="F172" s="302"/>
      <c r="G172" s="456"/>
      <c r="H172" s="269"/>
      <c r="I172" s="308"/>
      <c r="J172" s="828" t="s">
        <v>58</v>
      </c>
      <c r="K172" s="843"/>
      <c r="L172" s="309" t="s">
        <v>334</v>
      </c>
      <c r="M172" s="309" t="s">
        <v>335</v>
      </c>
      <c r="N172" s="310" t="s">
        <v>336</v>
      </c>
      <c r="O172" s="311"/>
      <c r="P172" s="309"/>
      <c r="Q172" s="312"/>
      <c r="R172" s="312"/>
      <c r="S172" s="313"/>
      <c r="T172" s="294"/>
    </row>
    <row r="173" spans="2:20" ht="15" hidden="1" customHeight="1" thickBot="1">
      <c r="B173" s="314"/>
      <c r="C173" s="1388"/>
      <c r="D173" s="1388"/>
      <c r="E173" s="1388"/>
      <c r="F173" s="1388"/>
      <c r="G173" s="315"/>
      <c r="H173" s="315"/>
      <c r="I173" s="316"/>
      <c r="J173" s="317"/>
      <c r="K173" s="318"/>
      <c r="L173" s="318" t="s">
        <v>334</v>
      </c>
      <c r="M173" s="845">
        <f>S165</f>
        <v>3.5000000000000003E-2</v>
      </c>
      <c r="N173" s="318" t="s">
        <v>337</v>
      </c>
      <c r="O173" s="319">
        <f>S175</f>
        <v>6.0000000000000001E-3</v>
      </c>
      <c r="P173" s="348"/>
      <c r="Q173" s="321"/>
      <c r="R173" s="846"/>
      <c r="S173" s="847">
        <f>ROUNDDOWN(M173-O173,3)</f>
        <v>2.9000000000000001E-2</v>
      </c>
      <c r="T173" s="599" t="s">
        <v>178</v>
      </c>
    </row>
    <row r="174" spans="2:20" ht="15" hidden="1" customHeight="1">
      <c r="B174" s="255"/>
      <c r="C174" s="324"/>
      <c r="D174" s="457"/>
      <c r="E174" s="325"/>
      <c r="F174" s="326"/>
      <c r="G174" s="327"/>
      <c r="H174" s="1389">
        <v>100</v>
      </c>
      <c r="I174" s="1392">
        <f>H171+H173+H174</f>
        <v>100</v>
      </c>
      <c r="J174" s="828" t="s">
        <v>338</v>
      </c>
      <c r="K174" s="843"/>
      <c r="L174" s="843" t="s">
        <v>339</v>
      </c>
      <c r="M174" s="309"/>
      <c r="N174" s="310" t="s">
        <v>340</v>
      </c>
      <c r="O174" s="843"/>
      <c r="P174" s="843"/>
      <c r="Q174" s="328"/>
      <c r="R174" s="329"/>
      <c r="S174" s="832"/>
      <c r="T174" s="294"/>
    </row>
    <row r="175" spans="2:20" ht="15" hidden="1" customHeight="1">
      <c r="B175" s="330"/>
      <c r="C175" s="324"/>
      <c r="D175" s="331"/>
      <c r="E175" s="332"/>
      <c r="F175" s="326"/>
      <c r="G175" s="333"/>
      <c r="H175" s="1390"/>
      <c r="I175" s="1387"/>
      <c r="J175" s="848"/>
      <c r="K175" s="849"/>
      <c r="L175" s="850" t="s">
        <v>339</v>
      </c>
      <c r="M175" s="849"/>
      <c r="N175" s="849"/>
      <c r="O175" s="838">
        <f>S167</f>
        <v>6.0000000000000001E-3</v>
      </c>
      <c r="P175" s="838"/>
      <c r="Q175" s="838"/>
      <c r="R175" s="410"/>
      <c r="S175" s="851">
        <f>ROUNDDOWN(O175+Q175,3)</f>
        <v>6.0000000000000001E-3</v>
      </c>
      <c r="T175" s="257" t="s">
        <v>178</v>
      </c>
    </row>
    <row r="176" spans="2:20" ht="15" hidden="1" customHeight="1">
      <c r="B176" s="255"/>
      <c r="C176" s="324"/>
      <c r="D176" s="331"/>
      <c r="E176" s="332"/>
      <c r="F176" s="326"/>
      <c r="G176" s="333"/>
      <c r="H176" s="1390"/>
      <c r="I176" s="1387"/>
      <c r="J176" s="852" t="s">
        <v>584</v>
      </c>
      <c r="K176" s="843"/>
      <c r="L176" s="843"/>
      <c r="M176" s="843"/>
      <c r="N176" s="843"/>
      <c r="O176" s="853"/>
      <c r="P176" s="340"/>
      <c r="Q176" s="329"/>
      <c r="R176" s="341"/>
      <c r="S176" s="832"/>
      <c r="T176" s="294"/>
    </row>
    <row r="177" spans="2:20" ht="15" hidden="1" customHeight="1">
      <c r="B177" s="255"/>
      <c r="C177" s="324"/>
      <c r="D177" s="331"/>
      <c r="E177" s="332"/>
      <c r="F177" s="326"/>
      <c r="G177" s="333"/>
      <c r="H177" s="1390"/>
      <c r="I177" s="1387"/>
      <c r="J177" s="645" t="s">
        <v>341</v>
      </c>
      <c r="K177" s="834">
        <f>D167/1000</f>
        <v>1</v>
      </c>
      <c r="L177" s="646" t="s">
        <v>59</v>
      </c>
      <c r="M177" s="965">
        <f>D182/1000</f>
        <v>0.06</v>
      </c>
      <c r="N177" s="648" t="s">
        <v>137</v>
      </c>
      <c r="O177" s="347" t="s">
        <v>342</v>
      </c>
      <c r="P177" s="649">
        <f>I174/1000</f>
        <v>0.1</v>
      </c>
      <c r="Q177" s="650" t="s">
        <v>343</v>
      </c>
      <c r="R177" s="456">
        <v>4</v>
      </c>
      <c r="S177" s="947">
        <f>((K177+M177)/2)*P177*R177</f>
        <v>0.21200000000000002</v>
      </c>
      <c r="T177" s="257" t="s">
        <v>344</v>
      </c>
    </row>
    <row r="178" spans="2:20" ht="15" hidden="1" customHeight="1" thickBot="1">
      <c r="B178" s="255"/>
      <c r="C178" s="352"/>
      <c r="D178" s="353"/>
      <c r="E178" s="354"/>
      <c r="F178" s="355"/>
      <c r="G178" s="356"/>
      <c r="H178" s="1391"/>
      <c r="I178" s="1387"/>
      <c r="J178" s="841" t="s">
        <v>857</v>
      </c>
      <c r="K178" s="870"/>
      <c r="L178" s="870" t="s">
        <v>805</v>
      </c>
      <c r="M178" s="870"/>
      <c r="N178" s="870"/>
      <c r="O178" s="871"/>
      <c r="P178" s="871"/>
      <c r="Q178" s="781"/>
      <c r="R178" s="781"/>
      <c r="S178" s="872"/>
      <c r="T178" s="716"/>
    </row>
    <row r="179" spans="2:20" ht="15" hidden="1" customHeight="1">
      <c r="B179" s="255"/>
      <c r="C179" s="362"/>
      <c r="D179" s="363"/>
      <c r="E179" s="364"/>
      <c r="F179" s="365"/>
      <c r="G179" s="456"/>
      <c r="H179" s="269"/>
      <c r="I179" s="282"/>
      <c r="J179" s="873"/>
      <c r="K179" s="874"/>
      <c r="L179" s="874"/>
      <c r="M179" s="874"/>
      <c r="N179" s="874"/>
      <c r="O179" s="711">
        <v>3</v>
      </c>
      <c r="P179" s="800"/>
      <c r="Q179" s="711"/>
      <c r="R179" s="711"/>
      <c r="S179" s="875">
        <v>3</v>
      </c>
      <c r="T179" s="814" t="s">
        <v>36</v>
      </c>
    </row>
    <row r="180" spans="2:20" ht="15" hidden="1" customHeight="1">
      <c r="B180" s="255"/>
      <c r="C180" s="371">
        <v>100</v>
      </c>
      <c r="D180" s="1379">
        <v>1000</v>
      </c>
      <c r="E180" s="1381"/>
      <c r="F180" s="372">
        <v>100</v>
      </c>
      <c r="G180" s="268"/>
      <c r="H180" s="373"/>
      <c r="I180" s="282"/>
      <c r="J180" s="841"/>
      <c r="K180" s="398"/>
      <c r="L180" s="398"/>
      <c r="M180" s="398"/>
      <c r="N180" s="398"/>
      <c r="O180" s="399"/>
      <c r="P180" s="400"/>
      <c r="Q180" s="399"/>
      <c r="R180" s="399"/>
      <c r="S180" s="401"/>
      <c r="T180" s="402"/>
    </row>
    <row r="181" spans="2:20" ht="15" hidden="1" customHeight="1">
      <c r="B181" s="376"/>
      <c r="C181" s="377"/>
      <c r="D181" s="303"/>
      <c r="E181" s="302"/>
      <c r="F181" s="378"/>
      <c r="G181" s="379"/>
      <c r="H181" s="373"/>
      <c r="I181" s="282"/>
      <c r="J181" s="403"/>
      <c r="K181" s="404"/>
      <c r="L181" s="404"/>
      <c r="M181" s="404"/>
      <c r="N181" s="404"/>
      <c r="O181" s="711"/>
      <c r="P181" s="405"/>
      <c r="Q181" s="405"/>
      <c r="R181" s="405"/>
      <c r="S181" s="875"/>
      <c r="T181" s="814"/>
    </row>
    <row r="182" spans="2:20" ht="15" hidden="1" customHeight="1">
      <c r="B182" s="255"/>
      <c r="C182" s="371">
        <v>100</v>
      </c>
      <c r="D182" s="1379">
        <v>60</v>
      </c>
      <c r="E182" s="1381"/>
      <c r="F182" s="372">
        <v>100</v>
      </c>
      <c r="G182" s="268"/>
      <c r="H182" s="373"/>
      <c r="I182" s="282"/>
      <c r="J182" s="485"/>
      <c r="K182" s="870"/>
      <c r="L182" s="870"/>
      <c r="M182" s="870"/>
      <c r="N182" s="870"/>
      <c r="O182" s="871"/>
      <c r="P182" s="871"/>
      <c r="Q182" s="781"/>
      <c r="R182" s="781"/>
      <c r="S182" s="872"/>
      <c r="T182" s="716"/>
    </row>
    <row r="183" spans="2:20" ht="15" hidden="1" customHeight="1">
      <c r="B183" s="255"/>
      <c r="C183" s="290"/>
      <c r="D183" s="388"/>
      <c r="E183" s="388"/>
      <c r="F183" s="389"/>
      <c r="G183" s="379"/>
      <c r="H183" s="373"/>
      <c r="I183" s="282"/>
      <c r="J183" s="873"/>
      <c r="K183" s="874"/>
      <c r="L183" s="874"/>
      <c r="M183" s="874"/>
      <c r="N183" s="874"/>
      <c r="O183" s="711"/>
      <c r="P183" s="800"/>
      <c r="Q183" s="711"/>
      <c r="R183" s="711"/>
      <c r="S183" s="875"/>
      <c r="T183" s="814"/>
    </row>
    <row r="184" spans="2:20" ht="15" hidden="1" customHeight="1">
      <c r="B184" s="255"/>
      <c r="C184" s="1376"/>
      <c r="D184" s="1377"/>
      <c r="E184" s="1377"/>
      <c r="F184" s="1378"/>
      <c r="G184" s="268"/>
      <c r="H184" s="269"/>
      <c r="I184" s="282"/>
      <c r="J184" s="485"/>
      <c r="K184" s="870"/>
      <c r="L184" s="870"/>
      <c r="M184" s="870"/>
      <c r="N184" s="870"/>
      <c r="O184" s="871"/>
      <c r="P184" s="871"/>
      <c r="Q184" s="781"/>
      <c r="R184" s="781"/>
      <c r="S184" s="872"/>
      <c r="T184" s="716"/>
    </row>
    <row r="185" spans="2:20" ht="15" hidden="1" customHeight="1">
      <c r="B185" s="255"/>
      <c r="C185" s="1379">
        <f>C180+D180+F180</f>
        <v>1200</v>
      </c>
      <c r="D185" s="1380"/>
      <c r="E185" s="1380"/>
      <c r="F185" s="1381"/>
      <c r="G185" s="268"/>
      <c r="H185" s="456"/>
      <c r="I185" s="257"/>
      <c r="J185" s="873"/>
      <c r="K185" s="874"/>
      <c r="L185" s="874"/>
      <c r="M185" s="874"/>
      <c r="N185" s="874"/>
      <c r="O185" s="711"/>
      <c r="P185" s="800"/>
      <c r="Q185" s="711"/>
      <c r="R185" s="711"/>
      <c r="S185" s="875"/>
      <c r="T185" s="814"/>
    </row>
    <row r="186" spans="2:20" ht="15" hidden="1" customHeight="1">
      <c r="B186" s="255"/>
      <c r="C186" s="396"/>
      <c r="D186" s="388"/>
      <c r="E186" s="388"/>
      <c r="F186" s="397"/>
      <c r="G186" s="268"/>
      <c r="H186" s="269"/>
      <c r="I186" s="257"/>
      <c r="J186" s="841"/>
      <c r="K186" s="398"/>
      <c r="L186" s="398"/>
      <c r="M186" s="398"/>
      <c r="N186" s="398"/>
      <c r="O186" s="399"/>
      <c r="P186" s="400"/>
      <c r="Q186" s="399"/>
      <c r="R186" s="399"/>
      <c r="S186" s="401"/>
      <c r="T186" s="402"/>
    </row>
    <row r="187" spans="2:20" ht="15" hidden="1" customHeight="1">
      <c r="B187" s="255"/>
      <c r="C187" s="1379">
        <f>C182+D182+F182</f>
        <v>260</v>
      </c>
      <c r="D187" s="1380"/>
      <c r="E187" s="1380"/>
      <c r="F187" s="1381"/>
      <c r="G187" s="268"/>
      <c r="H187" s="456"/>
      <c r="I187" s="257"/>
      <c r="J187" s="403"/>
      <c r="K187" s="404"/>
      <c r="L187" s="404"/>
      <c r="M187" s="404"/>
      <c r="N187" s="404"/>
      <c r="O187" s="410"/>
      <c r="P187" s="405"/>
      <c r="Q187" s="405"/>
      <c r="R187" s="405"/>
      <c r="S187" s="868"/>
      <c r="T187" s="261"/>
    </row>
    <row r="188" spans="2:20" ht="15" hidden="1" customHeight="1">
      <c r="B188" s="255"/>
      <c r="C188" s="256"/>
      <c r="D188" s="456"/>
      <c r="E188" s="456"/>
      <c r="F188" s="456"/>
      <c r="G188" s="456"/>
      <c r="H188" s="456"/>
      <c r="I188" s="257"/>
      <c r="J188" s="841"/>
      <c r="K188" s="842"/>
      <c r="L188" s="869"/>
      <c r="M188" s="843"/>
      <c r="N188" s="843"/>
      <c r="O188" s="843"/>
      <c r="P188" s="842"/>
      <c r="Q188" s="829"/>
      <c r="R188" s="829"/>
      <c r="S188" s="832"/>
      <c r="T188" s="294"/>
    </row>
    <row r="189" spans="2:20" ht="15" hidden="1" customHeight="1">
      <c r="B189" s="255"/>
      <c r="C189" s="256"/>
      <c r="D189" s="456"/>
      <c r="E189" s="456"/>
      <c r="F189" s="456"/>
      <c r="G189" s="456"/>
      <c r="H189" s="456"/>
      <c r="I189" s="269"/>
      <c r="J189" s="833"/>
      <c r="K189" s="844"/>
      <c r="L189" s="834"/>
      <c r="M189" s="834"/>
      <c r="N189" s="835"/>
      <c r="O189" s="834"/>
      <c r="P189" s="274"/>
      <c r="Q189" s="275"/>
      <c r="R189" s="276"/>
      <c r="S189" s="297"/>
      <c r="T189" s="298"/>
    </row>
    <row r="190" spans="2:20" ht="15" hidden="1" customHeight="1">
      <c r="B190" s="255"/>
      <c r="C190" s="256"/>
      <c r="D190" s="456"/>
      <c r="E190" s="456"/>
      <c r="F190" s="456"/>
      <c r="G190" s="456"/>
      <c r="H190" s="456"/>
      <c r="I190" s="257"/>
      <c r="J190" s="485"/>
      <c r="K190" s="870"/>
      <c r="L190" s="870"/>
      <c r="M190" s="870"/>
      <c r="N190" s="870"/>
      <c r="O190" s="871"/>
      <c r="P190" s="871"/>
      <c r="Q190" s="781"/>
      <c r="R190" s="781"/>
      <c r="S190" s="872"/>
      <c r="T190" s="716"/>
    </row>
    <row r="191" spans="2:20" ht="15" hidden="1" customHeight="1">
      <c r="B191" s="408"/>
      <c r="C191" s="409"/>
      <c r="D191" s="350"/>
      <c r="E191" s="350"/>
      <c r="F191" s="350"/>
      <c r="G191" s="350"/>
      <c r="H191" s="350"/>
      <c r="I191" s="410"/>
      <c r="J191" s="873"/>
      <c r="K191" s="874"/>
      <c r="L191" s="874"/>
      <c r="M191" s="874"/>
      <c r="N191" s="874"/>
      <c r="O191" s="711"/>
      <c r="P191" s="800"/>
      <c r="Q191" s="711"/>
      <c r="R191" s="711"/>
      <c r="S191" s="875"/>
      <c r="T191" s="814"/>
    </row>
    <row r="192" spans="2:20" ht="24.95" hidden="1" customHeight="1">
      <c r="B192" s="468" t="s">
        <v>931</v>
      </c>
      <c r="C192" s="1382" t="e">
        <f>#REF!</f>
        <v>#REF!</v>
      </c>
      <c r="D192" s="1383"/>
      <c r="E192" s="1383"/>
      <c r="F192" s="1383"/>
      <c r="G192" s="1383"/>
      <c r="H192" s="1383"/>
      <c r="I192" s="1383" t="e">
        <f>#REF!</f>
        <v>#REF!</v>
      </c>
      <c r="J192" s="1383"/>
      <c r="K192" s="1383"/>
      <c r="L192" s="1384"/>
      <c r="M192" s="1384"/>
      <c r="N192" s="1384"/>
      <c r="O192" s="1384"/>
      <c r="P192" s="1384"/>
      <c r="Q192" s="1384"/>
      <c r="R192" s="1384"/>
      <c r="S192" s="1384"/>
      <c r="T192" s="1385"/>
    </row>
    <row r="193" spans="2:20" ht="15" hidden="1" customHeight="1">
      <c r="B193" s="255"/>
      <c r="C193" s="256"/>
      <c r="D193" s="456"/>
      <c r="E193" s="456"/>
      <c r="F193" s="456"/>
      <c r="G193" s="456"/>
      <c r="H193" s="456"/>
      <c r="I193" s="257"/>
      <c r="J193" s="826"/>
      <c r="K193" s="826"/>
      <c r="L193" s="826" t="s">
        <v>39</v>
      </c>
      <c r="M193" s="826" t="s">
        <v>40</v>
      </c>
      <c r="N193" s="826" t="s">
        <v>41</v>
      </c>
      <c r="O193" s="410" t="s">
        <v>42</v>
      </c>
      <c r="P193" s="410" t="s">
        <v>43</v>
      </c>
      <c r="Q193" s="410"/>
      <c r="R193" s="410"/>
      <c r="S193" s="827" t="s">
        <v>44</v>
      </c>
      <c r="T193" s="261"/>
    </row>
    <row r="194" spans="2:20" ht="15" hidden="1" customHeight="1">
      <c r="B194" s="255"/>
      <c r="C194" s="256"/>
      <c r="D194" s="456"/>
      <c r="E194" s="456"/>
      <c r="F194" s="456"/>
      <c r="G194" s="456"/>
      <c r="H194" s="456"/>
      <c r="I194" s="257"/>
      <c r="J194" s="828" t="s">
        <v>45</v>
      </c>
      <c r="K194" s="829"/>
      <c r="L194" s="829" t="s">
        <v>46</v>
      </c>
      <c r="M194" s="830"/>
      <c r="N194" s="830"/>
      <c r="P194" s="831"/>
      <c r="Q194" s="831"/>
      <c r="R194" s="831"/>
      <c r="S194" s="832"/>
      <c r="T194" s="267"/>
    </row>
    <row r="195" spans="2:20" ht="15" hidden="1" customHeight="1">
      <c r="B195" s="255"/>
      <c r="C195" s="1377">
        <f>C217+(0.3*(H206)*2)</f>
        <v>580</v>
      </c>
      <c r="D195" s="1377"/>
      <c r="E195" s="1377"/>
      <c r="F195" s="1377"/>
      <c r="G195" s="268"/>
      <c r="H195" s="269"/>
      <c r="I195" s="257"/>
      <c r="J195" s="833" t="s">
        <v>47</v>
      </c>
      <c r="K195" s="834">
        <f>C195/1000</f>
        <v>0.57999999999999996</v>
      </c>
      <c r="L195" s="834"/>
      <c r="M195" s="834"/>
      <c r="N195" s="835" t="s">
        <v>48</v>
      </c>
      <c r="O195" s="649">
        <f>C217/1000</f>
        <v>0.4</v>
      </c>
      <c r="P195" s="274"/>
      <c r="Q195" s="275" t="s">
        <v>49</v>
      </c>
      <c r="R195" s="276">
        <f>(H206)/1000</f>
        <v>0.3</v>
      </c>
      <c r="S195" s="277"/>
      <c r="T195" s="278"/>
    </row>
    <row r="196" spans="2:20" ht="15" hidden="1" customHeight="1">
      <c r="B196" s="255"/>
      <c r="C196" s="279"/>
      <c r="D196" s="280"/>
      <c r="E196" s="280"/>
      <c r="F196" s="281"/>
      <c r="G196" s="268"/>
      <c r="H196" s="269"/>
      <c r="I196" s="282"/>
      <c r="J196" s="833" t="s">
        <v>50</v>
      </c>
      <c r="K196" s="834">
        <f>C197/1000</f>
        <v>0.57999999999999996</v>
      </c>
      <c r="L196" s="834"/>
      <c r="M196" s="834"/>
      <c r="N196" s="835" t="s">
        <v>51</v>
      </c>
      <c r="O196" s="649">
        <f>C219/1000</f>
        <v>0.4</v>
      </c>
      <c r="P196" s="274"/>
      <c r="Q196" s="254"/>
      <c r="R196" s="269"/>
      <c r="S196" s="836"/>
      <c r="T196" s="278"/>
    </row>
    <row r="197" spans="2:20" ht="15" hidden="1" customHeight="1">
      <c r="B197" s="255"/>
      <c r="C197" s="1379">
        <f>C219+(0.3*(H206)*2)</f>
        <v>580</v>
      </c>
      <c r="D197" s="1380"/>
      <c r="E197" s="1380"/>
      <c r="F197" s="1381"/>
      <c r="G197" s="268"/>
      <c r="H197" s="269"/>
      <c r="I197" s="282"/>
      <c r="J197" s="837" t="s">
        <v>52</v>
      </c>
      <c r="K197" s="838"/>
      <c r="L197" s="838"/>
      <c r="M197" s="838"/>
      <c r="N197" s="838"/>
      <c r="O197" s="839"/>
      <c r="P197" s="838"/>
      <c r="Q197" s="410"/>
      <c r="R197" s="410"/>
      <c r="S197" s="840">
        <f>ROUNDDOWN(R195/6*((2*K195+O195)*K196+(2*O195+K195)*O196),3)</f>
        <v>7.1999999999999995E-2</v>
      </c>
      <c r="T197" s="599" t="s">
        <v>178</v>
      </c>
    </row>
    <row r="198" spans="2:20" ht="15" hidden="1" customHeight="1">
      <c r="B198" s="255"/>
      <c r="C198" s="290"/>
      <c r="D198" s="291"/>
      <c r="E198" s="291"/>
      <c r="F198" s="281"/>
      <c r="G198" s="268"/>
      <c r="H198" s="269"/>
      <c r="I198" s="282"/>
      <c r="J198" s="841" t="s">
        <v>53</v>
      </c>
      <c r="K198" s="842"/>
      <c r="L198" s="842" t="s">
        <v>54</v>
      </c>
      <c r="M198" s="843"/>
      <c r="N198" s="843"/>
      <c r="O198" s="843"/>
      <c r="P198" s="842"/>
      <c r="Q198" s="829"/>
      <c r="R198" s="829"/>
      <c r="S198" s="832"/>
      <c r="T198" s="294"/>
    </row>
    <row r="199" spans="2:20" ht="15" hidden="1" customHeight="1">
      <c r="B199" s="255"/>
      <c r="C199" s="295"/>
      <c r="D199" s="1386">
        <v>200</v>
      </c>
      <c r="E199" s="1387"/>
      <c r="F199" s="296"/>
      <c r="G199" s="268"/>
      <c r="H199" s="269"/>
      <c r="I199" s="282"/>
      <c r="J199" s="833" t="s">
        <v>47</v>
      </c>
      <c r="K199" s="844">
        <f>D199/1000</f>
        <v>0.2</v>
      </c>
      <c r="L199" s="834"/>
      <c r="M199" s="834"/>
      <c r="N199" s="835" t="s">
        <v>48</v>
      </c>
      <c r="O199" s="834">
        <f>D214/1000</f>
        <v>0.2</v>
      </c>
      <c r="P199" s="274"/>
      <c r="Q199" s="275" t="s">
        <v>49</v>
      </c>
      <c r="R199" s="276">
        <f>H206/1000</f>
        <v>0.3</v>
      </c>
      <c r="S199" s="297">
        <f>ROUNDDOWN(K199*O199*R199,2)</f>
        <v>0.01</v>
      </c>
      <c r="T199" s="298" t="s">
        <v>55</v>
      </c>
    </row>
    <row r="200" spans="2:20" ht="15" hidden="1" customHeight="1">
      <c r="B200" s="255"/>
      <c r="C200" s="299"/>
      <c r="D200" s="300"/>
      <c r="E200" s="301"/>
      <c r="F200" s="302"/>
      <c r="G200" s="456"/>
      <c r="H200" s="269"/>
      <c r="I200" s="282"/>
      <c r="J200" s="833"/>
      <c r="K200" s="834"/>
      <c r="L200" s="834"/>
      <c r="M200" s="834"/>
      <c r="N200" s="835"/>
      <c r="O200" s="834"/>
      <c r="P200" s="274"/>
      <c r="Q200" s="275"/>
      <c r="R200" s="276"/>
      <c r="S200" s="297"/>
      <c r="T200" s="298"/>
    </row>
    <row r="201" spans="2:20" ht="15" hidden="1" customHeight="1">
      <c r="B201" s="255"/>
      <c r="C201" s="299"/>
      <c r="D201" s="303"/>
      <c r="E201" s="302"/>
      <c r="F201" s="302"/>
      <c r="G201" s="456"/>
      <c r="H201" s="269"/>
      <c r="I201" s="282"/>
      <c r="J201" s="833"/>
      <c r="K201" s="834"/>
      <c r="L201" s="834"/>
      <c r="M201" s="834"/>
      <c r="N201" s="835"/>
      <c r="O201" s="834"/>
      <c r="P201" s="274"/>
      <c r="Q201" s="275"/>
      <c r="R201" s="276"/>
      <c r="S201" s="297"/>
      <c r="T201" s="541"/>
    </row>
    <row r="202" spans="2:20" ht="15" hidden="1" customHeight="1">
      <c r="B202" s="255"/>
      <c r="C202" s="299"/>
      <c r="D202" s="303"/>
      <c r="E202" s="302"/>
      <c r="F202" s="302"/>
      <c r="G202" s="456"/>
      <c r="H202" s="269"/>
      <c r="I202" s="282"/>
      <c r="J202" s="833"/>
      <c r="K202" s="834"/>
      <c r="L202" s="834"/>
      <c r="M202" s="834"/>
      <c r="N202" s="305"/>
      <c r="O202" s="834"/>
      <c r="P202" s="274"/>
      <c r="Q202" s="275"/>
      <c r="R202" s="276"/>
      <c r="S202" s="297"/>
      <c r="T202" s="298"/>
    </row>
    <row r="203" spans="2:20" ht="15" hidden="1" customHeight="1">
      <c r="B203" s="255"/>
      <c r="C203" s="299"/>
      <c r="D203" s="303"/>
      <c r="E203" s="302"/>
      <c r="F203" s="302"/>
      <c r="G203" s="456"/>
      <c r="H203" s="305"/>
      <c r="I203" s="282"/>
      <c r="J203" s="837" t="s">
        <v>57</v>
      </c>
      <c r="K203" s="838"/>
      <c r="L203" s="838"/>
      <c r="M203" s="838"/>
      <c r="N203" s="838"/>
      <c r="O203" s="839"/>
      <c r="P203" s="838"/>
      <c r="Q203" s="306"/>
      <c r="R203" s="307"/>
      <c r="S203" s="840">
        <f>SUM(S199:S202)</f>
        <v>0.01</v>
      </c>
      <c r="T203" s="599" t="s">
        <v>178</v>
      </c>
    </row>
    <row r="204" spans="2:20" ht="15" hidden="1" customHeight="1">
      <c r="B204" s="255"/>
      <c r="C204" s="299"/>
      <c r="D204" s="303"/>
      <c r="E204" s="302"/>
      <c r="F204" s="302"/>
      <c r="G204" s="456"/>
      <c r="H204" s="269"/>
      <c r="I204" s="308"/>
      <c r="J204" s="828" t="s">
        <v>58</v>
      </c>
      <c r="K204" s="843"/>
      <c r="L204" s="309" t="s">
        <v>334</v>
      </c>
      <c r="M204" s="309" t="s">
        <v>335</v>
      </c>
      <c r="N204" s="310" t="s">
        <v>336</v>
      </c>
      <c r="O204" s="311"/>
      <c r="P204" s="309"/>
      <c r="Q204" s="312"/>
      <c r="R204" s="312"/>
      <c r="S204" s="313"/>
      <c r="T204" s="294"/>
    </row>
    <row r="205" spans="2:20" ht="15" hidden="1" customHeight="1" thickBot="1">
      <c r="B205" s="314"/>
      <c r="C205" s="1388"/>
      <c r="D205" s="1388"/>
      <c r="E205" s="1388"/>
      <c r="F205" s="1388"/>
      <c r="G205" s="315"/>
      <c r="H205" s="315"/>
      <c r="I205" s="316"/>
      <c r="J205" s="317"/>
      <c r="K205" s="318"/>
      <c r="L205" s="318" t="s">
        <v>334</v>
      </c>
      <c r="M205" s="845">
        <f>S197</f>
        <v>7.1999999999999995E-2</v>
      </c>
      <c r="N205" s="318" t="s">
        <v>337</v>
      </c>
      <c r="O205" s="319">
        <f>S207</f>
        <v>0.01</v>
      </c>
      <c r="P205" s="348"/>
      <c r="Q205" s="321"/>
      <c r="R205" s="846"/>
      <c r="S205" s="847">
        <f>ROUNDDOWN(M205-O205,3)</f>
        <v>6.2E-2</v>
      </c>
      <c r="T205" s="599" t="s">
        <v>178</v>
      </c>
    </row>
    <row r="206" spans="2:20" ht="15" hidden="1" customHeight="1">
      <c r="B206" s="255"/>
      <c r="C206" s="324"/>
      <c r="D206" s="457"/>
      <c r="E206" s="325"/>
      <c r="F206" s="326"/>
      <c r="G206" s="327"/>
      <c r="H206" s="1389">
        <v>300</v>
      </c>
      <c r="I206" s="1392">
        <f>H203+H205+H206</f>
        <v>300</v>
      </c>
      <c r="J206" s="828" t="s">
        <v>338</v>
      </c>
      <c r="K206" s="843"/>
      <c r="L206" s="843" t="s">
        <v>339</v>
      </c>
      <c r="M206" s="309"/>
      <c r="N206" s="310" t="s">
        <v>340</v>
      </c>
      <c r="O206" s="843"/>
      <c r="P206" s="843"/>
      <c r="Q206" s="328"/>
      <c r="R206" s="329"/>
      <c r="S206" s="832"/>
      <c r="T206" s="294"/>
    </row>
    <row r="207" spans="2:20" ht="15" hidden="1" customHeight="1">
      <c r="B207" s="330"/>
      <c r="C207" s="324"/>
      <c r="D207" s="331"/>
      <c r="E207" s="332"/>
      <c r="F207" s="326"/>
      <c r="G207" s="333"/>
      <c r="H207" s="1390"/>
      <c r="I207" s="1387"/>
      <c r="J207" s="848"/>
      <c r="K207" s="849"/>
      <c r="L207" s="850" t="s">
        <v>339</v>
      </c>
      <c r="M207" s="849"/>
      <c r="N207" s="849"/>
      <c r="O207" s="838">
        <f>S199</f>
        <v>0.01</v>
      </c>
      <c r="P207" s="838"/>
      <c r="Q207" s="838"/>
      <c r="R207" s="410"/>
      <c r="S207" s="851">
        <f>ROUNDDOWN(O207+Q207,3)</f>
        <v>0.01</v>
      </c>
      <c r="T207" s="257" t="s">
        <v>178</v>
      </c>
    </row>
    <row r="208" spans="2:20" ht="15" hidden="1" customHeight="1">
      <c r="B208" s="255"/>
      <c r="C208" s="324"/>
      <c r="D208" s="331"/>
      <c r="E208" s="332"/>
      <c r="F208" s="326"/>
      <c r="G208" s="333"/>
      <c r="H208" s="1390"/>
      <c r="I208" s="1387"/>
      <c r="J208" s="852" t="s">
        <v>584</v>
      </c>
      <c r="K208" s="843"/>
      <c r="L208" s="843"/>
      <c r="M208" s="843"/>
      <c r="N208" s="843"/>
      <c r="O208" s="853"/>
      <c r="P208" s="340"/>
      <c r="Q208" s="329"/>
      <c r="R208" s="341"/>
      <c r="S208" s="832"/>
      <c r="T208" s="294"/>
    </row>
    <row r="209" spans="1:20" ht="15" hidden="1" customHeight="1">
      <c r="B209" s="255"/>
      <c r="C209" s="324"/>
      <c r="D209" s="331"/>
      <c r="E209" s="332"/>
      <c r="F209" s="326"/>
      <c r="G209" s="333"/>
      <c r="H209" s="1390"/>
      <c r="I209" s="1387"/>
      <c r="J209" s="645" t="s">
        <v>341</v>
      </c>
      <c r="K209" s="834">
        <f>D199/1000</f>
        <v>0.2</v>
      </c>
      <c r="L209" s="646" t="s">
        <v>59</v>
      </c>
      <c r="M209" s="965">
        <f>D214/1000</f>
        <v>0.2</v>
      </c>
      <c r="N209" s="648" t="s">
        <v>137</v>
      </c>
      <c r="O209" s="347" t="s">
        <v>342</v>
      </c>
      <c r="P209" s="649">
        <f>I206/1000</f>
        <v>0.3</v>
      </c>
      <c r="Q209" s="650" t="s">
        <v>343</v>
      </c>
      <c r="R209" s="456">
        <v>4</v>
      </c>
      <c r="S209" s="947">
        <f>((K209+M209)/2)*P209*R209</f>
        <v>0.24</v>
      </c>
      <c r="T209" s="257" t="s">
        <v>344</v>
      </c>
    </row>
    <row r="210" spans="1:20" ht="15" hidden="1" customHeight="1" thickBot="1">
      <c r="B210" s="255"/>
      <c r="C210" s="352"/>
      <c r="D210" s="353"/>
      <c r="E210" s="354"/>
      <c r="F210" s="355"/>
      <c r="G210" s="356"/>
      <c r="H210" s="1391"/>
      <c r="I210" s="1387"/>
      <c r="J210" s="841" t="s">
        <v>857</v>
      </c>
      <c r="K210" s="870"/>
      <c r="L210" s="870" t="s">
        <v>805</v>
      </c>
      <c r="M210" s="870"/>
      <c r="N210" s="870"/>
      <c r="O210" s="871"/>
      <c r="P210" s="871"/>
      <c r="Q210" s="781"/>
      <c r="R210" s="781"/>
      <c r="S210" s="872"/>
      <c r="T210" s="716"/>
    </row>
    <row r="211" spans="1:20" ht="15" hidden="1" customHeight="1">
      <c r="B211" s="255"/>
      <c r="C211" s="362"/>
      <c r="D211" s="363"/>
      <c r="E211" s="364"/>
      <c r="F211" s="365"/>
      <c r="G211" s="456"/>
      <c r="H211" s="269"/>
      <c r="I211" s="282"/>
      <c r="J211" s="873"/>
      <c r="K211" s="874"/>
      <c r="L211" s="874"/>
      <c r="M211" s="874"/>
      <c r="N211" s="874"/>
      <c r="O211" s="711">
        <v>3</v>
      </c>
      <c r="P211" s="800"/>
      <c r="Q211" s="711"/>
      <c r="R211" s="711"/>
      <c r="S211" s="875">
        <v>3</v>
      </c>
      <c r="T211" s="814" t="s">
        <v>36</v>
      </c>
    </row>
    <row r="212" spans="1:20" ht="15" hidden="1" customHeight="1">
      <c r="B212" s="255"/>
      <c r="C212" s="371">
        <v>100</v>
      </c>
      <c r="D212" s="1379">
        <v>200</v>
      </c>
      <c r="E212" s="1381"/>
      <c r="F212" s="372">
        <v>100</v>
      </c>
      <c r="G212" s="268"/>
      <c r="H212" s="373"/>
      <c r="I212" s="282"/>
      <c r="J212" s="841"/>
      <c r="K212" s="398"/>
      <c r="L212" s="398"/>
      <c r="M212" s="398"/>
      <c r="N212" s="398"/>
      <c r="O212" s="399"/>
      <c r="P212" s="400"/>
      <c r="Q212" s="399"/>
      <c r="R212" s="399"/>
      <c r="S212" s="401"/>
      <c r="T212" s="402"/>
    </row>
    <row r="213" spans="1:20" ht="15" hidden="1" customHeight="1">
      <c r="B213" s="376"/>
      <c r="C213" s="377"/>
      <c r="D213" s="303"/>
      <c r="E213" s="302"/>
      <c r="F213" s="378"/>
      <c r="G213" s="379"/>
      <c r="H213" s="373"/>
      <c r="I213" s="282"/>
      <c r="J213" s="403"/>
      <c r="K213" s="404"/>
      <c r="L213" s="404"/>
      <c r="M213" s="404"/>
      <c r="N213" s="404"/>
      <c r="O213" s="711"/>
      <c r="P213" s="405"/>
      <c r="Q213" s="405"/>
      <c r="R213" s="405"/>
      <c r="S213" s="875"/>
      <c r="T213" s="814"/>
    </row>
    <row r="214" spans="1:20" ht="15" hidden="1" customHeight="1">
      <c r="B214" s="255"/>
      <c r="C214" s="371">
        <v>100</v>
      </c>
      <c r="D214" s="1379">
        <v>200</v>
      </c>
      <c r="E214" s="1381"/>
      <c r="F214" s="372">
        <v>100</v>
      </c>
      <c r="G214" s="268"/>
      <c r="H214" s="373"/>
      <c r="I214" s="282"/>
      <c r="J214" s="485"/>
      <c r="K214" s="870"/>
      <c r="L214" s="870"/>
      <c r="M214" s="870"/>
      <c r="N214" s="870"/>
      <c r="O214" s="871"/>
      <c r="P214" s="871"/>
      <c r="Q214" s="781"/>
      <c r="R214" s="781"/>
      <c r="S214" s="872"/>
      <c r="T214" s="716"/>
    </row>
    <row r="215" spans="1:20" ht="15" hidden="1" customHeight="1">
      <c r="B215" s="255"/>
      <c r="C215" s="290"/>
      <c r="D215" s="388"/>
      <c r="E215" s="388"/>
      <c r="F215" s="389"/>
      <c r="G215" s="379"/>
      <c r="H215" s="373"/>
      <c r="I215" s="282"/>
      <c r="J215" s="873"/>
      <c r="K215" s="874"/>
      <c r="L215" s="874"/>
      <c r="M215" s="874"/>
      <c r="N215" s="874"/>
      <c r="O215" s="711"/>
      <c r="P215" s="800"/>
      <c r="Q215" s="711"/>
      <c r="R215" s="711"/>
      <c r="S215" s="875"/>
      <c r="T215" s="814"/>
    </row>
    <row r="216" spans="1:20" ht="15" hidden="1" customHeight="1">
      <c r="B216" s="255"/>
      <c r="C216" s="1376"/>
      <c r="D216" s="1377"/>
      <c r="E216" s="1377"/>
      <c r="F216" s="1378"/>
      <c r="G216" s="268"/>
      <c r="H216" s="269"/>
      <c r="I216" s="282"/>
      <c r="J216" s="485"/>
      <c r="K216" s="870"/>
      <c r="L216" s="870"/>
      <c r="M216" s="870"/>
      <c r="N216" s="870"/>
      <c r="O216" s="871"/>
      <c r="P216" s="871"/>
      <c r="Q216" s="781"/>
      <c r="R216" s="781"/>
      <c r="S216" s="872"/>
      <c r="T216" s="716"/>
    </row>
    <row r="217" spans="1:20" ht="15" hidden="1" customHeight="1">
      <c r="B217" s="255"/>
      <c r="C217" s="1379">
        <f>C212+D212+F212</f>
        <v>400</v>
      </c>
      <c r="D217" s="1380"/>
      <c r="E217" s="1380"/>
      <c r="F217" s="1381"/>
      <c r="G217" s="268"/>
      <c r="H217" s="456"/>
      <c r="I217" s="257"/>
      <c r="J217" s="873"/>
      <c r="K217" s="874"/>
      <c r="L217" s="874"/>
      <c r="M217" s="874"/>
      <c r="N217" s="874"/>
      <c r="O217" s="711"/>
      <c r="P217" s="800"/>
      <c r="Q217" s="711"/>
      <c r="R217" s="711"/>
      <c r="S217" s="875"/>
      <c r="T217" s="814"/>
    </row>
    <row r="218" spans="1:20" ht="15" hidden="1" customHeight="1">
      <c r="B218" s="255"/>
      <c r="C218" s="396"/>
      <c r="D218" s="388"/>
      <c r="E218" s="388"/>
      <c r="F218" s="397"/>
      <c r="G218" s="268"/>
      <c r="H218" s="269"/>
      <c r="I218" s="257"/>
      <c r="J218" s="841"/>
      <c r="K218" s="398"/>
      <c r="L218" s="398"/>
      <c r="M218" s="398"/>
      <c r="N218" s="398"/>
      <c r="O218" s="399"/>
      <c r="P218" s="400"/>
      <c r="Q218" s="399"/>
      <c r="R218" s="399"/>
      <c r="S218" s="401"/>
      <c r="T218" s="402"/>
    </row>
    <row r="219" spans="1:20" ht="15" hidden="1" customHeight="1">
      <c r="B219" s="255"/>
      <c r="C219" s="1379">
        <f>C214+D214+F214</f>
        <v>400</v>
      </c>
      <c r="D219" s="1380"/>
      <c r="E219" s="1380"/>
      <c r="F219" s="1381"/>
      <c r="G219" s="268"/>
      <c r="H219" s="456"/>
      <c r="I219" s="257"/>
      <c r="J219" s="403"/>
      <c r="K219" s="404"/>
      <c r="L219" s="404"/>
      <c r="M219" s="404"/>
      <c r="N219" s="404"/>
      <c r="O219" s="410"/>
      <c r="P219" s="405"/>
      <c r="Q219" s="405"/>
      <c r="R219" s="405"/>
      <c r="S219" s="868"/>
      <c r="T219" s="261"/>
    </row>
    <row r="220" spans="1:20" ht="15" hidden="1" customHeight="1">
      <c r="B220" s="255"/>
      <c r="C220" s="256"/>
      <c r="D220" s="456"/>
      <c r="E220" s="456"/>
      <c r="F220" s="456"/>
      <c r="G220" s="456"/>
      <c r="H220" s="456"/>
      <c r="I220" s="257"/>
      <c r="J220" s="841"/>
      <c r="K220" s="842"/>
      <c r="L220" s="869"/>
      <c r="M220" s="843"/>
      <c r="N220" s="843"/>
      <c r="O220" s="843"/>
      <c r="P220" s="842"/>
      <c r="Q220" s="829"/>
      <c r="R220" s="829"/>
      <c r="S220" s="832"/>
      <c r="T220" s="294"/>
    </row>
    <row r="221" spans="1:20" ht="15" hidden="1" customHeight="1">
      <c r="B221" s="255"/>
      <c r="C221" s="256"/>
      <c r="D221" s="456"/>
      <c r="E221" s="456"/>
      <c r="F221" s="456"/>
      <c r="G221" s="456"/>
      <c r="H221" s="456"/>
      <c r="I221" s="269"/>
      <c r="J221" s="833"/>
      <c r="K221" s="844"/>
      <c r="L221" s="834"/>
      <c r="M221" s="834"/>
      <c r="N221" s="835"/>
      <c r="O221" s="834"/>
      <c r="P221" s="274"/>
      <c r="Q221" s="275"/>
      <c r="R221" s="276"/>
      <c r="S221" s="297"/>
      <c r="T221" s="298"/>
    </row>
    <row r="222" spans="1:20" ht="15" hidden="1" customHeight="1">
      <c r="B222" s="255"/>
      <c r="C222" s="256"/>
      <c r="D222" s="456"/>
      <c r="E222" s="456"/>
      <c r="F222" s="456"/>
      <c r="G222" s="456"/>
      <c r="H222" s="456"/>
      <c r="I222" s="257"/>
      <c r="J222" s="485"/>
      <c r="K222" s="870"/>
      <c r="L222" s="870"/>
      <c r="M222" s="870"/>
      <c r="N222" s="870"/>
      <c r="O222" s="871"/>
      <c r="P222" s="871"/>
      <c r="Q222" s="781"/>
      <c r="R222" s="781"/>
      <c r="S222" s="872"/>
      <c r="T222" s="716"/>
    </row>
    <row r="223" spans="1:20" ht="15" hidden="1" customHeight="1">
      <c r="B223" s="408"/>
      <c r="C223" s="409"/>
      <c r="D223" s="350"/>
      <c r="E223" s="350"/>
      <c r="F223" s="350"/>
      <c r="G223" s="350"/>
      <c r="H223" s="350"/>
      <c r="I223" s="410"/>
      <c r="J223" s="873"/>
      <c r="K223" s="874"/>
      <c r="L223" s="874"/>
      <c r="M223" s="874"/>
      <c r="N223" s="874"/>
      <c r="O223" s="711"/>
      <c r="P223" s="800"/>
      <c r="Q223" s="711"/>
      <c r="R223" s="711"/>
      <c r="S223" s="875"/>
      <c r="T223" s="814"/>
    </row>
    <row r="224" spans="1:20" ht="24.95" hidden="1" customHeight="1">
      <c r="A224" s="713" t="s">
        <v>930</v>
      </c>
      <c r="B224" s="468" t="s">
        <v>349</v>
      </c>
      <c r="C224" s="1383" t="s">
        <v>795</v>
      </c>
      <c r="D224" s="1383"/>
      <c r="E224" s="1383"/>
      <c r="F224" s="1383"/>
      <c r="G224" s="1383"/>
      <c r="H224" s="1383"/>
      <c r="I224" s="1383" t="e">
        <f>#REF!</f>
        <v>#REF!</v>
      </c>
      <c r="J224" s="1383"/>
      <c r="K224" s="1383"/>
      <c r="L224" s="1383"/>
      <c r="M224" s="1383"/>
      <c r="N224" s="1383"/>
      <c r="O224" s="1383"/>
      <c r="P224" s="1383"/>
      <c r="Q224" s="1383"/>
      <c r="R224" s="1383"/>
      <c r="S224" s="1383"/>
      <c r="T224" s="1448"/>
    </row>
    <row r="225" spans="2:20" ht="15" hidden="1" customHeight="1">
      <c r="B225" s="670"/>
      <c r="C225" s="671"/>
      <c r="D225" s="672"/>
      <c r="E225" s="672"/>
      <c r="F225" s="672"/>
      <c r="G225" s="672"/>
      <c r="H225" s="672"/>
      <c r="I225" s="673"/>
      <c r="J225" s="258"/>
      <c r="K225" s="258"/>
      <c r="L225" s="258" t="s">
        <v>39</v>
      </c>
      <c r="M225" s="258" t="s">
        <v>40</v>
      </c>
      <c r="N225" s="258" t="s">
        <v>41</v>
      </c>
      <c r="O225" s="259" t="s">
        <v>42</v>
      </c>
      <c r="P225" s="259" t="s">
        <v>43</v>
      </c>
      <c r="Q225" s="259"/>
      <c r="R225" s="259"/>
      <c r="S225" s="260" t="s">
        <v>44</v>
      </c>
      <c r="T225" s="261"/>
    </row>
    <row r="226" spans="2:20" ht="15" hidden="1" customHeight="1">
      <c r="B226" s="670"/>
      <c r="C226" s="671"/>
      <c r="D226" s="672"/>
      <c r="E226" s="672"/>
      <c r="F226" s="672"/>
      <c r="G226" s="672"/>
      <c r="H226" s="672"/>
      <c r="I226" s="673"/>
      <c r="J226" s="476" t="s">
        <v>45</v>
      </c>
      <c r="K226" s="712"/>
      <c r="L226" s="712" t="s">
        <v>787</v>
      </c>
      <c r="M226" s="652"/>
      <c r="N226" s="652"/>
      <c r="O226" s="713"/>
      <c r="P226" s="714"/>
      <c r="Q226" s="714"/>
      <c r="R226" s="714"/>
      <c r="S226" s="715"/>
      <c r="T226" s="716"/>
    </row>
    <row r="227" spans="2:20" ht="15" hidden="1" customHeight="1">
      <c r="B227" s="670"/>
      <c r="C227" s="1396"/>
      <c r="D227" s="1396"/>
      <c r="E227" s="1396"/>
      <c r="F227" s="1396"/>
      <c r="G227" s="674"/>
      <c r="H227" s="675"/>
      <c r="I227" s="673"/>
      <c r="J227" s="717" t="s">
        <v>47</v>
      </c>
      <c r="K227" s="542">
        <f>C229/1000</f>
        <v>0.4</v>
      </c>
      <c r="L227" s="542"/>
      <c r="M227" s="542"/>
      <c r="N227" s="718" t="s">
        <v>48</v>
      </c>
      <c r="O227" s="719">
        <f>C251/1000</f>
        <v>0.4</v>
      </c>
      <c r="P227" s="720"/>
      <c r="Q227" s="721" t="s">
        <v>49</v>
      </c>
      <c r="R227" s="722">
        <f>(I240)/1000</f>
        <v>0.312</v>
      </c>
      <c r="S227" s="723"/>
      <c r="T227" s="724"/>
    </row>
    <row r="228" spans="2:20" ht="15" hidden="1" customHeight="1">
      <c r="B228" s="670"/>
      <c r="C228" s="671"/>
      <c r="D228" s="674"/>
      <c r="E228" s="674"/>
      <c r="F228" s="674"/>
      <c r="G228" s="674"/>
      <c r="H228" s="675"/>
      <c r="I228" s="676"/>
      <c r="J228" s="717"/>
      <c r="K228" s="542"/>
      <c r="L228" s="542"/>
      <c r="M228" s="542"/>
      <c r="N228" s="718"/>
      <c r="O228" s="719"/>
      <c r="P228" s="720"/>
      <c r="Q228" s="713"/>
      <c r="R228" s="725"/>
      <c r="S228" s="726"/>
      <c r="T228" s="724"/>
    </row>
    <row r="229" spans="2:20" ht="15" hidden="1" customHeight="1">
      <c r="B229" s="670"/>
      <c r="C229" s="1398">
        <v>400</v>
      </c>
      <c r="D229" s="1398"/>
      <c r="E229" s="1398"/>
      <c r="F229" s="1398"/>
      <c r="G229" s="674"/>
      <c r="H229" s="675"/>
      <c r="I229" s="676"/>
      <c r="J229" s="727" t="s">
        <v>52</v>
      </c>
      <c r="K229" s="728"/>
      <c r="L229" s="728"/>
      <c r="M229" s="728"/>
      <c r="N229" s="728"/>
      <c r="O229" s="729"/>
      <c r="P229" s="728"/>
      <c r="Q229" s="730"/>
      <c r="R229" s="730"/>
      <c r="S229" s="731">
        <f>K227*O227*R227</f>
        <v>4.9920000000000013E-2</v>
      </c>
      <c r="T229" s="732" t="s">
        <v>178</v>
      </c>
    </row>
    <row r="230" spans="2:20" ht="15" hidden="1" customHeight="1">
      <c r="B230" s="670"/>
      <c r="C230" s="677"/>
      <c r="D230" s="678"/>
      <c r="E230" s="678"/>
      <c r="F230" s="679"/>
      <c r="G230" s="674"/>
      <c r="H230" s="675"/>
      <c r="I230" s="676"/>
      <c r="J230" s="733"/>
      <c r="K230" s="734"/>
      <c r="L230" s="735"/>
      <c r="M230" s="735"/>
      <c r="N230" s="735"/>
      <c r="O230" s="736"/>
      <c r="P230" s="737"/>
      <c r="Q230" s="737"/>
      <c r="R230" s="737"/>
      <c r="S230" s="738"/>
      <c r="T230" s="739"/>
    </row>
    <row r="231" spans="2:20" ht="15" hidden="1" customHeight="1">
      <c r="B231" s="670"/>
      <c r="C231" s="680"/>
      <c r="D231" s="1402"/>
      <c r="E231" s="1402"/>
      <c r="F231" s="681"/>
      <c r="G231" s="674"/>
      <c r="H231" s="675"/>
      <c r="I231" s="676"/>
      <c r="J231" s="740"/>
      <c r="K231" s="741"/>
      <c r="L231" s="741"/>
      <c r="M231" s="741"/>
      <c r="N231" s="741"/>
      <c r="O231" s="742"/>
      <c r="P231" s="743"/>
      <c r="Q231" s="744"/>
      <c r="R231" s="745"/>
      <c r="S231" s="746"/>
      <c r="T231" s="747"/>
    </row>
    <row r="232" spans="2:20" ht="15" hidden="1" customHeight="1">
      <c r="B232" s="670"/>
      <c r="C232" s="682"/>
      <c r="D232" s="672"/>
      <c r="E232" s="672"/>
      <c r="F232" s="683"/>
      <c r="G232" s="672"/>
      <c r="H232" s="675"/>
      <c r="I232" s="676"/>
      <c r="J232" s="733"/>
      <c r="K232" s="734"/>
      <c r="L232" s="748"/>
      <c r="M232" s="748"/>
      <c r="N232" s="734"/>
      <c r="O232" s="734"/>
      <c r="P232" s="749"/>
      <c r="Q232" s="398"/>
      <c r="R232" s="399"/>
      <c r="S232" s="750"/>
      <c r="T232" s="751"/>
    </row>
    <row r="233" spans="2:20" ht="15" hidden="1" customHeight="1">
      <c r="B233" s="670"/>
      <c r="C233" s="682"/>
      <c r="D233" s="672"/>
      <c r="E233" s="672"/>
      <c r="F233" s="683"/>
      <c r="G233" s="672"/>
      <c r="H233" s="675"/>
      <c r="I233" s="676"/>
      <c r="J233" s="752"/>
      <c r="K233" s="753"/>
      <c r="L233" s="753"/>
      <c r="M233" s="753"/>
      <c r="N233" s="753"/>
      <c r="O233" s="754"/>
      <c r="P233" s="754"/>
      <c r="Q233" s="754"/>
      <c r="R233" s="754"/>
      <c r="S233" s="755"/>
      <c r="T233" s="756"/>
    </row>
    <row r="234" spans="2:20" ht="15" hidden="1" customHeight="1">
      <c r="B234" s="670"/>
      <c r="C234" s="682"/>
      <c r="D234" s="672"/>
      <c r="E234" s="672"/>
      <c r="F234" s="683"/>
      <c r="G234" s="672"/>
      <c r="H234" s="675"/>
      <c r="I234" s="676"/>
      <c r="J234" s="733" t="s">
        <v>793</v>
      </c>
      <c r="K234" s="734"/>
      <c r="L234" s="748" t="s">
        <v>788</v>
      </c>
      <c r="M234" s="748" t="s">
        <v>789</v>
      </c>
      <c r="N234" s="734"/>
      <c r="O234" s="734"/>
      <c r="P234" s="749"/>
      <c r="Q234" s="398"/>
      <c r="R234" s="399"/>
      <c r="S234" s="757"/>
      <c r="T234" s="751"/>
    </row>
    <row r="235" spans="2:20" ht="15" hidden="1" customHeight="1">
      <c r="B235" s="670"/>
      <c r="C235" s="682"/>
      <c r="D235" s="672"/>
      <c r="E235" s="672"/>
      <c r="F235" s="683"/>
      <c r="G235" s="672"/>
      <c r="H235" s="684"/>
      <c r="I235" s="676"/>
      <c r="J235" s="758" t="s">
        <v>790</v>
      </c>
      <c r="K235" s="759">
        <f>C229/1000</f>
        <v>0.4</v>
      </c>
      <c r="L235" s="760"/>
      <c r="M235" s="760"/>
      <c r="N235" s="760" t="s">
        <v>791</v>
      </c>
      <c r="O235" s="761">
        <f>C251/1000</f>
        <v>0.4</v>
      </c>
      <c r="P235" s="762"/>
      <c r="Q235" s="763" t="s">
        <v>792</v>
      </c>
      <c r="R235" s="764">
        <f>(I240)/1000</f>
        <v>0.312</v>
      </c>
      <c r="S235" s="755">
        <f>K235*O235*R235</f>
        <v>4.9920000000000013E-2</v>
      </c>
      <c r="T235" s="756" t="s">
        <v>178</v>
      </c>
    </row>
    <row r="236" spans="2:20" ht="15" hidden="1" customHeight="1">
      <c r="B236" s="670"/>
      <c r="C236" s="682"/>
      <c r="D236" s="672"/>
      <c r="E236" s="672"/>
      <c r="F236" s="683"/>
      <c r="G236" s="672"/>
      <c r="H236" s="675"/>
      <c r="I236" s="685"/>
      <c r="J236" s="733" t="s">
        <v>794</v>
      </c>
      <c r="K236" s="734"/>
      <c r="L236" s="748" t="s">
        <v>788</v>
      </c>
      <c r="M236" s="748" t="s">
        <v>789</v>
      </c>
      <c r="N236" s="734"/>
      <c r="O236" s="734"/>
      <c r="P236" s="749"/>
      <c r="Q236" s="398"/>
      <c r="R236" s="399"/>
      <c r="S236" s="757"/>
      <c r="T236" s="751"/>
    </row>
    <row r="237" spans="2:20" ht="15" hidden="1" customHeight="1" thickBot="1">
      <c r="B237" s="686"/>
      <c r="C237" s="1404"/>
      <c r="D237" s="1404"/>
      <c r="E237" s="1404"/>
      <c r="F237" s="1404"/>
      <c r="G237" s="687"/>
      <c r="H237" s="687"/>
      <c r="I237" s="688"/>
      <c r="J237" s="758" t="s">
        <v>790</v>
      </c>
      <c r="K237" s="759">
        <f>C229/1000</f>
        <v>0.4</v>
      </c>
      <c r="L237" s="760"/>
      <c r="M237" s="760"/>
      <c r="N237" s="760" t="s">
        <v>791</v>
      </c>
      <c r="O237" s="761">
        <f>C251/1000</f>
        <v>0.4</v>
      </c>
      <c r="P237" s="762"/>
      <c r="Q237" s="763" t="s">
        <v>792</v>
      </c>
      <c r="R237" s="764">
        <f>(I240)/1000</f>
        <v>0.312</v>
      </c>
      <c r="S237" s="755">
        <f>K237*O237*R237</f>
        <v>4.9920000000000013E-2</v>
      </c>
      <c r="T237" s="756" t="s">
        <v>178</v>
      </c>
    </row>
    <row r="238" spans="2:20" ht="15" hidden="1" customHeight="1">
      <c r="B238" s="670"/>
      <c r="C238" s="689"/>
      <c r="D238" s="1426" t="s">
        <v>786</v>
      </c>
      <c r="E238" s="1427"/>
      <c r="F238" s="690"/>
      <c r="G238" s="691"/>
      <c r="H238" s="1444">
        <v>112</v>
      </c>
      <c r="I238" s="1443"/>
      <c r="J238" s="765"/>
      <c r="K238" s="766"/>
      <c r="L238" s="766"/>
      <c r="M238" s="766"/>
      <c r="N238" s="766"/>
      <c r="O238" s="767"/>
      <c r="P238" s="768"/>
      <c r="Q238" s="767"/>
      <c r="R238" s="769"/>
      <c r="S238" s="757"/>
      <c r="T238" s="770"/>
    </row>
    <row r="239" spans="2:20" ht="15" hidden="1" customHeight="1" thickBot="1">
      <c r="B239" s="692"/>
      <c r="C239" s="689"/>
      <c r="D239" s="1428"/>
      <c r="E239" s="1429"/>
      <c r="F239" s="690"/>
      <c r="G239" s="693"/>
      <c r="H239" s="1425"/>
      <c r="I239" s="1442"/>
      <c r="J239" s="771"/>
      <c r="K239" s="759"/>
      <c r="L239" s="754"/>
      <c r="M239" s="754"/>
      <c r="N239" s="772"/>
      <c r="O239" s="773"/>
      <c r="P239" s="774"/>
      <c r="Q239" s="775"/>
      <c r="R239" s="764"/>
      <c r="S239" s="776"/>
      <c r="T239" s="777"/>
    </row>
    <row r="240" spans="2:20" ht="15" hidden="1" customHeight="1">
      <c r="B240" s="670"/>
      <c r="C240" s="689"/>
      <c r="D240" s="1426" t="s">
        <v>617</v>
      </c>
      <c r="E240" s="1427"/>
      <c r="F240" s="690"/>
      <c r="G240" s="694"/>
      <c r="H240" s="1425">
        <v>100</v>
      </c>
      <c r="I240" s="1442">
        <f>H238+H240+H242</f>
        <v>312</v>
      </c>
      <c r="J240" s="467"/>
      <c r="K240" s="778"/>
      <c r="L240" s="778"/>
      <c r="M240" s="778"/>
      <c r="N240" s="778"/>
      <c r="O240" s="779"/>
      <c r="P240" s="780"/>
      <c r="Q240" s="781"/>
      <c r="R240" s="782"/>
      <c r="S240" s="715"/>
      <c r="T240" s="783"/>
    </row>
    <row r="241" spans="2:20" ht="15" hidden="1" customHeight="1" thickBot="1">
      <c r="B241" s="670"/>
      <c r="C241" s="689"/>
      <c r="D241" s="1428"/>
      <c r="E241" s="1429"/>
      <c r="F241" s="690"/>
      <c r="G241" s="695"/>
      <c r="H241" s="1425"/>
      <c r="I241" s="1442"/>
      <c r="J241" s="1445"/>
      <c r="K241" s="1446"/>
      <c r="L241" s="1446"/>
      <c r="M241" s="1446"/>
      <c r="N241" s="1446"/>
      <c r="O241" s="1446"/>
      <c r="P241" s="1446"/>
      <c r="Q241" s="1446"/>
      <c r="R241" s="1447"/>
      <c r="S241" s="784"/>
      <c r="T241" s="732"/>
    </row>
    <row r="242" spans="2:20" ht="15" hidden="1" customHeight="1">
      <c r="B242" s="670"/>
      <c r="C242" s="689"/>
      <c r="D242" s="1426" t="s">
        <v>784</v>
      </c>
      <c r="E242" s="1427"/>
      <c r="F242" s="690"/>
      <c r="G242" s="694"/>
      <c r="H242" s="1425">
        <v>100</v>
      </c>
      <c r="I242" s="1442"/>
      <c r="J242" s="469"/>
      <c r="K242" s="785"/>
      <c r="L242" s="785"/>
      <c r="M242" s="785"/>
      <c r="N242" s="785"/>
      <c r="O242" s="786"/>
      <c r="P242" s="781"/>
      <c r="Q242" s="781"/>
      <c r="R242" s="781"/>
      <c r="S242" s="787"/>
      <c r="T242" s="788"/>
    </row>
    <row r="243" spans="2:20" ht="15" hidden="1" customHeight="1" thickBot="1">
      <c r="B243" s="670"/>
      <c r="C243" s="696"/>
      <c r="D243" s="1428"/>
      <c r="E243" s="1429"/>
      <c r="F243" s="697"/>
      <c r="G243" s="695"/>
      <c r="H243" s="1430"/>
      <c r="I243" s="1442"/>
      <c r="J243" s="789"/>
      <c r="K243" s="790"/>
      <c r="L243" s="791"/>
      <c r="M243" s="792"/>
      <c r="N243" s="793"/>
      <c r="O243" s="713"/>
      <c r="P243" s="794"/>
      <c r="Q243" s="710"/>
      <c r="R243" s="710"/>
      <c r="S243" s="795"/>
      <c r="T243" s="541"/>
    </row>
    <row r="244" spans="2:20" ht="15" hidden="1" customHeight="1">
      <c r="B244" s="670"/>
      <c r="C244" s="698"/>
      <c r="D244" s="1437"/>
      <c r="E244" s="1437"/>
      <c r="F244" s="699"/>
      <c r="G244" s="674"/>
      <c r="H244" s="700"/>
      <c r="I244" s="676"/>
      <c r="J244" s="469"/>
      <c r="K244" s="785"/>
      <c r="L244" s="785"/>
      <c r="M244" s="785"/>
      <c r="N244" s="785"/>
      <c r="O244" s="796"/>
      <c r="P244" s="797"/>
      <c r="Q244" s="796"/>
      <c r="R244" s="714"/>
      <c r="S244" s="715"/>
      <c r="T244" s="783"/>
    </row>
    <row r="245" spans="2:20" ht="15" hidden="1" customHeight="1">
      <c r="B245" s="701"/>
      <c r="C245" s="682"/>
      <c r="D245" s="672"/>
      <c r="E245" s="672"/>
      <c r="F245" s="683"/>
      <c r="G245" s="702"/>
      <c r="H245" s="700"/>
      <c r="I245" s="676"/>
      <c r="J245" s="798"/>
      <c r="K245" s="799"/>
      <c r="L245" s="799"/>
      <c r="M245" s="799"/>
      <c r="N245" s="799"/>
      <c r="O245" s="800"/>
      <c r="P245" s="800"/>
      <c r="Q245" s="800"/>
      <c r="R245" s="800"/>
      <c r="S245" s="801"/>
      <c r="T245" s="802"/>
    </row>
    <row r="246" spans="2:20" ht="15" hidden="1" customHeight="1">
      <c r="B246" s="670"/>
      <c r="C246" s="698"/>
      <c r="D246" s="1396"/>
      <c r="E246" s="1396"/>
      <c r="F246" s="699"/>
      <c r="G246" s="674"/>
      <c r="H246" s="700"/>
      <c r="I246" s="676"/>
      <c r="J246" s="469"/>
      <c r="K246" s="470"/>
      <c r="L246" s="470"/>
      <c r="M246" s="470"/>
      <c r="N246" s="470"/>
      <c r="O246" s="725"/>
      <c r="P246" s="803"/>
      <c r="Q246" s="803"/>
      <c r="R246" s="803"/>
      <c r="S246" s="804"/>
      <c r="T246" s="805"/>
    </row>
    <row r="247" spans="2:20" ht="15" hidden="1" customHeight="1">
      <c r="B247" s="670"/>
      <c r="C247" s="680"/>
      <c r="D247" s="703"/>
      <c r="E247" s="703"/>
      <c r="F247" s="704"/>
      <c r="G247" s="702"/>
      <c r="H247" s="700"/>
      <c r="I247" s="676"/>
      <c r="J247" s="806"/>
      <c r="K247" s="807"/>
      <c r="L247" s="807"/>
      <c r="M247" s="807"/>
      <c r="N247" s="807"/>
      <c r="O247" s="808"/>
      <c r="P247" s="809"/>
      <c r="Q247" s="800"/>
      <c r="R247" s="730"/>
      <c r="S247" s="810"/>
      <c r="T247" s="802"/>
    </row>
    <row r="248" spans="2:20" ht="15" hidden="1" customHeight="1">
      <c r="B248" s="670"/>
      <c r="C248" s="1395"/>
      <c r="D248" s="1396"/>
      <c r="E248" s="1396"/>
      <c r="F248" s="1397"/>
      <c r="G248" s="674"/>
      <c r="H248" s="675"/>
      <c r="I248" s="676"/>
      <c r="J248" s="476"/>
      <c r="K248" s="470"/>
      <c r="L248" s="652"/>
      <c r="M248" s="652"/>
      <c r="N248" s="652"/>
      <c r="O248" s="714"/>
      <c r="P248" s="714"/>
      <c r="Q248" s="781"/>
      <c r="R248" s="781"/>
      <c r="S248" s="715"/>
      <c r="T248" s="716"/>
    </row>
    <row r="249" spans="2:20" ht="15" hidden="1" customHeight="1">
      <c r="B249" s="670"/>
      <c r="C249" s="1393">
        <v>400</v>
      </c>
      <c r="D249" s="1398"/>
      <c r="E249" s="1398"/>
      <c r="F249" s="1394"/>
      <c r="G249" s="674"/>
      <c r="H249" s="672"/>
      <c r="I249" s="673"/>
      <c r="J249" s="811"/>
      <c r="K249" s="812"/>
      <c r="L249" s="812"/>
      <c r="M249" s="812"/>
      <c r="N249" s="812"/>
      <c r="O249" s="730"/>
      <c r="P249" s="800"/>
      <c r="Q249" s="730"/>
      <c r="R249" s="730"/>
      <c r="S249" s="813"/>
      <c r="T249" s="814"/>
    </row>
    <row r="250" spans="2:20" ht="15" hidden="1" customHeight="1">
      <c r="B250" s="670"/>
      <c r="C250" s="705"/>
      <c r="D250" s="706"/>
      <c r="E250" s="706"/>
      <c r="F250" s="707"/>
      <c r="G250" s="674"/>
      <c r="H250" s="675"/>
      <c r="I250" s="673"/>
      <c r="J250" s="476"/>
      <c r="K250" s="398"/>
      <c r="L250" s="398"/>
      <c r="M250" s="398"/>
      <c r="N250" s="398"/>
      <c r="O250" s="399"/>
      <c r="P250" s="400"/>
      <c r="Q250" s="399"/>
      <c r="R250" s="399"/>
      <c r="S250" s="401"/>
      <c r="T250" s="402"/>
    </row>
    <row r="251" spans="2:20" ht="15" hidden="1" customHeight="1">
      <c r="B251" s="670"/>
      <c r="C251" s="1393">
        <v>400</v>
      </c>
      <c r="D251" s="1398"/>
      <c r="E251" s="1398"/>
      <c r="F251" s="1394"/>
      <c r="G251" s="674"/>
      <c r="H251" s="672"/>
      <c r="I251" s="673"/>
      <c r="J251" s="403"/>
      <c r="K251" s="404"/>
      <c r="L251" s="404"/>
      <c r="M251" s="404"/>
      <c r="N251" s="404"/>
      <c r="O251" s="730"/>
      <c r="P251" s="405"/>
      <c r="Q251" s="405"/>
      <c r="R251" s="405"/>
      <c r="S251" s="813"/>
      <c r="T251" s="814"/>
    </row>
    <row r="252" spans="2:20" ht="15" hidden="1" customHeight="1">
      <c r="B252" s="670"/>
      <c r="C252" s="671"/>
      <c r="D252" s="672"/>
      <c r="E252" s="672"/>
      <c r="F252" s="672"/>
      <c r="G252" s="672"/>
      <c r="H252" s="672"/>
      <c r="I252" s="673"/>
      <c r="J252" s="485"/>
      <c r="K252" s="652"/>
      <c r="L252" s="652"/>
      <c r="M252" s="652"/>
      <c r="N252" s="652"/>
      <c r="O252" s="714"/>
      <c r="P252" s="714"/>
      <c r="Q252" s="781"/>
      <c r="R252" s="781"/>
      <c r="S252" s="715"/>
      <c r="T252" s="716"/>
    </row>
    <row r="253" spans="2:20" ht="15" hidden="1" customHeight="1">
      <c r="B253" s="670"/>
      <c r="C253" s="671"/>
      <c r="D253" s="672"/>
      <c r="E253" s="672"/>
      <c r="F253" s="672"/>
      <c r="G253" s="672"/>
      <c r="H253" s="672"/>
      <c r="I253" s="675"/>
      <c r="J253" s="811"/>
      <c r="K253" s="812"/>
      <c r="L253" s="812"/>
      <c r="M253" s="812"/>
      <c r="N253" s="812"/>
      <c r="O253" s="730"/>
      <c r="P253" s="800"/>
      <c r="Q253" s="730"/>
      <c r="R253" s="730"/>
      <c r="S253" s="813"/>
      <c r="T253" s="814"/>
    </row>
    <row r="254" spans="2:20" ht="15" hidden="1" customHeight="1">
      <c r="B254" s="670"/>
      <c r="C254" s="671"/>
      <c r="D254" s="672"/>
      <c r="E254" s="672"/>
      <c r="F254" s="672"/>
      <c r="G254" s="672"/>
      <c r="H254" s="672"/>
      <c r="I254" s="673"/>
      <c r="J254" s="476"/>
      <c r="K254" s="815"/>
      <c r="L254" s="815"/>
      <c r="M254" s="815"/>
      <c r="N254" s="815"/>
      <c r="O254" s="714"/>
      <c r="P254" s="714"/>
      <c r="Q254" s="714"/>
      <c r="R254" s="714"/>
      <c r="S254" s="715"/>
      <c r="T254" s="716"/>
    </row>
    <row r="255" spans="2:20" ht="15" hidden="1" customHeight="1">
      <c r="B255" s="708"/>
      <c r="C255" s="709"/>
      <c r="D255" s="710"/>
      <c r="E255" s="710"/>
      <c r="F255" s="710"/>
      <c r="G255" s="710"/>
      <c r="H255" s="710"/>
      <c r="I255" s="711"/>
      <c r="J255" s="811"/>
      <c r="K255" s="812"/>
      <c r="L255" s="812"/>
      <c r="M255" s="812"/>
      <c r="N255" s="812"/>
      <c r="O255" s="730"/>
      <c r="P255" s="730"/>
      <c r="Q255" s="730"/>
      <c r="R255" s="816"/>
      <c r="S255" s="813"/>
      <c r="T255" s="814"/>
    </row>
    <row r="256" spans="2:20" ht="24.95" hidden="1" customHeight="1">
      <c r="B256" s="468" t="s">
        <v>349</v>
      </c>
      <c r="C256" s="1400" t="s">
        <v>858</v>
      </c>
      <c r="D256" s="1400"/>
      <c r="E256" s="1400"/>
      <c r="F256" s="1400"/>
      <c r="G256" s="1400"/>
      <c r="H256" s="1400"/>
      <c r="I256" s="1383" t="s">
        <v>744</v>
      </c>
      <c r="J256" s="1383"/>
      <c r="K256" s="1383"/>
      <c r="L256" s="1384"/>
      <c r="M256" s="1384"/>
      <c r="N256" s="1384"/>
      <c r="O256" s="1384"/>
      <c r="P256" s="1384"/>
      <c r="Q256" s="1384"/>
      <c r="R256" s="1384"/>
      <c r="S256" s="1384"/>
      <c r="T256" s="1385"/>
    </row>
    <row r="257" spans="2:20" ht="15" hidden="1" customHeight="1">
      <c r="B257" s="255"/>
      <c r="C257" s="256"/>
      <c r="D257" s="456"/>
      <c r="E257" s="456"/>
      <c r="F257" s="456"/>
      <c r="G257" s="456"/>
      <c r="H257" s="456"/>
      <c r="I257" s="257"/>
      <c r="J257" s="258"/>
      <c r="K257" s="258"/>
      <c r="L257" s="258" t="s">
        <v>39</v>
      </c>
      <c r="M257" s="258" t="s">
        <v>40</v>
      </c>
      <c r="N257" s="258" t="s">
        <v>41</v>
      </c>
      <c r="O257" s="259" t="s">
        <v>42</v>
      </c>
      <c r="P257" s="259" t="s">
        <v>43</v>
      </c>
      <c r="Q257" s="259"/>
      <c r="R257" s="259"/>
      <c r="S257" s="260" t="s">
        <v>44</v>
      </c>
      <c r="T257" s="261"/>
    </row>
    <row r="258" spans="2:20" ht="15" hidden="1" customHeight="1">
      <c r="B258" s="255"/>
      <c r="C258" s="256"/>
      <c r="D258" s="456"/>
      <c r="E258" s="456"/>
      <c r="F258" s="456"/>
      <c r="G258" s="456"/>
      <c r="H258" s="456"/>
      <c r="I258" s="257"/>
      <c r="J258" s="828" t="s">
        <v>45</v>
      </c>
      <c r="K258" s="829"/>
      <c r="L258" s="829" t="s">
        <v>46</v>
      </c>
      <c r="M258" s="830"/>
      <c r="N258" s="830"/>
      <c r="P258" s="831"/>
      <c r="Q258" s="831"/>
      <c r="R258" s="831"/>
      <c r="S258" s="832"/>
      <c r="T258" s="267"/>
    </row>
    <row r="259" spans="2:20" ht="15" hidden="1" customHeight="1">
      <c r="B259" s="255"/>
      <c r="C259" s="1380">
        <f>C281+(0.3*(I270)*2)</f>
        <v>580</v>
      </c>
      <c r="D259" s="1380"/>
      <c r="E259" s="1380"/>
      <c r="F259" s="1380"/>
      <c r="G259" s="268"/>
      <c r="H259" s="269"/>
      <c r="I259" s="257"/>
      <c r="J259" s="833" t="s">
        <v>47</v>
      </c>
      <c r="K259" s="834">
        <f>C259/1000</f>
        <v>0.57999999999999996</v>
      </c>
      <c r="L259" s="834"/>
      <c r="M259" s="834"/>
      <c r="N259" s="835" t="s">
        <v>48</v>
      </c>
      <c r="O259" s="649">
        <f>C281/1000</f>
        <v>0.4</v>
      </c>
      <c r="P259" s="274"/>
      <c r="Q259" s="275" t="s">
        <v>49</v>
      </c>
      <c r="R259" s="276">
        <f>(H270)/1000</f>
        <v>0.3</v>
      </c>
      <c r="S259" s="277"/>
      <c r="T259" s="278"/>
    </row>
    <row r="260" spans="2:20" ht="15" hidden="1" customHeight="1">
      <c r="B260" s="255"/>
      <c r="C260" s="279"/>
      <c r="D260" s="280"/>
      <c r="E260" s="280"/>
      <c r="F260" s="281"/>
      <c r="G260" s="268"/>
      <c r="H260" s="269"/>
      <c r="I260" s="282"/>
      <c r="J260" s="833" t="s">
        <v>50</v>
      </c>
      <c r="K260" s="834">
        <f>C261/1000</f>
        <v>0.57999999999999996</v>
      </c>
      <c r="L260" s="834"/>
      <c r="M260" s="834"/>
      <c r="N260" s="835" t="s">
        <v>51</v>
      </c>
      <c r="O260" s="649">
        <f>C283/1000</f>
        <v>0.4</v>
      </c>
      <c r="P260" s="274"/>
      <c r="Q260" s="254"/>
      <c r="R260" s="269"/>
      <c r="S260" s="836"/>
      <c r="T260" s="278"/>
    </row>
    <row r="261" spans="2:20" ht="15" hidden="1" customHeight="1">
      <c r="B261" s="255"/>
      <c r="C261" s="1379">
        <f>C283+(0.3*(I270)*2)</f>
        <v>580</v>
      </c>
      <c r="D261" s="1380"/>
      <c r="E261" s="1380"/>
      <c r="F261" s="1381"/>
      <c r="G261" s="268"/>
      <c r="H261" s="269"/>
      <c r="I261" s="282"/>
      <c r="J261" s="837" t="s">
        <v>52</v>
      </c>
      <c r="K261" s="838"/>
      <c r="L261" s="838"/>
      <c r="M261" s="838"/>
      <c r="N261" s="838"/>
      <c r="O261" s="839"/>
      <c r="P261" s="838"/>
      <c r="Q261" s="410"/>
      <c r="R261" s="410"/>
      <c r="S261" s="840">
        <f>ROUNDDOWN(R259/6*((2*K259+O259)*K260+(2*O259+K259)*O260),3)</f>
        <v>7.1999999999999995E-2</v>
      </c>
      <c r="T261" s="599" t="s">
        <v>178</v>
      </c>
    </row>
    <row r="262" spans="2:20" ht="15" hidden="1" customHeight="1">
      <c r="B262" s="255"/>
      <c r="C262" s="290"/>
      <c r="D262" s="291"/>
      <c r="E262" s="291"/>
      <c r="F262" s="281"/>
      <c r="G262" s="268"/>
      <c r="H262" s="269"/>
      <c r="I262" s="282"/>
      <c r="J262" s="841" t="s">
        <v>53</v>
      </c>
      <c r="K262" s="842"/>
      <c r="L262" s="842" t="s">
        <v>54</v>
      </c>
      <c r="M262" s="843"/>
      <c r="N262" s="843"/>
      <c r="O262" s="843"/>
      <c r="P262" s="842"/>
      <c r="Q262" s="829"/>
      <c r="R262" s="829"/>
      <c r="S262" s="832"/>
      <c r="T262" s="294"/>
    </row>
    <row r="263" spans="2:20" ht="15" hidden="1" customHeight="1">
      <c r="B263" s="255"/>
      <c r="C263" s="295"/>
      <c r="D263" s="1409">
        <v>200</v>
      </c>
      <c r="E263" s="1409"/>
      <c r="F263" s="296"/>
      <c r="G263" s="268"/>
      <c r="H263" s="269"/>
      <c r="I263" s="282"/>
      <c r="J263" s="833" t="s">
        <v>47</v>
      </c>
      <c r="K263" s="844">
        <f>D263/1000</f>
        <v>0.2</v>
      </c>
      <c r="L263" s="834"/>
      <c r="M263" s="834"/>
      <c r="N263" s="835" t="s">
        <v>48</v>
      </c>
      <c r="O263" s="834">
        <f>D278/1000</f>
        <v>0.2</v>
      </c>
      <c r="P263" s="274"/>
      <c r="Q263" s="275" t="s">
        <v>49</v>
      </c>
      <c r="R263" s="276">
        <f>H270/1000</f>
        <v>0.3</v>
      </c>
      <c r="S263" s="297">
        <f>ROUNDDOWN(K263*O263*R263,2)</f>
        <v>0.01</v>
      </c>
      <c r="T263" s="298" t="s">
        <v>55</v>
      </c>
    </row>
    <row r="264" spans="2:20" ht="15" hidden="1" customHeight="1">
      <c r="B264" s="255"/>
      <c r="C264" s="299"/>
      <c r="D264" s="300"/>
      <c r="E264" s="301"/>
      <c r="F264" s="302"/>
      <c r="G264" s="456"/>
      <c r="H264" s="269"/>
      <c r="I264" s="282"/>
      <c r="J264" s="833"/>
      <c r="K264" s="834"/>
      <c r="L264" s="834"/>
      <c r="M264" s="834"/>
      <c r="N264" s="835"/>
      <c r="O264" s="834"/>
      <c r="P264" s="274"/>
      <c r="Q264" s="275"/>
      <c r="R264" s="276"/>
      <c r="S264" s="297"/>
      <c r="T264" s="298"/>
    </row>
    <row r="265" spans="2:20" ht="15" hidden="1" customHeight="1">
      <c r="B265" s="255"/>
      <c r="C265" s="299"/>
      <c r="D265" s="303"/>
      <c r="E265" s="302"/>
      <c r="F265" s="302"/>
      <c r="G265" s="456"/>
      <c r="H265" s="269"/>
      <c r="I265" s="282"/>
      <c r="J265" s="833"/>
      <c r="K265" s="834"/>
      <c r="L265" s="834"/>
      <c r="M265" s="834"/>
      <c r="N265" s="835"/>
      <c r="O265" s="834"/>
      <c r="P265" s="274"/>
      <c r="Q265" s="275"/>
      <c r="R265" s="276"/>
      <c r="S265" s="297"/>
      <c r="T265" s="541"/>
    </row>
    <row r="266" spans="2:20" ht="15" hidden="1" customHeight="1">
      <c r="B266" s="255"/>
      <c r="C266" s="299"/>
      <c r="D266" s="303"/>
      <c r="E266" s="302"/>
      <c r="F266" s="302"/>
      <c r="G266" s="456"/>
      <c r="H266" s="269"/>
      <c r="I266" s="282"/>
      <c r="J266" s="833"/>
      <c r="K266" s="834"/>
      <c r="L266" s="834"/>
      <c r="M266" s="834"/>
      <c r="N266" s="305"/>
      <c r="O266" s="834"/>
      <c r="P266" s="274"/>
      <c r="Q266" s="275"/>
      <c r="R266" s="276"/>
      <c r="S266" s="297"/>
      <c r="T266" s="298"/>
    </row>
    <row r="267" spans="2:20" ht="15" hidden="1" customHeight="1">
      <c r="B267" s="255"/>
      <c r="C267" s="299"/>
      <c r="D267" s="303"/>
      <c r="E267" s="302"/>
      <c r="F267" s="302"/>
      <c r="G267" s="456"/>
      <c r="H267" s="305"/>
      <c r="I267" s="282"/>
      <c r="J267" s="837" t="s">
        <v>57</v>
      </c>
      <c r="K267" s="838"/>
      <c r="L267" s="838"/>
      <c r="M267" s="838"/>
      <c r="N267" s="838"/>
      <c r="O267" s="839"/>
      <c r="P267" s="838"/>
      <c r="Q267" s="306"/>
      <c r="R267" s="307"/>
      <c r="S267" s="840">
        <f>SUM(S263:S266)</f>
        <v>0.01</v>
      </c>
      <c r="T267" s="599" t="s">
        <v>178</v>
      </c>
    </row>
    <row r="268" spans="2:20" ht="15" hidden="1" customHeight="1">
      <c r="B268" s="255"/>
      <c r="C268" s="299"/>
      <c r="D268" s="303"/>
      <c r="E268" s="302"/>
      <c r="F268" s="302"/>
      <c r="G268" s="456"/>
      <c r="H268" s="269"/>
      <c r="I268" s="308"/>
      <c r="J268" s="828" t="s">
        <v>58</v>
      </c>
      <c r="K268" s="843"/>
      <c r="L268" s="309" t="s">
        <v>334</v>
      </c>
      <c r="M268" s="309" t="s">
        <v>335</v>
      </c>
      <c r="N268" s="310" t="s">
        <v>336</v>
      </c>
      <c r="O268" s="311"/>
      <c r="P268" s="309"/>
      <c r="Q268" s="312"/>
      <c r="R268" s="312"/>
      <c r="S268" s="313"/>
      <c r="T268" s="294"/>
    </row>
    <row r="269" spans="2:20" ht="15" hidden="1" customHeight="1" thickBot="1">
      <c r="B269" s="314"/>
      <c r="C269" s="1388"/>
      <c r="D269" s="1388"/>
      <c r="E269" s="1388"/>
      <c r="F269" s="1388"/>
      <c r="G269" s="315"/>
      <c r="H269" s="315"/>
      <c r="I269" s="316"/>
      <c r="J269" s="317"/>
      <c r="K269" s="318"/>
      <c r="L269" s="318" t="s">
        <v>334</v>
      </c>
      <c r="M269" s="845">
        <f>S261</f>
        <v>7.1999999999999995E-2</v>
      </c>
      <c r="N269" s="318" t="s">
        <v>337</v>
      </c>
      <c r="O269" s="319">
        <f>S271</f>
        <v>0.01</v>
      </c>
      <c r="P269" s="348"/>
      <c r="Q269" s="321"/>
      <c r="R269" s="846"/>
      <c r="S269" s="847">
        <f>ROUNDDOWN(M269-O269,3)</f>
        <v>6.2E-2</v>
      </c>
      <c r="T269" s="599" t="s">
        <v>178</v>
      </c>
    </row>
    <row r="270" spans="2:20" ht="15" hidden="1" customHeight="1" thickBot="1">
      <c r="B270" s="255"/>
      <c r="C270" s="324"/>
      <c r="D270" s="929"/>
      <c r="E270" s="929"/>
      <c r="F270" s="928"/>
      <c r="G270" s="931"/>
      <c r="H270" s="1410">
        <v>300</v>
      </c>
      <c r="I270" s="1413">
        <f>H270</f>
        <v>300</v>
      </c>
      <c r="J270" s="828" t="s">
        <v>338</v>
      </c>
      <c r="K270" s="843"/>
      <c r="L270" s="843" t="s">
        <v>339</v>
      </c>
      <c r="M270" s="309"/>
      <c r="N270" s="310" t="s">
        <v>340</v>
      </c>
      <c r="O270" s="843"/>
      <c r="P270" s="843"/>
      <c r="Q270" s="328"/>
      <c r="R270" s="329"/>
      <c r="S270" s="832"/>
      <c r="T270" s="294"/>
    </row>
    <row r="271" spans="2:20" ht="15" hidden="1" customHeight="1">
      <c r="B271" s="330"/>
      <c r="C271" s="324"/>
      <c r="D271" s="457"/>
      <c r="E271" s="325"/>
      <c r="F271" s="326"/>
      <c r="G271" s="930"/>
      <c r="H271" s="1411"/>
      <c r="I271" s="1414"/>
      <c r="J271" s="848"/>
      <c r="K271" s="849"/>
      <c r="L271" s="850" t="s">
        <v>339</v>
      </c>
      <c r="M271" s="849"/>
      <c r="N271" s="849"/>
      <c r="O271" s="838">
        <f>S263</f>
        <v>0.01</v>
      </c>
      <c r="P271" s="838"/>
      <c r="Q271" s="838"/>
      <c r="R271" s="410"/>
      <c r="S271" s="851">
        <f>ROUNDDOWN(O271+Q271,3)</f>
        <v>0.01</v>
      </c>
      <c r="T271" s="257" t="s">
        <v>178</v>
      </c>
    </row>
    <row r="272" spans="2:20" ht="15" hidden="1" customHeight="1">
      <c r="B272" s="255"/>
      <c r="C272" s="324"/>
      <c r="D272" s="331"/>
      <c r="E272" s="332"/>
      <c r="F272" s="326"/>
      <c r="G272" s="333"/>
      <c r="H272" s="1411"/>
      <c r="I272" s="1414"/>
      <c r="J272" s="852" t="s">
        <v>584</v>
      </c>
      <c r="K272" s="843"/>
      <c r="L272" s="843"/>
      <c r="M272" s="843"/>
      <c r="N272" s="843"/>
      <c r="O272" s="853"/>
      <c r="P272" s="340"/>
      <c r="Q272" s="329"/>
      <c r="R272" s="341"/>
      <c r="S272" s="832"/>
      <c r="T272" s="294"/>
    </row>
    <row r="273" spans="2:20" ht="15" hidden="1" customHeight="1">
      <c r="B273" s="255"/>
      <c r="C273" s="324"/>
      <c r="D273" s="331"/>
      <c r="E273" s="332"/>
      <c r="F273" s="326"/>
      <c r="G273" s="333"/>
      <c r="H273" s="1411"/>
      <c r="I273" s="1414"/>
      <c r="J273" s="645" t="s">
        <v>341</v>
      </c>
      <c r="K273" s="343">
        <f>D263/1000</f>
        <v>0.2</v>
      </c>
      <c r="L273" s="646" t="s">
        <v>59</v>
      </c>
      <c r="M273" s="647">
        <f>D278/1000</f>
        <v>0.2</v>
      </c>
      <c r="N273" s="648" t="s">
        <v>137</v>
      </c>
      <c r="O273" s="347" t="s">
        <v>342</v>
      </c>
      <c r="P273" s="649">
        <f>I270/1000</f>
        <v>0.3</v>
      </c>
      <c r="Q273" s="650" t="s">
        <v>343</v>
      </c>
      <c r="R273" s="456">
        <v>4</v>
      </c>
      <c r="S273" s="947">
        <f>((K273+M273)/2)*P273*R273</f>
        <v>0.24</v>
      </c>
      <c r="T273" s="257" t="s">
        <v>344</v>
      </c>
    </row>
    <row r="274" spans="2:20" ht="15" hidden="1" customHeight="1" thickBot="1">
      <c r="B274" s="255"/>
      <c r="C274" s="352"/>
      <c r="D274" s="353"/>
      <c r="E274" s="354"/>
      <c r="F274" s="355"/>
      <c r="G274" s="356"/>
      <c r="H274" s="1412"/>
      <c r="I274" s="1414"/>
      <c r="J274" s="841" t="s">
        <v>857</v>
      </c>
      <c r="K274" s="830"/>
      <c r="L274" s="870" t="s">
        <v>805</v>
      </c>
      <c r="M274" s="830"/>
      <c r="N274" s="830"/>
      <c r="O274" s="831"/>
      <c r="P274" s="831"/>
      <c r="Q274" s="329"/>
      <c r="R274" s="329"/>
      <c r="S274" s="832"/>
      <c r="T274" s="267"/>
    </row>
    <row r="275" spans="2:20" ht="15" hidden="1" customHeight="1">
      <c r="B275" s="255"/>
      <c r="C275" s="362"/>
      <c r="D275" s="363"/>
      <c r="E275" s="364"/>
      <c r="F275" s="365"/>
      <c r="G275" s="456"/>
      <c r="H275" s="269"/>
      <c r="I275" s="282"/>
      <c r="J275" s="848"/>
      <c r="K275" s="826"/>
      <c r="L275" s="826"/>
      <c r="M275" s="826"/>
      <c r="N275" s="826"/>
      <c r="O275" s="410">
        <v>3</v>
      </c>
      <c r="P275" s="381"/>
      <c r="Q275" s="410"/>
      <c r="R275" s="410"/>
      <c r="S275" s="868">
        <f>O275</f>
        <v>3</v>
      </c>
      <c r="T275" s="261" t="s">
        <v>36</v>
      </c>
    </row>
    <row r="276" spans="2:20" ht="15" hidden="1" customHeight="1">
      <c r="B276" s="255"/>
      <c r="C276" s="371">
        <v>100</v>
      </c>
      <c r="D276" s="1379">
        <v>200</v>
      </c>
      <c r="E276" s="1381"/>
      <c r="F276" s="372">
        <v>100</v>
      </c>
      <c r="G276" s="268"/>
      <c r="H276" s="373"/>
      <c r="I276" s="282"/>
      <c r="J276" s="841"/>
      <c r="K276" s="398"/>
      <c r="L276" s="398"/>
      <c r="M276" s="398"/>
      <c r="N276" s="398"/>
      <c r="O276" s="399"/>
      <c r="P276" s="400"/>
      <c r="Q276" s="399"/>
      <c r="R276" s="399"/>
      <c r="S276" s="401"/>
      <c r="T276" s="402"/>
    </row>
    <row r="277" spans="2:20" ht="15" hidden="1" customHeight="1">
      <c r="B277" s="376"/>
      <c r="C277" s="377"/>
      <c r="D277" s="303"/>
      <c r="E277" s="302"/>
      <c r="F277" s="378"/>
      <c r="G277" s="379"/>
      <c r="H277" s="373"/>
      <c r="I277" s="282"/>
      <c r="J277" s="403"/>
      <c r="K277" s="404"/>
      <c r="L277" s="404"/>
      <c r="M277" s="404"/>
      <c r="N277" s="404"/>
      <c r="O277" s="410"/>
      <c r="P277" s="405"/>
      <c r="Q277" s="405"/>
      <c r="R277" s="405"/>
      <c r="S277" s="868"/>
      <c r="T277" s="261"/>
    </row>
    <row r="278" spans="2:20" ht="15" hidden="1" customHeight="1">
      <c r="B278" s="255"/>
      <c r="C278" s="371">
        <v>100</v>
      </c>
      <c r="D278" s="1379">
        <v>200</v>
      </c>
      <c r="E278" s="1381"/>
      <c r="F278" s="372">
        <v>100</v>
      </c>
      <c r="G278" s="268"/>
      <c r="H278" s="373"/>
      <c r="I278" s="282"/>
      <c r="J278" s="485"/>
      <c r="K278" s="870"/>
      <c r="L278" s="870"/>
      <c r="M278" s="870"/>
      <c r="N278" s="870"/>
      <c r="O278" s="871"/>
      <c r="P278" s="871"/>
      <c r="Q278" s="781"/>
      <c r="R278" s="781"/>
      <c r="S278" s="872"/>
      <c r="T278" s="716"/>
    </row>
    <row r="279" spans="2:20" ht="15" hidden="1" customHeight="1">
      <c r="B279" s="255"/>
      <c r="C279" s="290"/>
      <c r="D279" s="388"/>
      <c r="E279" s="388"/>
      <c r="F279" s="389"/>
      <c r="G279" s="379"/>
      <c r="H279" s="373"/>
      <c r="I279" s="282"/>
      <c r="J279" s="873"/>
      <c r="K279" s="874"/>
      <c r="L279" s="874"/>
      <c r="M279" s="874"/>
      <c r="N279" s="874"/>
      <c r="O279" s="711"/>
      <c r="P279" s="800"/>
      <c r="Q279" s="711"/>
      <c r="R279" s="711"/>
      <c r="S279" s="875"/>
      <c r="T279" s="814"/>
    </row>
    <row r="280" spans="2:20" ht="15" hidden="1" customHeight="1">
      <c r="B280" s="255"/>
      <c r="C280" s="1376"/>
      <c r="D280" s="1377"/>
      <c r="E280" s="1377"/>
      <c r="F280" s="1378"/>
      <c r="G280" s="268"/>
      <c r="H280" s="269"/>
      <c r="I280" s="282"/>
      <c r="J280" s="262"/>
      <c r="K280" s="384"/>
      <c r="L280" s="264"/>
      <c r="M280" s="264"/>
      <c r="N280" s="264"/>
      <c r="O280" s="265"/>
      <c r="P280" s="265"/>
      <c r="Q280" s="329"/>
      <c r="R280" s="329"/>
      <c r="S280" s="266"/>
      <c r="T280" s="267"/>
    </row>
    <row r="281" spans="2:20" ht="15" hidden="1" customHeight="1">
      <c r="B281" s="255"/>
      <c r="C281" s="1379">
        <f>C276+D276+F276</f>
        <v>400</v>
      </c>
      <c r="D281" s="1380"/>
      <c r="E281" s="1380"/>
      <c r="F281" s="1381"/>
      <c r="G281" s="268"/>
      <c r="H281" s="456"/>
      <c r="I281" s="257"/>
      <c r="J281" s="334"/>
      <c r="K281" s="258"/>
      <c r="L281" s="258"/>
      <c r="M281" s="258"/>
      <c r="N281" s="258"/>
      <c r="O281" s="259"/>
      <c r="P281" s="381"/>
      <c r="Q281" s="259"/>
      <c r="R281" s="259"/>
      <c r="S281" s="395"/>
      <c r="T281" s="261"/>
    </row>
    <row r="282" spans="2:20" ht="15" hidden="1" customHeight="1">
      <c r="B282" s="255"/>
      <c r="C282" s="396"/>
      <c r="D282" s="388"/>
      <c r="E282" s="388"/>
      <c r="F282" s="397"/>
      <c r="G282" s="268"/>
      <c r="H282" s="269"/>
      <c r="I282" s="257"/>
      <c r="J282" s="262"/>
      <c r="K282" s="398"/>
      <c r="L282" s="398"/>
      <c r="M282" s="398"/>
      <c r="N282" s="398"/>
      <c r="O282" s="399"/>
      <c r="P282" s="400"/>
      <c r="Q282" s="399"/>
      <c r="R282" s="399"/>
      <c r="S282" s="401"/>
      <c r="T282" s="402"/>
    </row>
    <row r="283" spans="2:20" ht="15" hidden="1" customHeight="1">
      <c r="B283" s="255"/>
      <c r="C283" s="1379">
        <f>C278+D278+F278</f>
        <v>400</v>
      </c>
      <c r="D283" s="1380"/>
      <c r="E283" s="1380"/>
      <c r="F283" s="1381"/>
      <c r="G283" s="268"/>
      <c r="H283" s="456"/>
      <c r="I283" s="257"/>
      <c r="J283" s="403"/>
      <c r="K283" s="404"/>
      <c r="L283" s="404"/>
      <c r="M283" s="404"/>
      <c r="N283" s="404"/>
      <c r="O283" s="259"/>
      <c r="P283" s="405"/>
      <c r="Q283" s="405"/>
      <c r="R283" s="405"/>
      <c r="S283" s="395"/>
      <c r="T283" s="261"/>
    </row>
    <row r="284" spans="2:20" ht="15" hidden="1" customHeight="1">
      <c r="B284" s="255"/>
      <c r="C284" s="256"/>
      <c r="D284" s="456"/>
      <c r="E284" s="456"/>
      <c r="F284" s="456"/>
      <c r="G284" s="456"/>
      <c r="H284" s="456"/>
      <c r="I284" s="257"/>
      <c r="J284" s="406"/>
      <c r="K284" s="264"/>
      <c r="L284" s="264"/>
      <c r="M284" s="264"/>
      <c r="N284" s="264"/>
      <c r="O284" s="265"/>
      <c r="P284" s="265"/>
      <c r="Q284" s="329"/>
      <c r="R284" s="329"/>
      <c r="S284" s="266"/>
      <c r="T284" s="267"/>
    </row>
    <row r="285" spans="2:20" ht="15" hidden="1" customHeight="1">
      <c r="B285" s="255"/>
      <c r="C285" s="256"/>
      <c r="D285" s="456"/>
      <c r="E285" s="456"/>
      <c r="F285" s="456"/>
      <c r="G285" s="456"/>
      <c r="H285" s="456"/>
      <c r="I285" s="269"/>
      <c r="J285" s="334"/>
      <c r="K285" s="258"/>
      <c r="L285" s="258"/>
      <c r="M285" s="258"/>
      <c r="N285" s="258"/>
      <c r="O285" s="259"/>
      <c r="P285" s="381"/>
      <c r="Q285" s="259"/>
      <c r="R285" s="259"/>
      <c r="S285" s="395"/>
      <c r="T285" s="261"/>
    </row>
    <row r="286" spans="2:20" ht="15" hidden="1" customHeight="1">
      <c r="B286" s="255"/>
      <c r="C286" s="256"/>
      <c r="D286" s="456"/>
      <c r="E286" s="456"/>
      <c r="F286" s="456"/>
      <c r="G286" s="456"/>
      <c r="H286" s="456"/>
      <c r="I286" s="257"/>
      <c r="J286" s="262"/>
      <c r="K286" s="407"/>
      <c r="L286" s="407"/>
      <c r="M286" s="407"/>
      <c r="N286" s="407"/>
      <c r="O286" s="265"/>
      <c r="P286" s="265"/>
      <c r="Q286" s="265"/>
      <c r="R286" s="265"/>
      <c r="S286" s="266"/>
      <c r="T286" s="267"/>
    </row>
    <row r="287" spans="2:20" ht="24.95" hidden="1" customHeight="1">
      <c r="B287" s="468" t="s">
        <v>706</v>
      </c>
      <c r="C287" s="1383" t="s">
        <v>603</v>
      </c>
      <c r="D287" s="1383"/>
      <c r="E287" s="1383"/>
      <c r="F287" s="1383"/>
      <c r="G287" s="1383"/>
      <c r="H287" s="1383"/>
      <c r="I287" s="1400" t="s">
        <v>842</v>
      </c>
      <c r="J287" s="1400"/>
      <c r="K287" s="1400"/>
      <c r="L287" s="1400"/>
      <c r="M287" s="1400"/>
      <c r="N287" s="1400"/>
      <c r="O287" s="1400"/>
      <c r="P287" s="1400"/>
      <c r="Q287" s="1400"/>
      <c r="R287" s="1400"/>
      <c r="S287" s="1400"/>
      <c r="T287" s="1415"/>
    </row>
    <row r="288" spans="2:20" ht="15" hidden="1" customHeight="1">
      <c r="B288" s="255"/>
      <c r="C288" s="256"/>
      <c r="D288" s="456"/>
      <c r="E288" s="456"/>
      <c r="F288" s="456"/>
      <c r="G288" s="456"/>
      <c r="H288" s="456"/>
      <c r="I288" s="257"/>
      <c r="J288" s="258"/>
      <c r="K288" s="258"/>
      <c r="L288" s="258" t="s">
        <v>39</v>
      </c>
      <c r="M288" s="258" t="s">
        <v>40</v>
      </c>
      <c r="N288" s="258" t="s">
        <v>41</v>
      </c>
      <c r="O288" s="259" t="s">
        <v>42</v>
      </c>
      <c r="P288" s="259" t="s">
        <v>43</v>
      </c>
      <c r="Q288" s="259"/>
      <c r="R288" s="259"/>
      <c r="S288" s="260" t="s">
        <v>44</v>
      </c>
      <c r="T288" s="261"/>
    </row>
    <row r="289" spans="2:20" ht="15" hidden="1" customHeight="1">
      <c r="B289" s="255"/>
      <c r="C289" s="256"/>
      <c r="D289" s="456"/>
      <c r="E289" s="456"/>
      <c r="F289" s="456"/>
      <c r="G289" s="456"/>
      <c r="H289" s="456"/>
      <c r="I289" s="257"/>
      <c r="J289" s="262" t="s">
        <v>45</v>
      </c>
      <c r="K289" s="263"/>
      <c r="L289" s="263" t="s">
        <v>46</v>
      </c>
      <c r="M289" s="264"/>
      <c r="N289" s="264"/>
      <c r="P289" s="265"/>
      <c r="Q289" s="265"/>
      <c r="R289" s="265"/>
      <c r="S289" s="266"/>
      <c r="T289" s="267"/>
    </row>
    <row r="290" spans="2:20" ht="15" hidden="1" customHeight="1">
      <c r="B290" s="255"/>
      <c r="C290" s="1380">
        <f>C312+(0.3*(I301)*2)</f>
        <v>1300</v>
      </c>
      <c r="D290" s="1380"/>
      <c r="E290" s="1380"/>
      <c r="F290" s="1380"/>
      <c r="G290" s="268"/>
      <c r="H290" s="269"/>
      <c r="I290" s="257"/>
      <c r="J290" s="270" t="s">
        <v>47</v>
      </c>
      <c r="K290" s="271">
        <f>C290/1000</f>
        <v>1.3</v>
      </c>
      <c r="L290" s="271"/>
      <c r="M290" s="271"/>
      <c r="N290" s="272" t="s">
        <v>48</v>
      </c>
      <c r="O290" s="273">
        <f>C312/1000</f>
        <v>0.7</v>
      </c>
      <c r="P290" s="274"/>
      <c r="Q290" s="275" t="s">
        <v>49</v>
      </c>
      <c r="R290" s="276">
        <f>(I301)/1000</f>
        <v>1</v>
      </c>
      <c r="S290" s="277"/>
      <c r="T290" s="278"/>
    </row>
    <row r="291" spans="2:20" ht="15" hidden="1" customHeight="1">
      <c r="B291" s="255"/>
      <c r="C291" s="279"/>
      <c r="D291" s="280"/>
      <c r="E291" s="280"/>
      <c r="F291" s="281"/>
      <c r="G291" s="268"/>
      <c r="H291" s="269"/>
      <c r="I291" s="282"/>
      <c r="J291" s="270" t="s">
        <v>50</v>
      </c>
      <c r="K291" s="271">
        <f>C292/1000</f>
        <v>1.7</v>
      </c>
      <c r="L291" s="271"/>
      <c r="M291" s="271"/>
      <c r="N291" s="272" t="s">
        <v>51</v>
      </c>
      <c r="O291" s="273">
        <f>C314/1000</f>
        <v>1.1000000000000001</v>
      </c>
      <c r="P291" s="274"/>
      <c r="Q291" s="254"/>
      <c r="R291" s="283"/>
      <c r="S291" s="284"/>
      <c r="T291" s="278"/>
    </row>
    <row r="292" spans="2:20" ht="15" hidden="1" customHeight="1">
      <c r="B292" s="255"/>
      <c r="C292" s="1379">
        <f>C314+(0.3*(I301)*2)</f>
        <v>1700</v>
      </c>
      <c r="D292" s="1380"/>
      <c r="E292" s="1380"/>
      <c r="F292" s="1381"/>
      <c r="G292" s="268"/>
      <c r="H292" s="269"/>
      <c r="I292" s="282"/>
      <c r="J292" s="285" t="s">
        <v>52</v>
      </c>
      <c r="K292" s="286"/>
      <c r="L292" s="286"/>
      <c r="M292" s="286"/>
      <c r="N292" s="286"/>
      <c r="O292" s="287"/>
      <c r="P292" s="286"/>
      <c r="Q292" s="259"/>
      <c r="R292" s="259"/>
      <c r="S292" s="288">
        <f>ROUNDDOWN(R290/6*((2*K290+O290)*K291+(2*O290+K290)*O291),2)</f>
        <v>1.43</v>
      </c>
      <c r="T292" s="289" t="s">
        <v>178</v>
      </c>
    </row>
    <row r="293" spans="2:20" ht="15" hidden="1" customHeight="1">
      <c r="B293" s="255"/>
      <c r="C293" s="290"/>
      <c r="D293" s="291"/>
      <c r="E293" s="291"/>
      <c r="F293" s="281"/>
      <c r="G293" s="268"/>
      <c r="H293" s="269"/>
      <c r="I293" s="282"/>
      <c r="J293" s="476" t="s">
        <v>604</v>
      </c>
      <c r="K293" s="292"/>
      <c r="L293" s="292" t="s">
        <v>54</v>
      </c>
      <c r="M293" s="293"/>
      <c r="N293" s="293"/>
      <c r="O293" s="293"/>
      <c r="P293" s="292"/>
      <c r="Q293" s="263"/>
      <c r="R293" s="263"/>
      <c r="S293" s="266"/>
      <c r="T293" s="294"/>
    </row>
    <row r="294" spans="2:20" ht="15" hidden="1" customHeight="1">
      <c r="B294" s="255"/>
      <c r="C294" s="295"/>
      <c r="D294" s="1409">
        <v>500</v>
      </c>
      <c r="E294" s="1409"/>
      <c r="F294" s="296"/>
      <c r="G294" s="268"/>
      <c r="H294" s="269"/>
      <c r="I294" s="282"/>
      <c r="J294" s="270" t="s">
        <v>47</v>
      </c>
      <c r="K294" s="271">
        <f>D294/1000</f>
        <v>0.5</v>
      </c>
      <c r="L294" s="271"/>
      <c r="M294" s="271"/>
      <c r="N294" s="272" t="s">
        <v>48</v>
      </c>
      <c r="O294" s="271">
        <f>D309/1000</f>
        <v>0.9</v>
      </c>
      <c r="P294" s="274"/>
      <c r="Q294" s="275" t="s">
        <v>49</v>
      </c>
      <c r="R294" s="276">
        <f>H301/1000</f>
        <v>0.8</v>
      </c>
      <c r="S294" s="297">
        <f>ROUNDDOWN(K294*O294*R294,2)</f>
        <v>0.36</v>
      </c>
      <c r="T294" s="298" t="s">
        <v>55</v>
      </c>
    </row>
    <row r="295" spans="2:20" ht="15" hidden="1" customHeight="1">
      <c r="B295" s="255"/>
      <c r="C295" s="299"/>
      <c r="D295" s="300"/>
      <c r="E295" s="301"/>
      <c r="F295" s="302"/>
      <c r="G295" s="456"/>
      <c r="H295" s="269"/>
      <c r="I295" s="282"/>
      <c r="J295" s="270"/>
      <c r="K295" s="271"/>
      <c r="L295" s="271"/>
      <c r="M295" s="271"/>
      <c r="N295" s="272"/>
      <c r="O295" s="271"/>
      <c r="P295" s="274"/>
      <c r="Q295" s="275"/>
      <c r="R295" s="276"/>
      <c r="S295" s="297">
        <f>ROUNDDOWN(K295*O295*R295,2)</f>
        <v>0</v>
      </c>
      <c r="T295" s="298" t="s">
        <v>56</v>
      </c>
    </row>
    <row r="296" spans="2:20" ht="15" hidden="1" customHeight="1">
      <c r="B296" s="255"/>
      <c r="C296" s="299"/>
      <c r="D296" s="303"/>
      <c r="E296" s="302"/>
      <c r="F296" s="302"/>
      <c r="G296" s="456"/>
      <c r="H296" s="269"/>
      <c r="I296" s="282"/>
      <c r="J296" s="270"/>
      <c r="K296" s="271"/>
      <c r="L296" s="271"/>
      <c r="M296" s="271"/>
      <c r="N296" s="304"/>
      <c r="O296" s="271"/>
      <c r="P296" s="274"/>
      <c r="Q296" s="275"/>
      <c r="R296" s="276"/>
      <c r="S296" s="297"/>
      <c r="T296" s="298"/>
    </row>
    <row r="297" spans="2:20" ht="15" hidden="1" customHeight="1">
      <c r="B297" s="255"/>
      <c r="C297" s="299"/>
      <c r="D297" s="303"/>
      <c r="E297" s="302"/>
      <c r="F297" s="302"/>
      <c r="G297" s="456"/>
      <c r="H297" s="269"/>
      <c r="I297" s="282"/>
      <c r="J297" s="270"/>
      <c r="K297" s="271"/>
      <c r="L297" s="271"/>
      <c r="M297" s="271"/>
      <c r="N297" s="304"/>
      <c r="O297" s="271"/>
      <c r="P297" s="274"/>
      <c r="Q297" s="275"/>
      <c r="R297" s="276"/>
      <c r="S297" s="297"/>
      <c r="T297" s="298"/>
    </row>
    <row r="298" spans="2:20" ht="15" hidden="1" customHeight="1">
      <c r="B298" s="255"/>
      <c r="C298" s="299"/>
      <c r="D298" s="303"/>
      <c r="E298" s="302"/>
      <c r="F298" s="302"/>
      <c r="G298" s="456"/>
      <c r="H298" s="305"/>
      <c r="I298" s="282"/>
      <c r="J298" s="285" t="s">
        <v>57</v>
      </c>
      <c r="K298" s="286"/>
      <c r="L298" s="286"/>
      <c r="M298" s="286"/>
      <c r="N298" s="286"/>
      <c r="O298" s="287"/>
      <c r="P298" s="286"/>
      <c r="Q298" s="306"/>
      <c r="R298" s="307"/>
      <c r="S298" s="288">
        <f>SUM(S294:S297)</f>
        <v>0.36</v>
      </c>
      <c r="T298" s="289" t="s">
        <v>178</v>
      </c>
    </row>
    <row r="299" spans="2:20" ht="15" hidden="1" customHeight="1">
      <c r="B299" s="255"/>
      <c r="C299" s="299"/>
      <c r="D299" s="303"/>
      <c r="E299" s="302"/>
      <c r="F299" s="302"/>
      <c r="G299" s="456"/>
      <c r="H299" s="269"/>
      <c r="I299" s="308"/>
      <c r="J299" s="262" t="s">
        <v>58</v>
      </c>
      <c r="K299" s="293"/>
      <c r="L299" s="309" t="s">
        <v>334</v>
      </c>
      <c r="M299" s="309" t="s">
        <v>335</v>
      </c>
      <c r="N299" s="310" t="s">
        <v>336</v>
      </c>
      <c r="O299" s="311"/>
      <c r="P299" s="309"/>
      <c r="Q299" s="312"/>
      <c r="R299" s="312"/>
      <c r="S299" s="313"/>
      <c r="T299" s="294"/>
    </row>
    <row r="300" spans="2:20" ht="15" hidden="1" customHeight="1" thickBot="1">
      <c r="B300" s="314"/>
      <c r="C300" s="1388"/>
      <c r="D300" s="1388"/>
      <c r="E300" s="1388"/>
      <c r="F300" s="1388"/>
      <c r="G300" s="315"/>
      <c r="H300" s="315"/>
      <c r="I300" s="316"/>
      <c r="J300" s="317"/>
      <c r="K300" s="318"/>
      <c r="L300" s="318" t="s">
        <v>334</v>
      </c>
      <c r="M300" s="318">
        <f>S292</f>
        <v>1.43</v>
      </c>
      <c r="N300" s="318" t="s">
        <v>337</v>
      </c>
      <c r="O300" s="319">
        <f>S298</f>
        <v>0.36</v>
      </c>
      <c r="P300" s="320"/>
      <c r="Q300" s="321"/>
      <c r="R300" s="322"/>
      <c r="S300" s="323">
        <f>ROUNDDOWN(M300-O300,2)</f>
        <v>1.07</v>
      </c>
      <c r="T300" s="289" t="s">
        <v>178</v>
      </c>
    </row>
    <row r="301" spans="2:20" ht="15" hidden="1" customHeight="1" thickBot="1">
      <c r="B301" s="255"/>
      <c r="C301" s="324"/>
      <c r="D301" s="929"/>
      <c r="E301" s="929"/>
      <c r="F301" s="928"/>
      <c r="G301" s="931"/>
      <c r="H301" s="1410">
        <v>800</v>
      </c>
      <c r="I301" s="1413">
        <v>1000</v>
      </c>
      <c r="J301" s="262"/>
      <c r="K301" s="293"/>
      <c r="L301" s="293"/>
      <c r="M301" s="309"/>
      <c r="N301" s="310"/>
      <c r="O301" s="293"/>
      <c r="P301" s="293"/>
      <c r="Q301" s="328"/>
      <c r="R301" s="329"/>
      <c r="S301" s="266"/>
      <c r="T301" s="294"/>
    </row>
    <row r="302" spans="2:20" ht="15" hidden="1" customHeight="1">
      <c r="B302" s="330"/>
      <c r="C302" s="324"/>
      <c r="D302" s="457"/>
      <c r="E302" s="325"/>
      <c r="F302" s="326"/>
      <c r="G302" s="930"/>
      <c r="H302" s="1411"/>
      <c r="I302" s="1414"/>
      <c r="J302" s="334"/>
      <c r="K302" s="335"/>
      <c r="L302" s="336"/>
      <c r="M302" s="335"/>
      <c r="N302" s="335"/>
      <c r="O302" s="286"/>
      <c r="P302" s="286"/>
      <c r="Q302" s="286"/>
      <c r="R302" s="259"/>
      <c r="S302" s="323"/>
      <c r="T302" s="337"/>
    </row>
    <row r="303" spans="2:20" ht="15" hidden="1" customHeight="1">
      <c r="B303" s="255"/>
      <c r="C303" s="324"/>
      <c r="D303" s="331"/>
      <c r="E303" s="332"/>
      <c r="F303" s="326"/>
      <c r="G303" s="333"/>
      <c r="H303" s="1411"/>
      <c r="I303" s="1414"/>
      <c r="J303" s="338"/>
      <c r="K303" s="293"/>
      <c r="L303" s="293"/>
      <c r="M303" s="293"/>
      <c r="N303" s="293"/>
      <c r="O303" s="339"/>
      <c r="P303" s="340"/>
      <c r="Q303" s="329"/>
      <c r="R303" s="341"/>
      <c r="S303" s="266"/>
      <c r="T303" s="294"/>
    </row>
    <row r="304" spans="2:20" ht="15" hidden="1" customHeight="1">
      <c r="B304" s="255"/>
      <c r="C304" s="324"/>
      <c r="D304" s="331"/>
      <c r="E304" s="332"/>
      <c r="F304" s="326"/>
      <c r="G304" s="333"/>
      <c r="H304" s="1411"/>
      <c r="I304" s="1414"/>
      <c r="J304" s="1416"/>
      <c r="K304" s="1417"/>
      <c r="L304" s="1417"/>
      <c r="M304" s="1417"/>
      <c r="N304" s="1417"/>
      <c r="O304" s="1417"/>
      <c r="P304" s="1417"/>
      <c r="Q304" s="1417"/>
      <c r="R304" s="1418"/>
      <c r="S304" s="351"/>
      <c r="T304" s="289"/>
    </row>
    <row r="305" spans="2:20" ht="15" hidden="1" customHeight="1" thickBot="1">
      <c r="B305" s="255"/>
      <c r="C305" s="352"/>
      <c r="D305" s="353"/>
      <c r="E305" s="354"/>
      <c r="F305" s="355"/>
      <c r="G305" s="356"/>
      <c r="H305" s="1412"/>
      <c r="I305" s="1414"/>
      <c r="J305" s="357"/>
      <c r="K305" s="358"/>
      <c r="L305" s="358"/>
      <c r="M305" s="358"/>
      <c r="N305" s="358"/>
      <c r="O305" s="359"/>
      <c r="P305" s="329"/>
      <c r="Q305" s="329"/>
      <c r="R305" s="329"/>
      <c r="S305" s="360"/>
      <c r="T305" s="361"/>
    </row>
    <row r="306" spans="2:20" ht="15" hidden="1" customHeight="1">
      <c r="B306" s="255"/>
      <c r="C306" s="362"/>
      <c r="D306" s="363"/>
      <c r="E306" s="364"/>
      <c r="F306" s="365"/>
      <c r="G306" s="456"/>
      <c r="H306" s="269"/>
      <c r="I306" s="282"/>
      <c r="J306" s="366"/>
      <c r="K306" s="367"/>
      <c r="L306" s="320"/>
      <c r="M306" s="368"/>
      <c r="N306" s="369"/>
      <c r="P306" s="370"/>
      <c r="Q306" s="350"/>
      <c r="R306" s="350"/>
      <c r="S306" s="323"/>
      <c r="T306" s="298"/>
    </row>
    <row r="307" spans="2:20" ht="15" hidden="1" customHeight="1">
      <c r="B307" s="255"/>
      <c r="C307" s="371">
        <v>100</v>
      </c>
      <c r="D307" s="1379">
        <v>500</v>
      </c>
      <c r="E307" s="1381"/>
      <c r="F307" s="372">
        <v>100</v>
      </c>
      <c r="G307" s="268"/>
      <c r="H307" s="373"/>
      <c r="I307" s="282"/>
      <c r="J307" s="357"/>
      <c r="K307" s="358"/>
      <c r="L307" s="358"/>
      <c r="M307" s="358"/>
      <c r="N307" s="358"/>
      <c r="O307" s="374"/>
      <c r="P307" s="375"/>
      <c r="Q307" s="374"/>
      <c r="R307" s="265"/>
      <c r="S307" s="266"/>
      <c r="T307" s="294"/>
    </row>
    <row r="308" spans="2:20" ht="15" hidden="1" customHeight="1">
      <c r="B308" s="376"/>
      <c r="C308" s="377"/>
      <c r="D308" s="303"/>
      <c r="E308" s="302"/>
      <c r="F308" s="378"/>
      <c r="G308" s="379"/>
      <c r="H308" s="373"/>
      <c r="I308" s="282"/>
      <c r="J308" s="380"/>
      <c r="K308" s="306"/>
      <c r="L308" s="306"/>
      <c r="M308" s="306"/>
      <c r="N308" s="306"/>
      <c r="O308" s="381"/>
      <c r="P308" s="381"/>
      <c r="Q308" s="381"/>
      <c r="R308" s="381"/>
      <c r="S308" s="382"/>
      <c r="T308" s="383"/>
    </row>
    <row r="309" spans="2:20" ht="15" hidden="1" customHeight="1">
      <c r="B309" s="255"/>
      <c r="C309" s="371">
        <v>100</v>
      </c>
      <c r="D309" s="1379">
        <v>900</v>
      </c>
      <c r="E309" s="1381"/>
      <c r="F309" s="372">
        <v>100</v>
      </c>
      <c r="G309" s="268"/>
      <c r="H309" s="373"/>
      <c r="I309" s="282"/>
      <c r="J309" s="357"/>
      <c r="K309" s="384"/>
      <c r="L309" s="384"/>
      <c r="M309" s="384"/>
      <c r="N309" s="384"/>
      <c r="O309" s="283"/>
      <c r="P309" s="385"/>
      <c r="Q309" s="385"/>
      <c r="R309" s="385"/>
      <c r="S309" s="386"/>
      <c r="T309" s="387"/>
    </row>
    <row r="310" spans="2:20" ht="15" hidden="1" customHeight="1">
      <c r="B310" s="255"/>
      <c r="C310" s="290"/>
      <c r="D310" s="388"/>
      <c r="E310" s="388"/>
      <c r="F310" s="389"/>
      <c r="G310" s="379"/>
      <c r="H310" s="373"/>
      <c r="I310" s="282"/>
      <c r="J310" s="390"/>
      <c r="K310" s="391"/>
      <c r="L310" s="391"/>
      <c r="M310" s="391"/>
      <c r="N310" s="391"/>
      <c r="O310" s="392"/>
      <c r="P310" s="393"/>
      <c r="Q310" s="381"/>
      <c r="R310" s="259"/>
      <c r="S310" s="394"/>
      <c r="T310" s="383"/>
    </row>
    <row r="311" spans="2:20" ht="15" hidden="1" customHeight="1">
      <c r="B311" s="255"/>
      <c r="C311" s="1376"/>
      <c r="D311" s="1377"/>
      <c r="E311" s="1377"/>
      <c r="F311" s="1378"/>
      <c r="G311" s="268"/>
      <c r="H311" s="269"/>
      <c r="I311" s="282"/>
      <c r="J311" s="262"/>
      <c r="K311" s="384"/>
      <c r="L311" s="264"/>
      <c r="M311" s="264"/>
      <c r="N311" s="264"/>
      <c r="O311" s="265"/>
      <c r="P311" s="265"/>
      <c r="Q311" s="329"/>
      <c r="R311" s="329"/>
      <c r="S311" s="266"/>
      <c r="T311" s="267"/>
    </row>
    <row r="312" spans="2:20" ht="15" hidden="1" customHeight="1">
      <c r="B312" s="255"/>
      <c r="C312" s="1379">
        <f>C307+D307+F307</f>
        <v>700</v>
      </c>
      <c r="D312" s="1380"/>
      <c r="E312" s="1380"/>
      <c r="F312" s="1381"/>
      <c r="G312" s="268"/>
      <c r="H312" s="456"/>
      <c r="I312" s="257"/>
      <c r="J312" s="334"/>
      <c r="K312" s="258"/>
      <c r="L312" s="258"/>
      <c r="M312" s="258"/>
      <c r="N312" s="258"/>
      <c r="O312" s="259"/>
      <c r="P312" s="381"/>
      <c r="Q312" s="259"/>
      <c r="R312" s="259"/>
      <c r="S312" s="395"/>
      <c r="T312" s="261"/>
    </row>
    <row r="313" spans="2:20" ht="15" hidden="1" customHeight="1">
      <c r="B313" s="255"/>
      <c r="C313" s="396"/>
      <c r="D313" s="388"/>
      <c r="E313" s="388"/>
      <c r="F313" s="397"/>
      <c r="G313" s="268"/>
      <c r="H313" s="269"/>
      <c r="I313" s="257"/>
      <c r="J313" s="262"/>
      <c r="K313" s="398"/>
      <c r="L313" s="398"/>
      <c r="M313" s="398"/>
      <c r="N313" s="398"/>
      <c r="O313" s="399"/>
      <c r="P313" s="400"/>
      <c r="Q313" s="399"/>
      <c r="R313" s="399"/>
      <c r="S313" s="401"/>
      <c r="T313" s="402"/>
    </row>
    <row r="314" spans="2:20" ht="15" hidden="1" customHeight="1">
      <c r="B314" s="255"/>
      <c r="C314" s="1379">
        <f>C309+D309+F309</f>
        <v>1100</v>
      </c>
      <c r="D314" s="1380"/>
      <c r="E314" s="1380"/>
      <c r="F314" s="1381"/>
      <c r="G314" s="268"/>
      <c r="H314" s="456"/>
      <c r="I314" s="257"/>
      <c r="J314" s="403"/>
      <c r="K314" s="404"/>
      <c r="L314" s="404"/>
      <c r="M314" s="404"/>
      <c r="N314" s="404"/>
      <c r="O314" s="259"/>
      <c r="P314" s="405"/>
      <c r="Q314" s="405"/>
      <c r="R314" s="405"/>
      <c r="S314" s="395"/>
      <c r="T314" s="261"/>
    </row>
    <row r="315" spans="2:20" ht="15" hidden="1" customHeight="1">
      <c r="B315" s="255"/>
      <c r="C315" s="256"/>
      <c r="D315" s="456"/>
      <c r="E315" s="456"/>
      <c r="F315" s="456"/>
      <c r="G315" s="456"/>
      <c r="H315" s="456"/>
      <c r="I315" s="257"/>
      <c r="J315" s="406"/>
      <c r="K315" s="264"/>
      <c r="L315" s="264"/>
      <c r="M315" s="264"/>
      <c r="N315" s="264"/>
      <c r="O315" s="265"/>
      <c r="P315" s="265"/>
      <c r="Q315" s="329"/>
      <c r="R315" s="329"/>
      <c r="S315" s="266"/>
      <c r="T315" s="267"/>
    </row>
    <row r="316" spans="2:20" ht="15" hidden="1" customHeight="1">
      <c r="B316" s="255"/>
      <c r="C316" s="256"/>
      <c r="D316" s="456"/>
      <c r="E316" s="456"/>
      <c r="F316" s="456"/>
      <c r="G316" s="456"/>
      <c r="H316" s="456"/>
      <c r="I316" s="269"/>
      <c r="J316" s="334"/>
      <c r="K316" s="258"/>
      <c r="L316" s="258"/>
      <c r="M316" s="258"/>
      <c r="N316" s="258"/>
      <c r="O316" s="259"/>
      <c r="P316" s="381"/>
      <c r="Q316" s="259"/>
      <c r="R316" s="259"/>
      <c r="S316" s="395"/>
      <c r="T316" s="261"/>
    </row>
    <row r="317" spans="2:20" ht="15" hidden="1" customHeight="1">
      <c r="B317" s="255"/>
      <c r="C317" s="256"/>
      <c r="D317" s="456"/>
      <c r="E317" s="456"/>
      <c r="F317" s="456"/>
      <c r="G317" s="456"/>
      <c r="H317" s="456"/>
      <c r="I317" s="257"/>
      <c r="J317" s="262"/>
      <c r="K317" s="407"/>
      <c r="L317" s="407"/>
      <c r="M317" s="407"/>
      <c r="N317" s="407"/>
      <c r="O317" s="265"/>
      <c r="P317" s="265"/>
      <c r="Q317" s="265"/>
      <c r="R317" s="265"/>
      <c r="S317" s="266"/>
      <c r="T317" s="267"/>
    </row>
    <row r="318" spans="2:20" ht="24.95" hidden="1" customHeight="1">
      <c r="B318" s="468" t="s">
        <v>752</v>
      </c>
      <c r="C318" s="1400" t="s">
        <v>854</v>
      </c>
      <c r="D318" s="1400"/>
      <c r="E318" s="1400"/>
      <c r="F318" s="1400"/>
      <c r="G318" s="1400"/>
      <c r="H318" s="1400"/>
      <c r="I318" s="1383" t="s">
        <v>759</v>
      </c>
      <c r="J318" s="1383"/>
      <c r="K318" s="1383"/>
      <c r="L318" s="1384"/>
      <c r="M318" s="1384"/>
      <c r="N318" s="1384"/>
      <c r="O318" s="1384"/>
      <c r="P318" s="1384"/>
      <c r="Q318" s="1384"/>
      <c r="R318" s="1384"/>
      <c r="S318" s="1384"/>
      <c r="T318" s="1385"/>
    </row>
    <row r="319" spans="2:20" ht="15" hidden="1" customHeight="1">
      <c r="B319" s="255"/>
      <c r="C319" s="256"/>
      <c r="D319" s="456"/>
      <c r="E319" s="456"/>
      <c r="F319" s="456"/>
      <c r="G319" s="456"/>
      <c r="H319" s="456"/>
      <c r="I319" s="257"/>
      <c r="J319" s="258"/>
      <c r="K319" s="258"/>
      <c r="L319" s="258" t="s">
        <v>39</v>
      </c>
      <c r="M319" s="258" t="s">
        <v>40</v>
      </c>
      <c r="N319" s="258" t="s">
        <v>41</v>
      </c>
      <c r="O319" s="259" t="s">
        <v>42</v>
      </c>
      <c r="P319" s="259" t="s">
        <v>43</v>
      </c>
      <c r="Q319" s="259"/>
      <c r="R319" s="259"/>
      <c r="S319" s="260" t="s">
        <v>44</v>
      </c>
      <c r="T319" s="261"/>
    </row>
    <row r="320" spans="2:20" ht="15" hidden="1" customHeight="1">
      <c r="B320" s="255"/>
      <c r="C320" s="256"/>
      <c r="D320" s="456"/>
      <c r="E320" s="456"/>
      <c r="F320" s="456"/>
      <c r="G320" s="456"/>
      <c r="H320" s="456"/>
      <c r="I320" s="257"/>
      <c r="J320" s="262" t="s">
        <v>45</v>
      </c>
      <c r="K320" s="263"/>
      <c r="L320" s="263" t="s">
        <v>46</v>
      </c>
      <c r="M320" s="264"/>
      <c r="N320" s="264"/>
      <c r="P320" s="265"/>
      <c r="Q320" s="265"/>
      <c r="R320" s="265"/>
      <c r="S320" s="266"/>
      <c r="T320" s="267"/>
    </row>
    <row r="321" spans="2:20" ht="15" hidden="1" customHeight="1">
      <c r="B321" s="255"/>
      <c r="C321" s="1380">
        <f>C343+(0.3*(I332)*2)</f>
        <v>686</v>
      </c>
      <c r="D321" s="1380"/>
      <c r="E321" s="1380"/>
      <c r="F321" s="1380"/>
      <c r="G321" s="268"/>
      <c r="H321" s="269"/>
      <c r="I321" s="257"/>
      <c r="J321" s="270" t="s">
        <v>47</v>
      </c>
      <c r="K321" s="271">
        <f>C321/1000</f>
        <v>0.68600000000000005</v>
      </c>
      <c r="L321" s="271"/>
      <c r="M321" s="271"/>
      <c r="N321" s="272" t="s">
        <v>48</v>
      </c>
      <c r="O321" s="273">
        <f>C343/1000</f>
        <v>0.5</v>
      </c>
      <c r="P321" s="274"/>
      <c r="Q321" s="275" t="s">
        <v>49</v>
      </c>
      <c r="R321" s="276">
        <f>(I332)/1000</f>
        <v>0.31</v>
      </c>
      <c r="S321" s="277"/>
      <c r="T321" s="278"/>
    </row>
    <row r="322" spans="2:20" ht="15" hidden="1" customHeight="1">
      <c r="B322" s="255"/>
      <c r="C322" s="279"/>
      <c r="D322" s="280"/>
      <c r="E322" s="280"/>
      <c r="F322" s="281"/>
      <c r="G322" s="268"/>
      <c r="H322" s="269"/>
      <c r="I322" s="282"/>
      <c r="J322" s="270" t="s">
        <v>50</v>
      </c>
      <c r="K322" s="271">
        <f>C323/1000</f>
        <v>0.68600000000000005</v>
      </c>
      <c r="L322" s="271"/>
      <c r="M322" s="271"/>
      <c r="N322" s="272" t="s">
        <v>51</v>
      </c>
      <c r="O322" s="273">
        <f>C345/1000</f>
        <v>0.5</v>
      </c>
      <c r="P322" s="274"/>
      <c r="Q322" s="254"/>
      <c r="R322" s="283"/>
      <c r="S322" s="284"/>
      <c r="T322" s="278"/>
    </row>
    <row r="323" spans="2:20" ht="15" hidden="1" customHeight="1">
      <c r="B323" s="255"/>
      <c r="C323" s="1379">
        <f>C345+(0.3*(I332)*2)</f>
        <v>686</v>
      </c>
      <c r="D323" s="1380"/>
      <c r="E323" s="1380"/>
      <c r="F323" s="1381"/>
      <c r="G323" s="268"/>
      <c r="H323" s="269"/>
      <c r="I323" s="282"/>
      <c r="J323" s="285" t="s">
        <v>52</v>
      </c>
      <c r="K323" s="286"/>
      <c r="L323" s="286"/>
      <c r="M323" s="286"/>
      <c r="N323" s="286"/>
      <c r="O323" s="287"/>
      <c r="P323" s="286"/>
      <c r="Q323" s="259"/>
      <c r="R323" s="259"/>
      <c r="S323" s="288">
        <f>ROUNDDOWN(R321/6*((2*K321+O321)*K322+(2*O321+K321)*O322),2)</f>
        <v>0.1</v>
      </c>
      <c r="T323" s="289" t="s">
        <v>178</v>
      </c>
    </row>
    <row r="324" spans="2:20" ht="15" hidden="1" customHeight="1">
      <c r="B324" s="255"/>
      <c r="C324" s="290"/>
      <c r="D324" s="291"/>
      <c r="E324" s="291"/>
      <c r="F324" s="281"/>
      <c r="G324" s="268"/>
      <c r="H324" s="269"/>
      <c r="I324" s="282"/>
      <c r="J324" s="476" t="s">
        <v>843</v>
      </c>
      <c r="K324" s="292"/>
      <c r="L324" s="292" t="s">
        <v>54</v>
      </c>
      <c r="M324" s="293"/>
      <c r="N324" s="293"/>
      <c r="O324" s="293"/>
      <c r="P324" s="292"/>
      <c r="Q324" s="263"/>
      <c r="R324" s="263"/>
      <c r="S324" s="266"/>
      <c r="T324" s="294"/>
    </row>
    <row r="325" spans="2:20" ht="15" hidden="1" customHeight="1">
      <c r="B325" s="255"/>
      <c r="C325" s="295"/>
      <c r="D325" s="1409">
        <v>300</v>
      </c>
      <c r="E325" s="1409"/>
      <c r="F325" s="296"/>
      <c r="G325" s="268"/>
      <c r="H325" s="269"/>
      <c r="I325" s="282"/>
      <c r="J325" s="270" t="s">
        <v>47</v>
      </c>
      <c r="K325" s="271">
        <f>D325/1000</f>
        <v>0.3</v>
      </c>
      <c r="L325" s="271"/>
      <c r="M325" s="271"/>
      <c r="N325" s="272" t="s">
        <v>48</v>
      </c>
      <c r="O325" s="271">
        <f>D340/1000</f>
        <v>0.3</v>
      </c>
      <c r="P325" s="274"/>
      <c r="Q325" s="275" t="s">
        <v>49</v>
      </c>
      <c r="R325" s="276">
        <f>H332/1000</f>
        <v>0.3</v>
      </c>
      <c r="S325" s="297">
        <f>ROUNDDOWN(K325*O325*R325,2)</f>
        <v>0.02</v>
      </c>
      <c r="T325" s="298" t="s">
        <v>55</v>
      </c>
    </row>
    <row r="326" spans="2:20" ht="15" hidden="1" customHeight="1">
      <c r="B326" s="255"/>
      <c r="C326" s="299"/>
      <c r="D326" s="300"/>
      <c r="E326" s="301"/>
      <c r="F326" s="302"/>
      <c r="G326" s="456"/>
      <c r="H326" s="269"/>
      <c r="I326" s="282"/>
      <c r="J326" s="270"/>
      <c r="K326" s="271"/>
      <c r="L326" s="271"/>
      <c r="M326" s="271"/>
      <c r="N326" s="272"/>
      <c r="O326" s="271"/>
      <c r="P326" s="274"/>
      <c r="Q326" s="275"/>
      <c r="R326" s="276"/>
      <c r="S326" s="297">
        <f>ROUNDDOWN(K326*O326*R326,2)</f>
        <v>0</v>
      </c>
      <c r="T326" s="298" t="s">
        <v>56</v>
      </c>
    </row>
    <row r="327" spans="2:20" ht="15" hidden="1" customHeight="1">
      <c r="B327" s="255"/>
      <c r="C327" s="299"/>
      <c r="D327" s="303"/>
      <c r="E327" s="302"/>
      <c r="F327" s="302"/>
      <c r="G327" s="456"/>
      <c r="H327" s="269"/>
      <c r="I327" s="282"/>
      <c r="J327" s="270"/>
      <c r="K327" s="271"/>
      <c r="L327" s="271"/>
      <c r="M327" s="271"/>
      <c r="N327" s="304"/>
      <c r="O327" s="271"/>
      <c r="P327" s="274"/>
      <c r="Q327" s="275"/>
      <c r="R327" s="276"/>
      <c r="S327" s="297"/>
      <c r="T327" s="298"/>
    </row>
    <row r="328" spans="2:20" ht="15" hidden="1" customHeight="1">
      <c r="B328" s="255"/>
      <c r="C328" s="299"/>
      <c r="D328" s="303"/>
      <c r="E328" s="302"/>
      <c r="F328" s="302"/>
      <c r="G328" s="456"/>
      <c r="H328" s="269"/>
      <c r="I328" s="282"/>
      <c r="J328" s="270"/>
      <c r="K328" s="271"/>
      <c r="L328" s="271"/>
      <c r="M328" s="271"/>
      <c r="N328" s="304"/>
      <c r="O328" s="271"/>
      <c r="P328" s="274"/>
      <c r="Q328" s="275"/>
      <c r="R328" s="276"/>
      <c r="S328" s="297"/>
      <c r="T328" s="298"/>
    </row>
    <row r="329" spans="2:20" ht="15" hidden="1" customHeight="1">
      <c r="B329" s="255"/>
      <c r="C329" s="299"/>
      <c r="D329" s="303"/>
      <c r="E329" s="302"/>
      <c r="F329" s="302"/>
      <c r="G329" s="456"/>
      <c r="H329" s="305"/>
      <c r="I329" s="282"/>
      <c r="J329" s="285" t="s">
        <v>57</v>
      </c>
      <c r="K329" s="286"/>
      <c r="L329" s="286"/>
      <c r="M329" s="286"/>
      <c r="N329" s="286"/>
      <c r="O329" s="287"/>
      <c r="P329" s="286"/>
      <c r="Q329" s="306"/>
      <c r="R329" s="307"/>
      <c r="S329" s="288">
        <f>SUM(S325:S328)</f>
        <v>0.02</v>
      </c>
      <c r="T329" s="289" t="s">
        <v>178</v>
      </c>
    </row>
    <row r="330" spans="2:20" ht="15" hidden="1" customHeight="1">
      <c r="B330" s="255"/>
      <c r="C330" s="299"/>
      <c r="D330" s="303"/>
      <c r="E330" s="302"/>
      <c r="F330" s="302"/>
      <c r="G330" s="456"/>
      <c r="H330" s="269"/>
      <c r="I330" s="308"/>
      <c r="J330" s="262" t="s">
        <v>58</v>
      </c>
      <c r="K330" s="293"/>
      <c r="L330" s="309" t="s">
        <v>334</v>
      </c>
      <c r="M330" s="309" t="s">
        <v>335</v>
      </c>
      <c r="N330" s="310" t="s">
        <v>336</v>
      </c>
      <c r="O330" s="311"/>
      <c r="P330" s="309"/>
      <c r="Q330" s="312"/>
      <c r="R330" s="312"/>
      <c r="S330" s="313"/>
      <c r="T330" s="294"/>
    </row>
    <row r="331" spans="2:20" ht="15" hidden="1" customHeight="1" thickBot="1">
      <c r="B331" s="314"/>
      <c r="C331" s="1388"/>
      <c r="D331" s="1388"/>
      <c r="E331" s="1388"/>
      <c r="F331" s="1388"/>
      <c r="G331" s="315"/>
      <c r="H331" s="315"/>
      <c r="I331" s="316"/>
      <c r="J331" s="317"/>
      <c r="K331" s="318"/>
      <c r="L331" s="318" t="s">
        <v>334</v>
      </c>
      <c r="M331" s="318">
        <f>S323</f>
        <v>0.1</v>
      </c>
      <c r="N331" s="318" t="s">
        <v>337</v>
      </c>
      <c r="O331" s="319">
        <f>S329</f>
        <v>0.02</v>
      </c>
      <c r="P331" s="320"/>
      <c r="Q331" s="321"/>
      <c r="R331" s="322"/>
      <c r="S331" s="323">
        <f>ROUNDDOWN(M331-O331,2)</f>
        <v>0.08</v>
      </c>
      <c r="T331" s="289" t="s">
        <v>178</v>
      </c>
    </row>
    <row r="332" spans="2:20" ht="15" hidden="1" customHeight="1" thickBot="1">
      <c r="B332" s="255"/>
      <c r="C332" s="324"/>
      <c r="D332" s="929"/>
      <c r="E332" s="929"/>
      <c r="F332" s="928"/>
      <c r="G332" s="931"/>
      <c r="H332" s="1410">
        <v>300</v>
      </c>
      <c r="I332" s="1413">
        <v>310</v>
      </c>
      <c r="J332" s="262"/>
      <c r="K332" s="293"/>
      <c r="L332" s="293"/>
      <c r="M332" s="309"/>
      <c r="N332" s="310"/>
      <c r="O332" s="293"/>
      <c r="P332" s="293"/>
      <c r="Q332" s="328"/>
      <c r="R332" s="329"/>
      <c r="S332" s="266"/>
      <c r="T332" s="294"/>
    </row>
    <row r="333" spans="2:20" ht="15" hidden="1" customHeight="1">
      <c r="B333" s="330"/>
      <c r="C333" s="324"/>
      <c r="D333" s="457"/>
      <c r="E333" s="325"/>
      <c r="F333" s="326"/>
      <c r="G333" s="930"/>
      <c r="H333" s="1411"/>
      <c r="I333" s="1414"/>
      <c r="J333" s="334"/>
      <c r="K333" s="335"/>
      <c r="L333" s="336"/>
      <c r="M333" s="335"/>
      <c r="N333" s="335"/>
      <c r="O333" s="286"/>
      <c r="P333" s="286"/>
      <c r="Q333" s="286"/>
      <c r="R333" s="259"/>
      <c r="S333" s="323"/>
      <c r="T333" s="337"/>
    </row>
    <row r="334" spans="2:20" ht="15" hidden="1" customHeight="1">
      <c r="B334" s="255"/>
      <c r="C334" s="324"/>
      <c r="D334" s="331"/>
      <c r="E334" s="332"/>
      <c r="F334" s="326"/>
      <c r="G334" s="333"/>
      <c r="H334" s="1411"/>
      <c r="I334" s="1414"/>
      <c r="J334" s="338"/>
      <c r="K334" s="293"/>
      <c r="L334" s="293"/>
      <c r="M334" s="293"/>
      <c r="N334" s="293"/>
      <c r="O334" s="339"/>
      <c r="P334" s="340"/>
      <c r="Q334" s="329"/>
      <c r="R334" s="341"/>
      <c r="S334" s="266"/>
      <c r="T334" s="294"/>
    </row>
    <row r="335" spans="2:20" ht="15" hidden="1" customHeight="1">
      <c r="B335" s="255"/>
      <c r="C335" s="324"/>
      <c r="D335" s="331"/>
      <c r="E335" s="332"/>
      <c r="F335" s="326"/>
      <c r="G335" s="333"/>
      <c r="H335" s="1411"/>
      <c r="I335" s="1414"/>
      <c r="J335" s="1416"/>
      <c r="K335" s="1417"/>
      <c r="L335" s="1417"/>
      <c r="M335" s="1417"/>
      <c r="N335" s="1417"/>
      <c r="O335" s="1417"/>
      <c r="P335" s="1417"/>
      <c r="Q335" s="1417"/>
      <c r="R335" s="1418"/>
      <c r="S335" s="351"/>
      <c r="T335" s="289"/>
    </row>
    <row r="336" spans="2:20" ht="15" hidden="1" customHeight="1" thickBot="1">
      <c r="B336" s="255"/>
      <c r="C336" s="352"/>
      <c r="D336" s="353"/>
      <c r="E336" s="354"/>
      <c r="F336" s="355"/>
      <c r="G336" s="356"/>
      <c r="H336" s="1412"/>
      <c r="I336" s="1414"/>
      <c r="J336" s="357"/>
      <c r="K336" s="358"/>
      <c r="L336" s="358"/>
      <c r="M336" s="358"/>
      <c r="N336" s="358"/>
      <c r="O336" s="359"/>
      <c r="P336" s="329"/>
      <c r="Q336" s="329"/>
      <c r="R336" s="329"/>
      <c r="S336" s="360"/>
      <c r="T336" s="361"/>
    </row>
    <row r="337" spans="2:20" ht="15" hidden="1" customHeight="1">
      <c r="B337" s="255"/>
      <c r="C337" s="362"/>
      <c r="D337" s="363"/>
      <c r="E337" s="364"/>
      <c r="F337" s="365"/>
      <c r="G337" s="456"/>
      <c r="H337" s="269"/>
      <c r="I337" s="282"/>
      <c r="J337" s="366"/>
      <c r="K337" s="367"/>
      <c r="L337" s="320"/>
      <c r="M337" s="368"/>
      <c r="N337" s="369"/>
      <c r="P337" s="370"/>
      <c r="Q337" s="350"/>
      <c r="R337" s="350"/>
      <c r="S337" s="323"/>
      <c r="T337" s="298"/>
    </row>
    <row r="338" spans="2:20" ht="15" hidden="1" customHeight="1">
      <c r="B338" s="255"/>
      <c r="C338" s="371">
        <v>100</v>
      </c>
      <c r="D338" s="1379">
        <v>300</v>
      </c>
      <c r="E338" s="1381"/>
      <c r="F338" s="372">
        <v>100</v>
      </c>
      <c r="G338" s="268"/>
      <c r="H338" s="373"/>
      <c r="I338" s="282"/>
      <c r="J338" s="357"/>
      <c r="K338" s="358"/>
      <c r="L338" s="358"/>
      <c r="M338" s="358"/>
      <c r="N338" s="358"/>
      <c r="O338" s="374"/>
      <c r="P338" s="375"/>
      <c r="Q338" s="374"/>
      <c r="R338" s="265"/>
      <c r="S338" s="266"/>
      <c r="T338" s="294"/>
    </row>
    <row r="339" spans="2:20" ht="15" hidden="1" customHeight="1">
      <c r="B339" s="376"/>
      <c r="C339" s="377"/>
      <c r="D339" s="303"/>
      <c r="E339" s="302"/>
      <c r="F339" s="378"/>
      <c r="G339" s="379"/>
      <c r="H339" s="373"/>
      <c r="I339" s="282"/>
      <c r="J339" s="380"/>
      <c r="K339" s="306"/>
      <c r="L339" s="306"/>
      <c r="M339" s="306"/>
      <c r="N339" s="306"/>
      <c r="O339" s="381"/>
      <c r="P339" s="381"/>
      <c r="Q339" s="381"/>
      <c r="R339" s="381"/>
      <c r="S339" s="382"/>
      <c r="T339" s="383"/>
    </row>
    <row r="340" spans="2:20" ht="15" hidden="1" customHeight="1">
      <c r="B340" s="255"/>
      <c r="C340" s="371">
        <v>100</v>
      </c>
      <c r="D340" s="1379">
        <v>300</v>
      </c>
      <c r="E340" s="1381"/>
      <c r="F340" s="372">
        <v>100</v>
      </c>
      <c r="G340" s="268"/>
      <c r="H340" s="373"/>
      <c r="I340" s="282"/>
      <c r="J340" s="357"/>
      <c r="K340" s="384"/>
      <c r="L340" s="384"/>
      <c r="M340" s="384"/>
      <c r="N340" s="384"/>
      <c r="O340" s="283"/>
      <c r="P340" s="385"/>
      <c r="Q340" s="385"/>
      <c r="R340" s="385"/>
      <c r="S340" s="386"/>
      <c r="T340" s="387"/>
    </row>
    <row r="341" spans="2:20" ht="15" hidden="1" customHeight="1">
      <c r="B341" s="255"/>
      <c r="C341" s="290"/>
      <c r="D341" s="388"/>
      <c r="E341" s="388"/>
      <c r="F341" s="389"/>
      <c r="G341" s="379"/>
      <c r="H341" s="373"/>
      <c r="I341" s="282"/>
      <c r="J341" s="390"/>
      <c r="K341" s="391"/>
      <c r="L341" s="391"/>
      <c r="M341" s="391"/>
      <c r="N341" s="391"/>
      <c r="O341" s="392"/>
      <c r="P341" s="393"/>
      <c r="Q341" s="381"/>
      <c r="R341" s="259"/>
      <c r="S341" s="394"/>
      <c r="T341" s="383"/>
    </row>
    <row r="342" spans="2:20" ht="15" hidden="1" customHeight="1">
      <c r="B342" s="255"/>
      <c r="C342" s="1376"/>
      <c r="D342" s="1377"/>
      <c r="E342" s="1377"/>
      <c r="F342" s="1378"/>
      <c r="G342" s="268"/>
      <c r="H342" s="269"/>
      <c r="I342" s="282"/>
      <c r="J342" s="262"/>
      <c r="K342" s="384"/>
      <c r="L342" s="264"/>
      <c r="M342" s="264"/>
      <c r="N342" s="264"/>
      <c r="O342" s="265"/>
      <c r="P342" s="265"/>
      <c r="Q342" s="329"/>
      <c r="R342" s="329"/>
      <c r="S342" s="266"/>
      <c r="T342" s="267"/>
    </row>
    <row r="343" spans="2:20" ht="15" hidden="1" customHeight="1">
      <c r="B343" s="255"/>
      <c r="C343" s="1379">
        <f>C338+D338+F338</f>
        <v>500</v>
      </c>
      <c r="D343" s="1380"/>
      <c r="E343" s="1380"/>
      <c r="F343" s="1381"/>
      <c r="G343" s="268"/>
      <c r="H343" s="456"/>
      <c r="I343" s="257"/>
      <c r="J343" s="334"/>
      <c r="K343" s="258"/>
      <c r="L343" s="258"/>
      <c r="M343" s="258"/>
      <c r="N343" s="258"/>
      <c r="O343" s="259"/>
      <c r="P343" s="381"/>
      <c r="Q343" s="259"/>
      <c r="R343" s="259"/>
      <c r="S343" s="395"/>
      <c r="T343" s="261"/>
    </row>
    <row r="344" spans="2:20" ht="15" hidden="1" customHeight="1">
      <c r="B344" s="255"/>
      <c r="C344" s="396"/>
      <c r="D344" s="388"/>
      <c r="E344" s="388"/>
      <c r="F344" s="397"/>
      <c r="G344" s="268"/>
      <c r="H344" s="269"/>
      <c r="I344" s="257"/>
      <c r="J344" s="262"/>
      <c r="K344" s="398"/>
      <c r="L344" s="398"/>
      <c r="M344" s="398"/>
      <c r="N344" s="398"/>
      <c r="O344" s="399"/>
      <c r="P344" s="400"/>
      <c r="Q344" s="399"/>
      <c r="R344" s="399"/>
      <c r="S344" s="401"/>
      <c r="T344" s="402"/>
    </row>
    <row r="345" spans="2:20" ht="15" hidden="1" customHeight="1">
      <c r="B345" s="255"/>
      <c r="C345" s="1379">
        <f>C340+D340+F340</f>
        <v>500</v>
      </c>
      <c r="D345" s="1380"/>
      <c r="E345" s="1380"/>
      <c r="F345" s="1381"/>
      <c r="G345" s="268"/>
      <c r="H345" s="456"/>
      <c r="I345" s="257"/>
      <c r="J345" s="403"/>
      <c r="K345" s="404"/>
      <c r="L345" s="404"/>
      <c r="M345" s="404"/>
      <c r="N345" s="404"/>
      <c r="O345" s="259"/>
      <c r="P345" s="405"/>
      <c r="Q345" s="405"/>
      <c r="R345" s="405"/>
      <c r="S345" s="395"/>
      <c r="T345" s="261"/>
    </row>
    <row r="346" spans="2:20" ht="15" hidden="1" customHeight="1">
      <c r="B346" s="255"/>
      <c r="C346" s="256"/>
      <c r="D346" s="456"/>
      <c r="E346" s="456"/>
      <c r="F346" s="456"/>
      <c r="G346" s="456"/>
      <c r="H346" s="456"/>
      <c r="I346" s="257"/>
      <c r="J346" s="406"/>
      <c r="K346" s="264"/>
      <c r="L346" s="264"/>
      <c r="M346" s="264"/>
      <c r="N346" s="264"/>
      <c r="O346" s="265"/>
      <c r="P346" s="265"/>
      <c r="Q346" s="329"/>
      <c r="R346" s="329"/>
      <c r="S346" s="266"/>
      <c r="T346" s="267"/>
    </row>
    <row r="347" spans="2:20" ht="15" hidden="1" customHeight="1">
      <c r="B347" s="255"/>
      <c r="C347" s="256"/>
      <c r="D347" s="456"/>
      <c r="E347" s="456"/>
      <c r="F347" s="456"/>
      <c r="G347" s="456"/>
      <c r="H347" s="456"/>
      <c r="I347" s="269"/>
      <c r="J347" s="334"/>
      <c r="K347" s="258"/>
      <c r="L347" s="258"/>
      <c r="M347" s="258"/>
      <c r="N347" s="258"/>
      <c r="O347" s="259"/>
      <c r="P347" s="381"/>
      <c r="Q347" s="259"/>
      <c r="R347" s="259"/>
      <c r="S347" s="395"/>
      <c r="T347" s="261"/>
    </row>
    <row r="348" spans="2:20" ht="15" hidden="1" customHeight="1">
      <c r="B348" s="255"/>
      <c r="C348" s="256"/>
      <c r="D348" s="456"/>
      <c r="E348" s="456"/>
      <c r="F348" s="456"/>
      <c r="G348" s="456"/>
      <c r="H348" s="456"/>
      <c r="I348" s="257"/>
      <c r="J348" s="262"/>
      <c r="K348" s="407"/>
      <c r="L348" s="407"/>
      <c r="M348" s="407"/>
      <c r="N348" s="407"/>
      <c r="O348" s="265"/>
      <c r="P348" s="265"/>
      <c r="Q348" s="265"/>
      <c r="R348" s="265"/>
      <c r="S348" s="266"/>
      <c r="T348" s="267"/>
    </row>
    <row r="349" spans="2:20" ht="24.95" hidden="1" customHeight="1">
      <c r="B349" s="468" t="s">
        <v>591</v>
      </c>
      <c r="C349" s="1400" t="s">
        <v>848</v>
      </c>
      <c r="D349" s="1400"/>
      <c r="E349" s="1400"/>
      <c r="F349" s="1400"/>
      <c r="G349" s="1400"/>
      <c r="H349" s="1400"/>
      <c r="I349" s="1383" t="s">
        <v>759</v>
      </c>
      <c r="J349" s="1383"/>
      <c r="K349" s="1383"/>
      <c r="L349" s="1384"/>
      <c r="M349" s="1384"/>
      <c r="N349" s="1384"/>
      <c r="O349" s="1384"/>
      <c r="P349" s="1384"/>
      <c r="Q349" s="1384"/>
      <c r="R349" s="1384"/>
      <c r="S349" s="1384"/>
      <c r="T349" s="1385"/>
    </row>
    <row r="350" spans="2:20" ht="15" hidden="1" customHeight="1">
      <c r="B350" s="255"/>
      <c r="C350" s="256"/>
      <c r="D350" s="456"/>
      <c r="E350" s="456"/>
      <c r="F350" s="456"/>
      <c r="G350" s="456"/>
      <c r="H350" s="456"/>
      <c r="I350" s="257"/>
      <c r="J350" s="258"/>
      <c r="K350" s="258"/>
      <c r="L350" s="258" t="s">
        <v>39</v>
      </c>
      <c r="M350" s="258" t="s">
        <v>40</v>
      </c>
      <c r="N350" s="258" t="s">
        <v>41</v>
      </c>
      <c r="O350" s="259" t="s">
        <v>42</v>
      </c>
      <c r="P350" s="259" t="s">
        <v>43</v>
      </c>
      <c r="Q350" s="259"/>
      <c r="R350" s="259"/>
      <c r="S350" s="260" t="s">
        <v>44</v>
      </c>
      <c r="T350" s="261"/>
    </row>
    <row r="351" spans="2:20" ht="15" hidden="1" customHeight="1">
      <c r="B351" s="255"/>
      <c r="C351" s="256"/>
      <c r="D351" s="456"/>
      <c r="E351" s="456"/>
      <c r="F351" s="456"/>
      <c r="G351" s="456"/>
      <c r="H351" s="456"/>
      <c r="I351" s="257"/>
      <c r="J351" s="262" t="s">
        <v>45</v>
      </c>
      <c r="K351" s="263"/>
      <c r="L351" s="263" t="s">
        <v>46</v>
      </c>
      <c r="M351" s="264"/>
      <c r="N351" s="264"/>
      <c r="P351" s="265"/>
      <c r="Q351" s="265"/>
      <c r="R351" s="265"/>
      <c r="S351" s="266"/>
      <c r="T351" s="267"/>
    </row>
    <row r="352" spans="2:20" ht="15" hidden="1" customHeight="1">
      <c r="B352" s="255"/>
      <c r="C352" s="1380">
        <f>C374+(0.3*(I363)*2)</f>
        <v>686</v>
      </c>
      <c r="D352" s="1380"/>
      <c r="E352" s="1380"/>
      <c r="F352" s="1380"/>
      <c r="G352" s="268"/>
      <c r="H352" s="269"/>
      <c r="I352" s="257"/>
      <c r="J352" s="270" t="s">
        <v>47</v>
      </c>
      <c r="K352" s="271">
        <f>C352/1000</f>
        <v>0.68600000000000005</v>
      </c>
      <c r="L352" s="271"/>
      <c r="M352" s="271"/>
      <c r="N352" s="272" t="s">
        <v>48</v>
      </c>
      <c r="O352" s="273">
        <f>C374/1000</f>
        <v>0.5</v>
      </c>
      <c r="P352" s="274"/>
      <c r="Q352" s="275" t="s">
        <v>49</v>
      </c>
      <c r="R352" s="276">
        <f>(I363)/1000</f>
        <v>0.31</v>
      </c>
      <c r="S352" s="277"/>
      <c r="T352" s="278"/>
    </row>
    <row r="353" spans="2:20" ht="15" hidden="1" customHeight="1">
      <c r="B353" s="255"/>
      <c r="C353" s="279"/>
      <c r="D353" s="280"/>
      <c r="E353" s="280"/>
      <c r="F353" s="281"/>
      <c r="G353" s="268"/>
      <c r="H353" s="269"/>
      <c r="I353" s="282"/>
      <c r="J353" s="270" t="s">
        <v>50</v>
      </c>
      <c r="K353" s="271">
        <f>C354/1000</f>
        <v>0.68600000000000005</v>
      </c>
      <c r="L353" s="271"/>
      <c r="M353" s="271"/>
      <c r="N353" s="272" t="s">
        <v>51</v>
      </c>
      <c r="O353" s="273">
        <f>C376/1000</f>
        <v>0.5</v>
      </c>
      <c r="P353" s="274"/>
      <c r="Q353" s="254"/>
      <c r="R353" s="283"/>
      <c r="S353" s="284"/>
      <c r="T353" s="278"/>
    </row>
    <row r="354" spans="2:20" ht="15" hidden="1" customHeight="1">
      <c r="B354" s="255"/>
      <c r="C354" s="1379">
        <f>C376+(0.3*(I363)*2)</f>
        <v>686</v>
      </c>
      <c r="D354" s="1380"/>
      <c r="E354" s="1380"/>
      <c r="F354" s="1381"/>
      <c r="G354" s="268"/>
      <c r="H354" s="269"/>
      <c r="I354" s="282"/>
      <c r="J354" s="285" t="s">
        <v>52</v>
      </c>
      <c r="K354" s="286"/>
      <c r="L354" s="286"/>
      <c r="M354" s="286"/>
      <c r="N354" s="286"/>
      <c r="O354" s="287"/>
      <c r="P354" s="286"/>
      <c r="Q354" s="259"/>
      <c r="R354" s="259"/>
      <c r="S354" s="288">
        <f>ROUNDDOWN(R352/6*((2*K352+O352)*K353+(2*O352+K352)*O353),2)</f>
        <v>0.1</v>
      </c>
      <c r="T354" s="289" t="s">
        <v>178</v>
      </c>
    </row>
    <row r="355" spans="2:20" ht="15" hidden="1" customHeight="1">
      <c r="B355" s="255"/>
      <c r="C355" s="290"/>
      <c r="D355" s="291"/>
      <c r="E355" s="291"/>
      <c r="F355" s="281"/>
      <c r="G355" s="268"/>
      <c r="H355" s="269"/>
      <c r="I355" s="282"/>
      <c r="J355" s="476" t="s">
        <v>843</v>
      </c>
      <c r="K355" s="292"/>
      <c r="L355" s="292" t="s">
        <v>54</v>
      </c>
      <c r="M355" s="293"/>
      <c r="N355" s="293"/>
      <c r="O355" s="293"/>
      <c r="P355" s="292"/>
      <c r="Q355" s="263"/>
      <c r="R355" s="263"/>
      <c r="S355" s="266"/>
      <c r="T355" s="294"/>
    </row>
    <row r="356" spans="2:20" ht="15" hidden="1" customHeight="1">
      <c r="B356" s="255"/>
      <c r="C356" s="295"/>
      <c r="D356" s="1409">
        <v>300</v>
      </c>
      <c r="E356" s="1409"/>
      <c r="F356" s="296"/>
      <c r="G356" s="268"/>
      <c r="H356" s="269"/>
      <c r="I356" s="282"/>
      <c r="J356" s="270" t="s">
        <v>47</v>
      </c>
      <c r="K356" s="271">
        <f>D356/1000</f>
        <v>0.3</v>
      </c>
      <c r="L356" s="271"/>
      <c r="M356" s="271"/>
      <c r="N356" s="272" t="s">
        <v>48</v>
      </c>
      <c r="O356" s="271">
        <f>D371/1000</f>
        <v>0.3</v>
      </c>
      <c r="P356" s="274"/>
      <c r="Q356" s="275" t="s">
        <v>49</v>
      </c>
      <c r="R356" s="276">
        <f>H363/1000</f>
        <v>0.3</v>
      </c>
      <c r="S356" s="297">
        <f>ROUNDDOWN(K356*O356*R356,2)</f>
        <v>0.02</v>
      </c>
      <c r="T356" s="298" t="s">
        <v>55</v>
      </c>
    </row>
    <row r="357" spans="2:20" ht="15" hidden="1" customHeight="1">
      <c r="B357" s="255"/>
      <c r="C357" s="299"/>
      <c r="D357" s="300"/>
      <c r="E357" s="301"/>
      <c r="F357" s="302"/>
      <c r="G357" s="456"/>
      <c r="H357" s="269"/>
      <c r="I357" s="282"/>
      <c r="J357" s="270"/>
      <c r="K357" s="271"/>
      <c r="L357" s="271"/>
      <c r="M357" s="271"/>
      <c r="N357" s="272"/>
      <c r="O357" s="271"/>
      <c r="P357" s="274"/>
      <c r="Q357" s="275"/>
      <c r="R357" s="276"/>
      <c r="S357" s="297">
        <f>ROUNDDOWN(K357*O357*R357,2)</f>
        <v>0</v>
      </c>
      <c r="T357" s="298" t="s">
        <v>56</v>
      </c>
    </row>
    <row r="358" spans="2:20" ht="15" hidden="1" customHeight="1">
      <c r="B358" s="255"/>
      <c r="C358" s="299"/>
      <c r="D358" s="303"/>
      <c r="E358" s="302"/>
      <c r="F358" s="302"/>
      <c r="G358" s="456"/>
      <c r="H358" s="269"/>
      <c r="I358" s="282"/>
      <c r="J358" s="270"/>
      <c r="K358" s="271"/>
      <c r="L358" s="271"/>
      <c r="M358" s="271"/>
      <c r="N358" s="304"/>
      <c r="O358" s="271"/>
      <c r="P358" s="274"/>
      <c r="Q358" s="275"/>
      <c r="R358" s="276"/>
      <c r="S358" s="297"/>
      <c r="T358" s="298"/>
    </row>
    <row r="359" spans="2:20" ht="15" hidden="1" customHeight="1">
      <c r="B359" s="255"/>
      <c r="C359" s="299"/>
      <c r="D359" s="303"/>
      <c r="E359" s="302"/>
      <c r="F359" s="302"/>
      <c r="G359" s="456"/>
      <c r="H359" s="269"/>
      <c r="I359" s="282"/>
      <c r="J359" s="270"/>
      <c r="K359" s="271"/>
      <c r="L359" s="271"/>
      <c r="M359" s="271"/>
      <c r="N359" s="304"/>
      <c r="O359" s="271"/>
      <c r="P359" s="274"/>
      <c r="Q359" s="275"/>
      <c r="R359" s="276"/>
      <c r="S359" s="297"/>
      <c r="T359" s="298"/>
    </row>
    <row r="360" spans="2:20" ht="15" hidden="1" customHeight="1">
      <c r="B360" s="255"/>
      <c r="C360" s="299"/>
      <c r="D360" s="303"/>
      <c r="E360" s="302"/>
      <c r="F360" s="302"/>
      <c r="G360" s="456"/>
      <c r="H360" s="305"/>
      <c r="I360" s="282"/>
      <c r="J360" s="285" t="s">
        <v>57</v>
      </c>
      <c r="K360" s="286"/>
      <c r="L360" s="286"/>
      <c r="M360" s="286"/>
      <c r="N360" s="286"/>
      <c r="O360" s="287"/>
      <c r="P360" s="286"/>
      <c r="Q360" s="306"/>
      <c r="R360" s="307"/>
      <c r="S360" s="288">
        <f>SUM(S356:S359)</f>
        <v>0.02</v>
      </c>
      <c r="T360" s="289" t="s">
        <v>178</v>
      </c>
    </row>
    <row r="361" spans="2:20" ht="15" hidden="1" customHeight="1">
      <c r="B361" s="255"/>
      <c r="C361" s="299"/>
      <c r="D361" s="303"/>
      <c r="E361" s="302"/>
      <c r="F361" s="302"/>
      <c r="G361" s="456"/>
      <c r="H361" s="269"/>
      <c r="I361" s="308"/>
      <c r="J361" s="262" t="s">
        <v>58</v>
      </c>
      <c r="K361" s="293"/>
      <c r="L361" s="309" t="s">
        <v>334</v>
      </c>
      <c r="M361" s="309" t="s">
        <v>335</v>
      </c>
      <c r="N361" s="310" t="s">
        <v>336</v>
      </c>
      <c r="O361" s="311"/>
      <c r="P361" s="309"/>
      <c r="Q361" s="312"/>
      <c r="R361" s="312"/>
      <c r="S361" s="313"/>
      <c r="T361" s="294"/>
    </row>
    <row r="362" spans="2:20" ht="15" hidden="1" customHeight="1" thickBot="1">
      <c r="B362" s="314"/>
      <c r="C362" s="1388"/>
      <c r="D362" s="1388"/>
      <c r="E362" s="1388"/>
      <c r="F362" s="1388"/>
      <c r="G362" s="315"/>
      <c r="H362" s="315"/>
      <c r="I362" s="316"/>
      <c r="J362" s="317"/>
      <c r="K362" s="318"/>
      <c r="L362" s="318" t="s">
        <v>334</v>
      </c>
      <c r="M362" s="318">
        <f>S354</f>
        <v>0.1</v>
      </c>
      <c r="N362" s="318" t="s">
        <v>337</v>
      </c>
      <c r="O362" s="319">
        <f>S360</f>
        <v>0.02</v>
      </c>
      <c r="P362" s="320"/>
      <c r="Q362" s="321"/>
      <c r="R362" s="322"/>
      <c r="S362" s="323">
        <f>ROUNDDOWN(M362-O362,2)</f>
        <v>0.08</v>
      </c>
      <c r="T362" s="289" t="s">
        <v>178</v>
      </c>
    </row>
    <row r="363" spans="2:20" ht="15" hidden="1" customHeight="1" thickBot="1">
      <c r="B363" s="255"/>
      <c r="C363" s="324"/>
      <c r="D363" s="929"/>
      <c r="E363" s="929"/>
      <c r="F363" s="928"/>
      <c r="G363" s="931"/>
      <c r="H363" s="1410">
        <v>300</v>
      </c>
      <c r="I363" s="1413">
        <v>310</v>
      </c>
      <c r="J363" s="262"/>
      <c r="K363" s="293"/>
      <c r="L363" s="293"/>
      <c r="M363" s="309"/>
      <c r="N363" s="310"/>
      <c r="O363" s="293"/>
      <c r="P363" s="293"/>
      <c r="Q363" s="328"/>
      <c r="R363" s="329"/>
      <c r="S363" s="266"/>
      <c r="T363" s="294"/>
    </row>
    <row r="364" spans="2:20" ht="15" hidden="1" customHeight="1">
      <c r="B364" s="330"/>
      <c r="C364" s="324"/>
      <c r="D364" s="457"/>
      <c r="E364" s="325"/>
      <c r="F364" s="326"/>
      <c r="G364" s="930"/>
      <c r="H364" s="1411"/>
      <c r="I364" s="1414"/>
      <c r="J364" s="334"/>
      <c r="K364" s="335"/>
      <c r="L364" s="336"/>
      <c r="M364" s="335"/>
      <c r="N364" s="335"/>
      <c r="O364" s="286"/>
      <c r="P364" s="286"/>
      <c r="Q364" s="286"/>
      <c r="R364" s="259"/>
      <c r="S364" s="323"/>
      <c r="T364" s="337"/>
    </row>
    <row r="365" spans="2:20" ht="15" hidden="1" customHeight="1">
      <c r="B365" s="255"/>
      <c r="C365" s="324"/>
      <c r="D365" s="331"/>
      <c r="E365" s="332"/>
      <c r="F365" s="326"/>
      <c r="G365" s="333"/>
      <c r="H365" s="1411"/>
      <c r="I365" s="1414"/>
      <c r="J365" s="338"/>
      <c r="K365" s="293"/>
      <c r="L365" s="293"/>
      <c r="M365" s="293"/>
      <c r="N365" s="293"/>
      <c r="O365" s="339"/>
      <c r="P365" s="340"/>
      <c r="Q365" s="329"/>
      <c r="R365" s="341"/>
      <c r="S365" s="266"/>
      <c r="T365" s="294"/>
    </row>
    <row r="366" spans="2:20" ht="15" hidden="1" customHeight="1">
      <c r="B366" s="255"/>
      <c r="C366" s="324"/>
      <c r="D366" s="331"/>
      <c r="E366" s="332"/>
      <c r="F366" s="326"/>
      <c r="G366" s="333"/>
      <c r="H366" s="1411"/>
      <c r="I366" s="1414"/>
      <c r="J366" s="1416"/>
      <c r="K366" s="1417"/>
      <c r="L366" s="1417"/>
      <c r="M366" s="1417"/>
      <c r="N366" s="1417"/>
      <c r="O366" s="1417"/>
      <c r="P366" s="1417"/>
      <c r="Q366" s="1417"/>
      <c r="R366" s="1418"/>
      <c r="S366" s="351"/>
      <c r="T366" s="289"/>
    </row>
    <row r="367" spans="2:20" ht="15" hidden="1" customHeight="1" thickBot="1">
      <c r="B367" s="255"/>
      <c r="C367" s="352"/>
      <c r="D367" s="353"/>
      <c r="E367" s="354"/>
      <c r="F367" s="355"/>
      <c r="G367" s="356"/>
      <c r="H367" s="1412"/>
      <c r="I367" s="1414"/>
      <c r="J367" s="357"/>
      <c r="K367" s="358"/>
      <c r="L367" s="358"/>
      <c r="M367" s="358"/>
      <c r="N367" s="358"/>
      <c r="O367" s="359"/>
      <c r="P367" s="329"/>
      <c r="Q367" s="329"/>
      <c r="R367" s="329"/>
      <c r="S367" s="360"/>
      <c r="T367" s="361"/>
    </row>
    <row r="368" spans="2:20" ht="15" hidden="1" customHeight="1">
      <c r="B368" s="255"/>
      <c r="C368" s="362"/>
      <c r="D368" s="363"/>
      <c r="E368" s="364"/>
      <c r="F368" s="365"/>
      <c r="G368" s="456"/>
      <c r="H368" s="269"/>
      <c r="I368" s="282"/>
      <c r="J368" s="366"/>
      <c r="K368" s="367"/>
      <c r="L368" s="320"/>
      <c r="M368" s="368"/>
      <c r="N368" s="369"/>
      <c r="P368" s="370"/>
      <c r="Q368" s="350"/>
      <c r="R368" s="350"/>
      <c r="S368" s="323"/>
      <c r="T368" s="298"/>
    </row>
    <row r="369" spans="2:20" ht="15" hidden="1" customHeight="1">
      <c r="B369" s="255"/>
      <c r="C369" s="371">
        <v>100</v>
      </c>
      <c r="D369" s="1379">
        <v>300</v>
      </c>
      <c r="E369" s="1381"/>
      <c r="F369" s="372">
        <v>100</v>
      </c>
      <c r="G369" s="268"/>
      <c r="H369" s="373"/>
      <c r="I369" s="282"/>
      <c r="J369" s="357"/>
      <c r="K369" s="358"/>
      <c r="L369" s="358"/>
      <c r="M369" s="358"/>
      <c r="N369" s="358"/>
      <c r="O369" s="374"/>
      <c r="P369" s="375"/>
      <c r="Q369" s="374"/>
      <c r="R369" s="265"/>
      <c r="S369" s="266"/>
      <c r="T369" s="294"/>
    </row>
    <row r="370" spans="2:20" ht="15" hidden="1" customHeight="1">
      <c r="B370" s="376"/>
      <c r="C370" s="377"/>
      <c r="D370" s="303"/>
      <c r="E370" s="302"/>
      <c r="F370" s="378"/>
      <c r="G370" s="379"/>
      <c r="H370" s="373"/>
      <c r="I370" s="282"/>
      <c r="J370" s="380"/>
      <c r="K370" s="306"/>
      <c r="L370" s="306"/>
      <c r="M370" s="306"/>
      <c r="N370" s="306"/>
      <c r="O370" s="381"/>
      <c r="P370" s="381"/>
      <c r="Q370" s="381"/>
      <c r="R370" s="381"/>
      <c r="S370" s="382"/>
      <c r="T370" s="383"/>
    </row>
    <row r="371" spans="2:20" ht="15" hidden="1" customHeight="1">
      <c r="B371" s="255"/>
      <c r="C371" s="371">
        <v>100</v>
      </c>
      <c r="D371" s="1379">
        <v>300</v>
      </c>
      <c r="E371" s="1381"/>
      <c r="F371" s="372">
        <v>100</v>
      </c>
      <c r="G371" s="268"/>
      <c r="H371" s="373"/>
      <c r="I371" s="282"/>
      <c r="J371" s="357"/>
      <c r="K371" s="384"/>
      <c r="L371" s="384"/>
      <c r="M371" s="384"/>
      <c r="N371" s="384"/>
      <c r="O371" s="283"/>
      <c r="P371" s="385"/>
      <c r="Q371" s="385"/>
      <c r="R371" s="385"/>
      <c r="S371" s="386"/>
      <c r="T371" s="387"/>
    </row>
    <row r="372" spans="2:20" ht="15" hidden="1" customHeight="1">
      <c r="B372" s="255"/>
      <c r="C372" s="290"/>
      <c r="D372" s="388"/>
      <c r="E372" s="388"/>
      <c r="F372" s="389"/>
      <c r="G372" s="379"/>
      <c r="H372" s="373"/>
      <c r="I372" s="282"/>
      <c r="J372" s="390"/>
      <c r="K372" s="391"/>
      <c r="L372" s="391"/>
      <c r="M372" s="391"/>
      <c r="N372" s="391"/>
      <c r="O372" s="392"/>
      <c r="P372" s="393"/>
      <c r="Q372" s="381"/>
      <c r="R372" s="259"/>
      <c r="S372" s="394"/>
      <c r="T372" s="383"/>
    </row>
    <row r="373" spans="2:20" ht="15" hidden="1" customHeight="1">
      <c r="B373" s="255"/>
      <c r="C373" s="1376"/>
      <c r="D373" s="1377"/>
      <c r="E373" s="1377"/>
      <c r="F373" s="1378"/>
      <c r="G373" s="268"/>
      <c r="H373" s="269"/>
      <c r="I373" s="282"/>
      <c r="J373" s="262"/>
      <c r="K373" s="384"/>
      <c r="L373" s="264"/>
      <c r="M373" s="264"/>
      <c r="N373" s="264"/>
      <c r="O373" s="265"/>
      <c r="P373" s="265"/>
      <c r="Q373" s="329"/>
      <c r="R373" s="329"/>
      <c r="S373" s="266"/>
      <c r="T373" s="267"/>
    </row>
    <row r="374" spans="2:20" ht="15" hidden="1" customHeight="1">
      <c r="B374" s="255"/>
      <c r="C374" s="1379">
        <f>C369+D369+F369</f>
        <v>500</v>
      </c>
      <c r="D374" s="1380"/>
      <c r="E374" s="1380"/>
      <c r="F374" s="1381"/>
      <c r="G374" s="268"/>
      <c r="H374" s="456"/>
      <c r="I374" s="257"/>
      <c r="J374" s="334"/>
      <c r="K374" s="258"/>
      <c r="L374" s="258"/>
      <c r="M374" s="258"/>
      <c r="N374" s="258"/>
      <c r="O374" s="259"/>
      <c r="P374" s="381"/>
      <c r="Q374" s="259"/>
      <c r="R374" s="259"/>
      <c r="S374" s="395"/>
      <c r="T374" s="261"/>
    </row>
    <row r="375" spans="2:20" ht="15" hidden="1" customHeight="1">
      <c r="B375" s="255"/>
      <c r="C375" s="396"/>
      <c r="D375" s="388"/>
      <c r="E375" s="388"/>
      <c r="F375" s="397"/>
      <c r="G375" s="268"/>
      <c r="H375" s="269"/>
      <c r="I375" s="257"/>
      <c r="J375" s="262"/>
      <c r="K375" s="398"/>
      <c r="L375" s="398"/>
      <c r="M375" s="398"/>
      <c r="N375" s="398"/>
      <c r="O375" s="399"/>
      <c r="P375" s="400"/>
      <c r="Q375" s="399"/>
      <c r="R375" s="399"/>
      <c r="S375" s="401"/>
      <c r="T375" s="402"/>
    </row>
    <row r="376" spans="2:20" ht="15" hidden="1" customHeight="1">
      <c r="B376" s="255"/>
      <c r="C376" s="1379">
        <f>C371+D371+F371</f>
        <v>500</v>
      </c>
      <c r="D376" s="1380"/>
      <c r="E376" s="1380"/>
      <c r="F376" s="1381"/>
      <c r="G376" s="268"/>
      <c r="H376" s="456"/>
      <c r="I376" s="257"/>
      <c r="J376" s="403"/>
      <c r="K376" s="404"/>
      <c r="L376" s="404"/>
      <c r="M376" s="404"/>
      <c r="N376" s="404"/>
      <c r="O376" s="259"/>
      <c r="P376" s="405"/>
      <c r="Q376" s="405"/>
      <c r="R376" s="405"/>
      <c r="S376" s="395"/>
      <c r="T376" s="261"/>
    </row>
    <row r="377" spans="2:20" ht="15" hidden="1" customHeight="1">
      <c r="B377" s="255"/>
      <c r="C377" s="256"/>
      <c r="D377" s="456"/>
      <c r="E377" s="456"/>
      <c r="F377" s="456"/>
      <c r="G377" s="456"/>
      <c r="H377" s="456"/>
      <c r="I377" s="257"/>
      <c r="J377" s="406"/>
      <c r="K377" s="264"/>
      <c r="L377" s="264"/>
      <c r="M377" s="264"/>
      <c r="N377" s="264"/>
      <c r="O377" s="265"/>
      <c r="P377" s="265"/>
      <c r="Q377" s="329"/>
      <c r="R377" s="329"/>
      <c r="S377" s="266"/>
      <c r="T377" s="267"/>
    </row>
    <row r="378" spans="2:20" ht="15" hidden="1" customHeight="1">
      <c r="B378" s="255"/>
      <c r="C378" s="256"/>
      <c r="D378" s="456"/>
      <c r="E378" s="456"/>
      <c r="F378" s="456"/>
      <c r="G378" s="456"/>
      <c r="H378" s="456"/>
      <c r="I378" s="269"/>
      <c r="J378" s="334"/>
      <c r="K378" s="258"/>
      <c r="L378" s="258"/>
      <c r="M378" s="258"/>
      <c r="N378" s="258"/>
      <c r="O378" s="259"/>
      <c r="P378" s="381"/>
      <c r="Q378" s="259"/>
      <c r="R378" s="259"/>
      <c r="S378" s="395"/>
      <c r="T378" s="261"/>
    </row>
    <row r="379" spans="2:20" ht="15" hidden="1" customHeight="1">
      <c r="B379" s="255"/>
      <c r="C379" s="256"/>
      <c r="D379" s="456"/>
      <c r="E379" s="456"/>
      <c r="F379" s="456"/>
      <c r="G379" s="456"/>
      <c r="H379" s="456"/>
      <c r="I379" s="257"/>
      <c r="J379" s="262"/>
      <c r="K379" s="407"/>
      <c r="L379" s="407"/>
      <c r="M379" s="407"/>
      <c r="N379" s="407"/>
      <c r="O379" s="265"/>
      <c r="P379" s="265"/>
      <c r="Q379" s="265"/>
      <c r="R379" s="265"/>
      <c r="S379" s="266"/>
      <c r="T379" s="267"/>
    </row>
    <row r="380" spans="2:20" ht="24.95" hidden="1" customHeight="1">
      <c r="B380" s="468" t="s">
        <v>618</v>
      </c>
      <c r="C380" s="1400" t="s">
        <v>853</v>
      </c>
      <c r="D380" s="1400"/>
      <c r="E380" s="1400"/>
      <c r="F380" s="1400"/>
      <c r="G380" s="1400"/>
      <c r="H380" s="1400"/>
      <c r="I380" s="1383" t="s">
        <v>759</v>
      </c>
      <c r="J380" s="1383"/>
      <c r="K380" s="1383"/>
      <c r="L380" s="1384"/>
      <c r="M380" s="1384"/>
      <c r="N380" s="1384"/>
      <c r="O380" s="1384"/>
      <c r="P380" s="1384"/>
      <c r="Q380" s="1384"/>
      <c r="R380" s="1384"/>
      <c r="S380" s="1384"/>
      <c r="T380" s="1385"/>
    </row>
    <row r="381" spans="2:20" ht="15" hidden="1" customHeight="1">
      <c r="B381" s="255"/>
      <c r="C381" s="256"/>
      <c r="D381" s="456"/>
      <c r="E381" s="456"/>
      <c r="F381" s="456"/>
      <c r="G381" s="456"/>
      <c r="H381" s="456"/>
      <c r="I381" s="257"/>
      <c r="J381" s="258"/>
      <c r="K381" s="258"/>
      <c r="L381" s="258" t="s">
        <v>39</v>
      </c>
      <c r="M381" s="258" t="s">
        <v>40</v>
      </c>
      <c r="N381" s="258" t="s">
        <v>41</v>
      </c>
      <c r="O381" s="259" t="s">
        <v>42</v>
      </c>
      <c r="P381" s="259" t="s">
        <v>43</v>
      </c>
      <c r="Q381" s="259"/>
      <c r="R381" s="259"/>
      <c r="S381" s="260" t="s">
        <v>44</v>
      </c>
      <c r="T381" s="261"/>
    </row>
    <row r="382" spans="2:20" ht="15" hidden="1" customHeight="1">
      <c r="B382" s="255"/>
      <c r="C382" s="256"/>
      <c r="D382" s="456"/>
      <c r="E382" s="456"/>
      <c r="F382" s="456"/>
      <c r="G382" s="456"/>
      <c r="H382" s="456"/>
      <c r="I382" s="257"/>
      <c r="J382" s="262" t="s">
        <v>45</v>
      </c>
      <c r="K382" s="263"/>
      <c r="L382" s="263" t="s">
        <v>46</v>
      </c>
      <c r="M382" s="264"/>
      <c r="N382" s="264"/>
      <c r="P382" s="265"/>
      <c r="Q382" s="265"/>
      <c r="R382" s="265"/>
      <c r="S382" s="266"/>
      <c r="T382" s="267"/>
    </row>
    <row r="383" spans="2:20" ht="15" hidden="1" customHeight="1">
      <c r="B383" s="255"/>
      <c r="C383" s="1380">
        <f>C405+(0.3*(I394)*2)</f>
        <v>692</v>
      </c>
      <c r="D383" s="1380"/>
      <c r="E383" s="1380"/>
      <c r="F383" s="1380"/>
      <c r="G383" s="268"/>
      <c r="H383" s="269"/>
      <c r="I383" s="257"/>
      <c r="J383" s="270" t="s">
        <v>47</v>
      </c>
      <c r="K383" s="271">
        <f>C383/1000</f>
        <v>0.69199999999999995</v>
      </c>
      <c r="L383" s="271"/>
      <c r="M383" s="271"/>
      <c r="N383" s="272" t="s">
        <v>48</v>
      </c>
      <c r="O383" s="273">
        <f>C405/1000</f>
        <v>0.5</v>
      </c>
      <c r="P383" s="274"/>
      <c r="Q383" s="275" t="s">
        <v>49</v>
      </c>
      <c r="R383" s="276">
        <f>(I394)/1000</f>
        <v>0.32</v>
      </c>
      <c r="S383" s="277"/>
      <c r="T383" s="278"/>
    </row>
    <row r="384" spans="2:20" ht="15" hidden="1" customHeight="1">
      <c r="B384" s="255"/>
      <c r="C384" s="279"/>
      <c r="D384" s="280"/>
      <c r="E384" s="280"/>
      <c r="F384" s="281"/>
      <c r="G384" s="268"/>
      <c r="H384" s="269"/>
      <c r="I384" s="282"/>
      <c r="J384" s="270" t="s">
        <v>50</v>
      </c>
      <c r="K384" s="271">
        <f>C385/1000</f>
        <v>0.69199999999999995</v>
      </c>
      <c r="L384" s="271"/>
      <c r="M384" s="271"/>
      <c r="N384" s="272" t="s">
        <v>51</v>
      </c>
      <c r="O384" s="273">
        <f>C407/1000</f>
        <v>0.5</v>
      </c>
      <c r="P384" s="274"/>
      <c r="Q384" s="254"/>
      <c r="R384" s="283"/>
      <c r="S384" s="284"/>
      <c r="T384" s="278"/>
    </row>
    <row r="385" spans="2:20" ht="15" hidden="1" customHeight="1">
      <c r="B385" s="255"/>
      <c r="C385" s="1379">
        <f>C407+(0.3*(I394)*2)</f>
        <v>692</v>
      </c>
      <c r="D385" s="1380"/>
      <c r="E385" s="1380"/>
      <c r="F385" s="1381"/>
      <c r="G385" s="268"/>
      <c r="H385" s="269"/>
      <c r="I385" s="282"/>
      <c r="J385" s="285" t="s">
        <v>52</v>
      </c>
      <c r="K385" s="286"/>
      <c r="L385" s="286"/>
      <c r="M385" s="286"/>
      <c r="N385" s="286"/>
      <c r="O385" s="287"/>
      <c r="P385" s="286"/>
      <c r="Q385" s="259"/>
      <c r="R385" s="259"/>
      <c r="S385" s="288">
        <f>ROUNDDOWN(R383/6*((2*K383+O383)*K384+(2*O383+K383)*O384),2)</f>
        <v>0.11</v>
      </c>
      <c r="T385" s="289" t="s">
        <v>178</v>
      </c>
    </row>
    <row r="386" spans="2:20" ht="15" hidden="1" customHeight="1">
      <c r="B386" s="255"/>
      <c r="C386" s="290"/>
      <c r="D386" s="291"/>
      <c r="E386" s="291"/>
      <c r="F386" s="281"/>
      <c r="G386" s="268"/>
      <c r="H386" s="269"/>
      <c r="I386" s="282"/>
      <c r="J386" s="476" t="s">
        <v>843</v>
      </c>
      <c r="K386" s="292"/>
      <c r="L386" s="292" t="s">
        <v>54</v>
      </c>
      <c r="M386" s="293"/>
      <c r="N386" s="293"/>
      <c r="O386" s="293"/>
      <c r="P386" s="292"/>
      <c r="Q386" s="263"/>
      <c r="R386" s="263"/>
      <c r="S386" s="266"/>
      <c r="T386" s="294"/>
    </row>
    <row r="387" spans="2:20" ht="15" hidden="1" customHeight="1">
      <c r="B387" s="255"/>
      <c r="C387" s="295"/>
      <c r="D387" s="1409">
        <v>300</v>
      </c>
      <c r="E387" s="1409"/>
      <c r="F387" s="296"/>
      <c r="G387" s="268"/>
      <c r="H387" s="269"/>
      <c r="I387" s="282"/>
      <c r="J387" s="270" t="s">
        <v>47</v>
      </c>
      <c r="K387" s="271">
        <f>D387/1000</f>
        <v>0.3</v>
      </c>
      <c r="L387" s="271"/>
      <c r="M387" s="271"/>
      <c r="N387" s="272" t="s">
        <v>48</v>
      </c>
      <c r="O387" s="271">
        <f>D402/1000</f>
        <v>0.3</v>
      </c>
      <c r="P387" s="274"/>
      <c r="Q387" s="275" t="s">
        <v>49</v>
      </c>
      <c r="R387" s="276">
        <f>H394/1000</f>
        <v>0.3</v>
      </c>
      <c r="S387" s="297">
        <f>ROUNDDOWN(K387*O387*R387,2)</f>
        <v>0.02</v>
      </c>
      <c r="T387" s="298" t="s">
        <v>55</v>
      </c>
    </row>
    <row r="388" spans="2:20" ht="15" hidden="1" customHeight="1">
      <c r="B388" s="255"/>
      <c r="C388" s="299"/>
      <c r="D388" s="300"/>
      <c r="E388" s="301"/>
      <c r="F388" s="302"/>
      <c r="G388" s="456"/>
      <c r="H388" s="269"/>
      <c r="I388" s="282"/>
      <c r="J388" s="270"/>
      <c r="K388" s="271"/>
      <c r="L388" s="271"/>
      <c r="M388" s="271"/>
      <c r="N388" s="272"/>
      <c r="O388" s="271"/>
      <c r="P388" s="274"/>
      <c r="Q388" s="275"/>
      <c r="R388" s="276"/>
      <c r="S388" s="297">
        <f>ROUNDDOWN(K388*O388*R388,2)</f>
        <v>0</v>
      </c>
      <c r="T388" s="298" t="s">
        <v>56</v>
      </c>
    </row>
    <row r="389" spans="2:20" ht="15" hidden="1" customHeight="1">
      <c r="B389" s="255"/>
      <c r="C389" s="299"/>
      <c r="D389" s="303"/>
      <c r="E389" s="302"/>
      <c r="F389" s="302"/>
      <c r="G389" s="456"/>
      <c r="H389" s="269"/>
      <c r="I389" s="282"/>
      <c r="J389" s="270"/>
      <c r="K389" s="271"/>
      <c r="L389" s="271"/>
      <c r="M389" s="271"/>
      <c r="N389" s="304"/>
      <c r="O389" s="271"/>
      <c r="P389" s="274"/>
      <c r="Q389" s="275"/>
      <c r="R389" s="276"/>
      <c r="S389" s="297"/>
      <c r="T389" s="298"/>
    </row>
    <row r="390" spans="2:20" ht="15" hidden="1" customHeight="1">
      <c r="B390" s="255"/>
      <c r="C390" s="299"/>
      <c r="D390" s="303"/>
      <c r="E390" s="302"/>
      <c r="F390" s="302"/>
      <c r="G390" s="456"/>
      <c r="H390" s="269"/>
      <c r="I390" s="282"/>
      <c r="J390" s="270"/>
      <c r="K390" s="271"/>
      <c r="L390" s="271"/>
      <c r="M390" s="271"/>
      <c r="N390" s="304"/>
      <c r="O390" s="271"/>
      <c r="P390" s="274"/>
      <c r="Q390" s="275"/>
      <c r="R390" s="276"/>
      <c r="S390" s="297"/>
      <c r="T390" s="298"/>
    </row>
    <row r="391" spans="2:20" ht="15" hidden="1" customHeight="1">
      <c r="B391" s="255"/>
      <c r="C391" s="299"/>
      <c r="D391" s="303"/>
      <c r="E391" s="302"/>
      <c r="F391" s="302"/>
      <c r="G391" s="456"/>
      <c r="H391" s="305"/>
      <c r="I391" s="282"/>
      <c r="J391" s="285" t="s">
        <v>57</v>
      </c>
      <c r="K391" s="286"/>
      <c r="L391" s="286"/>
      <c r="M391" s="286"/>
      <c r="N391" s="286"/>
      <c r="O391" s="287"/>
      <c r="P391" s="286"/>
      <c r="Q391" s="306"/>
      <c r="R391" s="307"/>
      <c r="S391" s="288">
        <f>SUM(S387:S390)</f>
        <v>0.02</v>
      </c>
      <c r="T391" s="289" t="s">
        <v>178</v>
      </c>
    </row>
    <row r="392" spans="2:20" ht="15" hidden="1" customHeight="1">
      <c r="B392" s="255"/>
      <c r="C392" s="299"/>
      <c r="D392" s="303"/>
      <c r="E392" s="302"/>
      <c r="F392" s="302"/>
      <c r="G392" s="456"/>
      <c r="H392" s="269"/>
      <c r="I392" s="308"/>
      <c r="J392" s="262" t="s">
        <v>58</v>
      </c>
      <c r="K392" s="293"/>
      <c r="L392" s="309" t="s">
        <v>334</v>
      </c>
      <c r="M392" s="309" t="s">
        <v>335</v>
      </c>
      <c r="N392" s="310" t="s">
        <v>336</v>
      </c>
      <c r="O392" s="311"/>
      <c r="P392" s="309"/>
      <c r="Q392" s="312"/>
      <c r="R392" s="312"/>
      <c r="S392" s="313"/>
      <c r="T392" s="294"/>
    </row>
    <row r="393" spans="2:20" ht="15" hidden="1" customHeight="1" thickBot="1">
      <c r="B393" s="314"/>
      <c r="C393" s="1388"/>
      <c r="D393" s="1388"/>
      <c r="E393" s="1388"/>
      <c r="F393" s="1388"/>
      <c r="G393" s="315"/>
      <c r="H393" s="315"/>
      <c r="I393" s="316"/>
      <c r="J393" s="317"/>
      <c r="K393" s="318"/>
      <c r="L393" s="318" t="s">
        <v>334</v>
      </c>
      <c r="M393" s="318">
        <f>S385</f>
        <v>0.11</v>
      </c>
      <c r="N393" s="318" t="s">
        <v>337</v>
      </c>
      <c r="O393" s="319">
        <f>S391</f>
        <v>0.02</v>
      </c>
      <c r="P393" s="320"/>
      <c r="Q393" s="321"/>
      <c r="R393" s="322"/>
      <c r="S393" s="323">
        <f>ROUNDDOWN(M393-O393,2)</f>
        <v>0.09</v>
      </c>
      <c r="T393" s="289" t="s">
        <v>178</v>
      </c>
    </row>
    <row r="394" spans="2:20" ht="15" hidden="1" customHeight="1" thickBot="1">
      <c r="B394" s="255"/>
      <c r="C394" s="324"/>
      <c r="D394" s="929"/>
      <c r="E394" s="929"/>
      <c r="F394" s="928"/>
      <c r="G394" s="931"/>
      <c r="H394" s="1410">
        <v>300</v>
      </c>
      <c r="I394" s="1413">
        <v>320</v>
      </c>
      <c r="J394" s="262"/>
      <c r="K394" s="293"/>
      <c r="L394" s="293"/>
      <c r="M394" s="309"/>
      <c r="N394" s="310"/>
      <c r="O394" s="293"/>
      <c r="P394" s="293"/>
      <c r="Q394" s="328"/>
      <c r="R394" s="329"/>
      <c r="S394" s="266"/>
      <c r="T394" s="294"/>
    </row>
    <row r="395" spans="2:20" ht="15" hidden="1" customHeight="1">
      <c r="B395" s="330"/>
      <c r="C395" s="324"/>
      <c r="D395" s="457"/>
      <c r="E395" s="325"/>
      <c r="F395" s="326"/>
      <c r="G395" s="930"/>
      <c r="H395" s="1411"/>
      <c r="I395" s="1414"/>
      <c r="J395" s="334"/>
      <c r="K395" s="335"/>
      <c r="L395" s="336"/>
      <c r="M395" s="335"/>
      <c r="N395" s="335"/>
      <c r="O395" s="286"/>
      <c r="P395" s="286"/>
      <c r="Q395" s="286"/>
      <c r="R395" s="259"/>
      <c r="S395" s="323"/>
      <c r="T395" s="337"/>
    </row>
    <row r="396" spans="2:20" ht="15" hidden="1" customHeight="1">
      <c r="B396" s="255"/>
      <c r="C396" s="324"/>
      <c r="D396" s="331"/>
      <c r="E396" s="332"/>
      <c r="F396" s="326"/>
      <c r="G396" s="333"/>
      <c r="H396" s="1411"/>
      <c r="I396" s="1414"/>
      <c r="J396" s="338"/>
      <c r="K396" s="293"/>
      <c r="L396" s="293"/>
      <c r="M396" s="293"/>
      <c r="N396" s="293"/>
      <c r="O396" s="339"/>
      <c r="P396" s="340"/>
      <c r="Q396" s="329"/>
      <c r="R396" s="341"/>
      <c r="S396" s="266"/>
      <c r="T396" s="294"/>
    </row>
    <row r="397" spans="2:20" ht="15" hidden="1" customHeight="1">
      <c r="B397" s="255"/>
      <c r="C397" s="324"/>
      <c r="D397" s="331"/>
      <c r="E397" s="332"/>
      <c r="F397" s="326"/>
      <c r="G397" s="333"/>
      <c r="H397" s="1411"/>
      <c r="I397" s="1414"/>
      <c r="J397" s="1416"/>
      <c r="K397" s="1417"/>
      <c r="L397" s="1417"/>
      <c r="M397" s="1417"/>
      <c r="N397" s="1417"/>
      <c r="O397" s="1417"/>
      <c r="P397" s="1417"/>
      <c r="Q397" s="1417"/>
      <c r="R397" s="1418"/>
      <c r="S397" s="351"/>
      <c r="T397" s="289"/>
    </row>
    <row r="398" spans="2:20" ht="15" hidden="1" customHeight="1" thickBot="1">
      <c r="B398" s="255"/>
      <c r="C398" s="352"/>
      <c r="D398" s="353"/>
      <c r="E398" s="354"/>
      <c r="F398" s="355"/>
      <c r="G398" s="356"/>
      <c r="H398" s="1412"/>
      <c r="I398" s="1414"/>
      <c r="J398" s="357"/>
      <c r="K398" s="358"/>
      <c r="L398" s="358"/>
      <c r="M398" s="358"/>
      <c r="N398" s="358"/>
      <c r="O398" s="359"/>
      <c r="P398" s="329"/>
      <c r="Q398" s="329"/>
      <c r="R398" s="329"/>
      <c r="S398" s="360"/>
      <c r="T398" s="361"/>
    </row>
    <row r="399" spans="2:20" ht="15" hidden="1" customHeight="1">
      <c r="B399" s="255"/>
      <c r="C399" s="362"/>
      <c r="D399" s="363"/>
      <c r="E399" s="364"/>
      <c r="F399" s="365"/>
      <c r="G399" s="456"/>
      <c r="H399" s="269"/>
      <c r="I399" s="282"/>
      <c r="J399" s="366"/>
      <c r="K399" s="367"/>
      <c r="L399" s="320"/>
      <c r="M399" s="368"/>
      <c r="N399" s="369"/>
      <c r="P399" s="370"/>
      <c r="Q399" s="350"/>
      <c r="R399" s="350"/>
      <c r="S399" s="323"/>
      <c r="T399" s="298"/>
    </row>
    <row r="400" spans="2:20" ht="15" hidden="1" customHeight="1">
      <c r="B400" s="255"/>
      <c r="C400" s="371">
        <v>100</v>
      </c>
      <c r="D400" s="1379">
        <v>300</v>
      </c>
      <c r="E400" s="1381"/>
      <c r="F400" s="372">
        <v>100</v>
      </c>
      <c r="G400" s="268"/>
      <c r="H400" s="373"/>
      <c r="I400" s="282"/>
      <c r="J400" s="357"/>
      <c r="K400" s="358"/>
      <c r="L400" s="358"/>
      <c r="M400" s="358"/>
      <c r="N400" s="358"/>
      <c r="O400" s="374"/>
      <c r="P400" s="375"/>
      <c r="Q400" s="374"/>
      <c r="R400" s="265"/>
      <c r="S400" s="266"/>
      <c r="T400" s="294"/>
    </row>
    <row r="401" spans="2:20" ht="15" hidden="1" customHeight="1">
      <c r="B401" s="376"/>
      <c r="C401" s="377"/>
      <c r="D401" s="303"/>
      <c r="E401" s="302"/>
      <c r="F401" s="378"/>
      <c r="G401" s="379"/>
      <c r="H401" s="373"/>
      <c r="I401" s="282"/>
      <c r="J401" s="380"/>
      <c r="K401" s="306"/>
      <c r="L401" s="306"/>
      <c r="M401" s="306"/>
      <c r="N401" s="306"/>
      <c r="O401" s="381"/>
      <c r="P401" s="381"/>
      <c r="Q401" s="381"/>
      <c r="R401" s="381"/>
      <c r="S401" s="382"/>
      <c r="T401" s="383"/>
    </row>
    <row r="402" spans="2:20" ht="15" hidden="1" customHeight="1">
      <c r="B402" s="255"/>
      <c r="C402" s="371">
        <v>100</v>
      </c>
      <c r="D402" s="1379">
        <v>300</v>
      </c>
      <c r="E402" s="1381"/>
      <c r="F402" s="372">
        <v>100</v>
      </c>
      <c r="G402" s="268"/>
      <c r="H402" s="373"/>
      <c r="I402" s="282"/>
      <c r="J402" s="357"/>
      <c r="K402" s="384"/>
      <c r="L402" s="384"/>
      <c r="M402" s="384"/>
      <c r="N402" s="384"/>
      <c r="O402" s="283"/>
      <c r="P402" s="385"/>
      <c r="Q402" s="385"/>
      <c r="R402" s="385"/>
      <c r="S402" s="386"/>
      <c r="T402" s="387"/>
    </row>
    <row r="403" spans="2:20" ht="15" hidden="1" customHeight="1">
      <c r="B403" s="255"/>
      <c r="C403" s="290"/>
      <c r="D403" s="388"/>
      <c r="E403" s="388"/>
      <c r="F403" s="389"/>
      <c r="G403" s="379"/>
      <c r="H403" s="373"/>
      <c r="I403" s="282"/>
      <c r="J403" s="390"/>
      <c r="K403" s="391"/>
      <c r="L403" s="391"/>
      <c r="M403" s="391"/>
      <c r="N403" s="391"/>
      <c r="O403" s="392"/>
      <c r="P403" s="393"/>
      <c r="Q403" s="381"/>
      <c r="R403" s="259"/>
      <c r="S403" s="394"/>
      <c r="T403" s="383"/>
    </row>
    <row r="404" spans="2:20" ht="15" hidden="1" customHeight="1">
      <c r="B404" s="255"/>
      <c r="C404" s="1376"/>
      <c r="D404" s="1377"/>
      <c r="E404" s="1377"/>
      <c r="F404" s="1378"/>
      <c r="G404" s="268"/>
      <c r="H404" s="269"/>
      <c r="I404" s="282"/>
      <c r="J404" s="262"/>
      <c r="K404" s="384"/>
      <c r="L404" s="264"/>
      <c r="M404" s="264"/>
      <c r="N404" s="264"/>
      <c r="O404" s="265"/>
      <c r="P404" s="265"/>
      <c r="Q404" s="329"/>
      <c r="R404" s="329"/>
      <c r="S404" s="266"/>
      <c r="T404" s="267"/>
    </row>
    <row r="405" spans="2:20" ht="15" hidden="1" customHeight="1">
      <c r="B405" s="255"/>
      <c r="C405" s="1379">
        <f>C400+D400+F400</f>
        <v>500</v>
      </c>
      <c r="D405" s="1380"/>
      <c r="E405" s="1380"/>
      <c r="F405" s="1381"/>
      <c r="G405" s="268"/>
      <c r="H405" s="456"/>
      <c r="I405" s="257"/>
      <c r="J405" s="334"/>
      <c r="K405" s="258"/>
      <c r="L405" s="258"/>
      <c r="M405" s="258"/>
      <c r="N405" s="258"/>
      <c r="O405" s="259"/>
      <c r="P405" s="381"/>
      <c r="Q405" s="259"/>
      <c r="R405" s="259"/>
      <c r="S405" s="395"/>
      <c r="T405" s="261"/>
    </row>
    <row r="406" spans="2:20" ht="15" hidden="1" customHeight="1">
      <c r="B406" s="255"/>
      <c r="C406" s="396"/>
      <c r="D406" s="388"/>
      <c r="E406" s="388"/>
      <c r="F406" s="397"/>
      <c r="G406" s="268"/>
      <c r="H406" s="269"/>
      <c r="I406" s="257"/>
      <c r="J406" s="262"/>
      <c r="K406" s="398"/>
      <c r="L406" s="398"/>
      <c r="M406" s="398"/>
      <c r="N406" s="398"/>
      <c r="O406" s="399"/>
      <c r="P406" s="400"/>
      <c r="Q406" s="399"/>
      <c r="R406" s="399"/>
      <c r="S406" s="401"/>
      <c r="T406" s="402"/>
    </row>
    <row r="407" spans="2:20" ht="15" hidden="1" customHeight="1">
      <c r="B407" s="255"/>
      <c r="C407" s="1379">
        <f>C402+D402+F402</f>
        <v>500</v>
      </c>
      <c r="D407" s="1380"/>
      <c r="E407" s="1380"/>
      <c r="F407" s="1381"/>
      <c r="G407" s="268"/>
      <c r="H407" s="456"/>
      <c r="I407" s="257"/>
      <c r="J407" s="403"/>
      <c r="K407" s="404"/>
      <c r="L407" s="404"/>
      <c r="M407" s="404"/>
      <c r="N407" s="404"/>
      <c r="O407" s="259"/>
      <c r="P407" s="405"/>
      <c r="Q407" s="405"/>
      <c r="R407" s="405"/>
      <c r="S407" s="395"/>
      <c r="T407" s="261"/>
    </row>
    <row r="408" spans="2:20" ht="15" hidden="1" customHeight="1">
      <c r="B408" s="255"/>
      <c r="C408" s="256"/>
      <c r="D408" s="456"/>
      <c r="E408" s="456"/>
      <c r="F408" s="456"/>
      <c r="G408" s="456"/>
      <c r="H408" s="456"/>
      <c r="I408" s="257"/>
      <c r="J408" s="406"/>
      <c r="K408" s="264"/>
      <c r="L408" s="264"/>
      <c r="M408" s="264"/>
      <c r="N408" s="264"/>
      <c r="O408" s="265"/>
      <c r="P408" s="265"/>
      <c r="Q408" s="329"/>
      <c r="R408" s="329"/>
      <c r="S408" s="266"/>
      <c r="T408" s="267"/>
    </row>
    <row r="409" spans="2:20" ht="15" hidden="1" customHeight="1">
      <c r="B409" s="255"/>
      <c r="C409" s="256"/>
      <c r="D409" s="456"/>
      <c r="E409" s="456"/>
      <c r="F409" s="456"/>
      <c r="G409" s="456"/>
      <c r="H409" s="456"/>
      <c r="I409" s="269"/>
      <c r="J409" s="334"/>
      <c r="K409" s="258"/>
      <c r="L409" s="258"/>
      <c r="M409" s="258"/>
      <c r="N409" s="258"/>
      <c r="O409" s="259"/>
      <c r="P409" s="381"/>
      <c r="Q409" s="259"/>
      <c r="R409" s="259"/>
      <c r="S409" s="395"/>
      <c r="T409" s="261"/>
    </row>
    <row r="410" spans="2:20" ht="15" hidden="1" customHeight="1">
      <c r="B410" s="255"/>
      <c r="C410" s="256"/>
      <c r="D410" s="456"/>
      <c r="E410" s="456"/>
      <c r="F410" s="456"/>
      <c r="G410" s="456"/>
      <c r="H410" s="456"/>
      <c r="I410" s="257"/>
      <c r="J410" s="262"/>
      <c r="K410" s="407"/>
      <c r="L410" s="407"/>
      <c r="M410" s="407"/>
      <c r="N410" s="407"/>
      <c r="O410" s="265"/>
      <c r="P410" s="265"/>
      <c r="Q410" s="265"/>
      <c r="R410" s="265"/>
      <c r="S410" s="266"/>
      <c r="T410" s="267"/>
    </row>
    <row r="411" spans="2:20" ht="24.95" hidden="1" customHeight="1">
      <c r="B411" s="468" t="s">
        <v>754</v>
      </c>
      <c r="C411" s="1400" t="s">
        <v>852</v>
      </c>
      <c r="D411" s="1400"/>
      <c r="E411" s="1400"/>
      <c r="F411" s="1400"/>
      <c r="G411" s="1400"/>
      <c r="H411" s="1400"/>
      <c r="I411" s="1383" t="s">
        <v>759</v>
      </c>
      <c r="J411" s="1383"/>
      <c r="K411" s="1383"/>
      <c r="L411" s="1384"/>
      <c r="M411" s="1384"/>
      <c r="N411" s="1384"/>
      <c r="O411" s="1384"/>
      <c r="P411" s="1384"/>
      <c r="Q411" s="1384"/>
      <c r="R411" s="1384"/>
      <c r="S411" s="1384"/>
      <c r="T411" s="1385"/>
    </row>
    <row r="412" spans="2:20" ht="15" hidden="1" customHeight="1">
      <c r="B412" s="255"/>
      <c r="C412" s="256"/>
      <c r="D412" s="456"/>
      <c r="E412" s="456"/>
      <c r="F412" s="456"/>
      <c r="G412" s="456"/>
      <c r="H412" s="456"/>
      <c r="I412" s="257"/>
      <c r="J412" s="258"/>
      <c r="K412" s="258"/>
      <c r="L412" s="258" t="s">
        <v>39</v>
      </c>
      <c r="M412" s="258" t="s">
        <v>40</v>
      </c>
      <c r="N412" s="258" t="s">
        <v>41</v>
      </c>
      <c r="O412" s="259" t="s">
        <v>42</v>
      </c>
      <c r="P412" s="259" t="s">
        <v>43</v>
      </c>
      <c r="Q412" s="259"/>
      <c r="R412" s="259"/>
      <c r="S412" s="260" t="s">
        <v>44</v>
      </c>
      <c r="T412" s="261"/>
    </row>
    <row r="413" spans="2:20" ht="15" hidden="1" customHeight="1">
      <c r="B413" s="255"/>
      <c r="C413" s="256"/>
      <c r="D413" s="456"/>
      <c r="E413" s="456"/>
      <c r="F413" s="456"/>
      <c r="G413" s="456"/>
      <c r="H413" s="456"/>
      <c r="I413" s="257"/>
      <c r="J413" s="262" t="s">
        <v>45</v>
      </c>
      <c r="K413" s="263"/>
      <c r="L413" s="263" t="s">
        <v>46</v>
      </c>
      <c r="M413" s="264"/>
      <c r="N413" s="264"/>
      <c r="P413" s="265"/>
      <c r="Q413" s="265"/>
      <c r="R413" s="265"/>
      <c r="S413" s="266"/>
      <c r="T413" s="267"/>
    </row>
    <row r="414" spans="2:20" ht="15" hidden="1" customHeight="1">
      <c r="B414" s="255"/>
      <c r="C414" s="1380">
        <f>C436+(0.3*(I425)*2)</f>
        <v>692</v>
      </c>
      <c r="D414" s="1380"/>
      <c r="E414" s="1380"/>
      <c r="F414" s="1380"/>
      <c r="G414" s="268"/>
      <c r="H414" s="269"/>
      <c r="I414" s="257"/>
      <c r="J414" s="270" t="s">
        <v>47</v>
      </c>
      <c r="K414" s="271">
        <f>C414/1000</f>
        <v>0.69199999999999995</v>
      </c>
      <c r="L414" s="271"/>
      <c r="M414" s="271"/>
      <c r="N414" s="272" t="s">
        <v>48</v>
      </c>
      <c r="O414" s="273">
        <f>C436/1000</f>
        <v>0.5</v>
      </c>
      <c r="P414" s="274"/>
      <c r="Q414" s="275" t="s">
        <v>49</v>
      </c>
      <c r="R414" s="276">
        <f>(I425)/1000</f>
        <v>0.32</v>
      </c>
      <c r="S414" s="277"/>
      <c r="T414" s="278"/>
    </row>
    <row r="415" spans="2:20" ht="15" hidden="1" customHeight="1">
      <c r="B415" s="255"/>
      <c r="C415" s="279"/>
      <c r="D415" s="280"/>
      <c r="E415" s="280"/>
      <c r="F415" s="281"/>
      <c r="G415" s="268"/>
      <c r="H415" s="269"/>
      <c r="I415" s="282"/>
      <c r="J415" s="270" t="s">
        <v>50</v>
      </c>
      <c r="K415" s="271">
        <f>C416/1000</f>
        <v>0.69199999999999995</v>
      </c>
      <c r="L415" s="271"/>
      <c r="M415" s="271"/>
      <c r="N415" s="272" t="s">
        <v>51</v>
      </c>
      <c r="O415" s="273">
        <f>C438/1000</f>
        <v>0.5</v>
      </c>
      <c r="P415" s="274"/>
      <c r="Q415" s="254"/>
      <c r="R415" s="283"/>
      <c r="S415" s="284"/>
      <c r="T415" s="278"/>
    </row>
    <row r="416" spans="2:20" ht="15" hidden="1" customHeight="1">
      <c r="B416" s="255"/>
      <c r="C416" s="1379">
        <f>C438+(0.3*(I425)*2)</f>
        <v>692</v>
      </c>
      <c r="D416" s="1380"/>
      <c r="E416" s="1380"/>
      <c r="F416" s="1381"/>
      <c r="G416" s="268"/>
      <c r="H416" s="269"/>
      <c r="I416" s="282"/>
      <c r="J416" s="285" t="s">
        <v>52</v>
      </c>
      <c r="K416" s="286"/>
      <c r="L416" s="286"/>
      <c r="M416" s="286"/>
      <c r="N416" s="286"/>
      <c r="O416" s="287"/>
      <c r="P416" s="286"/>
      <c r="Q416" s="259"/>
      <c r="R416" s="259"/>
      <c r="S416" s="288">
        <f>ROUNDDOWN(R414/6*((2*K414+O414)*K415+(2*O414+K414)*O415),2)</f>
        <v>0.11</v>
      </c>
      <c r="T416" s="289" t="s">
        <v>178</v>
      </c>
    </row>
    <row r="417" spans="2:20" ht="15" hidden="1" customHeight="1">
      <c r="B417" s="255"/>
      <c r="C417" s="290"/>
      <c r="D417" s="291"/>
      <c r="E417" s="291"/>
      <c r="F417" s="281"/>
      <c r="G417" s="268"/>
      <c r="H417" s="269"/>
      <c r="I417" s="282"/>
      <c r="J417" s="476" t="s">
        <v>843</v>
      </c>
      <c r="K417" s="292"/>
      <c r="L417" s="292" t="s">
        <v>54</v>
      </c>
      <c r="M417" s="293"/>
      <c r="N417" s="293"/>
      <c r="O417" s="293"/>
      <c r="P417" s="292"/>
      <c r="Q417" s="263"/>
      <c r="R417" s="263"/>
      <c r="S417" s="266"/>
      <c r="T417" s="294"/>
    </row>
    <row r="418" spans="2:20" ht="15" hidden="1" customHeight="1">
      <c r="B418" s="255"/>
      <c r="C418" s="295"/>
      <c r="D418" s="1409">
        <v>300</v>
      </c>
      <c r="E418" s="1409"/>
      <c r="F418" s="296"/>
      <c r="G418" s="268"/>
      <c r="H418" s="269"/>
      <c r="I418" s="282"/>
      <c r="J418" s="270" t="s">
        <v>47</v>
      </c>
      <c r="K418" s="271">
        <f>D418/1000</f>
        <v>0.3</v>
      </c>
      <c r="L418" s="271"/>
      <c r="M418" s="271"/>
      <c r="N418" s="272" t="s">
        <v>48</v>
      </c>
      <c r="O418" s="271">
        <f>D433/1000</f>
        <v>0.3</v>
      </c>
      <c r="P418" s="274"/>
      <c r="Q418" s="275" t="s">
        <v>49</v>
      </c>
      <c r="R418" s="276">
        <f>H425/1000</f>
        <v>0.3</v>
      </c>
      <c r="S418" s="297">
        <f>ROUNDDOWN(K418*O418*R418,2)</f>
        <v>0.02</v>
      </c>
      <c r="T418" s="298" t="s">
        <v>55</v>
      </c>
    </row>
    <row r="419" spans="2:20" ht="15" hidden="1" customHeight="1">
      <c r="B419" s="255"/>
      <c r="C419" s="299"/>
      <c r="D419" s="300"/>
      <c r="E419" s="301"/>
      <c r="F419" s="302"/>
      <c r="G419" s="456"/>
      <c r="H419" s="269"/>
      <c r="I419" s="282"/>
      <c r="J419" s="270"/>
      <c r="K419" s="271"/>
      <c r="L419" s="271"/>
      <c r="M419" s="271"/>
      <c r="N419" s="272"/>
      <c r="O419" s="271"/>
      <c r="P419" s="274"/>
      <c r="Q419" s="275"/>
      <c r="R419" s="276"/>
      <c r="S419" s="297">
        <f>ROUNDDOWN(K419*O419*R419,2)</f>
        <v>0</v>
      </c>
      <c r="T419" s="298" t="s">
        <v>56</v>
      </c>
    </row>
    <row r="420" spans="2:20" ht="15" hidden="1" customHeight="1">
      <c r="B420" s="255"/>
      <c r="C420" s="299"/>
      <c r="D420" s="303"/>
      <c r="E420" s="302"/>
      <c r="F420" s="302"/>
      <c r="G420" s="456"/>
      <c r="H420" s="269"/>
      <c r="I420" s="282"/>
      <c r="J420" s="270"/>
      <c r="K420" s="271"/>
      <c r="L420" s="271"/>
      <c r="M420" s="271"/>
      <c r="N420" s="304"/>
      <c r="O420" s="271"/>
      <c r="P420" s="274"/>
      <c r="Q420" s="275"/>
      <c r="R420" s="276"/>
      <c r="S420" s="297"/>
      <c r="T420" s="298"/>
    </row>
    <row r="421" spans="2:20" ht="15" hidden="1" customHeight="1">
      <c r="B421" s="255"/>
      <c r="C421" s="299"/>
      <c r="D421" s="303"/>
      <c r="E421" s="302"/>
      <c r="F421" s="302"/>
      <c r="G421" s="456"/>
      <c r="H421" s="269"/>
      <c r="I421" s="282"/>
      <c r="J421" s="270"/>
      <c r="K421" s="271"/>
      <c r="L421" s="271"/>
      <c r="M421" s="271"/>
      <c r="N421" s="304"/>
      <c r="O421" s="271"/>
      <c r="P421" s="274"/>
      <c r="Q421" s="275"/>
      <c r="R421" s="276"/>
      <c r="S421" s="297"/>
      <c r="T421" s="298"/>
    </row>
    <row r="422" spans="2:20" ht="15" hidden="1" customHeight="1">
      <c r="B422" s="255"/>
      <c r="C422" s="299"/>
      <c r="D422" s="303"/>
      <c r="E422" s="302"/>
      <c r="F422" s="302"/>
      <c r="G422" s="456"/>
      <c r="H422" s="305"/>
      <c r="I422" s="282"/>
      <c r="J422" s="285" t="s">
        <v>57</v>
      </c>
      <c r="K422" s="286"/>
      <c r="L422" s="286"/>
      <c r="M422" s="286"/>
      <c r="N422" s="286"/>
      <c r="O422" s="287"/>
      <c r="P422" s="286"/>
      <c r="Q422" s="306"/>
      <c r="R422" s="307"/>
      <c r="S422" s="288">
        <f>SUM(S418:S421)</f>
        <v>0.02</v>
      </c>
      <c r="T422" s="289" t="s">
        <v>178</v>
      </c>
    </row>
    <row r="423" spans="2:20" ht="15" hidden="1" customHeight="1">
      <c r="B423" s="255"/>
      <c r="C423" s="299"/>
      <c r="D423" s="303"/>
      <c r="E423" s="302"/>
      <c r="F423" s="302"/>
      <c r="G423" s="456"/>
      <c r="H423" s="269"/>
      <c r="I423" s="308"/>
      <c r="J423" s="262" t="s">
        <v>58</v>
      </c>
      <c r="K423" s="293"/>
      <c r="L423" s="309" t="s">
        <v>334</v>
      </c>
      <c r="M423" s="309" t="s">
        <v>335</v>
      </c>
      <c r="N423" s="310" t="s">
        <v>336</v>
      </c>
      <c r="O423" s="311"/>
      <c r="P423" s="309"/>
      <c r="Q423" s="312"/>
      <c r="R423" s="312"/>
      <c r="S423" s="313"/>
      <c r="T423" s="294"/>
    </row>
    <row r="424" spans="2:20" ht="15" hidden="1" customHeight="1" thickBot="1">
      <c r="B424" s="314"/>
      <c r="C424" s="1388"/>
      <c r="D424" s="1388"/>
      <c r="E424" s="1388"/>
      <c r="F424" s="1388"/>
      <c r="G424" s="315"/>
      <c r="H424" s="315"/>
      <c r="I424" s="316"/>
      <c r="J424" s="317"/>
      <c r="K424" s="318"/>
      <c r="L424" s="318" t="s">
        <v>334</v>
      </c>
      <c r="M424" s="318">
        <f>S416</f>
        <v>0.11</v>
      </c>
      <c r="N424" s="318" t="s">
        <v>337</v>
      </c>
      <c r="O424" s="319">
        <f>S422</f>
        <v>0.02</v>
      </c>
      <c r="P424" s="320"/>
      <c r="Q424" s="321"/>
      <c r="R424" s="322"/>
      <c r="S424" s="323">
        <f>ROUNDDOWN(M424-O424,2)</f>
        <v>0.09</v>
      </c>
      <c r="T424" s="289" t="s">
        <v>178</v>
      </c>
    </row>
    <row r="425" spans="2:20" ht="15" hidden="1" customHeight="1" thickBot="1">
      <c r="B425" s="255"/>
      <c r="C425" s="324"/>
      <c r="D425" s="929"/>
      <c r="E425" s="929"/>
      <c r="F425" s="928"/>
      <c r="G425" s="931"/>
      <c r="H425" s="1410">
        <v>300</v>
      </c>
      <c r="I425" s="1413">
        <v>320</v>
      </c>
      <c r="J425" s="262"/>
      <c r="K425" s="293"/>
      <c r="L425" s="293"/>
      <c r="M425" s="309"/>
      <c r="N425" s="310"/>
      <c r="O425" s="293"/>
      <c r="P425" s="293"/>
      <c r="Q425" s="328"/>
      <c r="R425" s="329"/>
      <c r="S425" s="266"/>
      <c r="T425" s="294"/>
    </row>
    <row r="426" spans="2:20" ht="15" hidden="1" customHeight="1">
      <c r="B426" s="330"/>
      <c r="C426" s="324"/>
      <c r="D426" s="457"/>
      <c r="E426" s="325"/>
      <c r="F426" s="326"/>
      <c r="G426" s="930"/>
      <c r="H426" s="1411"/>
      <c r="I426" s="1414"/>
      <c r="J426" s="334"/>
      <c r="K426" s="335"/>
      <c r="L426" s="336"/>
      <c r="M426" s="335"/>
      <c r="N426" s="335"/>
      <c r="O426" s="286"/>
      <c r="P426" s="286"/>
      <c r="Q426" s="286"/>
      <c r="R426" s="259"/>
      <c r="S426" s="323"/>
      <c r="T426" s="337"/>
    </row>
    <row r="427" spans="2:20" ht="15" hidden="1" customHeight="1">
      <c r="B427" s="255"/>
      <c r="C427" s="324"/>
      <c r="D427" s="331"/>
      <c r="E427" s="332"/>
      <c r="F427" s="326"/>
      <c r="G427" s="333"/>
      <c r="H427" s="1411"/>
      <c r="I427" s="1414"/>
      <c r="J427" s="338"/>
      <c r="K427" s="293"/>
      <c r="L427" s="293"/>
      <c r="M427" s="293"/>
      <c r="N427" s="293"/>
      <c r="O427" s="339"/>
      <c r="P427" s="340"/>
      <c r="Q427" s="329"/>
      <c r="R427" s="341"/>
      <c r="S427" s="266"/>
      <c r="T427" s="294"/>
    </row>
    <row r="428" spans="2:20" ht="15" hidden="1" customHeight="1">
      <c r="B428" s="255"/>
      <c r="C428" s="324"/>
      <c r="D428" s="331"/>
      <c r="E428" s="332"/>
      <c r="F428" s="326"/>
      <c r="G428" s="333"/>
      <c r="H428" s="1411"/>
      <c r="I428" s="1414"/>
      <c r="J428" s="1416"/>
      <c r="K428" s="1417"/>
      <c r="L428" s="1417"/>
      <c r="M428" s="1417"/>
      <c r="N428" s="1417"/>
      <c r="O428" s="1417"/>
      <c r="P428" s="1417"/>
      <c r="Q428" s="1417"/>
      <c r="R428" s="1418"/>
      <c r="S428" s="351"/>
      <c r="T428" s="289"/>
    </row>
    <row r="429" spans="2:20" ht="15" hidden="1" customHeight="1" thickBot="1">
      <c r="B429" s="255"/>
      <c r="C429" s="352"/>
      <c r="D429" s="353"/>
      <c r="E429" s="354"/>
      <c r="F429" s="355"/>
      <c r="G429" s="356"/>
      <c r="H429" s="1412"/>
      <c r="I429" s="1414"/>
      <c r="J429" s="357"/>
      <c r="K429" s="358"/>
      <c r="L429" s="358"/>
      <c r="M429" s="358"/>
      <c r="N429" s="358"/>
      <c r="O429" s="359"/>
      <c r="P429" s="329"/>
      <c r="Q429" s="329"/>
      <c r="R429" s="329"/>
      <c r="S429" s="360"/>
      <c r="T429" s="361"/>
    </row>
    <row r="430" spans="2:20" ht="15" hidden="1" customHeight="1">
      <c r="B430" s="255"/>
      <c r="C430" s="362"/>
      <c r="D430" s="363"/>
      <c r="E430" s="364"/>
      <c r="F430" s="365"/>
      <c r="G430" s="456"/>
      <c r="H430" s="269"/>
      <c r="I430" s="282"/>
      <c r="J430" s="366"/>
      <c r="K430" s="367"/>
      <c r="L430" s="320"/>
      <c r="M430" s="368"/>
      <c r="N430" s="369"/>
      <c r="P430" s="370"/>
      <c r="Q430" s="350"/>
      <c r="R430" s="350"/>
      <c r="S430" s="323"/>
      <c r="T430" s="298"/>
    </row>
    <row r="431" spans="2:20" ht="15" hidden="1" customHeight="1">
      <c r="B431" s="255"/>
      <c r="C431" s="371">
        <v>100</v>
      </c>
      <c r="D431" s="1379">
        <v>300</v>
      </c>
      <c r="E431" s="1381"/>
      <c r="F431" s="372">
        <v>100</v>
      </c>
      <c r="G431" s="268"/>
      <c r="H431" s="373"/>
      <c r="I431" s="282"/>
      <c r="J431" s="357"/>
      <c r="K431" s="358"/>
      <c r="L431" s="358"/>
      <c r="M431" s="358"/>
      <c r="N431" s="358"/>
      <c r="O431" s="374"/>
      <c r="P431" s="375"/>
      <c r="Q431" s="374"/>
      <c r="R431" s="265"/>
      <c r="S431" s="266"/>
      <c r="T431" s="294"/>
    </row>
    <row r="432" spans="2:20" ht="15" hidden="1" customHeight="1">
      <c r="B432" s="376"/>
      <c r="C432" s="377"/>
      <c r="D432" s="303"/>
      <c r="E432" s="302"/>
      <c r="F432" s="378"/>
      <c r="G432" s="379"/>
      <c r="H432" s="373"/>
      <c r="I432" s="282"/>
      <c r="J432" s="380"/>
      <c r="K432" s="306"/>
      <c r="L432" s="306"/>
      <c r="M432" s="306"/>
      <c r="N432" s="306"/>
      <c r="O432" s="381"/>
      <c r="P432" s="381"/>
      <c r="Q432" s="381"/>
      <c r="R432" s="381"/>
      <c r="S432" s="382"/>
      <c r="T432" s="383"/>
    </row>
    <row r="433" spans="2:20" ht="15" hidden="1" customHeight="1">
      <c r="B433" s="255"/>
      <c r="C433" s="371">
        <v>100</v>
      </c>
      <c r="D433" s="1379">
        <v>300</v>
      </c>
      <c r="E433" s="1381"/>
      <c r="F433" s="372">
        <v>100</v>
      </c>
      <c r="G433" s="268"/>
      <c r="H433" s="373"/>
      <c r="I433" s="282"/>
      <c r="J433" s="357"/>
      <c r="K433" s="384"/>
      <c r="L433" s="384"/>
      <c r="M433" s="384"/>
      <c r="N433" s="384"/>
      <c r="O433" s="283"/>
      <c r="P433" s="385"/>
      <c r="Q433" s="385"/>
      <c r="R433" s="385"/>
      <c r="S433" s="386"/>
      <c r="T433" s="387"/>
    </row>
    <row r="434" spans="2:20" ht="15" hidden="1" customHeight="1">
      <c r="B434" s="255"/>
      <c r="C434" s="290"/>
      <c r="D434" s="388"/>
      <c r="E434" s="388"/>
      <c r="F434" s="389"/>
      <c r="G434" s="379"/>
      <c r="H434" s="373"/>
      <c r="I434" s="282"/>
      <c r="J434" s="390"/>
      <c r="K434" s="391"/>
      <c r="L434" s="391"/>
      <c r="M434" s="391"/>
      <c r="N434" s="391"/>
      <c r="O434" s="392"/>
      <c r="P434" s="393"/>
      <c r="Q434" s="381"/>
      <c r="R434" s="259"/>
      <c r="S434" s="394"/>
      <c r="T434" s="383"/>
    </row>
    <row r="435" spans="2:20" ht="15" hidden="1" customHeight="1">
      <c r="B435" s="255"/>
      <c r="C435" s="1376"/>
      <c r="D435" s="1377"/>
      <c r="E435" s="1377"/>
      <c r="F435" s="1378"/>
      <c r="G435" s="268"/>
      <c r="H435" s="269"/>
      <c r="I435" s="282"/>
      <c r="J435" s="262"/>
      <c r="K435" s="384"/>
      <c r="L435" s="264"/>
      <c r="M435" s="264"/>
      <c r="N435" s="264"/>
      <c r="O435" s="265"/>
      <c r="P435" s="265"/>
      <c r="Q435" s="329"/>
      <c r="R435" s="329"/>
      <c r="S435" s="266"/>
      <c r="T435" s="267"/>
    </row>
    <row r="436" spans="2:20" ht="15" hidden="1" customHeight="1">
      <c r="B436" s="255"/>
      <c r="C436" s="1379">
        <f>C431+D431+F431</f>
        <v>500</v>
      </c>
      <c r="D436" s="1380"/>
      <c r="E436" s="1380"/>
      <c r="F436" s="1381"/>
      <c r="G436" s="268"/>
      <c r="H436" s="456"/>
      <c r="I436" s="257"/>
      <c r="J436" s="334"/>
      <c r="K436" s="258"/>
      <c r="L436" s="258"/>
      <c r="M436" s="258"/>
      <c r="N436" s="258"/>
      <c r="O436" s="259"/>
      <c r="P436" s="381"/>
      <c r="Q436" s="259"/>
      <c r="R436" s="259"/>
      <c r="S436" s="395"/>
      <c r="T436" s="261"/>
    </row>
    <row r="437" spans="2:20" ht="15" hidden="1" customHeight="1">
      <c r="B437" s="255"/>
      <c r="C437" s="396"/>
      <c r="D437" s="388"/>
      <c r="E437" s="388"/>
      <c r="F437" s="397"/>
      <c r="G437" s="268"/>
      <c r="H437" s="269"/>
      <c r="I437" s="257"/>
      <c r="J437" s="262"/>
      <c r="K437" s="398"/>
      <c r="L437" s="398"/>
      <c r="M437" s="398"/>
      <c r="N437" s="398"/>
      <c r="O437" s="399"/>
      <c r="P437" s="400"/>
      <c r="Q437" s="399"/>
      <c r="R437" s="399"/>
      <c r="S437" s="401"/>
      <c r="T437" s="402"/>
    </row>
    <row r="438" spans="2:20" ht="15" hidden="1" customHeight="1">
      <c r="B438" s="255"/>
      <c r="C438" s="1379">
        <f>C433+D433+F433</f>
        <v>500</v>
      </c>
      <c r="D438" s="1380"/>
      <c r="E438" s="1380"/>
      <c r="F438" s="1381"/>
      <c r="G438" s="268"/>
      <c r="H438" s="456"/>
      <c r="I438" s="257"/>
      <c r="J438" s="403"/>
      <c r="K438" s="404"/>
      <c r="L438" s="404"/>
      <c r="M438" s="404"/>
      <c r="N438" s="404"/>
      <c r="O438" s="259"/>
      <c r="P438" s="405"/>
      <c r="Q438" s="405"/>
      <c r="R438" s="405"/>
      <c r="S438" s="395"/>
      <c r="T438" s="261"/>
    </row>
    <row r="439" spans="2:20" ht="15" hidden="1" customHeight="1">
      <c r="B439" s="255"/>
      <c r="C439" s="256"/>
      <c r="D439" s="456"/>
      <c r="E439" s="456"/>
      <c r="F439" s="456"/>
      <c r="G439" s="456"/>
      <c r="H439" s="456"/>
      <c r="I439" s="257"/>
      <c r="J439" s="406"/>
      <c r="K439" s="264"/>
      <c r="L439" s="264"/>
      <c r="M439" s="264"/>
      <c r="N439" s="264"/>
      <c r="O439" s="265"/>
      <c r="P439" s="265"/>
      <c r="Q439" s="329"/>
      <c r="R439" s="329"/>
      <c r="S439" s="266"/>
      <c r="T439" s="267"/>
    </row>
    <row r="440" spans="2:20" ht="15" hidden="1" customHeight="1">
      <c r="B440" s="255"/>
      <c r="C440" s="256"/>
      <c r="D440" s="456"/>
      <c r="E440" s="456"/>
      <c r="F440" s="456"/>
      <c r="G440" s="456"/>
      <c r="H440" s="456"/>
      <c r="I440" s="269"/>
      <c r="J440" s="334"/>
      <c r="K440" s="258"/>
      <c r="L440" s="258"/>
      <c r="M440" s="258"/>
      <c r="N440" s="258"/>
      <c r="O440" s="259"/>
      <c r="P440" s="381"/>
      <c r="Q440" s="259"/>
      <c r="R440" s="259"/>
      <c r="S440" s="395"/>
      <c r="T440" s="261"/>
    </row>
    <row r="441" spans="2:20" ht="15" hidden="1" customHeight="1">
      <c r="B441" s="255"/>
      <c r="C441" s="256"/>
      <c r="D441" s="456"/>
      <c r="E441" s="456"/>
      <c r="F441" s="456"/>
      <c r="G441" s="456"/>
      <c r="H441" s="456"/>
      <c r="I441" s="257"/>
      <c r="J441" s="262"/>
      <c r="K441" s="407"/>
      <c r="L441" s="407"/>
      <c r="M441" s="407"/>
      <c r="N441" s="407"/>
      <c r="O441" s="265"/>
      <c r="P441" s="265"/>
      <c r="Q441" s="265"/>
      <c r="R441" s="265"/>
      <c r="S441" s="266"/>
      <c r="T441" s="267"/>
    </row>
    <row r="442" spans="2:20" ht="24.95" hidden="1" customHeight="1">
      <c r="B442" s="468" t="s">
        <v>851</v>
      </c>
      <c r="C442" s="1383" t="s">
        <v>850</v>
      </c>
      <c r="D442" s="1383"/>
      <c r="E442" s="1383"/>
      <c r="F442" s="1383"/>
      <c r="G442" s="1383"/>
      <c r="H442" s="1383"/>
      <c r="I442" s="1383" t="s">
        <v>849</v>
      </c>
      <c r="J442" s="1383"/>
      <c r="K442" s="1383"/>
      <c r="L442" s="1384"/>
      <c r="M442" s="1384"/>
      <c r="N442" s="1384"/>
      <c r="O442" s="1384"/>
      <c r="P442" s="1384"/>
      <c r="Q442" s="1384"/>
      <c r="R442" s="1384"/>
      <c r="S442" s="1384"/>
      <c r="T442" s="1385"/>
    </row>
    <row r="443" spans="2:20" ht="15" hidden="1" customHeight="1">
      <c r="B443" s="255"/>
      <c r="C443" s="256"/>
      <c r="D443" s="456"/>
      <c r="E443" s="456"/>
      <c r="F443" s="456"/>
      <c r="G443" s="456"/>
      <c r="H443" s="456"/>
      <c r="I443" s="257"/>
      <c r="J443" s="826"/>
      <c r="K443" s="826"/>
      <c r="L443" s="826" t="s">
        <v>39</v>
      </c>
      <c r="M443" s="826" t="s">
        <v>40</v>
      </c>
      <c r="N443" s="826" t="s">
        <v>41</v>
      </c>
      <c r="O443" s="410" t="s">
        <v>42</v>
      </c>
      <c r="P443" s="410" t="s">
        <v>43</v>
      </c>
      <c r="Q443" s="410"/>
      <c r="R443" s="410"/>
      <c r="S443" s="827" t="s">
        <v>44</v>
      </c>
      <c r="T443" s="261"/>
    </row>
    <row r="444" spans="2:20" ht="15" hidden="1" customHeight="1">
      <c r="B444" s="255"/>
      <c r="C444" s="256"/>
      <c r="D444" s="456"/>
      <c r="E444" s="456"/>
      <c r="F444" s="456"/>
      <c r="G444" s="456"/>
      <c r="H444" s="456"/>
      <c r="I444" s="257"/>
      <c r="J444" s="828" t="s">
        <v>45</v>
      </c>
      <c r="K444" s="829"/>
      <c r="L444" s="829" t="s">
        <v>46</v>
      </c>
      <c r="M444" s="830"/>
      <c r="N444" s="830"/>
      <c r="P444" s="831"/>
      <c r="Q444" s="831"/>
      <c r="R444" s="831"/>
      <c r="S444" s="832"/>
      <c r="T444" s="267"/>
    </row>
    <row r="445" spans="2:20" ht="15" hidden="1" customHeight="1">
      <c r="B445" s="255"/>
      <c r="C445" s="1377">
        <f>C467+(0.3*(I456)*2)</f>
        <v>1140</v>
      </c>
      <c r="D445" s="1377"/>
      <c r="E445" s="1377"/>
      <c r="F445" s="1377"/>
      <c r="G445" s="268"/>
      <c r="H445" s="269"/>
      <c r="I445" s="257"/>
      <c r="J445" s="833" t="s">
        <v>47</v>
      </c>
      <c r="K445" s="834">
        <f>C445/1000</f>
        <v>1.1399999999999999</v>
      </c>
      <c r="L445" s="834"/>
      <c r="M445" s="834"/>
      <c r="N445" s="835" t="s">
        <v>48</v>
      </c>
      <c r="O445" s="649">
        <f>C467/1000</f>
        <v>0.9</v>
      </c>
      <c r="P445" s="274"/>
      <c r="Q445" s="275" t="s">
        <v>49</v>
      </c>
      <c r="R445" s="276">
        <f>(H456)/1000</f>
        <v>0.4</v>
      </c>
      <c r="S445" s="277"/>
      <c r="T445" s="278"/>
    </row>
    <row r="446" spans="2:20" ht="15" hidden="1" customHeight="1">
      <c r="B446" s="255"/>
      <c r="C446" s="279"/>
      <c r="D446" s="280"/>
      <c r="E446" s="280"/>
      <c r="F446" s="281"/>
      <c r="G446" s="268"/>
      <c r="H446" s="269"/>
      <c r="I446" s="282"/>
      <c r="J446" s="833" t="s">
        <v>50</v>
      </c>
      <c r="K446" s="834">
        <f>C447/1000</f>
        <v>0.84</v>
      </c>
      <c r="L446" s="834"/>
      <c r="M446" s="834"/>
      <c r="N446" s="835" t="s">
        <v>51</v>
      </c>
      <c r="O446" s="649">
        <f>C469/1000</f>
        <v>0.6</v>
      </c>
      <c r="P446" s="274"/>
      <c r="Q446" s="254"/>
      <c r="R446" s="269"/>
      <c r="S446" s="836"/>
      <c r="T446" s="278"/>
    </row>
    <row r="447" spans="2:20" ht="15" hidden="1" customHeight="1">
      <c r="B447" s="255"/>
      <c r="C447" s="1379">
        <f>C469+(0.3*(I456)*2)</f>
        <v>840</v>
      </c>
      <c r="D447" s="1380"/>
      <c r="E447" s="1380"/>
      <c r="F447" s="1381"/>
      <c r="G447" s="268"/>
      <c r="H447" s="269"/>
      <c r="I447" s="282"/>
      <c r="J447" s="837" t="s">
        <v>52</v>
      </c>
      <c r="K447" s="838"/>
      <c r="L447" s="838"/>
      <c r="M447" s="838"/>
      <c r="N447" s="838"/>
      <c r="O447" s="839"/>
      <c r="P447" s="838"/>
      <c r="Q447" s="410"/>
      <c r="R447" s="410"/>
      <c r="S447" s="840">
        <f>ROUNDDOWN(R445/6*((2*K445+O445)*K446+(2*O445+K445)*O446),3)</f>
        <v>0.29499999999999998</v>
      </c>
      <c r="T447" s="599" t="s">
        <v>178</v>
      </c>
    </row>
    <row r="448" spans="2:20" ht="15" hidden="1" customHeight="1">
      <c r="B448" s="255"/>
      <c r="C448" s="290"/>
      <c r="D448" s="291"/>
      <c r="E448" s="291"/>
      <c r="F448" s="281"/>
      <c r="G448" s="268"/>
      <c r="H448" s="269"/>
      <c r="I448" s="282"/>
      <c r="J448" s="841" t="s">
        <v>53</v>
      </c>
      <c r="K448" s="842"/>
      <c r="L448" s="842" t="s">
        <v>54</v>
      </c>
      <c r="M448" s="843"/>
      <c r="N448" s="843"/>
      <c r="O448" s="843"/>
      <c r="P448" s="842"/>
      <c r="Q448" s="829"/>
      <c r="R448" s="829"/>
      <c r="S448" s="832"/>
      <c r="T448" s="294"/>
    </row>
    <row r="449" spans="2:20" ht="15" hidden="1" customHeight="1">
      <c r="B449" s="255"/>
      <c r="C449" s="295"/>
      <c r="D449" s="1386">
        <v>700</v>
      </c>
      <c r="E449" s="1387"/>
      <c r="F449" s="296"/>
      <c r="G449" s="268"/>
      <c r="H449" s="269"/>
      <c r="I449" s="282"/>
      <c r="J449" s="833" t="s">
        <v>47</v>
      </c>
      <c r="K449" s="844">
        <f>D449/1000</f>
        <v>0.7</v>
      </c>
      <c r="L449" s="834"/>
      <c r="M449" s="834"/>
      <c r="N449" s="835" t="s">
        <v>48</v>
      </c>
      <c r="O449" s="834">
        <f>D464/1000</f>
        <v>0.4</v>
      </c>
      <c r="P449" s="274"/>
      <c r="Q449" s="275" t="s">
        <v>49</v>
      </c>
      <c r="R449" s="276">
        <f>H456/1000</f>
        <v>0.4</v>
      </c>
      <c r="S449" s="297">
        <f>ROUNDDOWN(K449*O449*R449,2)</f>
        <v>0.11</v>
      </c>
      <c r="T449" s="298" t="s">
        <v>55</v>
      </c>
    </row>
    <row r="450" spans="2:20" ht="15" hidden="1" customHeight="1">
      <c r="B450" s="255"/>
      <c r="C450" s="299"/>
      <c r="D450" s="300"/>
      <c r="E450" s="301"/>
      <c r="F450" s="302"/>
      <c r="G450" s="456"/>
      <c r="H450" s="269"/>
      <c r="I450" s="282"/>
      <c r="J450" s="833"/>
      <c r="K450" s="834"/>
      <c r="L450" s="834"/>
      <c r="M450" s="834"/>
      <c r="N450" s="835"/>
      <c r="O450" s="834"/>
      <c r="P450" s="274"/>
      <c r="Q450" s="275"/>
      <c r="R450" s="276"/>
      <c r="S450" s="297"/>
      <c r="T450" s="298"/>
    </row>
    <row r="451" spans="2:20" ht="15" hidden="1" customHeight="1">
      <c r="B451" s="255"/>
      <c r="C451" s="299"/>
      <c r="D451" s="303"/>
      <c r="E451" s="302"/>
      <c r="F451" s="302"/>
      <c r="G451" s="456"/>
      <c r="H451" s="269"/>
      <c r="I451" s="282"/>
      <c r="J451" s="833"/>
      <c r="K451" s="834"/>
      <c r="L451" s="834"/>
      <c r="M451" s="834"/>
      <c r="N451" s="835"/>
      <c r="O451" s="834"/>
      <c r="P451" s="274"/>
      <c r="Q451" s="275"/>
      <c r="R451" s="276"/>
      <c r="S451" s="297"/>
      <c r="T451" s="541"/>
    </row>
    <row r="452" spans="2:20" ht="15" hidden="1" customHeight="1">
      <c r="B452" s="255"/>
      <c r="C452" s="299"/>
      <c r="D452" s="303"/>
      <c r="E452" s="302"/>
      <c r="F452" s="302"/>
      <c r="G452" s="456"/>
      <c r="H452" s="269"/>
      <c r="I452" s="282"/>
      <c r="J452" s="833"/>
      <c r="K452" s="834"/>
      <c r="L452" s="834"/>
      <c r="M452" s="834"/>
      <c r="N452" s="305"/>
      <c r="O452" s="834"/>
      <c r="P452" s="274"/>
      <c r="Q452" s="275"/>
      <c r="R452" s="276"/>
      <c r="S452" s="297"/>
      <c r="T452" s="298"/>
    </row>
    <row r="453" spans="2:20" ht="15" hidden="1" customHeight="1">
      <c r="B453" s="255"/>
      <c r="C453" s="299"/>
      <c r="D453" s="303"/>
      <c r="E453" s="302"/>
      <c r="F453" s="302"/>
      <c r="G453" s="456"/>
      <c r="H453" s="305"/>
      <c r="I453" s="282"/>
      <c r="J453" s="837" t="s">
        <v>57</v>
      </c>
      <c r="K453" s="838"/>
      <c r="L453" s="838"/>
      <c r="M453" s="838"/>
      <c r="N453" s="838"/>
      <c r="O453" s="839"/>
      <c r="P453" s="838"/>
      <c r="Q453" s="306"/>
      <c r="R453" s="307"/>
      <c r="S453" s="840">
        <f>SUM(S449:S452)</f>
        <v>0.11</v>
      </c>
      <c r="T453" s="599" t="s">
        <v>178</v>
      </c>
    </row>
    <row r="454" spans="2:20" ht="15" hidden="1" customHeight="1">
      <c r="B454" s="255"/>
      <c r="C454" s="299"/>
      <c r="D454" s="303"/>
      <c r="E454" s="302"/>
      <c r="F454" s="302"/>
      <c r="G454" s="456"/>
      <c r="H454" s="269"/>
      <c r="I454" s="308"/>
      <c r="J454" s="828" t="s">
        <v>58</v>
      </c>
      <c r="K454" s="843"/>
      <c r="L454" s="309" t="s">
        <v>334</v>
      </c>
      <c r="M454" s="309" t="s">
        <v>335</v>
      </c>
      <c r="N454" s="310" t="s">
        <v>336</v>
      </c>
      <c r="O454" s="311"/>
      <c r="P454" s="309"/>
      <c r="Q454" s="312"/>
      <c r="R454" s="312"/>
      <c r="S454" s="313"/>
      <c r="T454" s="294"/>
    </row>
    <row r="455" spans="2:20" ht="15" hidden="1" customHeight="1" thickBot="1">
      <c r="B455" s="314"/>
      <c r="C455" s="1388"/>
      <c r="D455" s="1388"/>
      <c r="E455" s="1388"/>
      <c r="F455" s="1388"/>
      <c r="G455" s="315"/>
      <c r="H455" s="315"/>
      <c r="I455" s="316"/>
      <c r="J455" s="317"/>
      <c r="K455" s="318"/>
      <c r="L455" s="318" t="s">
        <v>334</v>
      </c>
      <c r="M455" s="845">
        <f>S447</f>
        <v>0.29499999999999998</v>
      </c>
      <c r="N455" s="318" t="s">
        <v>337</v>
      </c>
      <c r="O455" s="319">
        <f>S457</f>
        <v>0.11</v>
      </c>
      <c r="P455" s="348"/>
      <c r="Q455" s="321"/>
      <c r="R455" s="846"/>
      <c r="S455" s="847">
        <f>ROUNDDOWN(M455-O455,3)</f>
        <v>0.185</v>
      </c>
      <c r="T455" s="599" t="s">
        <v>178</v>
      </c>
    </row>
    <row r="456" spans="2:20" ht="15" hidden="1" customHeight="1">
      <c r="B456" s="255"/>
      <c r="C456" s="324"/>
      <c r="D456" s="457"/>
      <c r="E456" s="325"/>
      <c r="F456" s="326"/>
      <c r="G456" s="933"/>
      <c r="H456" s="1410">
        <v>400</v>
      </c>
      <c r="I456" s="1413">
        <v>400</v>
      </c>
      <c r="J456" s="828" t="s">
        <v>338</v>
      </c>
      <c r="K456" s="843"/>
      <c r="L456" s="843" t="s">
        <v>339</v>
      </c>
      <c r="M456" s="309"/>
      <c r="N456" s="310" t="s">
        <v>340</v>
      </c>
      <c r="O456" s="843"/>
      <c r="P456" s="843"/>
      <c r="Q456" s="328"/>
      <c r="R456" s="329"/>
      <c r="S456" s="832"/>
      <c r="T456" s="294"/>
    </row>
    <row r="457" spans="2:20" ht="15" hidden="1" customHeight="1">
      <c r="B457" s="330"/>
      <c r="C457" s="324"/>
      <c r="D457" s="331"/>
      <c r="E457" s="332"/>
      <c r="F457" s="326"/>
      <c r="G457" s="932"/>
      <c r="H457" s="1411"/>
      <c r="I457" s="1414"/>
      <c r="J457" s="848"/>
      <c r="K457" s="849"/>
      <c r="L457" s="850" t="s">
        <v>339</v>
      </c>
      <c r="M457" s="849"/>
      <c r="N457" s="849"/>
      <c r="O457" s="838">
        <f>S449</f>
        <v>0.11</v>
      </c>
      <c r="P457" s="838"/>
      <c r="Q457" s="838"/>
      <c r="R457" s="410"/>
      <c r="S457" s="851">
        <f>ROUNDDOWN(O457+Q457,3)</f>
        <v>0.11</v>
      </c>
      <c r="T457" s="257" t="s">
        <v>178</v>
      </c>
    </row>
    <row r="458" spans="2:20" ht="15" hidden="1" customHeight="1">
      <c r="B458" s="255"/>
      <c r="C458" s="324"/>
      <c r="D458" s="331"/>
      <c r="E458" s="332"/>
      <c r="F458" s="326"/>
      <c r="G458" s="333"/>
      <c r="H458" s="1411"/>
      <c r="I458" s="1414"/>
      <c r="J458" s="852" t="s">
        <v>584</v>
      </c>
      <c r="K458" s="843"/>
      <c r="L458" s="843"/>
      <c r="M458" s="843"/>
      <c r="N458" s="843"/>
      <c r="O458" s="853"/>
      <c r="P458" s="340"/>
      <c r="Q458" s="329"/>
      <c r="R458" s="341"/>
      <c r="S458" s="832"/>
      <c r="T458" s="294"/>
    </row>
    <row r="459" spans="2:20" ht="15" hidden="1" customHeight="1">
      <c r="B459" s="255"/>
      <c r="C459" s="324"/>
      <c r="D459" s="331"/>
      <c r="E459" s="332"/>
      <c r="F459" s="326"/>
      <c r="G459" s="333"/>
      <c r="H459" s="1411"/>
      <c r="I459" s="1414"/>
      <c r="J459" s="342" t="s">
        <v>341</v>
      </c>
      <c r="K459" s="343">
        <f>D449/1000</f>
        <v>0.7</v>
      </c>
      <c r="L459" s="344" t="s">
        <v>59</v>
      </c>
      <c r="M459" s="412">
        <f>D464/1000</f>
        <v>0.4</v>
      </c>
      <c r="N459" s="346" t="s">
        <v>137</v>
      </c>
      <c r="O459" s="347" t="s">
        <v>342</v>
      </c>
      <c r="P459" s="348">
        <f>I456/1000</f>
        <v>0.4</v>
      </c>
      <c r="Q459" s="349" t="s">
        <v>343</v>
      </c>
      <c r="R459" s="350">
        <v>4</v>
      </c>
      <c r="S459" s="854">
        <f>((K459+M459)/2)*P459*R459</f>
        <v>0.88000000000000012</v>
      </c>
      <c r="T459" s="599" t="s">
        <v>344</v>
      </c>
    </row>
    <row r="460" spans="2:20" ht="15" hidden="1" customHeight="1" thickBot="1">
      <c r="B460" s="255"/>
      <c r="C460" s="352"/>
      <c r="D460" s="353"/>
      <c r="E460" s="354"/>
      <c r="F460" s="355"/>
      <c r="G460" s="356"/>
      <c r="H460" s="1412"/>
      <c r="I460" s="1414"/>
      <c r="J460" s="855"/>
      <c r="K460" s="856"/>
      <c r="L460" s="856"/>
      <c r="M460" s="856"/>
      <c r="N460" s="856"/>
      <c r="O460" s="857"/>
      <c r="P460" s="329"/>
      <c r="Q460" s="329"/>
      <c r="R460" s="329"/>
      <c r="S460" s="360"/>
      <c r="T460" s="598"/>
    </row>
    <row r="461" spans="2:20" ht="15" hidden="1" customHeight="1">
      <c r="B461" s="255"/>
      <c r="C461" s="362"/>
      <c r="D461" s="363"/>
      <c r="E461" s="364"/>
      <c r="F461" s="365"/>
      <c r="G461" s="456"/>
      <c r="H461" s="269"/>
      <c r="I461" s="282"/>
      <c r="J461" s="858"/>
      <c r="K461" s="349"/>
      <c r="L461" s="348"/>
      <c r="M461" s="859"/>
      <c r="N461" s="860"/>
      <c r="P461" s="861"/>
      <c r="Q461" s="350"/>
      <c r="R461" s="350"/>
      <c r="S461" s="851"/>
      <c r="T461" s="298"/>
    </row>
    <row r="462" spans="2:20" ht="15" hidden="1" customHeight="1">
      <c r="B462" s="255"/>
      <c r="C462" s="371">
        <v>100</v>
      </c>
      <c r="D462" s="1379">
        <v>700</v>
      </c>
      <c r="E462" s="1381"/>
      <c r="F462" s="372">
        <v>100</v>
      </c>
      <c r="G462" s="268"/>
      <c r="H462" s="373"/>
      <c r="I462" s="282"/>
      <c r="J462" s="855"/>
      <c r="K462" s="856"/>
      <c r="L462" s="856"/>
      <c r="M462" s="856"/>
      <c r="N462" s="856"/>
      <c r="O462" s="862"/>
      <c r="P462" s="375"/>
      <c r="Q462" s="862"/>
      <c r="R462" s="831"/>
      <c r="S462" s="832"/>
      <c r="T462" s="294"/>
    </row>
    <row r="463" spans="2:20" ht="15" hidden="1" customHeight="1">
      <c r="B463" s="376"/>
      <c r="C463" s="377"/>
      <c r="D463" s="303"/>
      <c r="E463" s="302"/>
      <c r="F463" s="378"/>
      <c r="G463" s="379"/>
      <c r="H463" s="373"/>
      <c r="I463" s="282"/>
      <c r="J463" s="380"/>
      <c r="K463" s="306"/>
      <c r="L463" s="306"/>
      <c r="M463" s="306"/>
      <c r="N463" s="306"/>
      <c r="O463" s="381"/>
      <c r="P463" s="381"/>
      <c r="Q463" s="381"/>
      <c r="R463" s="381"/>
      <c r="S463" s="863"/>
      <c r="T463" s="383"/>
    </row>
    <row r="464" spans="2:20" ht="15" hidden="1" customHeight="1">
      <c r="B464" s="255"/>
      <c r="C464" s="371">
        <v>100</v>
      </c>
      <c r="D464" s="1379">
        <v>400</v>
      </c>
      <c r="E464" s="1381"/>
      <c r="F464" s="372">
        <v>100</v>
      </c>
      <c r="G464" s="268"/>
      <c r="H464" s="373"/>
      <c r="I464" s="282"/>
      <c r="J464" s="876" t="s">
        <v>585</v>
      </c>
      <c r="K464" s="864"/>
      <c r="L464" s="878" t="s">
        <v>812</v>
      </c>
      <c r="M464" s="864"/>
      <c r="N464" s="864"/>
      <c r="O464" s="269"/>
      <c r="P464" s="385"/>
      <c r="Q464" s="385"/>
      <c r="R464" s="385"/>
      <c r="S464" s="386"/>
      <c r="T464" s="387"/>
    </row>
    <row r="465" spans="2:20" ht="15" hidden="1" customHeight="1">
      <c r="B465" s="255"/>
      <c r="C465" s="290"/>
      <c r="D465" s="388"/>
      <c r="E465" s="388"/>
      <c r="F465" s="389"/>
      <c r="G465" s="379"/>
      <c r="H465" s="373"/>
      <c r="I465" s="282"/>
      <c r="J465" s="865"/>
      <c r="K465" s="866"/>
      <c r="L465" s="866"/>
      <c r="M465" s="866"/>
      <c r="N465" s="866"/>
      <c r="O465" s="867"/>
      <c r="P465" s="393"/>
      <c r="Q465" s="381"/>
      <c r="R465" s="410"/>
      <c r="S465" s="394">
        <v>4</v>
      </c>
      <c r="T465" s="383" t="s">
        <v>37</v>
      </c>
    </row>
    <row r="466" spans="2:20" ht="15" hidden="1" customHeight="1">
      <c r="B466" s="255"/>
      <c r="C466" s="1376"/>
      <c r="D466" s="1377"/>
      <c r="E466" s="1377"/>
      <c r="F466" s="1378"/>
      <c r="G466" s="268"/>
      <c r="H466" s="269"/>
      <c r="I466" s="282"/>
      <c r="J466" s="828" t="s">
        <v>346</v>
      </c>
      <c r="K466" s="864"/>
      <c r="L466" s="877" t="s">
        <v>805</v>
      </c>
      <c r="M466" s="830"/>
      <c r="N466" s="830"/>
      <c r="O466" s="831"/>
      <c r="P466" s="831"/>
      <c r="Q466" s="329"/>
      <c r="R466" s="329"/>
      <c r="S466" s="832"/>
      <c r="T466" s="267"/>
    </row>
    <row r="467" spans="2:20" ht="15" hidden="1" customHeight="1">
      <c r="B467" s="255"/>
      <c r="C467" s="1379">
        <f>C462+D462+F462</f>
        <v>900</v>
      </c>
      <c r="D467" s="1380"/>
      <c r="E467" s="1380"/>
      <c r="F467" s="1381"/>
      <c r="G467" s="268"/>
      <c r="H467" s="456"/>
      <c r="I467" s="257"/>
      <c r="J467" s="848"/>
      <c r="K467" s="826"/>
      <c r="L467" s="826"/>
      <c r="M467" s="826"/>
      <c r="N467" s="826"/>
      <c r="O467" s="410">
        <v>3</v>
      </c>
      <c r="P467" s="381"/>
      <c r="Q467" s="410"/>
      <c r="R467" s="410"/>
      <c r="S467" s="868">
        <f>O467</f>
        <v>3</v>
      </c>
      <c r="T467" s="261" t="s">
        <v>36</v>
      </c>
    </row>
    <row r="468" spans="2:20" ht="15" hidden="1" customHeight="1">
      <c r="B468" s="255"/>
      <c r="C468" s="396"/>
      <c r="D468" s="388"/>
      <c r="E468" s="388"/>
      <c r="F468" s="397"/>
      <c r="G468" s="268"/>
      <c r="H468" s="269"/>
      <c r="I468" s="257"/>
      <c r="J468" s="841" t="s">
        <v>824</v>
      </c>
      <c r="K468" s="398"/>
      <c r="L468" s="398"/>
      <c r="M468" s="398"/>
      <c r="N468" s="398"/>
      <c r="O468" s="399"/>
      <c r="P468" s="400"/>
      <c r="Q468" s="399"/>
      <c r="R468" s="399"/>
      <c r="S468" s="401"/>
      <c r="T468" s="402"/>
    </row>
    <row r="469" spans="2:20" ht="15" hidden="1" customHeight="1">
      <c r="B469" s="255"/>
      <c r="C469" s="1379">
        <f>C464+D464+F464</f>
        <v>600</v>
      </c>
      <c r="D469" s="1380"/>
      <c r="E469" s="1380"/>
      <c r="F469" s="1381"/>
      <c r="G469" s="268"/>
      <c r="H469" s="456"/>
      <c r="I469" s="257"/>
      <c r="J469" s="403"/>
      <c r="K469" s="404"/>
      <c r="L469" s="404"/>
      <c r="M469" s="404"/>
      <c r="N469" s="404"/>
      <c r="O469" s="410">
        <v>3</v>
      </c>
      <c r="P469" s="405"/>
      <c r="Q469" s="405"/>
      <c r="R469" s="405"/>
      <c r="S469" s="868">
        <f>O469</f>
        <v>3</v>
      </c>
      <c r="T469" s="261" t="s">
        <v>36</v>
      </c>
    </row>
    <row r="470" spans="2:20" ht="15" hidden="1" customHeight="1">
      <c r="B470" s="255"/>
      <c r="C470" s="256"/>
      <c r="D470" s="456"/>
      <c r="E470" s="456"/>
      <c r="F470" s="456"/>
      <c r="G470" s="456"/>
      <c r="H470" s="456"/>
      <c r="I470" s="257"/>
      <c r="J470" s="841"/>
      <c r="K470" s="842"/>
      <c r="L470" s="869"/>
      <c r="M470" s="843"/>
      <c r="N470" s="843"/>
      <c r="O470" s="843"/>
      <c r="P470" s="842"/>
      <c r="Q470" s="829"/>
      <c r="R470" s="829"/>
      <c r="S470" s="832"/>
      <c r="T470" s="294"/>
    </row>
    <row r="471" spans="2:20" ht="15" hidden="1" customHeight="1">
      <c r="B471" s="255"/>
      <c r="C471" s="256"/>
      <c r="D471" s="456"/>
      <c r="E471" s="456"/>
      <c r="F471" s="456"/>
      <c r="G471" s="456"/>
      <c r="H471" s="456"/>
      <c r="I471" s="269"/>
      <c r="J471" s="833"/>
      <c r="K471" s="844"/>
      <c r="L471" s="834"/>
      <c r="M471" s="834"/>
      <c r="N471" s="835"/>
      <c r="O471" s="834"/>
      <c r="P471" s="274"/>
      <c r="Q471" s="275"/>
      <c r="R471" s="276"/>
      <c r="S471" s="297"/>
      <c r="T471" s="298"/>
    </row>
    <row r="472" spans="2:20" ht="15" hidden="1" customHeight="1">
      <c r="B472" s="255"/>
      <c r="C472" s="256"/>
      <c r="D472" s="456"/>
      <c r="E472" s="456"/>
      <c r="F472" s="456"/>
      <c r="G472" s="456"/>
      <c r="H472" s="456"/>
      <c r="I472" s="257"/>
      <c r="J472" s="485" t="s">
        <v>350</v>
      </c>
      <c r="K472" s="870"/>
      <c r="L472" s="870"/>
      <c r="M472" s="870"/>
      <c r="N472" s="870"/>
      <c r="O472" s="871"/>
      <c r="P472" s="871"/>
      <c r="Q472" s="781"/>
      <c r="R472" s="781"/>
      <c r="S472" s="872"/>
      <c r="T472" s="716"/>
    </row>
    <row r="473" spans="2:20" ht="15" hidden="1" customHeight="1">
      <c r="B473" s="408"/>
      <c r="C473" s="409"/>
      <c r="D473" s="350"/>
      <c r="E473" s="350"/>
      <c r="F473" s="350"/>
      <c r="G473" s="350"/>
      <c r="H473" s="350"/>
      <c r="I473" s="410"/>
      <c r="J473" s="873"/>
      <c r="K473" s="874"/>
      <c r="L473" s="874"/>
      <c r="M473" s="874"/>
      <c r="N473" s="874"/>
      <c r="O473" s="711">
        <v>1</v>
      </c>
      <c r="P473" s="800"/>
      <c r="Q473" s="711"/>
      <c r="R473" s="711"/>
      <c r="S473" s="875">
        <f>ROUNDDOWN(dhTextEvaluate(O473),2)</f>
        <v>1</v>
      </c>
      <c r="T473" s="814" t="s">
        <v>26</v>
      </c>
    </row>
    <row r="474" spans="2:20" ht="24.95" hidden="1" customHeight="1">
      <c r="B474" s="468" t="s">
        <v>710</v>
      </c>
      <c r="C474" s="1383" t="s">
        <v>806</v>
      </c>
      <c r="D474" s="1383"/>
      <c r="E474" s="1383"/>
      <c r="F474" s="1383"/>
      <c r="G474" s="1383"/>
      <c r="H474" s="1383"/>
      <c r="I474" s="1383" t="s">
        <v>807</v>
      </c>
      <c r="J474" s="1383"/>
      <c r="K474" s="1383"/>
      <c r="L474" s="1384"/>
      <c r="M474" s="1384"/>
      <c r="N474" s="1384"/>
      <c r="O474" s="1384"/>
      <c r="P474" s="1384"/>
      <c r="Q474" s="1384"/>
      <c r="R474" s="1384"/>
      <c r="S474" s="1384"/>
      <c r="T474" s="1385"/>
    </row>
    <row r="475" spans="2:20" ht="15" hidden="1" customHeight="1">
      <c r="B475" s="255"/>
      <c r="C475" s="256"/>
      <c r="D475" s="456"/>
      <c r="E475" s="456"/>
      <c r="F475" s="456"/>
      <c r="G475" s="456"/>
      <c r="H475" s="456"/>
      <c r="I475" s="257"/>
      <c r="J475" s="826"/>
      <c r="K475" s="826"/>
      <c r="L475" s="826" t="s">
        <v>39</v>
      </c>
      <c r="M475" s="826" t="s">
        <v>40</v>
      </c>
      <c r="N475" s="826" t="s">
        <v>41</v>
      </c>
      <c r="O475" s="410" t="s">
        <v>42</v>
      </c>
      <c r="P475" s="410" t="s">
        <v>43</v>
      </c>
      <c r="Q475" s="410"/>
      <c r="R475" s="410"/>
      <c r="S475" s="827" t="s">
        <v>44</v>
      </c>
      <c r="T475" s="261"/>
    </row>
    <row r="476" spans="2:20" ht="15" hidden="1" customHeight="1">
      <c r="B476" s="255"/>
      <c r="C476" s="256"/>
      <c r="D476" s="456"/>
      <c r="E476" s="456"/>
      <c r="F476" s="456"/>
      <c r="G476" s="456"/>
      <c r="H476" s="456"/>
      <c r="I476" s="257"/>
      <c r="J476" s="828" t="s">
        <v>45</v>
      </c>
      <c r="K476" s="829"/>
      <c r="L476" s="829" t="s">
        <v>46</v>
      </c>
      <c r="M476" s="830"/>
      <c r="N476" s="830"/>
      <c r="P476" s="831"/>
      <c r="Q476" s="831"/>
      <c r="R476" s="831"/>
      <c r="S476" s="832"/>
      <c r="T476" s="267"/>
    </row>
    <row r="477" spans="2:20" ht="15" hidden="1" customHeight="1">
      <c r="B477" s="255"/>
      <c r="C477" s="1377">
        <f>C499+(0.3*(H488)*2)</f>
        <v>880</v>
      </c>
      <c r="D477" s="1377"/>
      <c r="E477" s="1377"/>
      <c r="F477" s="1377"/>
      <c r="G477" s="268"/>
      <c r="H477" s="269"/>
      <c r="I477" s="257"/>
      <c r="J477" s="833" t="s">
        <v>47</v>
      </c>
      <c r="K477" s="834">
        <f>C477/1000</f>
        <v>0.88</v>
      </c>
      <c r="L477" s="834"/>
      <c r="M477" s="834"/>
      <c r="N477" s="835" t="s">
        <v>48</v>
      </c>
      <c r="O477" s="649">
        <f>C499/1000</f>
        <v>0.7</v>
      </c>
      <c r="P477" s="274"/>
      <c r="Q477" s="275" t="s">
        <v>49</v>
      </c>
      <c r="R477" s="276">
        <f>(H488)/1000</f>
        <v>0.3</v>
      </c>
      <c r="S477" s="277"/>
      <c r="T477" s="278"/>
    </row>
    <row r="478" spans="2:20" ht="15" hidden="1" customHeight="1">
      <c r="B478" s="255"/>
      <c r="C478" s="279"/>
      <c r="D478" s="280"/>
      <c r="E478" s="280"/>
      <c r="F478" s="281"/>
      <c r="G478" s="268"/>
      <c r="H478" s="269"/>
      <c r="I478" s="282"/>
      <c r="J478" s="833" t="s">
        <v>50</v>
      </c>
      <c r="K478" s="834">
        <f>C479/1000</f>
        <v>0.88</v>
      </c>
      <c r="L478" s="834"/>
      <c r="M478" s="834"/>
      <c r="N478" s="835" t="s">
        <v>51</v>
      </c>
      <c r="O478" s="649">
        <f>C501/1000</f>
        <v>0.7</v>
      </c>
      <c r="P478" s="274"/>
      <c r="Q478" s="254"/>
      <c r="R478" s="269"/>
      <c r="S478" s="836"/>
      <c r="T478" s="278"/>
    </row>
    <row r="479" spans="2:20" ht="15" hidden="1" customHeight="1">
      <c r="B479" s="255"/>
      <c r="C479" s="1379">
        <f>C501+(0.3*(H488)*2)</f>
        <v>880</v>
      </c>
      <c r="D479" s="1380"/>
      <c r="E479" s="1380"/>
      <c r="F479" s="1381"/>
      <c r="G479" s="268"/>
      <c r="H479" s="269"/>
      <c r="I479" s="282"/>
      <c r="J479" s="837" t="s">
        <v>52</v>
      </c>
      <c r="K479" s="838"/>
      <c r="L479" s="838"/>
      <c r="M479" s="838"/>
      <c r="N479" s="838"/>
      <c r="O479" s="839"/>
      <c r="P479" s="838"/>
      <c r="Q479" s="410"/>
      <c r="R479" s="410"/>
      <c r="S479" s="840">
        <f>ROUNDDOWN(R477/6*((2*K477+O477)*K478+(2*O477+K477)*O478),3)</f>
        <v>0.188</v>
      </c>
      <c r="T479" s="599" t="s">
        <v>178</v>
      </c>
    </row>
    <row r="480" spans="2:20" ht="15" hidden="1" customHeight="1">
      <c r="B480" s="255"/>
      <c r="C480" s="290"/>
      <c r="D480" s="291"/>
      <c r="E480" s="291"/>
      <c r="F480" s="281"/>
      <c r="G480" s="268"/>
      <c r="H480" s="269"/>
      <c r="I480" s="282"/>
      <c r="J480" s="841" t="s">
        <v>53</v>
      </c>
      <c r="K480" s="842"/>
      <c r="L480" s="842" t="s">
        <v>54</v>
      </c>
      <c r="M480" s="843"/>
      <c r="N480" s="843"/>
      <c r="O480" s="843"/>
      <c r="P480" s="842"/>
      <c r="Q480" s="829"/>
      <c r="R480" s="829"/>
      <c r="S480" s="832"/>
      <c r="T480" s="294"/>
    </row>
    <row r="481" spans="2:20" ht="15" hidden="1" customHeight="1">
      <c r="B481" s="255"/>
      <c r="C481" s="295"/>
      <c r="D481" s="1386">
        <v>500</v>
      </c>
      <c r="E481" s="1387"/>
      <c r="F481" s="296"/>
      <c r="G481" s="268"/>
      <c r="H481" s="269"/>
      <c r="I481" s="282"/>
      <c r="J481" s="833" t="s">
        <v>47</v>
      </c>
      <c r="K481" s="844">
        <f>D481/1000</f>
        <v>0.5</v>
      </c>
      <c r="L481" s="834"/>
      <c r="M481" s="834"/>
      <c r="N481" s="835" t="s">
        <v>48</v>
      </c>
      <c r="O481" s="834">
        <f>D496/1000</f>
        <v>0.5</v>
      </c>
      <c r="P481" s="274"/>
      <c r="Q481" s="275" t="s">
        <v>49</v>
      </c>
      <c r="R481" s="276">
        <f>H488/1000</f>
        <v>0.3</v>
      </c>
      <c r="S481" s="297">
        <f>ROUNDDOWN(K481*O481*R481,2)</f>
        <v>7.0000000000000007E-2</v>
      </c>
      <c r="T481" s="298" t="s">
        <v>55</v>
      </c>
    </row>
    <row r="482" spans="2:20" ht="15" hidden="1" customHeight="1">
      <c r="B482" s="255"/>
      <c r="C482" s="299"/>
      <c r="D482" s="300"/>
      <c r="E482" s="301"/>
      <c r="F482" s="302"/>
      <c r="G482" s="456"/>
      <c r="H482" s="269"/>
      <c r="I482" s="282"/>
      <c r="J482" s="833"/>
      <c r="K482" s="834"/>
      <c r="L482" s="834"/>
      <c r="M482" s="834"/>
      <c r="N482" s="835"/>
      <c r="O482" s="834"/>
      <c r="P482" s="274"/>
      <c r="Q482" s="275"/>
      <c r="R482" s="276"/>
      <c r="S482" s="297"/>
      <c r="T482" s="298"/>
    </row>
    <row r="483" spans="2:20" ht="15" hidden="1" customHeight="1">
      <c r="B483" s="255"/>
      <c r="C483" s="299"/>
      <c r="D483" s="303"/>
      <c r="E483" s="302"/>
      <c r="F483" s="302"/>
      <c r="G483" s="456"/>
      <c r="H483" s="269"/>
      <c r="I483" s="282"/>
      <c r="J483" s="833"/>
      <c r="K483" s="834"/>
      <c r="L483" s="834"/>
      <c r="M483" s="834"/>
      <c r="N483" s="835"/>
      <c r="O483" s="834"/>
      <c r="P483" s="274"/>
      <c r="Q483" s="275"/>
      <c r="R483" s="276"/>
      <c r="S483" s="297"/>
      <c r="T483" s="541"/>
    </row>
    <row r="484" spans="2:20" ht="15" hidden="1" customHeight="1">
      <c r="B484" s="255"/>
      <c r="C484" s="299"/>
      <c r="D484" s="303"/>
      <c r="E484" s="302"/>
      <c r="F484" s="302"/>
      <c r="G484" s="456"/>
      <c r="H484" s="269"/>
      <c r="I484" s="282"/>
      <c r="J484" s="833"/>
      <c r="K484" s="834"/>
      <c r="L484" s="834"/>
      <c r="M484" s="834"/>
      <c r="N484" s="305"/>
      <c r="O484" s="834"/>
      <c r="P484" s="274"/>
      <c r="Q484" s="275"/>
      <c r="R484" s="276"/>
      <c r="S484" s="297"/>
      <c r="T484" s="298"/>
    </row>
    <row r="485" spans="2:20" ht="15" hidden="1" customHeight="1">
      <c r="B485" s="255"/>
      <c r="C485" s="299"/>
      <c r="D485" s="303"/>
      <c r="E485" s="302"/>
      <c r="F485" s="302"/>
      <c r="G485" s="456"/>
      <c r="H485" s="305"/>
      <c r="I485" s="282"/>
      <c r="J485" s="837" t="s">
        <v>57</v>
      </c>
      <c r="K485" s="838"/>
      <c r="L485" s="838"/>
      <c r="M485" s="838"/>
      <c r="N485" s="838"/>
      <c r="O485" s="839"/>
      <c r="P485" s="838"/>
      <c r="Q485" s="306"/>
      <c r="R485" s="307"/>
      <c r="S485" s="840">
        <f>SUM(S481:S484)</f>
        <v>7.0000000000000007E-2</v>
      </c>
      <c r="T485" s="599" t="s">
        <v>178</v>
      </c>
    </row>
    <row r="486" spans="2:20" ht="15" hidden="1" customHeight="1">
      <c r="B486" s="255"/>
      <c r="C486" s="299"/>
      <c r="D486" s="303"/>
      <c r="E486" s="302"/>
      <c r="F486" s="302"/>
      <c r="G486" s="456"/>
      <c r="H486" s="269"/>
      <c r="I486" s="308"/>
      <c r="J486" s="828" t="s">
        <v>58</v>
      </c>
      <c r="K486" s="843"/>
      <c r="L486" s="309" t="s">
        <v>334</v>
      </c>
      <c r="M486" s="309" t="s">
        <v>335</v>
      </c>
      <c r="N486" s="310" t="s">
        <v>336</v>
      </c>
      <c r="O486" s="311"/>
      <c r="P486" s="309"/>
      <c r="Q486" s="312"/>
      <c r="R486" s="312"/>
      <c r="S486" s="313"/>
      <c r="T486" s="294"/>
    </row>
    <row r="487" spans="2:20" ht="15" hidden="1" customHeight="1" thickBot="1">
      <c r="B487" s="314"/>
      <c r="C487" s="1388"/>
      <c r="D487" s="1388"/>
      <c r="E487" s="1388"/>
      <c r="F487" s="1388"/>
      <c r="G487" s="315"/>
      <c r="H487" s="315"/>
      <c r="I487" s="316"/>
      <c r="J487" s="317"/>
      <c r="K487" s="318"/>
      <c r="L487" s="318" t="s">
        <v>334</v>
      </c>
      <c r="M487" s="845">
        <f>S479</f>
        <v>0.188</v>
      </c>
      <c r="N487" s="318" t="s">
        <v>337</v>
      </c>
      <c r="O487" s="319">
        <f>S489</f>
        <v>7.0000000000000007E-2</v>
      </c>
      <c r="P487" s="348"/>
      <c r="Q487" s="321"/>
      <c r="R487" s="846"/>
      <c r="S487" s="847">
        <f>ROUNDDOWN(M487-O487,3)</f>
        <v>0.11799999999999999</v>
      </c>
      <c r="T487" s="599" t="s">
        <v>178</v>
      </c>
    </row>
    <row r="488" spans="2:20" ht="15" hidden="1" customHeight="1">
      <c r="B488" s="255"/>
      <c r="C488" s="324"/>
      <c r="D488" s="457"/>
      <c r="E488" s="325"/>
      <c r="F488" s="326"/>
      <c r="G488" s="327"/>
      <c r="H488" s="1389">
        <v>300</v>
      </c>
      <c r="I488" s="1392">
        <f>H485+H487+H488</f>
        <v>300</v>
      </c>
      <c r="J488" s="828" t="s">
        <v>338</v>
      </c>
      <c r="K488" s="843"/>
      <c r="L488" s="843" t="s">
        <v>339</v>
      </c>
      <c r="M488" s="309"/>
      <c r="N488" s="310" t="s">
        <v>340</v>
      </c>
      <c r="O488" s="843"/>
      <c r="P488" s="843"/>
      <c r="Q488" s="328"/>
      <c r="R488" s="329"/>
      <c r="S488" s="832"/>
      <c r="T488" s="294"/>
    </row>
    <row r="489" spans="2:20" ht="15" hidden="1" customHeight="1">
      <c r="B489" s="330"/>
      <c r="C489" s="324"/>
      <c r="D489" s="331"/>
      <c r="E489" s="332"/>
      <c r="F489" s="326"/>
      <c r="G489" s="333"/>
      <c r="H489" s="1390"/>
      <c r="I489" s="1387"/>
      <c r="J489" s="848"/>
      <c r="K489" s="849"/>
      <c r="L489" s="850" t="s">
        <v>339</v>
      </c>
      <c r="M489" s="849"/>
      <c r="N489" s="849"/>
      <c r="O489" s="838">
        <f>S481</f>
        <v>7.0000000000000007E-2</v>
      </c>
      <c r="P489" s="838"/>
      <c r="Q489" s="838"/>
      <c r="R489" s="410"/>
      <c r="S489" s="851">
        <f>ROUNDDOWN(O489+Q489,3)</f>
        <v>7.0000000000000007E-2</v>
      </c>
      <c r="T489" s="257" t="s">
        <v>178</v>
      </c>
    </row>
    <row r="490" spans="2:20" ht="15" hidden="1" customHeight="1">
      <c r="B490" s="255"/>
      <c r="C490" s="324"/>
      <c r="D490" s="331"/>
      <c r="E490" s="332"/>
      <c r="F490" s="326"/>
      <c r="G490" s="333"/>
      <c r="H490" s="1390"/>
      <c r="I490" s="1387"/>
      <c r="J490" s="852" t="s">
        <v>584</v>
      </c>
      <c r="K490" s="843"/>
      <c r="L490" s="843"/>
      <c r="M490" s="843"/>
      <c r="N490" s="843"/>
      <c r="O490" s="853"/>
      <c r="P490" s="340"/>
      <c r="Q490" s="329"/>
      <c r="R490" s="341"/>
      <c r="S490" s="832"/>
      <c r="T490" s="294"/>
    </row>
    <row r="491" spans="2:20" ht="15" hidden="1" customHeight="1">
      <c r="B491" s="255"/>
      <c r="C491" s="324"/>
      <c r="D491" s="331"/>
      <c r="E491" s="332"/>
      <c r="F491" s="326"/>
      <c r="G491" s="333"/>
      <c r="H491" s="1390"/>
      <c r="I491" s="1387"/>
      <c r="J491" s="342" t="s">
        <v>341</v>
      </c>
      <c r="K491" s="343">
        <f>D481/1000</f>
        <v>0.5</v>
      </c>
      <c r="L491" s="344" t="s">
        <v>59</v>
      </c>
      <c r="M491" s="412">
        <f>D496/1000</f>
        <v>0.5</v>
      </c>
      <c r="N491" s="346" t="s">
        <v>137</v>
      </c>
      <c r="O491" s="347" t="s">
        <v>342</v>
      </c>
      <c r="P491" s="348">
        <f>I488/1000</f>
        <v>0.3</v>
      </c>
      <c r="Q491" s="349" t="s">
        <v>343</v>
      </c>
      <c r="R491" s="350">
        <v>4</v>
      </c>
      <c r="S491" s="854">
        <f>((K491+M491)/2)*P491*R491</f>
        <v>0.6</v>
      </c>
      <c r="T491" s="599" t="s">
        <v>344</v>
      </c>
    </row>
    <row r="492" spans="2:20" ht="15" hidden="1" customHeight="1" thickBot="1">
      <c r="B492" s="255"/>
      <c r="C492" s="352"/>
      <c r="D492" s="353"/>
      <c r="E492" s="354"/>
      <c r="F492" s="355"/>
      <c r="G492" s="356"/>
      <c r="H492" s="1391"/>
      <c r="I492" s="1387"/>
      <c r="J492" s="855"/>
      <c r="K492" s="856"/>
      <c r="L492" s="856"/>
      <c r="M492" s="856"/>
      <c r="N492" s="856"/>
      <c r="O492" s="857"/>
      <c r="P492" s="329"/>
      <c r="Q492" s="329"/>
      <c r="R492" s="329"/>
      <c r="S492" s="360"/>
      <c r="T492" s="598"/>
    </row>
    <row r="493" spans="2:20" ht="15" hidden="1" customHeight="1">
      <c r="B493" s="255"/>
      <c r="C493" s="362"/>
      <c r="D493" s="363"/>
      <c r="E493" s="364"/>
      <c r="F493" s="365"/>
      <c r="G493" s="456"/>
      <c r="H493" s="269"/>
      <c r="I493" s="282"/>
      <c r="J493" s="858"/>
      <c r="K493" s="349"/>
      <c r="L493" s="348"/>
      <c r="M493" s="859"/>
      <c r="N493" s="860"/>
      <c r="P493" s="861"/>
      <c r="Q493" s="350"/>
      <c r="R493" s="350"/>
      <c r="S493" s="851"/>
      <c r="T493" s="298"/>
    </row>
    <row r="494" spans="2:20" ht="15" hidden="1" customHeight="1">
      <c r="B494" s="255"/>
      <c r="C494" s="371">
        <v>100</v>
      </c>
      <c r="D494" s="1379">
        <v>500</v>
      </c>
      <c r="E494" s="1381"/>
      <c r="F494" s="372">
        <v>100</v>
      </c>
      <c r="G494" s="268"/>
      <c r="H494" s="373"/>
      <c r="I494" s="282"/>
      <c r="J494" s="855"/>
      <c r="K494" s="856"/>
      <c r="L494" s="856"/>
      <c r="M494" s="856"/>
      <c r="N494" s="856"/>
      <c r="O494" s="862"/>
      <c r="P494" s="375"/>
      <c r="Q494" s="862"/>
      <c r="R494" s="831"/>
      <c r="S494" s="832"/>
      <c r="T494" s="294"/>
    </row>
    <row r="495" spans="2:20" ht="15" hidden="1" customHeight="1">
      <c r="B495" s="376"/>
      <c r="C495" s="377"/>
      <c r="D495" s="303"/>
      <c r="E495" s="302"/>
      <c r="F495" s="378"/>
      <c r="G495" s="379"/>
      <c r="H495" s="373"/>
      <c r="I495" s="282"/>
      <c r="J495" s="380"/>
      <c r="K495" s="306"/>
      <c r="L495" s="306"/>
      <c r="M495" s="306"/>
      <c r="N495" s="306"/>
      <c r="O495" s="381"/>
      <c r="P495" s="381"/>
      <c r="Q495" s="381"/>
      <c r="R495" s="381"/>
      <c r="S495" s="863"/>
      <c r="T495" s="383"/>
    </row>
    <row r="496" spans="2:20" ht="15" hidden="1" customHeight="1">
      <c r="B496" s="255"/>
      <c r="C496" s="371">
        <v>100</v>
      </c>
      <c r="D496" s="1379">
        <v>500</v>
      </c>
      <c r="E496" s="1381"/>
      <c r="F496" s="372">
        <v>100</v>
      </c>
      <c r="G496" s="268"/>
      <c r="H496" s="373"/>
      <c r="I496" s="282"/>
      <c r="J496" s="876" t="s">
        <v>585</v>
      </c>
      <c r="K496" s="864"/>
      <c r="L496" s="877" t="s">
        <v>812</v>
      </c>
      <c r="M496" s="864"/>
      <c r="N496" s="864"/>
      <c r="O496" s="269"/>
      <c r="P496" s="385"/>
      <c r="Q496" s="385"/>
      <c r="R496" s="385"/>
      <c r="S496" s="386"/>
      <c r="T496" s="387"/>
    </row>
    <row r="497" spans="2:20" ht="15" hidden="1" customHeight="1">
      <c r="B497" s="255"/>
      <c r="C497" s="290"/>
      <c r="D497" s="388"/>
      <c r="E497" s="388"/>
      <c r="F497" s="389"/>
      <c r="G497" s="379"/>
      <c r="H497" s="373"/>
      <c r="I497" s="282"/>
      <c r="J497" s="865"/>
      <c r="K497" s="866"/>
      <c r="L497" s="866"/>
      <c r="M497" s="866"/>
      <c r="N497" s="866"/>
      <c r="O497" s="867"/>
      <c r="P497" s="393"/>
      <c r="Q497" s="381"/>
      <c r="R497" s="410"/>
      <c r="S497" s="394">
        <v>4</v>
      </c>
      <c r="T497" s="383" t="s">
        <v>37</v>
      </c>
    </row>
    <row r="498" spans="2:20" ht="15" hidden="1" customHeight="1">
      <c r="B498" s="255"/>
      <c r="C498" s="1376"/>
      <c r="D498" s="1377"/>
      <c r="E498" s="1377"/>
      <c r="F498" s="1378"/>
      <c r="G498" s="268"/>
      <c r="H498" s="269"/>
      <c r="I498" s="282"/>
      <c r="J498" s="828" t="s">
        <v>346</v>
      </c>
      <c r="K498" s="864"/>
      <c r="L498" s="877" t="s">
        <v>805</v>
      </c>
      <c r="M498" s="830"/>
      <c r="N498" s="830"/>
      <c r="O498" s="831"/>
      <c r="P498" s="831"/>
      <c r="Q498" s="329"/>
      <c r="R498" s="329"/>
      <c r="S498" s="832"/>
      <c r="T498" s="267"/>
    </row>
    <row r="499" spans="2:20" ht="15" hidden="1" customHeight="1">
      <c r="B499" s="255"/>
      <c r="C499" s="1379">
        <f>C494+D494+F494</f>
        <v>700</v>
      </c>
      <c r="D499" s="1380"/>
      <c r="E499" s="1380"/>
      <c r="F499" s="1381"/>
      <c r="G499" s="268"/>
      <c r="H499" s="456"/>
      <c r="I499" s="257"/>
      <c r="J499" s="848"/>
      <c r="K499" s="826"/>
      <c r="L499" s="826"/>
      <c r="M499" s="826"/>
      <c r="N499" s="826"/>
      <c r="O499" s="410">
        <v>3</v>
      </c>
      <c r="P499" s="381"/>
      <c r="Q499" s="410"/>
      <c r="R499" s="410"/>
      <c r="S499" s="868">
        <f>O499</f>
        <v>3</v>
      </c>
      <c r="T499" s="261" t="s">
        <v>36</v>
      </c>
    </row>
    <row r="500" spans="2:20" ht="15" hidden="1" customHeight="1">
      <c r="B500" s="255"/>
      <c r="C500" s="396"/>
      <c r="D500" s="388"/>
      <c r="E500" s="388"/>
      <c r="F500" s="397"/>
      <c r="G500" s="268"/>
      <c r="H500" s="269"/>
      <c r="I500" s="257"/>
      <c r="J500" s="841"/>
      <c r="K500" s="398"/>
      <c r="L500" s="398"/>
      <c r="M500" s="398"/>
      <c r="N500" s="398"/>
      <c r="O500" s="399"/>
      <c r="P500" s="400"/>
      <c r="Q500" s="399"/>
      <c r="R500" s="399"/>
      <c r="S500" s="401"/>
      <c r="T500" s="402"/>
    </row>
    <row r="501" spans="2:20" ht="15" hidden="1" customHeight="1">
      <c r="B501" s="255"/>
      <c r="C501" s="1379">
        <f>C496+D496+F496</f>
        <v>700</v>
      </c>
      <c r="D501" s="1380"/>
      <c r="E501" s="1380"/>
      <c r="F501" s="1381"/>
      <c r="G501" s="268"/>
      <c r="H501" s="456"/>
      <c r="I501" s="257"/>
      <c r="J501" s="403"/>
      <c r="K501" s="404"/>
      <c r="L501" s="404"/>
      <c r="M501" s="404"/>
      <c r="N501" s="404"/>
      <c r="O501" s="410"/>
      <c r="P501" s="405"/>
      <c r="Q501" s="405"/>
      <c r="R501" s="405"/>
      <c r="S501" s="868"/>
      <c r="T501" s="261"/>
    </row>
    <row r="502" spans="2:20" ht="15" hidden="1" customHeight="1">
      <c r="B502" s="255"/>
      <c r="C502" s="256"/>
      <c r="D502" s="456"/>
      <c r="E502" s="456"/>
      <c r="F502" s="456"/>
      <c r="G502" s="456"/>
      <c r="H502" s="456"/>
      <c r="I502" s="257"/>
      <c r="J502" s="841"/>
      <c r="K502" s="842"/>
      <c r="L502" s="869"/>
      <c r="M502" s="843"/>
      <c r="N502" s="843"/>
      <c r="O502" s="843"/>
      <c r="P502" s="842"/>
      <c r="Q502" s="829"/>
      <c r="R502" s="829"/>
      <c r="S502" s="832"/>
      <c r="T502" s="294"/>
    </row>
    <row r="503" spans="2:20" ht="15" hidden="1" customHeight="1">
      <c r="B503" s="255"/>
      <c r="C503" s="256"/>
      <c r="D503" s="456"/>
      <c r="E503" s="456"/>
      <c r="F503" s="456"/>
      <c r="G503" s="456"/>
      <c r="H503" s="456"/>
      <c r="I503" s="269"/>
      <c r="J503" s="833"/>
      <c r="K503" s="844"/>
      <c r="L503" s="834"/>
      <c r="M503" s="834"/>
      <c r="N503" s="835"/>
      <c r="O503" s="834"/>
      <c r="P503" s="274"/>
      <c r="Q503" s="275"/>
      <c r="R503" s="276"/>
      <c r="S503" s="297"/>
      <c r="T503" s="298"/>
    </row>
    <row r="504" spans="2:20" ht="15" hidden="1" customHeight="1">
      <c r="B504" s="255"/>
      <c r="C504" s="256"/>
      <c r="D504" s="456"/>
      <c r="E504" s="456"/>
      <c r="F504" s="456"/>
      <c r="G504" s="456"/>
      <c r="H504" s="456"/>
      <c r="I504" s="257"/>
      <c r="J504" s="485"/>
      <c r="K504" s="870"/>
      <c r="L504" s="870"/>
      <c r="M504" s="870"/>
      <c r="N504" s="870"/>
      <c r="O504" s="871"/>
      <c r="P504" s="871"/>
      <c r="Q504" s="781"/>
      <c r="R504" s="781"/>
      <c r="S504" s="872"/>
      <c r="T504" s="716"/>
    </row>
    <row r="505" spans="2:20" ht="15" hidden="1" customHeight="1">
      <c r="B505" s="408"/>
      <c r="C505" s="409"/>
      <c r="D505" s="350"/>
      <c r="E505" s="350"/>
      <c r="F505" s="350"/>
      <c r="G505" s="350"/>
      <c r="H505" s="350"/>
      <c r="I505" s="410"/>
      <c r="J505" s="873"/>
      <c r="K505" s="874"/>
      <c r="L505" s="874"/>
      <c r="M505" s="874"/>
      <c r="N505" s="874"/>
      <c r="O505" s="711"/>
      <c r="P505" s="800"/>
      <c r="Q505" s="711"/>
      <c r="R505" s="711"/>
      <c r="S505" s="875"/>
      <c r="T505" s="814"/>
    </row>
    <row r="506" spans="2:20" ht="24.95" hidden="1" customHeight="1">
      <c r="B506" s="468" t="s">
        <v>752</v>
      </c>
      <c r="C506" s="1383" t="s">
        <v>808</v>
      </c>
      <c r="D506" s="1383"/>
      <c r="E506" s="1383"/>
      <c r="F506" s="1383"/>
      <c r="G506" s="1383"/>
      <c r="H506" s="1383"/>
      <c r="I506" s="1383" t="s">
        <v>744</v>
      </c>
      <c r="J506" s="1383"/>
      <c r="K506" s="1383"/>
      <c r="L506" s="1384"/>
      <c r="M506" s="1384"/>
      <c r="N506" s="1384"/>
      <c r="O506" s="1384"/>
      <c r="P506" s="1384"/>
      <c r="Q506" s="1384"/>
      <c r="R506" s="1384"/>
      <c r="S506" s="1384"/>
      <c r="T506" s="1385"/>
    </row>
    <row r="507" spans="2:20" ht="15" hidden="1" customHeight="1">
      <c r="B507" s="255"/>
      <c r="C507" s="256"/>
      <c r="D507" s="456"/>
      <c r="E507" s="456"/>
      <c r="F507" s="456"/>
      <c r="G507" s="456"/>
      <c r="H507" s="456"/>
      <c r="I507" s="257"/>
      <c r="J507" s="826"/>
      <c r="K507" s="826"/>
      <c r="L507" s="826" t="s">
        <v>39</v>
      </c>
      <c r="M507" s="826" t="s">
        <v>40</v>
      </c>
      <c r="N507" s="826" t="s">
        <v>41</v>
      </c>
      <c r="O507" s="410" t="s">
        <v>42</v>
      </c>
      <c r="P507" s="410" t="s">
        <v>43</v>
      </c>
      <c r="Q507" s="410"/>
      <c r="R507" s="410"/>
      <c r="S507" s="827" t="s">
        <v>44</v>
      </c>
      <c r="T507" s="261"/>
    </row>
    <row r="508" spans="2:20" ht="15" hidden="1" customHeight="1">
      <c r="B508" s="255"/>
      <c r="C508" s="256"/>
      <c r="D508" s="456"/>
      <c r="E508" s="456"/>
      <c r="F508" s="456"/>
      <c r="G508" s="456"/>
      <c r="H508" s="456"/>
      <c r="I508" s="257"/>
      <c r="J508" s="828" t="s">
        <v>45</v>
      </c>
      <c r="K508" s="829"/>
      <c r="L508" s="829" t="s">
        <v>46</v>
      </c>
      <c r="M508" s="830"/>
      <c r="N508" s="830"/>
      <c r="P508" s="831"/>
      <c r="Q508" s="831"/>
      <c r="R508" s="831"/>
      <c r="S508" s="832"/>
      <c r="T508" s="267"/>
    </row>
    <row r="509" spans="2:20" ht="15" hidden="1" customHeight="1">
      <c r="B509" s="255"/>
      <c r="C509" s="1377">
        <f>C531+(0.3*(H520)*2)</f>
        <v>580</v>
      </c>
      <c r="D509" s="1377"/>
      <c r="E509" s="1377"/>
      <c r="F509" s="1377"/>
      <c r="G509" s="268"/>
      <c r="H509" s="269"/>
      <c r="I509" s="257"/>
      <c r="J509" s="833" t="s">
        <v>47</v>
      </c>
      <c r="K509" s="834">
        <f>C509/1000</f>
        <v>0.57999999999999996</v>
      </c>
      <c r="L509" s="834"/>
      <c r="M509" s="834"/>
      <c r="N509" s="835" t="s">
        <v>48</v>
      </c>
      <c r="O509" s="649">
        <f>C531/1000</f>
        <v>0.4</v>
      </c>
      <c r="P509" s="274"/>
      <c r="Q509" s="275" t="s">
        <v>49</v>
      </c>
      <c r="R509" s="276">
        <f>(H520)/1000</f>
        <v>0.3</v>
      </c>
      <c r="S509" s="277"/>
      <c r="T509" s="278"/>
    </row>
    <row r="510" spans="2:20" ht="15" hidden="1" customHeight="1">
      <c r="B510" s="255"/>
      <c r="C510" s="279"/>
      <c r="D510" s="280"/>
      <c r="E510" s="280"/>
      <c r="F510" s="281"/>
      <c r="G510" s="268"/>
      <c r="H510" s="269"/>
      <c r="I510" s="282"/>
      <c r="J510" s="833" t="s">
        <v>50</v>
      </c>
      <c r="K510" s="834">
        <f>C511/1000</f>
        <v>0.57999999999999996</v>
      </c>
      <c r="L510" s="834"/>
      <c r="M510" s="834"/>
      <c r="N510" s="835" t="s">
        <v>51</v>
      </c>
      <c r="O510" s="649">
        <f>C533/1000</f>
        <v>0.4</v>
      </c>
      <c r="P510" s="274"/>
      <c r="Q510" s="254"/>
      <c r="R510" s="269"/>
      <c r="S510" s="836"/>
      <c r="T510" s="278"/>
    </row>
    <row r="511" spans="2:20" ht="15" hidden="1" customHeight="1">
      <c r="B511" s="255"/>
      <c r="C511" s="1379">
        <f>C533+(0.3*(H520)*2)</f>
        <v>580</v>
      </c>
      <c r="D511" s="1380"/>
      <c r="E511" s="1380"/>
      <c r="F511" s="1381"/>
      <c r="G511" s="268"/>
      <c r="H511" s="269"/>
      <c r="I511" s="282"/>
      <c r="J511" s="837" t="s">
        <v>52</v>
      </c>
      <c r="K511" s="838"/>
      <c r="L511" s="838"/>
      <c r="M511" s="838"/>
      <c r="N511" s="838"/>
      <c r="O511" s="839"/>
      <c r="P511" s="838"/>
      <c r="Q511" s="410"/>
      <c r="R511" s="410"/>
      <c r="S511" s="840">
        <f>ROUNDDOWN(R509/6*((2*K509+O509)*K510+(2*O509+K509)*O510),3)</f>
        <v>7.1999999999999995E-2</v>
      </c>
      <c r="T511" s="599" t="s">
        <v>178</v>
      </c>
    </row>
    <row r="512" spans="2:20" ht="15" hidden="1" customHeight="1">
      <c r="B512" s="255"/>
      <c r="C512" s="290"/>
      <c r="D512" s="291"/>
      <c r="E512" s="291"/>
      <c r="F512" s="281"/>
      <c r="G512" s="268"/>
      <c r="H512" s="269"/>
      <c r="I512" s="282"/>
      <c r="J512" s="841" t="s">
        <v>53</v>
      </c>
      <c r="K512" s="842"/>
      <c r="L512" s="842" t="s">
        <v>54</v>
      </c>
      <c r="M512" s="843"/>
      <c r="N512" s="843"/>
      <c r="O512" s="843"/>
      <c r="P512" s="842"/>
      <c r="Q512" s="829"/>
      <c r="R512" s="829"/>
      <c r="S512" s="832"/>
      <c r="T512" s="294"/>
    </row>
    <row r="513" spans="2:20" ht="15" hidden="1" customHeight="1">
      <c r="B513" s="255"/>
      <c r="C513" s="295"/>
      <c r="D513" s="1386">
        <v>200</v>
      </c>
      <c r="E513" s="1387"/>
      <c r="F513" s="296"/>
      <c r="G513" s="268"/>
      <c r="H513" s="269"/>
      <c r="I513" s="282"/>
      <c r="J513" s="833" t="s">
        <v>47</v>
      </c>
      <c r="K513" s="844">
        <f>D513/1000</f>
        <v>0.2</v>
      </c>
      <c r="L513" s="834"/>
      <c r="M513" s="834"/>
      <c r="N513" s="835" t="s">
        <v>48</v>
      </c>
      <c r="O513" s="834">
        <f>D528/1000</f>
        <v>0.2</v>
      </c>
      <c r="P513" s="274"/>
      <c r="Q513" s="275" t="s">
        <v>49</v>
      </c>
      <c r="R513" s="276">
        <f>H520/1000</f>
        <v>0.3</v>
      </c>
      <c r="S513" s="297">
        <f>ROUNDDOWN(K513*O513*R513,2)</f>
        <v>0.01</v>
      </c>
      <c r="T513" s="298" t="s">
        <v>55</v>
      </c>
    </row>
    <row r="514" spans="2:20" ht="15" hidden="1" customHeight="1">
      <c r="B514" s="255"/>
      <c r="C514" s="299"/>
      <c r="D514" s="300"/>
      <c r="E514" s="301"/>
      <c r="F514" s="302"/>
      <c r="G514" s="456"/>
      <c r="H514" s="269"/>
      <c r="I514" s="282"/>
      <c r="J514" s="833"/>
      <c r="K514" s="834"/>
      <c r="L514" s="834"/>
      <c r="M514" s="834"/>
      <c r="N514" s="835"/>
      <c r="O514" s="834"/>
      <c r="P514" s="274"/>
      <c r="Q514" s="275"/>
      <c r="R514" s="276"/>
      <c r="S514" s="297"/>
      <c r="T514" s="298"/>
    </row>
    <row r="515" spans="2:20" ht="15" hidden="1" customHeight="1">
      <c r="B515" s="255"/>
      <c r="C515" s="299"/>
      <c r="D515" s="303"/>
      <c r="E515" s="302"/>
      <c r="F515" s="302"/>
      <c r="G515" s="456"/>
      <c r="H515" s="269"/>
      <c r="I515" s="282"/>
      <c r="J515" s="833"/>
      <c r="K515" s="834"/>
      <c r="L515" s="834"/>
      <c r="M515" s="834"/>
      <c r="N515" s="835"/>
      <c r="O515" s="834"/>
      <c r="P515" s="274"/>
      <c r="Q515" s="275"/>
      <c r="R515" s="276"/>
      <c r="S515" s="297"/>
      <c r="T515" s="541"/>
    </row>
    <row r="516" spans="2:20" ht="15" hidden="1" customHeight="1">
      <c r="B516" s="255"/>
      <c r="C516" s="299"/>
      <c r="D516" s="303"/>
      <c r="E516" s="302"/>
      <c r="F516" s="302"/>
      <c r="G516" s="456"/>
      <c r="H516" s="269"/>
      <c r="I516" s="282"/>
      <c r="J516" s="833"/>
      <c r="K516" s="834"/>
      <c r="L516" s="834"/>
      <c r="M516" s="834"/>
      <c r="N516" s="305"/>
      <c r="O516" s="834"/>
      <c r="P516" s="274"/>
      <c r="Q516" s="275"/>
      <c r="R516" s="276"/>
      <c r="S516" s="297"/>
      <c r="T516" s="298"/>
    </row>
    <row r="517" spans="2:20" ht="15" hidden="1" customHeight="1">
      <c r="B517" s="255"/>
      <c r="C517" s="299"/>
      <c r="D517" s="303"/>
      <c r="E517" s="302"/>
      <c r="F517" s="302"/>
      <c r="G517" s="456"/>
      <c r="H517" s="305"/>
      <c r="I517" s="282"/>
      <c r="J517" s="837" t="s">
        <v>57</v>
      </c>
      <c r="K517" s="838"/>
      <c r="L517" s="838"/>
      <c r="M517" s="838"/>
      <c r="N517" s="838"/>
      <c r="O517" s="839"/>
      <c r="P517" s="838"/>
      <c r="Q517" s="306"/>
      <c r="R517" s="307"/>
      <c r="S517" s="840">
        <f>SUM(S513:S516)</f>
        <v>0.01</v>
      </c>
      <c r="T517" s="599" t="s">
        <v>178</v>
      </c>
    </row>
    <row r="518" spans="2:20" ht="15" hidden="1" customHeight="1">
      <c r="B518" s="255"/>
      <c r="C518" s="299"/>
      <c r="D518" s="303"/>
      <c r="E518" s="302"/>
      <c r="F518" s="302"/>
      <c r="G518" s="456"/>
      <c r="H518" s="269"/>
      <c r="I518" s="308"/>
      <c r="J518" s="828" t="s">
        <v>58</v>
      </c>
      <c r="K518" s="843"/>
      <c r="L518" s="309" t="s">
        <v>334</v>
      </c>
      <c r="M518" s="309" t="s">
        <v>335</v>
      </c>
      <c r="N518" s="310" t="s">
        <v>336</v>
      </c>
      <c r="O518" s="311"/>
      <c r="P518" s="309"/>
      <c r="Q518" s="312"/>
      <c r="R518" s="312"/>
      <c r="S518" s="313"/>
      <c r="T518" s="294"/>
    </row>
    <row r="519" spans="2:20" ht="15" hidden="1" customHeight="1" thickBot="1">
      <c r="B519" s="314"/>
      <c r="C519" s="1388"/>
      <c r="D519" s="1388"/>
      <c r="E519" s="1388"/>
      <c r="F519" s="1388"/>
      <c r="G519" s="315"/>
      <c r="H519" s="315"/>
      <c r="I519" s="316"/>
      <c r="J519" s="317"/>
      <c r="K519" s="318"/>
      <c r="L519" s="318" t="s">
        <v>334</v>
      </c>
      <c r="M519" s="845">
        <f>S511</f>
        <v>7.1999999999999995E-2</v>
      </c>
      <c r="N519" s="318" t="s">
        <v>337</v>
      </c>
      <c r="O519" s="319">
        <f>S521</f>
        <v>0.01</v>
      </c>
      <c r="P519" s="348"/>
      <c r="Q519" s="321"/>
      <c r="R519" s="846"/>
      <c r="S519" s="847">
        <f>ROUNDDOWN(M519-O519,3)</f>
        <v>6.2E-2</v>
      </c>
      <c r="T519" s="599" t="s">
        <v>178</v>
      </c>
    </row>
    <row r="520" spans="2:20" ht="15" hidden="1" customHeight="1">
      <c r="B520" s="255"/>
      <c r="C520" s="324"/>
      <c r="D520" s="457"/>
      <c r="E520" s="325"/>
      <c r="F520" s="326"/>
      <c r="G520" s="327"/>
      <c r="H520" s="1389">
        <v>300</v>
      </c>
      <c r="I520" s="1392">
        <f>H517+H519+H520</f>
        <v>300</v>
      </c>
      <c r="J520" s="828" t="s">
        <v>338</v>
      </c>
      <c r="K520" s="843"/>
      <c r="L520" s="843" t="s">
        <v>339</v>
      </c>
      <c r="M520" s="309"/>
      <c r="N520" s="310" t="s">
        <v>340</v>
      </c>
      <c r="O520" s="843"/>
      <c r="P520" s="843"/>
      <c r="Q520" s="328"/>
      <c r="R520" s="329"/>
      <c r="S520" s="832"/>
      <c r="T520" s="294"/>
    </row>
    <row r="521" spans="2:20" ht="15" hidden="1" customHeight="1">
      <c r="B521" s="330"/>
      <c r="C521" s="324"/>
      <c r="D521" s="331"/>
      <c r="E521" s="332"/>
      <c r="F521" s="326"/>
      <c r="G521" s="333"/>
      <c r="H521" s="1390"/>
      <c r="I521" s="1387"/>
      <c r="J521" s="848"/>
      <c r="K521" s="849"/>
      <c r="L521" s="850" t="s">
        <v>339</v>
      </c>
      <c r="M521" s="849"/>
      <c r="N521" s="849"/>
      <c r="O521" s="838">
        <f>S513</f>
        <v>0.01</v>
      </c>
      <c r="P521" s="838"/>
      <c r="Q521" s="838"/>
      <c r="R521" s="410"/>
      <c r="S521" s="851">
        <f>ROUNDDOWN(O521+Q521,3)</f>
        <v>0.01</v>
      </c>
      <c r="T521" s="257" t="s">
        <v>178</v>
      </c>
    </row>
    <row r="522" spans="2:20" ht="15" hidden="1" customHeight="1">
      <c r="B522" s="255"/>
      <c r="C522" s="324"/>
      <c r="D522" s="331"/>
      <c r="E522" s="332"/>
      <c r="F522" s="326"/>
      <c r="G522" s="333"/>
      <c r="H522" s="1390"/>
      <c r="I522" s="1387"/>
      <c r="J522" s="852" t="s">
        <v>584</v>
      </c>
      <c r="K522" s="843"/>
      <c r="L522" s="843"/>
      <c r="M522" s="843"/>
      <c r="N522" s="843"/>
      <c r="O522" s="853"/>
      <c r="P522" s="340"/>
      <c r="Q522" s="329"/>
      <c r="R522" s="341"/>
      <c r="S522" s="832"/>
      <c r="T522" s="294"/>
    </row>
    <row r="523" spans="2:20" ht="15" hidden="1" customHeight="1">
      <c r="B523" s="255"/>
      <c r="C523" s="324"/>
      <c r="D523" s="331"/>
      <c r="E523" s="332"/>
      <c r="F523" s="326"/>
      <c r="G523" s="333"/>
      <c r="H523" s="1390"/>
      <c r="I523" s="1387"/>
      <c r="J523" s="342" t="s">
        <v>341</v>
      </c>
      <c r="K523" s="343">
        <f>D513/1000</f>
        <v>0.2</v>
      </c>
      <c r="L523" s="344" t="s">
        <v>59</v>
      </c>
      <c r="M523" s="412">
        <f>D528/1000</f>
        <v>0.2</v>
      </c>
      <c r="N523" s="346" t="s">
        <v>137</v>
      </c>
      <c r="O523" s="347" t="s">
        <v>342</v>
      </c>
      <c r="P523" s="348">
        <f>I520/1000</f>
        <v>0.3</v>
      </c>
      <c r="Q523" s="349" t="s">
        <v>343</v>
      </c>
      <c r="R523" s="350">
        <v>4</v>
      </c>
      <c r="S523" s="854">
        <f>((K523+M523)/2)*P523*R523</f>
        <v>0.24</v>
      </c>
      <c r="T523" s="599" t="s">
        <v>344</v>
      </c>
    </row>
    <row r="524" spans="2:20" ht="15" hidden="1" customHeight="1" thickBot="1">
      <c r="B524" s="255"/>
      <c r="C524" s="352"/>
      <c r="D524" s="353"/>
      <c r="E524" s="354"/>
      <c r="F524" s="355"/>
      <c r="G524" s="356"/>
      <c r="H524" s="1391"/>
      <c r="I524" s="1387"/>
      <c r="J524" s="855"/>
      <c r="K524" s="856"/>
      <c r="L524" s="856"/>
      <c r="M524" s="856"/>
      <c r="N524" s="856"/>
      <c r="O524" s="857"/>
      <c r="P524" s="329"/>
      <c r="Q524" s="329"/>
      <c r="R524" s="329"/>
      <c r="S524" s="360"/>
      <c r="T524" s="598"/>
    </row>
    <row r="525" spans="2:20" ht="15" hidden="1" customHeight="1">
      <c r="B525" s="255"/>
      <c r="C525" s="362"/>
      <c r="D525" s="363"/>
      <c r="E525" s="364"/>
      <c r="F525" s="365"/>
      <c r="G525" s="456"/>
      <c r="H525" s="269"/>
      <c r="I525" s="282"/>
      <c r="J525" s="858"/>
      <c r="K525" s="349"/>
      <c r="L525" s="348"/>
      <c r="M525" s="859"/>
      <c r="N525" s="860"/>
      <c r="P525" s="861"/>
      <c r="Q525" s="350"/>
      <c r="R525" s="350"/>
      <c r="S525" s="851"/>
      <c r="T525" s="298"/>
    </row>
    <row r="526" spans="2:20" ht="15" hidden="1" customHeight="1">
      <c r="B526" s="255"/>
      <c r="C526" s="371">
        <v>100</v>
      </c>
      <c r="D526" s="1379">
        <v>200</v>
      </c>
      <c r="E526" s="1381"/>
      <c r="F526" s="372">
        <v>100</v>
      </c>
      <c r="G526" s="268"/>
      <c r="H526" s="373"/>
      <c r="I526" s="282"/>
      <c r="J526" s="855"/>
      <c r="K526" s="856"/>
      <c r="L526" s="856"/>
      <c r="M526" s="856"/>
      <c r="N526" s="856"/>
      <c r="O526" s="862"/>
      <c r="P526" s="375"/>
      <c r="Q526" s="862"/>
      <c r="R526" s="831"/>
      <c r="S526" s="832"/>
      <c r="T526" s="294"/>
    </row>
    <row r="527" spans="2:20" ht="15" hidden="1" customHeight="1">
      <c r="B527" s="376"/>
      <c r="C527" s="377"/>
      <c r="D527" s="303"/>
      <c r="E527" s="302"/>
      <c r="F527" s="378"/>
      <c r="G527" s="379"/>
      <c r="H527" s="373"/>
      <c r="I527" s="282"/>
      <c r="J527" s="380"/>
      <c r="K527" s="306"/>
      <c r="L527" s="306"/>
      <c r="M527" s="306"/>
      <c r="N527" s="306"/>
      <c r="O527" s="381"/>
      <c r="P527" s="381"/>
      <c r="Q527" s="381"/>
      <c r="R527" s="381"/>
      <c r="S527" s="863"/>
      <c r="T527" s="383"/>
    </row>
    <row r="528" spans="2:20" ht="15" hidden="1" customHeight="1">
      <c r="B528" s="255"/>
      <c r="C528" s="371">
        <v>100</v>
      </c>
      <c r="D528" s="1379">
        <v>200</v>
      </c>
      <c r="E528" s="1381"/>
      <c r="F528" s="372">
        <v>100</v>
      </c>
      <c r="G528" s="268"/>
      <c r="H528" s="373"/>
      <c r="I528" s="282"/>
      <c r="J528" s="876" t="s">
        <v>585</v>
      </c>
      <c r="K528" s="864"/>
      <c r="L528" s="877" t="s">
        <v>812</v>
      </c>
      <c r="M528" s="864"/>
      <c r="N528" s="864"/>
      <c r="O528" s="269"/>
      <c r="P528" s="385"/>
      <c r="Q528" s="385"/>
      <c r="R528" s="385"/>
      <c r="S528" s="386"/>
      <c r="T528" s="387"/>
    </row>
    <row r="529" spans="2:20" ht="15" hidden="1" customHeight="1">
      <c r="B529" s="255"/>
      <c r="C529" s="290"/>
      <c r="D529" s="388"/>
      <c r="E529" s="388"/>
      <c r="F529" s="389"/>
      <c r="G529" s="379"/>
      <c r="H529" s="373"/>
      <c r="I529" s="282"/>
      <c r="J529" s="865"/>
      <c r="K529" s="866"/>
      <c r="L529" s="866"/>
      <c r="M529" s="866"/>
      <c r="N529" s="866"/>
      <c r="O529" s="867"/>
      <c r="P529" s="393"/>
      <c r="Q529" s="381"/>
      <c r="R529" s="410"/>
      <c r="S529" s="394">
        <v>2</v>
      </c>
      <c r="T529" s="383" t="s">
        <v>37</v>
      </c>
    </row>
    <row r="530" spans="2:20" ht="15" hidden="1" customHeight="1">
      <c r="B530" s="255"/>
      <c r="C530" s="1376"/>
      <c r="D530" s="1377"/>
      <c r="E530" s="1377"/>
      <c r="F530" s="1378"/>
      <c r="G530" s="268"/>
      <c r="H530" s="269"/>
      <c r="I530" s="282"/>
      <c r="J530" s="828" t="s">
        <v>346</v>
      </c>
      <c r="K530" s="864"/>
      <c r="L530" s="877" t="s">
        <v>805</v>
      </c>
      <c r="M530" s="830"/>
      <c r="N530" s="830"/>
      <c r="O530" s="831"/>
      <c r="P530" s="831"/>
      <c r="Q530" s="329"/>
      <c r="R530" s="329"/>
      <c r="S530" s="832"/>
      <c r="T530" s="267"/>
    </row>
    <row r="531" spans="2:20" ht="15" hidden="1" customHeight="1">
      <c r="B531" s="255"/>
      <c r="C531" s="1379">
        <f>C526+D526+F526</f>
        <v>400</v>
      </c>
      <c r="D531" s="1380"/>
      <c r="E531" s="1380"/>
      <c r="F531" s="1381"/>
      <c r="G531" s="268"/>
      <c r="H531" s="456"/>
      <c r="I531" s="257"/>
      <c r="J531" s="848"/>
      <c r="K531" s="826"/>
      <c r="L531" s="826"/>
      <c r="M531" s="826"/>
      <c r="N531" s="826"/>
      <c r="O531" s="410">
        <v>3</v>
      </c>
      <c r="P531" s="381"/>
      <c r="Q531" s="410"/>
      <c r="R531" s="410"/>
      <c r="S531" s="868">
        <f>O531</f>
        <v>3</v>
      </c>
      <c r="T531" s="261" t="s">
        <v>36</v>
      </c>
    </row>
    <row r="532" spans="2:20" ht="15" hidden="1" customHeight="1">
      <c r="B532" s="255"/>
      <c r="C532" s="396"/>
      <c r="D532" s="388"/>
      <c r="E532" s="388"/>
      <c r="F532" s="397"/>
      <c r="G532" s="268"/>
      <c r="H532" s="269"/>
      <c r="I532" s="257"/>
      <c r="J532" s="841"/>
      <c r="K532" s="398"/>
      <c r="L532" s="398"/>
      <c r="M532" s="398"/>
      <c r="N532" s="398"/>
      <c r="O532" s="399"/>
      <c r="P532" s="400"/>
      <c r="Q532" s="399"/>
      <c r="R532" s="399"/>
      <c r="S532" s="401"/>
      <c r="T532" s="402"/>
    </row>
    <row r="533" spans="2:20" ht="15" hidden="1" customHeight="1">
      <c r="B533" s="255"/>
      <c r="C533" s="1379">
        <f>C528+D528+F528</f>
        <v>400</v>
      </c>
      <c r="D533" s="1380"/>
      <c r="E533" s="1380"/>
      <c r="F533" s="1381"/>
      <c r="G533" s="268"/>
      <c r="H533" s="456"/>
      <c r="I533" s="257"/>
      <c r="J533" s="403"/>
      <c r="K533" s="404"/>
      <c r="L533" s="404"/>
      <c r="M533" s="404"/>
      <c r="N533" s="404"/>
      <c r="O533" s="410"/>
      <c r="P533" s="405"/>
      <c r="Q533" s="405"/>
      <c r="R533" s="405"/>
      <c r="S533" s="868"/>
      <c r="T533" s="261"/>
    </row>
    <row r="534" spans="2:20" ht="15" hidden="1" customHeight="1">
      <c r="B534" s="255"/>
      <c r="C534" s="256"/>
      <c r="D534" s="456"/>
      <c r="E534" s="456"/>
      <c r="F534" s="456"/>
      <c r="G534" s="456"/>
      <c r="H534" s="456"/>
      <c r="I534" s="257"/>
      <c r="J534" s="841"/>
      <c r="K534" s="842"/>
      <c r="L534" s="869"/>
      <c r="M534" s="843"/>
      <c r="N534" s="843"/>
      <c r="O534" s="843"/>
      <c r="P534" s="842"/>
      <c r="Q534" s="829"/>
      <c r="R534" s="829"/>
      <c r="S534" s="832"/>
      <c r="T534" s="294"/>
    </row>
    <row r="535" spans="2:20" ht="15" hidden="1" customHeight="1">
      <c r="B535" s="255"/>
      <c r="C535" s="256"/>
      <c r="D535" s="456"/>
      <c r="E535" s="456"/>
      <c r="F535" s="456"/>
      <c r="G535" s="456"/>
      <c r="H535" s="456"/>
      <c r="I535" s="269"/>
      <c r="J535" s="833"/>
      <c r="K535" s="844"/>
      <c r="L535" s="834"/>
      <c r="M535" s="834"/>
      <c r="N535" s="835"/>
      <c r="O535" s="834"/>
      <c r="P535" s="274"/>
      <c r="Q535" s="275"/>
      <c r="R535" s="276"/>
      <c r="S535" s="297"/>
      <c r="T535" s="298"/>
    </row>
    <row r="536" spans="2:20" ht="15" hidden="1" customHeight="1">
      <c r="B536" s="255"/>
      <c r="C536" s="256"/>
      <c r="D536" s="456"/>
      <c r="E536" s="456"/>
      <c r="F536" s="456"/>
      <c r="G536" s="456"/>
      <c r="H536" s="456"/>
      <c r="I536" s="257"/>
      <c r="J536" s="485"/>
      <c r="K536" s="870"/>
      <c r="L536" s="870"/>
      <c r="M536" s="870"/>
      <c r="N536" s="870"/>
      <c r="O536" s="871"/>
      <c r="P536" s="871"/>
      <c r="Q536" s="781"/>
      <c r="R536" s="781"/>
      <c r="S536" s="872"/>
      <c r="T536" s="716"/>
    </row>
    <row r="537" spans="2:20" ht="15" hidden="1" customHeight="1">
      <c r="B537" s="408"/>
      <c r="C537" s="409"/>
      <c r="D537" s="350"/>
      <c r="E537" s="350"/>
      <c r="F537" s="350"/>
      <c r="G537" s="350"/>
      <c r="H537" s="350"/>
      <c r="I537" s="410"/>
      <c r="J537" s="873"/>
      <c r="K537" s="874"/>
      <c r="L537" s="874"/>
      <c r="M537" s="874"/>
      <c r="N537" s="874"/>
      <c r="O537" s="711"/>
      <c r="P537" s="800"/>
      <c r="Q537" s="711"/>
      <c r="R537" s="711"/>
      <c r="S537" s="875"/>
      <c r="T537" s="814"/>
    </row>
    <row r="538" spans="2:20" ht="24.95" hidden="1" customHeight="1">
      <c r="B538" s="468" t="s">
        <v>591</v>
      </c>
      <c r="C538" s="1383" t="s">
        <v>809</v>
      </c>
      <c r="D538" s="1383"/>
      <c r="E538" s="1383"/>
      <c r="F538" s="1383"/>
      <c r="G538" s="1383"/>
      <c r="H538" s="1383"/>
      <c r="I538" s="1383" t="s">
        <v>810</v>
      </c>
      <c r="J538" s="1383"/>
      <c r="K538" s="1383"/>
      <c r="L538" s="1384"/>
      <c r="M538" s="1384"/>
      <c r="N538" s="1384"/>
      <c r="O538" s="1384"/>
      <c r="P538" s="1384"/>
      <c r="Q538" s="1384"/>
      <c r="R538" s="1384"/>
      <c r="S538" s="1384"/>
      <c r="T538" s="1385"/>
    </row>
    <row r="539" spans="2:20" ht="15" hidden="1" customHeight="1">
      <c r="B539" s="255"/>
      <c r="C539" s="256"/>
      <c r="D539" s="456"/>
      <c r="E539" s="456"/>
      <c r="F539" s="456"/>
      <c r="G539" s="456"/>
      <c r="H539" s="456"/>
      <c r="I539" s="257"/>
      <c r="J539" s="826"/>
      <c r="K539" s="826"/>
      <c r="L539" s="826" t="s">
        <v>39</v>
      </c>
      <c r="M539" s="826" t="s">
        <v>40</v>
      </c>
      <c r="N539" s="826" t="s">
        <v>41</v>
      </c>
      <c r="O539" s="410" t="s">
        <v>42</v>
      </c>
      <c r="P539" s="410" t="s">
        <v>43</v>
      </c>
      <c r="Q539" s="410"/>
      <c r="R539" s="410"/>
      <c r="S539" s="827" t="s">
        <v>44</v>
      </c>
      <c r="T539" s="261"/>
    </row>
    <row r="540" spans="2:20" ht="15" hidden="1" customHeight="1">
      <c r="B540" s="255"/>
      <c r="C540" s="256"/>
      <c r="D540" s="456"/>
      <c r="E540" s="456"/>
      <c r="F540" s="456"/>
      <c r="G540" s="456"/>
      <c r="H540" s="456"/>
      <c r="I540" s="257"/>
      <c r="J540" s="828" t="s">
        <v>45</v>
      </c>
      <c r="K540" s="829"/>
      <c r="L540" s="829" t="s">
        <v>46</v>
      </c>
      <c r="M540" s="830"/>
      <c r="N540" s="830"/>
      <c r="P540" s="831"/>
      <c r="Q540" s="831"/>
      <c r="R540" s="831"/>
      <c r="S540" s="832"/>
      <c r="T540" s="267"/>
    </row>
    <row r="541" spans="2:20" ht="15" hidden="1" customHeight="1">
      <c r="B541" s="255"/>
      <c r="C541" s="1377">
        <f>C563+(0.3*(H552)*2)</f>
        <v>780</v>
      </c>
      <c r="D541" s="1377"/>
      <c r="E541" s="1377"/>
      <c r="F541" s="1377"/>
      <c r="G541" s="268"/>
      <c r="H541" s="269"/>
      <c r="I541" s="257"/>
      <c r="J541" s="833" t="s">
        <v>47</v>
      </c>
      <c r="K541" s="834">
        <f>C541/1000</f>
        <v>0.78</v>
      </c>
      <c r="L541" s="834"/>
      <c r="M541" s="834"/>
      <c r="N541" s="835" t="s">
        <v>48</v>
      </c>
      <c r="O541" s="649">
        <f>C563/1000</f>
        <v>0.6</v>
      </c>
      <c r="P541" s="274"/>
      <c r="Q541" s="275" t="s">
        <v>49</v>
      </c>
      <c r="R541" s="276">
        <f>(H552)/1000</f>
        <v>0.3</v>
      </c>
      <c r="S541" s="277"/>
      <c r="T541" s="278"/>
    </row>
    <row r="542" spans="2:20" ht="15" hidden="1" customHeight="1">
      <c r="B542" s="255"/>
      <c r="C542" s="279"/>
      <c r="D542" s="280"/>
      <c r="E542" s="280"/>
      <c r="F542" s="281"/>
      <c r="G542" s="268"/>
      <c r="H542" s="269"/>
      <c r="I542" s="282"/>
      <c r="J542" s="833" t="s">
        <v>50</v>
      </c>
      <c r="K542" s="834">
        <f>C543/1000</f>
        <v>0.78</v>
      </c>
      <c r="L542" s="834"/>
      <c r="M542" s="834"/>
      <c r="N542" s="835" t="s">
        <v>51</v>
      </c>
      <c r="O542" s="649">
        <f>C565/1000</f>
        <v>0.6</v>
      </c>
      <c r="P542" s="274"/>
      <c r="Q542" s="254"/>
      <c r="R542" s="269"/>
      <c r="S542" s="836"/>
      <c r="T542" s="278"/>
    </row>
    <row r="543" spans="2:20" ht="15" hidden="1" customHeight="1">
      <c r="B543" s="255"/>
      <c r="C543" s="1379">
        <f>C565+(0.3*(H552)*2)</f>
        <v>780</v>
      </c>
      <c r="D543" s="1380"/>
      <c r="E543" s="1380"/>
      <c r="F543" s="1381"/>
      <c r="G543" s="268"/>
      <c r="H543" s="269"/>
      <c r="I543" s="282"/>
      <c r="J543" s="837" t="s">
        <v>52</v>
      </c>
      <c r="K543" s="838"/>
      <c r="L543" s="838"/>
      <c r="M543" s="838"/>
      <c r="N543" s="838"/>
      <c r="O543" s="839"/>
      <c r="P543" s="838"/>
      <c r="Q543" s="410"/>
      <c r="R543" s="410"/>
      <c r="S543" s="840">
        <f>ROUNDDOWN(R541/6*((2*K541+O541)*K542+(2*O541+K541)*O542),3)</f>
        <v>0.14299999999999999</v>
      </c>
      <c r="T543" s="599" t="s">
        <v>178</v>
      </c>
    </row>
    <row r="544" spans="2:20" ht="15" hidden="1" customHeight="1">
      <c r="B544" s="255"/>
      <c r="C544" s="290"/>
      <c r="D544" s="291"/>
      <c r="E544" s="291"/>
      <c r="F544" s="281"/>
      <c r="G544" s="268"/>
      <c r="H544" s="269"/>
      <c r="I544" s="282"/>
      <c r="J544" s="841" t="s">
        <v>53</v>
      </c>
      <c r="K544" s="842"/>
      <c r="L544" s="842" t="s">
        <v>54</v>
      </c>
      <c r="M544" s="843"/>
      <c r="N544" s="843"/>
      <c r="O544" s="843"/>
      <c r="P544" s="842"/>
      <c r="Q544" s="829"/>
      <c r="R544" s="829"/>
      <c r="S544" s="832"/>
      <c r="T544" s="294"/>
    </row>
    <row r="545" spans="2:20" ht="15" hidden="1" customHeight="1">
      <c r="B545" s="255"/>
      <c r="C545" s="295"/>
      <c r="D545" s="1386">
        <v>400</v>
      </c>
      <c r="E545" s="1387"/>
      <c r="F545" s="296"/>
      <c r="G545" s="268"/>
      <c r="H545" s="269"/>
      <c r="I545" s="282"/>
      <c r="J545" s="833" t="s">
        <v>47</v>
      </c>
      <c r="K545" s="844">
        <f>D545/1000</f>
        <v>0.4</v>
      </c>
      <c r="L545" s="834"/>
      <c r="M545" s="834"/>
      <c r="N545" s="835" t="s">
        <v>48</v>
      </c>
      <c r="O545" s="834">
        <f>D560/1000</f>
        <v>0.4</v>
      </c>
      <c r="P545" s="274"/>
      <c r="Q545" s="275" t="s">
        <v>49</v>
      </c>
      <c r="R545" s="276">
        <f>H552/1000</f>
        <v>0.3</v>
      </c>
      <c r="S545" s="297">
        <f>ROUNDDOWN(K545*O545*R545,2)</f>
        <v>0.04</v>
      </c>
      <c r="T545" s="298" t="s">
        <v>55</v>
      </c>
    </row>
    <row r="546" spans="2:20" ht="15" hidden="1" customHeight="1">
      <c r="B546" s="255"/>
      <c r="C546" s="299"/>
      <c r="D546" s="300"/>
      <c r="E546" s="301"/>
      <c r="F546" s="302"/>
      <c r="G546" s="456"/>
      <c r="H546" s="269"/>
      <c r="I546" s="282"/>
      <c r="J546" s="833"/>
      <c r="K546" s="834"/>
      <c r="L546" s="834"/>
      <c r="M546" s="834"/>
      <c r="N546" s="835"/>
      <c r="O546" s="834"/>
      <c r="P546" s="274"/>
      <c r="Q546" s="275"/>
      <c r="R546" s="276"/>
      <c r="S546" s="297"/>
      <c r="T546" s="298"/>
    </row>
    <row r="547" spans="2:20" ht="15" hidden="1" customHeight="1">
      <c r="B547" s="255"/>
      <c r="C547" s="299"/>
      <c r="D547" s="303"/>
      <c r="E547" s="302"/>
      <c r="F547" s="302"/>
      <c r="G547" s="456"/>
      <c r="H547" s="269"/>
      <c r="I547" s="282"/>
      <c r="J547" s="833"/>
      <c r="K547" s="834"/>
      <c r="L547" s="834"/>
      <c r="M547" s="834"/>
      <c r="N547" s="835"/>
      <c r="O547" s="834"/>
      <c r="P547" s="274"/>
      <c r="Q547" s="275"/>
      <c r="R547" s="276"/>
      <c r="S547" s="297"/>
      <c r="T547" s="541"/>
    </row>
    <row r="548" spans="2:20" ht="15" hidden="1" customHeight="1">
      <c r="B548" s="255"/>
      <c r="C548" s="299"/>
      <c r="D548" s="303"/>
      <c r="E548" s="302"/>
      <c r="F548" s="302"/>
      <c r="G548" s="456"/>
      <c r="H548" s="269"/>
      <c r="I548" s="282"/>
      <c r="J548" s="833"/>
      <c r="K548" s="834"/>
      <c r="L548" s="834"/>
      <c r="M548" s="834"/>
      <c r="N548" s="305"/>
      <c r="O548" s="834"/>
      <c r="P548" s="274"/>
      <c r="Q548" s="275"/>
      <c r="R548" s="276"/>
      <c r="S548" s="297"/>
      <c r="T548" s="298"/>
    </row>
    <row r="549" spans="2:20" ht="15" hidden="1" customHeight="1">
      <c r="B549" s="255"/>
      <c r="C549" s="299"/>
      <c r="D549" s="303"/>
      <c r="E549" s="302"/>
      <c r="F549" s="302"/>
      <c r="G549" s="456"/>
      <c r="H549" s="305"/>
      <c r="I549" s="282"/>
      <c r="J549" s="837" t="s">
        <v>57</v>
      </c>
      <c r="K549" s="838"/>
      <c r="L549" s="838"/>
      <c r="M549" s="838"/>
      <c r="N549" s="838"/>
      <c r="O549" s="839"/>
      <c r="P549" s="838"/>
      <c r="Q549" s="306"/>
      <c r="R549" s="307"/>
      <c r="S549" s="840">
        <f>SUM(S545:S548)</f>
        <v>0.04</v>
      </c>
      <c r="T549" s="599" t="s">
        <v>178</v>
      </c>
    </row>
    <row r="550" spans="2:20" ht="15" hidden="1" customHeight="1">
      <c r="B550" s="255"/>
      <c r="C550" s="299"/>
      <c r="D550" s="303"/>
      <c r="E550" s="302"/>
      <c r="F550" s="302"/>
      <c r="G550" s="456"/>
      <c r="H550" s="269"/>
      <c r="I550" s="308"/>
      <c r="J550" s="828" t="s">
        <v>58</v>
      </c>
      <c r="K550" s="843"/>
      <c r="L550" s="309" t="s">
        <v>334</v>
      </c>
      <c r="M550" s="309" t="s">
        <v>335</v>
      </c>
      <c r="N550" s="310" t="s">
        <v>336</v>
      </c>
      <c r="O550" s="311"/>
      <c r="P550" s="309"/>
      <c r="Q550" s="312"/>
      <c r="R550" s="312"/>
      <c r="S550" s="313"/>
      <c r="T550" s="294"/>
    </row>
    <row r="551" spans="2:20" ht="15" hidden="1" customHeight="1" thickBot="1">
      <c r="B551" s="314"/>
      <c r="C551" s="1388"/>
      <c r="D551" s="1388"/>
      <c r="E551" s="1388"/>
      <c r="F551" s="1388"/>
      <c r="G551" s="315"/>
      <c r="H551" s="315"/>
      <c r="I551" s="316"/>
      <c r="J551" s="317"/>
      <c r="K551" s="318"/>
      <c r="L551" s="318" t="s">
        <v>334</v>
      </c>
      <c r="M551" s="845">
        <f>S543</f>
        <v>0.14299999999999999</v>
      </c>
      <c r="N551" s="318" t="s">
        <v>337</v>
      </c>
      <c r="O551" s="319">
        <f>S553</f>
        <v>0.04</v>
      </c>
      <c r="P551" s="348"/>
      <c r="Q551" s="321"/>
      <c r="R551" s="846"/>
      <c r="S551" s="847">
        <f>ROUNDDOWN(M551-O551,3)</f>
        <v>0.10299999999999999</v>
      </c>
      <c r="T551" s="599" t="s">
        <v>178</v>
      </c>
    </row>
    <row r="552" spans="2:20" ht="15" hidden="1" customHeight="1">
      <c r="B552" s="255"/>
      <c r="C552" s="324"/>
      <c r="D552" s="457"/>
      <c r="E552" s="325"/>
      <c r="F552" s="326"/>
      <c r="G552" s="327"/>
      <c r="H552" s="1389">
        <v>300</v>
      </c>
      <c r="I552" s="1392">
        <f>H549+H551+H552</f>
        <v>300</v>
      </c>
      <c r="J552" s="828" t="s">
        <v>338</v>
      </c>
      <c r="K552" s="843"/>
      <c r="L552" s="843" t="s">
        <v>339</v>
      </c>
      <c r="M552" s="309"/>
      <c r="N552" s="310" t="s">
        <v>340</v>
      </c>
      <c r="O552" s="843"/>
      <c r="P552" s="843"/>
      <c r="Q552" s="328"/>
      <c r="R552" s="329"/>
      <c r="S552" s="832"/>
      <c r="T552" s="294"/>
    </row>
    <row r="553" spans="2:20" ht="15" hidden="1" customHeight="1">
      <c r="B553" s="330"/>
      <c r="C553" s="324"/>
      <c r="D553" s="331"/>
      <c r="E553" s="332"/>
      <c r="F553" s="326"/>
      <c r="G553" s="333"/>
      <c r="H553" s="1390"/>
      <c r="I553" s="1387"/>
      <c r="J553" s="848"/>
      <c r="K553" s="849"/>
      <c r="L553" s="850" t="s">
        <v>339</v>
      </c>
      <c r="M553" s="849"/>
      <c r="N553" s="849"/>
      <c r="O553" s="838">
        <f>S545</f>
        <v>0.04</v>
      </c>
      <c r="P553" s="838"/>
      <c r="Q553" s="838"/>
      <c r="R553" s="410"/>
      <c r="S553" s="851">
        <f>ROUNDDOWN(O553+Q553,3)</f>
        <v>0.04</v>
      </c>
      <c r="T553" s="257" t="s">
        <v>178</v>
      </c>
    </row>
    <row r="554" spans="2:20" ht="15" hidden="1" customHeight="1">
      <c r="B554" s="255"/>
      <c r="C554" s="324"/>
      <c r="D554" s="331"/>
      <c r="E554" s="332"/>
      <c r="F554" s="326"/>
      <c r="G554" s="333"/>
      <c r="H554" s="1390"/>
      <c r="I554" s="1387"/>
      <c r="J554" s="852" t="s">
        <v>584</v>
      </c>
      <c r="K554" s="843"/>
      <c r="L554" s="843"/>
      <c r="M554" s="843"/>
      <c r="N554" s="843"/>
      <c r="O554" s="853"/>
      <c r="P554" s="340"/>
      <c r="Q554" s="329"/>
      <c r="R554" s="341"/>
      <c r="S554" s="832"/>
      <c r="T554" s="294"/>
    </row>
    <row r="555" spans="2:20" ht="15" hidden="1" customHeight="1">
      <c r="B555" s="255"/>
      <c r="C555" s="324"/>
      <c r="D555" s="331"/>
      <c r="E555" s="332"/>
      <c r="F555" s="326"/>
      <c r="G555" s="333"/>
      <c r="H555" s="1390"/>
      <c r="I555" s="1387"/>
      <c r="J555" s="342" t="s">
        <v>341</v>
      </c>
      <c r="K555" s="343">
        <f>D545/1000</f>
        <v>0.4</v>
      </c>
      <c r="L555" s="344" t="s">
        <v>59</v>
      </c>
      <c r="M555" s="412">
        <f>D560/1000</f>
        <v>0.4</v>
      </c>
      <c r="N555" s="346" t="s">
        <v>137</v>
      </c>
      <c r="O555" s="347" t="s">
        <v>342</v>
      </c>
      <c r="P555" s="348">
        <f>I552/1000</f>
        <v>0.3</v>
      </c>
      <c r="Q555" s="349" t="s">
        <v>343</v>
      </c>
      <c r="R555" s="350">
        <v>4</v>
      </c>
      <c r="S555" s="854">
        <f>((K555+M555)/2)*P555*R555</f>
        <v>0.48</v>
      </c>
      <c r="T555" s="599" t="s">
        <v>344</v>
      </c>
    </row>
    <row r="556" spans="2:20" ht="15" hidden="1" customHeight="1" thickBot="1">
      <c r="B556" s="255"/>
      <c r="C556" s="352"/>
      <c r="D556" s="353"/>
      <c r="E556" s="354"/>
      <c r="F556" s="355"/>
      <c r="G556" s="356"/>
      <c r="H556" s="1391"/>
      <c r="I556" s="1387"/>
      <c r="J556" s="855"/>
      <c r="K556" s="856"/>
      <c r="L556" s="856"/>
      <c r="M556" s="856"/>
      <c r="N556" s="856"/>
      <c r="O556" s="857"/>
      <c r="P556" s="329"/>
      <c r="Q556" s="329"/>
      <c r="R556" s="329"/>
      <c r="S556" s="360"/>
      <c r="T556" s="598"/>
    </row>
    <row r="557" spans="2:20" ht="15" hidden="1" customHeight="1">
      <c r="B557" s="255"/>
      <c r="C557" s="362"/>
      <c r="D557" s="363"/>
      <c r="E557" s="364"/>
      <c r="F557" s="365"/>
      <c r="G557" s="456"/>
      <c r="H557" s="269"/>
      <c r="I557" s="282"/>
      <c r="J557" s="858"/>
      <c r="K557" s="349"/>
      <c r="L557" s="348"/>
      <c r="M557" s="859"/>
      <c r="N557" s="860"/>
      <c r="P557" s="861"/>
      <c r="Q557" s="350"/>
      <c r="R557" s="350"/>
      <c r="S557" s="851"/>
      <c r="T557" s="298"/>
    </row>
    <row r="558" spans="2:20" ht="15" hidden="1" customHeight="1">
      <c r="B558" s="255"/>
      <c r="C558" s="371">
        <v>100</v>
      </c>
      <c r="D558" s="1379">
        <v>400</v>
      </c>
      <c r="E558" s="1381"/>
      <c r="F558" s="372">
        <v>100</v>
      </c>
      <c r="G558" s="268"/>
      <c r="H558" s="373"/>
      <c r="I558" s="282"/>
      <c r="J558" s="855"/>
      <c r="K558" s="856"/>
      <c r="L558" s="856"/>
      <c r="M558" s="856"/>
      <c r="N558" s="856"/>
      <c r="O558" s="862"/>
      <c r="P558" s="375"/>
      <c r="Q558" s="862"/>
      <c r="R558" s="831"/>
      <c r="S558" s="832"/>
      <c r="T558" s="294"/>
    </row>
    <row r="559" spans="2:20" ht="15" hidden="1" customHeight="1">
      <c r="B559" s="376"/>
      <c r="C559" s="377"/>
      <c r="D559" s="303"/>
      <c r="E559" s="302"/>
      <c r="F559" s="378"/>
      <c r="G559" s="379"/>
      <c r="H559" s="373"/>
      <c r="I559" s="282"/>
      <c r="J559" s="380"/>
      <c r="K559" s="306"/>
      <c r="L559" s="306"/>
      <c r="M559" s="306"/>
      <c r="N559" s="306"/>
      <c r="O559" s="381"/>
      <c r="P559" s="381"/>
      <c r="Q559" s="381"/>
      <c r="R559" s="381"/>
      <c r="S559" s="863"/>
      <c r="T559" s="383"/>
    </row>
    <row r="560" spans="2:20" ht="15" hidden="1" customHeight="1">
      <c r="B560" s="255"/>
      <c r="C560" s="371">
        <v>100</v>
      </c>
      <c r="D560" s="1379">
        <v>400</v>
      </c>
      <c r="E560" s="1381"/>
      <c r="F560" s="372">
        <v>100</v>
      </c>
      <c r="G560" s="268"/>
      <c r="H560" s="373"/>
      <c r="I560" s="282"/>
      <c r="J560" s="876" t="s">
        <v>585</v>
      </c>
      <c r="K560" s="864"/>
      <c r="L560" s="877" t="s">
        <v>812</v>
      </c>
      <c r="M560" s="864"/>
      <c r="N560" s="864"/>
      <c r="O560" s="269"/>
      <c r="P560" s="385"/>
      <c r="Q560" s="385"/>
      <c r="R560" s="385"/>
      <c r="S560" s="386"/>
      <c r="T560" s="387"/>
    </row>
    <row r="561" spans="2:20" ht="15" hidden="1" customHeight="1">
      <c r="B561" s="255"/>
      <c r="C561" s="290"/>
      <c r="D561" s="388"/>
      <c r="E561" s="388"/>
      <c r="F561" s="389"/>
      <c r="G561" s="379"/>
      <c r="H561" s="373"/>
      <c r="I561" s="282"/>
      <c r="J561" s="865"/>
      <c r="K561" s="866"/>
      <c r="L561" s="866"/>
      <c r="M561" s="866"/>
      <c r="N561" s="866"/>
      <c r="O561" s="867"/>
      <c r="P561" s="393"/>
      <c r="Q561" s="381"/>
      <c r="R561" s="410"/>
      <c r="S561" s="394">
        <v>2</v>
      </c>
      <c r="T561" s="383" t="s">
        <v>37</v>
      </c>
    </row>
    <row r="562" spans="2:20" ht="15" hidden="1" customHeight="1">
      <c r="B562" s="255"/>
      <c r="C562" s="1376"/>
      <c r="D562" s="1377"/>
      <c r="E562" s="1377"/>
      <c r="F562" s="1378"/>
      <c r="G562" s="268"/>
      <c r="H562" s="269"/>
      <c r="I562" s="282"/>
      <c r="J562" s="828" t="s">
        <v>346</v>
      </c>
      <c r="K562" s="864"/>
      <c r="L562" s="877" t="s">
        <v>805</v>
      </c>
      <c r="M562" s="830"/>
      <c r="N562" s="830"/>
      <c r="O562" s="831"/>
      <c r="P562" s="831"/>
      <c r="Q562" s="329"/>
      <c r="R562" s="329"/>
      <c r="S562" s="832"/>
      <c r="T562" s="267"/>
    </row>
    <row r="563" spans="2:20" ht="15" hidden="1" customHeight="1">
      <c r="B563" s="255"/>
      <c r="C563" s="1379">
        <f>C558+D558+F558</f>
        <v>600</v>
      </c>
      <c r="D563" s="1380"/>
      <c r="E563" s="1380"/>
      <c r="F563" s="1381"/>
      <c r="G563" s="268"/>
      <c r="H563" s="456"/>
      <c r="I563" s="257"/>
      <c r="J563" s="848"/>
      <c r="K563" s="826"/>
      <c r="L563" s="826"/>
      <c r="M563" s="826"/>
      <c r="N563" s="826"/>
      <c r="O563" s="410">
        <v>3</v>
      </c>
      <c r="P563" s="381"/>
      <c r="Q563" s="410"/>
      <c r="R563" s="410"/>
      <c r="S563" s="868">
        <f>O563</f>
        <v>3</v>
      </c>
      <c r="T563" s="261" t="s">
        <v>36</v>
      </c>
    </row>
    <row r="564" spans="2:20" ht="15" hidden="1" customHeight="1">
      <c r="B564" s="255"/>
      <c r="C564" s="396"/>
      <c r="D564" s="388"/>
      <c r="E564" s="388"/>
      <c r="F564" s="397"/>
      <c r="G564" s="268"/>
      <c r="H564" s="269"/>
      <c r="I564" s="257"/>
      <c r="J564" s="841"/>
      <c r="K564" s="398"/>
      <c r="L564" s="398"/>
      <c r="M564" s="398"/>
      <c r="N564" s="398"/>
      <c r="O564" s="399"/>
      <c r="P564" s="400"/>
      <c r="Q564" s="399"/>
      <c r="R564" s="399"/>
      <c r="S564" s="401"/>
      <c r="T564" s="402"/>
    </row>
    <row r="565" spans="2:20" ht="15" hidden="1" customHeight="1">
      <c r="B565" s="255"/>
      <c r="C565" s="1379">
        <f>C560+D560+F560</f>
        <v>600</v>
      </c>
      <c r="D565" s="1380"/>
      <c r="E565" s="1380"/>
      <c r="F565" s="1381"/>
      <c r="G565" s="268"/>
      <c r="H565" s="456"/>
      <c r="I565" s="257"/>
      <c r="J565" s="403"/>
      <c r="K565" s="404"/>
      <c r="L565" s="404"/>
      <c r="M565" s="404"/>
      <c r="N565" s="404"/>
      <c r="O565" s="410"/>
      <c r="P565" s="405"/>
      <c r="Q565" s="405"/>
      <c r="R565" s="405"/>
      <c r="S565" s="868"/>
      <c r="T565" s="261"/>
    </row>
    <row r="566" spans="2:20" ht="15" hidden="1" customHeight="1">
      <c r="B566" s="255"/>
      <c r="C566" s="256"/>
      <c r="D566" s="456"/>
      <c r="E566" s="456"/>
      <c r="F566" s="456"/>
      <c r="G566" s="456"/>
      <c r="H566" s="456"/>
      <c r="I566" s="257"/>
      <c r="J566" s="841"/>
      <c r="K566" s="842"/>
      <c r="L566" s="869"/>
      <c r="M566" s="843"/>
      <c r="N566" s="843"/>
      <c r="O566" s="843"/>
      <c r="P566" s="842"/>
      <c r="Q566" s="829"/>
      <c r="R566" s="829"/>
      <c r="S566" s="832"/>
      <c r="T566" s="294"/>
    </row>
    <row r="567" spans="2:20" ht="15" hidden="1" customHeight="1">
      <c r="B567" s="255"/>
      <c r="C567" s="256"/>
      <c r="D567" s="456"/>
      <c r="E567" s="456"/>
      <c r="F567" s="456"/>
      <c r="G567" s="456"/>
      <c r="H567" s="456"/>
      <c r="I567" s="269"/>
      <c r="J567" s="833"/>
      <c r="K567" s="844"/>
      <c r="L567" s="834"/>
      <c r="M567" s="834"/>
      <c r="N567" s="835"/>
      <c r="O567" s="834"/>
      <c r="P567" s="274"/>
      <c r="Q567" s="275"/>
      <c r="R567" s="276"/>
      <c r="S567" s="297"/>
      <c r="T567" s="298"/>
    </row>
    <row r="568" spans="2:20" ht="15" hidden="1" customHeight="1">
      <c r="B568" s="255"/>
      <c r="C568" s="256"/>
      <c r="D568" s="456"/>
      <c r="E568" s="456"/>
      <c r="F568" s="456"/>
      <c r="G568" s="456"/>
      <c r="H568" s="456"/>
      <c r="I568" s="257"/>
      <c r="J568" s="485"/>
      <c r="K568" s="870"/>
      <c r="L568" s="870"/>
      <c r="M568" s="870"/>
      <c r="N568" s="870"/>
      <c r="O568" s="871"/>
      <c r="P568" s="871"/>
      <c r="Q568" s="781"/>
      <c r="R568" s="781"/>
      <c r="S568" s="872"/>
      <c r="T568" s="716"/>
    </row>
    <row r="569" spans="2:20" ht="15" hidden="1" customHeight="1">
      <c r="B569" s="408"/>
      <c r="C569" s="409"/>
      <c r="D569" s="350"/>
      <c r="E569" s="350"/>
      <c r="F569" s="350"/>
      <c r="G569" s="350"/>
      <c r="H569" s="350"/>
      <c r="I569" s="410"/>
      <c r="J569" s="873"/>
      <c r="K569" s="874"/>
      <c r="L569" s="874"/>
      <c r="M569" s="874"/>
      <c r="N569" s="874"/>
      <c r="O569" s="711"/>
      <c r="P569" s="800"/>
      <c r="Q569" s="711"/>
      <c r="R569" s="711"/>
      <c r="S569" s="875"/>
      <c r="T569" s="814"/>
    </row>
    <row r="570" spans="2:20" ht="24.95" hidden="1" customHeight="1">
      <c r="B570" s="468" t="s">
        <v>729</v>
      </c>
      <c r="C570" s="1383" t="s">
        <v>758</v>
      </c>
      <c r="D570" s="1423"/>
      <c r="E570" s="1423"/>
      <c r="F570" s="1423"/>
      <c r="G570" s="1423"/>
      <c r="H570" s="1424"/>
      <c r="I570" s="1400" t="s">
        <v>759</v>
      </c>
      <c r="J570" s="1419"/>
      <c r="K570" s="1420"/>
      <c r="L570" s="1421"/>
      <c r="M570" s="1421"/>
      <c r="N570" s="1421"/>
      <c r="O570" s="1421"/>
      <c r="P570" s="1421"/>
      <c r="Q570" s="1421"/>
      <c r="R570" s="1421"/>
      <c r="S570" s="1421"/>
      <c r="T570" s="1422"/>
    </row>
    <row r="571" spans="2:20" ht="15" hidden="1" customHeight="1">
      <c r="B571" s="255"/>
      <c r="C571" s="256"/>
      <c r="D571" s="456"/>
      <c r="E571" s="456"/>
      <c r="F571" s="456"/>
      <c r="G571" s="456"/>
      <c r="H571" s="456"/>
      <c r="I571" s="257"/>
      <c r="J571" s="258"/>
      <c r="K571" s="258"/>
      <c r="L571" s="258" t="s">
        <v>39</v>
      </c>
      <c r="M571" s="258" t="s">
        <v>40</v>
      </c>
      <c r="N571" s="258" t="s">
        <v>41</v>
      </c>
      <c r="O571" s="259" t="s">
        <v>42</v>
      </c>
      <c r="P571" s="259" t="s">
        <v>43</v>
      </c>
      <c r="Q571" s="259"/>
      <c r="R571" s="259"/>
      <c r="S571" s="260" t="s">
        <v>44</v>
      </c>
      <c r="T571" s="261"/>
    </row>
    <row r="572" spans="2:20" ht="15" hidden="1" customHeight="1">
      <c r="B572" s="255"/>
      <c r="C572" s="256"/>
      <c r="D572" s="456"/>
      <c r="E572" s="456"/>
      <c r="F572" s="456"/>
      <c r="G572" s="456"/>
      <c r="H572" s="456"/>
      <c r="I572" s="257"/>
      <c r="J572" s="262" t="s">
        <v>45</v>
      </c>
      <c r="K572" s="263"/>
      <c r="L572" s="263" t="s">
        <v>46</v>
      </c>
      <c r="M572" s="264"/>
      <c r="N572" s="264"/>
      <c r="P572" s="265"/>
      <c r="Q572" s="265"/>
      <c r="R572" s="265"/>
      <c r="S572" s="266"/>
      <c r="T572" s="267"/>
    </row>
    <row r="573" spans="2:20" ht="15" hidden="1" customHeight="1">
      <c r="B573" s="255"/>
      <c r="C573" s="1380">
        <f>C595+(0.3*(H584)*2)</f>
        <v>680</v>
      </c>
      <c r="D573" s="1380"/>
      <c r="E573" s="1380"/>
      <c r="F573" s="1380"/>
      <c r="G573" s="456"/>
      <c r="H573" s="269"/>
      <c r="I573" s="257"/>
      <c r="J573" s="270" t="s">
        <v>47</v>
      </c>
      <c r="K573" s="271">
        <f>C573/1000</f>
        <v>0.68</v>
      </c>
      <c r="L573" s="271"/>
      <c r="M573" s="271"/>
      <c r="N573" s="272" t="s">
        <v>48</v>
      </c>
      <c r="O573" s="273">
        <f>C595/1000</f>
        <v>0.5</v>
      </c>
      <c r="P573" s="274"/>
      <c r="Q573" s="275" t="s">
        <v>49</v>
      </c>
      <c r="R573" s="276">
        <f>(H584)/1000</f>
        <v>0.3</v>
      </c>
      <c r="S573" s="277"/>
      <c r="T573" s="278"/>
    </row>
    <row r="574" spans="2:20" ht="15" hidden="1" customHeight="1">
      <c r="B574" s="255"/>
      <c r="C574" s="279"/>
      <c r="D574" s="596"/>
      <c r="E574" s="596"/>
      <c r="F574" s="301"/>
      <c r="G574" s="456"/>
      <c r="H574" s="269"/>
      <c r="I574" s="282"/>
      <c r="J574" s="270" t="s">
        <v>50</v>
      </c>
      <c r="K574" s="271">
        <f>C575/1000</f>
        <v>0.68</v>
      </c>
      <c r="L574" s="271"/>
      <c r="M574" s="271"/>
      <c r="N574" s="272" t="s">
        <v>51</v>
      </c>
      <c r="O574" s="273">
        <f>C597/1000</f>
        <v>0.5</v>
      </c>
      <c r="P574" s="274"/>
      <c r="Q574" s="254"/>
      <c r="R574" s="283"/>
      <c r="S574" s="284"/>
      <c r="T574" s="278"/>
    </row>
    <row r="575" spans="2:20" ht="15" hidden="1" customHeight="1">
      <c r="B575" s="255"/>
      <c r="C575" s="1379">
        <f>C597+(0.3*(H584)*2)</f>
        <v>680</v>
      </c>
      <c r="D575" s="1380"/>
      <c r="E575" s="1380"/>
      <c r="F575" s="1381"/>
      <c r="G575" s="456"/>
      <c r="H575" s="269"/>
      <c r="I575" s="282"/>
      <c r="J575" s="285" t="s">
        <v>52</v>
      </c>
      <c r="K575" s="286"/>
      <c r="L575" s="286"/>
      <c r="M575" s="286"/>
      <c r="N575" s="286"/>
      <c r="O575" s="287"/>
      <c r="P575" s="286"/>
      <c r="Q575" s="259"/>
      <c r="R575" s="259"/>
      <c r="S575" s="288">
        <f>ROUNDDOWN(R573/6*((2*K573+O573)*K574+(2*O573+K573)*O574),2)</f>
        <v>0.1</v>
      </c>
      <c r="T575" s="289" t="s">
        <v>178</v>
      </c>
    </row>
    <row r="576" spans="2:20" ht="15" hidden="1" customHeight="1">
      <c r="B576" s="255"/>
      <c r="C576" s="290"/>
      <c r="D576" s="291"/>
      <c r="E576" s="291"/>
      <c r="F576" s="301"/>
      <c r="G576" s="456"/>
      <c r="H576" s="269"/>
      <c r="I576" s="282"/>
      <c r="J576" s="476" t="s">
        <v>604</v>
      </c>
      <c r="K576" s="292"/>
      <c r="L576" s="292" t="s">
        <v>54</v>
      </c>
      <c r="M576" s="293"/>
      <c r="N576" s="293"/>
      <c r="O576" s="293"/>
      <c r="P576" s="292"/>
      <c r="Q576" s="263"/>
      <c r="R576" s="263"/>
      <c r="S576" s="266"/>
      <c r="T576" s="294"/>
    </row>
    <row r="577" spans="2:20" ht="15" hidden="1" customHeight="1">
      <c r="B577" s="255"/>
      <c r="C577" s="295"/>
      <c r="D577" s="1409">
        <v>300</v>
      </c>
      <c r="E577" s="1409"/>
      <c r="F577" s="302"/>
      <c r="G577" s="456"/>
      <c r="H577" s="269"/>
      <c r="I577" s="282"/>
      <c r="J577" s="270" t="s">
        <v>47</v>
      </c>
      <c r="K577" s="271">
        <f>D577/1000</f>
        <v>0.3</v>
      </c>
      <c r="L577" s="271"/>
      <c r="M577" s="271"/>
      <c r="N577" s="272" t="s">
        <v>48</v>
      </c>
      <c r="O577" s="271">
        <f>D592/1000</f>
        <v>0.3</v>
      </c>
      <c r="P577" s="274"/>
      <c r="Q577" s="275" t="s">
        <v>49</v>
      </c>
      <c r="R577" s="276">
        <f>H584/1000</f>
        <v>0.3</v>
      </c>
      <c r="S577" s="297">
        <f>ROUNDDOWN(K577*O577*R577,2)</f>
        <v>0.02</v>
      </c>
      <c r="T577" s="298" t="s">
        <v>55</v>
      </c>
    </row>
    <row r="578" spans="2:20" ht="15" hidden="1" customHeight="1">
      <c r="B578" s="255"/>
      <c r="C578" s="299"/>
      <c r="D578" s="300"/>
      <c r="E578" s="301"/>
      <c r="F578" s="302"/>
      <c r="G578" s="456"/>
      <c r="H578" s="269"/>
      <c r="I578" s="282"/>
      <c r="J578" s="270"/>
      <c r="K578" s="271"/>
      <c r="L578" s="271"/>
      <c r="M578" s="271"/>
      <c r="N578" s="272"/>
      <c r="O578" s="271"/>
      <c r="P578" s="274"/>
      <c r="Q578" s="275"/>
      <c r="R578" s="276"/>
      <c r="S578" s="297">
        <f>ROUNDDOWN(K578*O578*R578,2)</f>
        <v>0</v>
      </c>
      <c r="T578" s="298" t="s">
        <v>56</v>
      </c>
    </row>
    <row r="579" spans="2:20" ht="15" hidden="1" customHeight="1">
      <c r="B579" s="255"/>
      <c r="C579" s="299"/>
      <c r="D579" s="303"/>
      <c r="E579" s="302"/>
      <c r="F579" s="302"/>
      <c r="G579" s="456"/>
      <c r="H579" s="269"/>
      <c r="I579" s="282"/>
      <c r="J579" s="270"/>
      <c r="K579" s="271"/>
      <c r="L579" s="271"/>
      <c r="M579" s="271"/>
      <c r="N579" s="304"/>
      <c r="O579" s="271"/>
      <c r="P579" s="274"/>
      <c r="Q579" s="275"/>
      <c r="R579" s="276"/>
      <c r="S579" s="297"/>
      <c r="T579" s="298"/>
    </row>
    <row r="580" spans="2:20" ht="15" hidden="1" customHeight="1">
      <c r="B580" s="255"/>
      <c r="C580" s="299"/>
      <c r="D580" s="303"/>
      <c r="E580" s="302"/>
      <c r="F580" s="302"/>
      <c r="G580" s="456"/>
      <c r="H580" s="269"/>
      <c r="I580" s="282"/>
      <c r="J580" s="270"/>
      <c r="K580" s="271"/>
      <c r="L580" s="271"/>
      <c r="M580" s="271"/>
      <c r="N580" s="304"/>
      <c r="O580" s="271"/>
      <c r="P580" s="274"/>
      <c r="Q580" s="275"/>
      <c r="R580" s="276"/>
      <c r="S580" s="297"/>
      <c r="T580" s="298"/>
    </row>
    <row r="581" spans="2:20" ht="15" hidden="1" customHeight="1">
      <c r="B581" s="255"/>
      <c r="C581" s="299"/>
      <c r="D581" s="303"/>
      <c r="E581" s="302"/>
      <c r="F581" s="302"/>
      <c r="G581" s="456"/>
      <c r="H581" s="305"/>
      <c r="I581" s="282"/>
      <c r="J581" s="285" t="s">
        <v>57</v>
      </c>
      <c r="K581" s="286"/>
      <c r="L581" s="286"/>
      <c r="M581" s="286"/>
      <c r="N581" s="286"/>
      <c r="O581" s="287"/>
      <c r="P581" s="286"/>
      <c r="Q581" s="306"/>
      <c r="R581" s="307"/>
      <c r="S581" s="288">
        <f>SUM(S577:S580)</f>
        <v>0.02</v>
      </c>
      <c r="T581" s="289" t="s">
        <v>178</v>
      </c>
    </row>
    <row r="582" spans="2:20" ht="15" hidden="1" customHeight="1">
      <c r="B582" s="255"/>
      <c r="C582" s="299"/>
      <c r="D582" s="303"/>
      <c r="E582" s="302"/>
      <c r="F582" s="302"/>
      <c r="G582" s="456"/>
      <c r="H582" s="269"/>
      <c r="I582" s="308"/>
      <c r="J582" s="262" t="s">
        <v>58</v>
      </c>
      <c r="K582" s="293"/>
      <c r="L582" s="309" t="s">
        <v>334</v>
      </c>
      <c r="M582" s="309" t="s">
        <v>335</v>
      </c>
      <c r="N582" s="310" t="s">
        <v>336</v>
      </c>
      <c r="O582" s="311"/>
      <c r="P582" s="309"/>
      <c r="Q582" s="312"/>
      <c r="R582" s="312"/>
      <c r="S582" s="313"/>
      <c r="T582" s="294"/>
    </row>
    <row r="583" spans="2:20" ht="15" hidden="1" customHeight="1" thickBot="1">
      <c r="B583" s="314"/>
      <c r="C583" s="1388"/>
      <c r="D583" s="1388"/>
      <c r="E583" s="1388"/>
      <c r="F583" s="1388"/>
      <c r="G583" s="315"/>
      <c r="H583" s="315"/>
      <c r="I583" s="316"/>
      <c r="J583" s="317"/>
      <c r="K583" s="318"/>
      <c r="L583" s="318" t="s">
        <v>334</v>
      </c>
      <c r="M583" s="318">
        <f>S575</f>
        <v>0.1</v>
      </c>
      <c r="N583" s="318" t="s">
        <v>337</v>
      </c>
      <c r="O583" s="319">
        <f>S581</f>
        <v>0.02</v>
      </c>
      <c r="P583" s="320"/>
      <c r="Q583" s="321"/>
      <c r="R583" s="322"/>
      <c r="S583" s="323">
        <f>ROUNDDOWN(M583-O583,2)</f>
        <v>0.08</v>
      </c>
      <c r="T583" s="289" t="s">
        <v>178</v>
      </c>
    </row>
    <row r="584" spans="2:20" ht="15" hidden="1" customHeight="1">
      <c r="B584" s="255"/>
      <c r="C584" s="324"/>
      <c r="D584" s="457"/>
      <c r="E584" s="325"/>
      <c r="F584" s="326"/>
      <c r="G584" s="327"/>
      <c r="H584" s="1389">
        <v>300</v>
      </c>
      <c r="I584" s="1413">
        <f>H581+H583+H584</f>
        <v>300</v>
      </c>
      <c r="J584" s="262" t="s">
        <v>338</v>
      </c>
      <c r="K584" s="293"/>
      <c r="L584" s="293" t="s">
        <v>339</v>
      </c>
      <c r="M584" s="309"/>
      <c r="N584" s="310" t="s">
        <v>340</v>
      </c>
      <c r="O584" s="293"/>
      <c r="P584" s="293"/>
      <c r="Q584" s="328"/>
      <c r="R584" s="329"/>
      <c r="S584" s="266"/>
      <c r="T584" s="294"/>
    </row>
    <row r="585" spans="2:20" ht="15" hidden="1" customHeight="1">
      <c r="B585" s="330"/>
      <c r="C585" s="324"/>
      <c r="D585" s="331"/>
      <c r="E585" s="332"/>
      <c r="F585" s="326"/>
      <c r="G585" s="333"/>
      <c r="H585" s="1411"/>
      <c r="I585" s="1414"/>
      <c r="J585" s="334"/>
      <c r="K585" s="335"/>
      <c r="L585" s="336" t="s">
        <v>339</v>
      </c>
      <c r="M585" s="335"/>
      <c r="N585" s="335"/>
      <c r="O585" s="286">
        <f>S577</f>
        <v>0.02</v>
      </c>
      <c r="P585" s="286"/>
      <c r="Q585" s="286"/>
      <c r="R585" s="259"/>
      <c r="S585" s="323">
        <f>ROUNDDOWN(O585+Q585,2)</f>
        <v>0.02</v>
      </c>
      <c r="T585" s="337" t="s">
        <v>178</v>
      </c>
    </row>
    <row r="586" spans="2:20" ht="15" hidden="1" customHeight="1">
      <c r="B586" s="255"/>
      <c r="C586" s="324"/>
      <c r="D586" s="331"/>
      <c r="E586" s="332"/>
      <c r="F586" s="326"/>
      <c r="G586" s="333"/>
      <c r="H586" s="1411"/>
      <c r="I586" s="1414"/>
      <c r="J586" s="338"/>
      <c r="K586" s="293"/>
      <c r="L586" s="293"/>
      <c r="M586" s="293"/>
      <c r="N586" s="293"/>
      <c r="O586" s="339"/>
      <c r="P586" s="340"/>
      <c r="Q586" s="329"/>
      <c r="R586" s="341"/>
      <c r="S586" s="266"/>
      <c r="T586" s="294"/>
    </row>
    <row r="587" spans="2:20" ht="15" hidden="1" customHeight="1">
      <c r="B587" s="255"/>
      <c r="C587" s="324"/>
      <c r="D587" s="331"/>
      <c r="E587" s="332"/>
      <c r="F587" s="326"/>
      <c r="G587" s="333"/>
      <c r="H587" s="1411"/>
      <c r="I587" s="1414"/>
      <c r="J587" s="1416"/>
      <c r="K587" s="1417"/>
      <c r="L587" s="1417"/>
      <c r="M587" s="1417"/>
      <c r="N587" s="1417"/>
      <c r="O587" s="1417"/>
      <c r="P587" s="1417"/>
      <c r="Q587" s="1417"/>
      <c r="R587" s="1418"/>
      <c r="S587" s="351"/>
      <c r="T587" s="289"/>
    </row>
    <row r="588" spans="2:20" ht="15" hidden="1" customHeight="1" thickBot="1">
      <c r="B588" s="255"/>
      <c r="C588" s="352"/>
      <c r="D588" s="353"/>
      <c r="E588" s="354"/>
      <c r="F588" s="355"/>
      <c r="G588" s="356"/>
      <c r="H588" s="1412"/>
      <c r="I588" s="1414"/>
      <c r="J588" s="469" t="s">
        <v>761</v>
      </c>
      <c r="K588" s="384"/>
      <c r="L588" s="470" t="s">
        <v>734</v>
      </c>
      <c r="M588" s="384"/>
      <c r="N588" s="384"/>
      <c r="O588" s="283"/>
      <c r="P588" s="385"/>
      <c r="Q588" s="385"/>
      <c r="R588" s="385"/>
      <c r="S588" s="386"/>
      <c r="T588" s="387"/>
    </row>
    <row r="589" spans="2:20" ht="15" hidden="1" customHeight="1">
      <c r="B589" s="255"/>
      <c r="C589" s="362"/>
      <c r="D589" s="363"/>
      <c r="E589" s="364"/>
      <c r="F589" s="365"/>
      <c r="G589" s="456"/>
      <c r="H589" s="269"/>
      <c r="I589" s="282"/>
      <c r="J589" s="390"/>
      <c r="K589" s="391"/>
      <c r="L589" s="391"/>
      <c r="M589" s="391"/>
      <c r="N589" s="391"/>
      <c r="O589" s="392"/>
      <c r="P589" s="393"/>
      <c r="Q589" s="381"/>
      <c r="R589" s="259"/>
      <c r="S589" s="394">
        <v>4</v>
      </c>
      <c r="T589" s="383" t="s">
        <v>37</v>
      </c>
    </row>
    <row r="590" spans="2:20" ht="15" hidden="1" customHeight="1">
      <c r="B590" s="255"/>
      <c r="C590" s="371">
        <v>100</v>
      </c>
      <c r="D590" s="1379">
        <v>300</v>
      </c>
      <c r="E590" s="1381"/>
      <c r="F590" s="372">
        <v>100</v>
      </c>
      <c r="G590" s="456"/>
      <c r="H590" s="373"/>
      <c r="I590" s="282"/>
      <c r="J590" s="357"/>
      <c r="K590" s="358"/>
      <c r="L590" s="358"/>
      <c r="M590" s="358"/>
      <c r="N590" s="358"/>
      <c r="O590" s="265"/>
      <c r="P590" s="597"/>
      <c r="Q590" s="265"/>
      <c r="R590" s="265"/>
      <c r="S590" s="266"/>
      <c r="T590" s="294"/>
    </row>
    <row r="591" spans="2:20" ht="15" hidden="1" customHeight="1">
      <c r="B591" s="376"/>
      <c r="C591" s="377"/>
      <c r="D591" s="303"/>
      <c r="E591" s="302"/>
      <c r="F591" s="378"/>
      <c r="G591" s="379"/>
      <c r="H591" s="373"/>
      <c r="I591" s="282"/>
      <c r="J591" s="380"/>
      <c r="K591" s="306"/>
      <c r="L591" s="306"/>
      <c r="M591" s="306"/>
      <c r="N591" s="306"/>
      <c r="O591" s="381"/>
      <c r="P591" s="381"/>
      <c r="Q591" s="381"/>
      <c r="R591" s="381"/>
      <c r="S591" s="382"/>
      <c r="T591" s="383"/>
    </row>
    <row r="592" spans="2:20" ht="15" hidden="1" customHeight="1">
      <c r="B592" s="255"/>
      <c r="C592" s="371">
        <v>100</v>
      </c>
      <c r="D592" s="1379">
        <v>300</v>
      </c>
      <c r="E592" s="1381"/>
      <c r="F592" s="372">
        <v>100</v>
      </c>
      <c r="G592" s="456"/>
      <c r="H592" s="373"/>
      <c r="I592" s="282"/>
      <c r="J592" s="357"/>
      <c r="K592" s="384"/>
      <c r="L592" s="384"/>
      <c r="M592" s="384"/>
      <c r="N592" s="384"/>
      <c r="O592" s="283"/>
      <c r="P592" s="385"/>
      <c r="Q592" s="385"/>
      <c r="R592" s="385"/>
      <c r="S592" s="386"/>
      <c r="T592" s="387"/>
    </row>
    <row r="593" spans="2:20" ht="15" hidden="1" customHeight="1">
      <c r="B593" s="255"/>
      <c r="C593" s="290"/>
      <c r="D593" s="388"/>
      <c r="E593" s="388"/>
      <c r="F593" s="389"/>
      <c r="G593" s="379"/>
      <c r="H593" s="373"/>
      <c r="I593" s="282"/>
      <c r="J593" s="390"/>
      <c r="K593" s="391"/>
      <c r="L593" s="391"/>
      <c r="M593" s="391"/>
      <c r="N593" s="391"/>
      <c r="O593" s="259"/>
      <c r="P593" s="350"/>
      <c r="Q593" s="381"/>
      <c r="R593" s="259"/>
      <c r="S593" s="394"/>
      <c r="T593" s="383"/>
    </row>
    <row r="594" spans="2:20" ht="15" hidden="1" customHeight="1">
      <c r="B594" s="255"/>
      <c r="C594" s="1376"/>
      <c r="D594" s="1377"/>
      <c r="E594" s="1377"/>
      <c r="F594" s="1378"/>
      <c r="G594" s="456"/>
      <c r="H594" s="269"/>
      <c r="I594" s="282"/>
      <c r="J594" s="262"/>
      <c r="K594" s="384"/>
      <c r="L594" s="264"/>
      <c r="M594" s="264"/>
      <c r="N594" s="264"/>
      <c r="O594" s="265"/>
      <c r="P594" s="265"/>
      <c r="Q594" s="329"/>
      <c r="R594" s="329"/>
      <c r="S594" s="266"/>
      <c r="T594" s="267"/>
    </row>
    <row r="595" spans="2:20" ht="15" hidden="1" customHeight="1">
      <c r="B595" s="255"/>
      <c r="C595" s="1379">
        <f>C590+D590+F590</f>
        <v>500</v>
      </c>
      <c r="D595" s="1380"/>
      <c r="E595" s="1380"/>
      <c r="F595" s="1381"/>
      <c r="G595" s="456"/>
      <c r="H595" s="456"/>
      <c r="I595" s="257"/>
      <c r="J595" s="334"/>
      <c r="K595" s="258"/>
      <c r="L595" s="258"/>
      <c r="M595" s="258"/>
      <c r="N595" s="258"/>
      <c r="O595" s="259"/>
      <c r="P595" s="381"/>
      <c r="Q595" s="259"/>
      <c r="R595" s="259"/>
      <c r="S595" s="395"/>
      <c r="T595" s="261"/>
    </row>
    <row r="596" spans="2:20" ht="15" hidden="1" customHeight="1">
      <c r="B596" s="255"/>
      <c r="C596" s="396"/>
      <c r="D596" s="388"/>
      <c r="E596" s="388"/>
      <c r="F596" s="397"/>
      <c r="G596" s="456"/>
      <c r="H596" s="269"/>
      <c r="I596" s="257"/>
      <c r="J596" s="262"/>
      <c r="K596" s="398"/>
      <c r="L596" s="398"/>
      <c r="M596" s="398"/>
      <c r="N596" s="398"/>
      <c r="O596" s="399"/>
      <c r="P596" s="400"/>
      <c r="Q596" s="399"/>
      <c r="R596" s="399"/>
      <c r="S596" s="401"/>
      <c r="T596" s="402"/>
    </row>
    <row r="597" spans="2:20" ht="15" hidden="1" customHeight="1">
      <c r="B597" s="255"/>
      <c r="C597" s="1379">
        <f>C592+D592+F592</f>
        <v>500</v>
      </c>
      <c r="D597" s="1380"/>
      <c r="E597" s="1380"/>
      <c r="F597" s="1381"/>
      <c r="G597" s="456"/>
      <c r="H597" s="456"/>
      <c r="I597" s="257"/>
      <c r="J597" s="403"/>
      <c r="K597" s="404"/>
      <c r="L597" s="404"/>
      <c r="M597" s="404"/>
      <c r="N597" s="404"/>
      <c r="O597" s="259"/>
      <c r="P597" s="405"/>
      <c r="Q597" s="405"/>
      <c r="R597" s="405"/>
      <c r="S597" s="395"/>
      <c r="T597" s="261"/>
    </row>
    <row r="598" spans="2:20" ht="15" hidden="1" customHeight="1">
      <c r="B598" s="255"/>
      <c r="C598" s="256"/>
      <c r="D598" s="456"/>
      <c r="E598" s="456"/>
      <c r="F598" s="456"/>
      <c r="G598" s="456"/>
      <c r="H598" s="456"/>
      <c r="I598" s="257"/>
      <c r="J598" s="406"/>
      <c r="K598" s="264"/>
      <c r="L598" s="264"/>
      <c r="M598" s="264"/>
      <c r="N598" s="264"/>
      <c r="O598" s="265"/>
      <c r="P598" s="265"/>
      <c r="Q598" s="329"/>
      <c r="R598" s="329"/>
      <c r="S598" s="266"/>
      <c r="T598" s="267"/>
    </row>
    <row r="599" spans="2:20" ht="15" hidden="1" customHeight="1">
      <c r="B599" s="255"/>
      <c r="C599" s="256"/>
      <c r="D599" s="456"/>
      <c r="E599" s="456"/>
      <c r="F599" s="456"/>
      <c r="G599" s="456"/>
      <c r="H599" s="456"/>
      <c r="I599" s="269"/>
      <c r="J599" s="334"/>
      <c r="K599" s="258"/>
      <c r="L599" s="258"/>
      <c r="M599" s="258"/>
      <c r="N599" s="258"/>
      <c r="O599" s="259"/>
      <c r="P599" s="381"/>
      <c r="Q599" s="259"/>
      <c r="R599" s="259"/>
      <c r="S599" s="395"/>
      <c r="T599" s="261"/>
    </row>
    <row r="600" spans="2:20" ht="15" hidden="1" customHeight="1">
      <c r="B600" s="255"/>
      <c r="C600" s="256"/>
      <c r="D600" s="456"/>
      <c r="E600" s="456"/>
      <c r="F600" s="456"/>
      <c r="G600" s="456"/>
      <c r="H600" s="456"/>
      <c r="I600" s="257"/>
      <c r="J600" s="406"/>
      <c r="K600" s="264"/>
      <c r="L600" s="264"/>
      <c r="M600" s="264"/>
      <c r="N600" s="264"/>
      <c r="O600" s="265"/>
      <c r="P600" s="265"/>
      <c r="Q600" s="329"/>
      <c r="R600" s="329"/>
      <c r="S600" s="266"/>
      <c r="T600" s="267"/>
    </row>
    <row r="601" spans="2:20" ht="15" hidden="1" customHeight="1">
      <c r="B601" s="408"/>
      <c r="C601" s="409"/>
      <c r="D601" s="350"/>
      <c r="E601" s="350"/>
      <c r="F601" s="350"/>
      <c r="G601" s="350"/>
      <c r="H601" s="350"/>
      <c r="I601" s="410"/>
      <c r="J601" s="334"/>
      <c r="K601" s="258"/>
      <c r="L601" s="258"/>
      <c r="M601" s="258"/>
      <c r="N601" s="258"/>
      <c r="O601" s="259"/>
      <c r="P601" s="381"/>
      <c r="Q601" s="259"/>
      <c r="R601" s="259"/>
      <c r="S601" s="395"/>
      <c r="T601" s="261"/>
    </row>
    <row r="602" spans="2:20" ht="24.95" hidden="1" customHeight="1">
      <c r="B602" s="468" t="s">
        <v>752</v>
      </c>
      <c r="C602" s="1383" t="s">
        <v>749</v>
      </c>
      <c r="D602" s="1423"/>
      <c r="E602" s="1423"/>
      <c r="F602" s="1423"/>
      <c r="G602" s="1423"/>
      <c r="H602" s="1424"/>
      <c r="I602" s="1400" t="s">
        <v>757</v>
      </c>
      <c r="J602" s="1419"/>
      <c r="K602" s="1420"/>
      <c r="L602" s="1384"/>
      <c r="M602" s="1384"/>
      <c r="N602" s="1384"/>
      <c r="O602" s="1384"/>
      <c r="P602" s="1384"/>
      <c r="Q602" s="1384"/>
      <c r="R602" s="1384"/>
      <c r="S602" s="1384"/>
      <c r="T602" s="1385"/>
    </row>
    <row r="603" spans="2:20" ht="15" hidden="1" customHeight="1">
      <c r="B603" s="255"/>
      <c r="C603" s="256"/>
      <c r="D603" s="456"/>
      <c r="E603" s="456"/>
      <c r="F603" s="456"/>
      <c r="G603" s="456"/>
      <c r="H603" s="456"/>
      <c r="I603" s="257"/>
      <c r="J603" s="258"/>
      <c r="K603" s="258"/>
      <c r="L603" s="258" t="s">
        <v>39</v>
      </c>
      <c r="M603" s="258" t="s">
        <v>40</v>
      </c>
      <c r="N603" s="258" t="s">
        <v>41</v>
      </c>
      <c r="O603" s="259" t="s">
        <v>42</v>
      </c>
      <c r="P603" s="259" t="s">
        <v>43</v>
      </c>
      <c r="Q603" s="259"/>
      <c r="R603" s="259"/>
      <c r="S603" s="260" t="s">
        <v>44</v>
      </c>
      <c r="T603" s="261"/>
    </row>
    <row r="604" spans="2:20" ht="15" hidden="1" customHeight="1">
      <c r="B604" s="255"/>
      <c r="C604" s="256"/>
      <c r="D604" s="456"/>
      <c r="E604" s="456"/>
      <c r="F604" s="456"/>
      <c r="G604" s="456"/>
      <c r="H604" s="456"/>
      <c r="I604" s="257"/>
      <c r="J604" s="262" t="s">
        <v>45</v>
      </c>
      <c r="K604" s="263"/>
      <c r="L604" s="263" t="s">
        <v>46</v>
      </c>
      <c r="M604" s="264"/>
      <c r="N604" s="264"/>
      <c r="P604" s="265"/>
      <c r="Q604" s="265"/>
      <c r="R604" s="265"/>
      <c r="S604" s="266"/>
      <c r="T604" s="267"/>
    </row>
    <row r="605" spans="2:20" ht="15" hidden="1" customHeight="1">
      <c r="B605" s="255"/>
      <c r="C605" s="1377">
        <f>C627+(0.3*(H616)*2)</f>
        <v>1030</v>
      </c>
      <c r="D605" s="1377"/>
      <c r="E605" s="1377"/>
      <c r="F605" s="1377"/>
      <c r="G605" s="268"/>
      <c r="H605" s="269"/>
      <c r="I605" s="257"/>
      <c r="J605" s="270" t="s">
        <v>47</v>
      </c>
      <c r="K605" s="271">
        <f>C605/1000</f>
        <v>1.03</v>
      </c>
      <c r="L605" s="271"/>
      <c r="M605" s="271"/>
      <c r="N605" s="272" t="s">
        <v>48</v>
      </c>
      <c r="O605" s="273">
        <f>C627/1000</f>
        <v>0.85</v>
      </c>
      <c r="P605" s="274"/>
      <c r="Q605" s="275" t="s">
        <v>49</v>
      </c>
      <c r="R605" s="276">
        <f>(H616)/1000</f>
        <v>0.3</v>
      </c>
      <c r="S605" s="277"/>
      <c r="T605" s="278"/>
    </row>
    <row r="606" spans="2:20" ht="15" hidden="1" customHeight="1">
      <c r="B606" s="255"/>
      <c r="C606" s="279"/>
      <c r="D606" s="280"/>
      <c r="E606" s="280"/>
      <c r="F606" s="281"/>
      <c r="G606" s="268"/>
      <c r="H606" s="269"/>
      <c r="I606" s="282"/>
      <c r="J606" s="270" t="s">
        <v>50</v>
      </c>
      <c r="K606" s="271">
        <f>C607/1000</f>
        <v>0.73</v>
      </c>
      <c r="L606" s="271"/>
      <c r="M606" s="271"/>
      <c r="N606" s="272" t="s">
        <v>51</v>
      </c>
      <c r="O606" s="273">
        <f>C629/1000</f>
        <v>0.55000000000000004</v>
      </c>
      <c r="P606" s="274"/>
      <c r="Q606" s="254"/>
      <c r="R606" s="283"/>
      <c r="S606" s="284"/>
      <c r="T606" s="278"/>
    </row>
    <row r="607" spans="2:20" ht="15" hidden="1" customHeight="1">
      <c r="B607" s="255"/>
      <c r="C607" s="1379">
        <f>C629+(0.3*(H616)*2)</f>
        <v>730</v>
      </c>
      <c r="D607" s="1380"/>
      <c r="E607" s="1380"/>
      <c r="F607" s="1381"/>
      <c r="G607" s="268"/>
      <c r="H607" s="269"/>
      <c r="I607" s="282"/>
      <c r="J607" s="285" t="s">
        <v>52</v>
      </c>
      <c r="K607" s="286"/>
      <c r="L607" s="286"/>
      <c r="M607" s="286"/>
      <c r="N607" s="286"/>
      <c r="O607" s="287"/>
      <c r="P607" s="286"/>
      <c r="Q607" s="259"/>
      <c r="R607" s="259"/>
      <c r="S607" s="288">
        <f>ROUNDDOWN(R605/6*((2*K605+O605)*K606+(2*O605+K605)*O606),2)</f>
        <v>0.18</v>
      </c>
      <c r="T607" s="289" t="s">
        <v>178</v>
      </c>
    </row>
    <row r="608" spans="2:20" ht="15" hidden="1" customHeight="1">
      <c r="B608" s="255"/>
      <c r="C608" s="290"/>
      <c r="D608" s="291"/>
      <c r="E608" s="291"/>
      <c r="F608" s="281"/>
      <c r="G608" s="268"/>
      <c r="H608" s="269"/>
      <c r="I608" s="282"/>
      <c r="J608" s="262" t="s">
        <v>53</v>
      </c>
      <c r="K608" s="292"/>
      <c r="L608" s="292" t="s">
        <v>54</v>
      </c>
      <c r="M608" s="293"/>
      <c r="N608" s="293"/>
      <c r="O608" s="293"/>
      <c r="P608" s="292"/>
      <c r="Q608" s="263"/>
      <c r="R608" s="263"/>
      <c r="S608" s="266"/>
      <c r="T608" s="294"/>
    </row>
    <row r="609" spans="2:20" ht="15" hidden="1" customHeight="1">
      <c r="B609" s="255"/>
      <c r="C609" s="295"/>
      <c r="D609" s="1386">
        <v>650</v>
      </c>
      <c r="E609" s="1387"/>
      <c r="F609" s="296"/>
      <c r="G609" s="268"/>
      <c r="H609" s="269"/>
      <c r="I609" s="282"/>
      <c r="J609" s="270" t="s">
        <v>47</v>
      </c>
      <c r="K609" s="542">
        <f>D609/1000</f>
        <v>0.65</v>
      </c>
      <c r="L609" s="271"/>
      <c r="M609" s="271"/>
      <c r="N609" s="272" t="s">
        <v>48</v>
      </c>
      <c r="O609" s="271">
        <f>D624/1000</f>
        <v>0.35</v>
      </c>
      <c r="P609" s="274"/>
      <c r="Q609" s="275" t="s">
        <v>49</v>
      </c>
      <c r="R609" s="276">
        <f>H616/1000</f>
        <v>0.3</v>
      </c>
      <c r="S609" s="557">
        <f>ROUNDDOWN(K609*O609*R609,2)</f>
        <v>0.06</v>
      </c>
      <c r="T609" s="298" t="s">
        <v>55</v>
      </c>
    </row>
    <row r="610" spans="2:20" ht="15" hidden="1" customHeight="1">
      <c r="B610" s="255"/>
      <c r="C610" s="299"/>
      <c r="D610" s="300"/>
      <c r="E610" s="301"/>
      <c r="F610" s="302"/>
      <c r="G610" s="456"/>
      <c r="H610" s="269"/>
      <c r="I610" s="282"/>
      <c r="J610" s="270"/>
      <c r="K610" s="271"/>
      <c r="L610" s="271"/>
      <c r="M610" s="271"/>
      <c r="N610" s="272"/>
      <c r="O610" s="271"/>
      <c r="P610" s="274"/>
      <c r="Q610" s="275"/>
      <c r="R610" s="276"/>
      <c r="S610" s="297"/>
      <c r="T610" s="298"/>
    </row>
    <row r="611" spans="2:20" ht="15" hidden="1" customHeight="1">
      <c r="B611" s="255"/>
      <c r="C611" s="299"/>
      <c r="D611" s="303"/>
      <c r="E611" s="302"/>
      <c r="F611" s="302"/>
      <c r="G611" s="456"/>
      <c r="H611" s="269"/>
      <c r="I611" s="282"/>
      <c r="J611" s="270"/>
      <c r="K611" s="271"/>
      <c r="L611" s="271"/>
      <c r="M611" s="271"/>
      <c r="N611" s="272"/>
      <c r="O611" s="271"/>
      <c r="P611" s="274"/>
      <c r="Q611" s="275"/>
      <c r="R611" s="276"/>
      <c r="S611" s="297"/>
      <c r="T611" s="541"/>
    </row>
    <row r="612" spans="2:20" ht="15" hidden="1" customHeight="1">
      <c r="B612" s="255"/>
      <c r="C612" s="299"/>
      <c r="D612" s="303"/>
      <c r="E612" s="302"/>
      <c r="F612" s="302"/>
      <c r="G612" s="456"/>
      <c r="H612" s="269"/>
      <c r="I612" s="282"/>
      <c r="J612" s="270"/>
      <c r="K612" s="271"/>
      <c r="L612" s="271"/>
      <c r="M612" s="271"/>
      <c r="N612" s="304"/>
      <c r="O612" s="271"/>
      <c r="P612" s="274"/>
      <c r="Q612" s="275"/>
      <c r="R612" s="276"/>
      <c r="S612" s="297"/>
      <c r="T612" s="298"/>
    </row>
    <row r="613" spans="2:20" ht="15" hidden="1" customHeight="1">
      <c r="B613" s="255"/>
      <c r="C613" s="299"/>
      <c r="D613" s="303"/>
      <c r="E613" s="302"/>
      <c r="F613" s="302"/>
      <c r="G613" s="456"/>
      <c r="H613" s="305"/>
      <c r="I613" s="282"/>
      <c r="J613" s="285" t="s">
        <v>57</v>
      </c>
      <c r="K613" s="286"/>
      <c r="L613" s="286"/>
      <c r="M613" s="286"/>
      <c r="N613" s="286"/>
      <c r="O613" s="287"/>
      <c r="P613" s="286"/>
      <c r="Q613" s="306"/>
      <c r="R613" s="307"/>
      <c r="S613" s="288">
        <f>SUM(S609:S612)</f>
        <v>0.06</v>
      </c>
      <c r="T613" s="289" t="s">
        <v>178</v>
      </c>
    </row>
    <row r="614" spans="2:20" ht="15" hidden="1" customHeight="1">
      <c r="B614" s="255"/>
      <c r="C614" s="299"/>
      <c r="D614" s="303"/>
      <c r="E614" s="302"/>
      <c r="F614" s="302"/>
      <c r="G614" s="456"/>
      <c r="H614" s="269"/>
      <c r="I614" s="308"/>
      <c r="J614" s="262" t="s">
        <v>58</v>
      </c>
      <c r="K614" s="293"/>
      <c r="L614" s="309" t="s">
        <v>334</v>
      </c>
      <c r="M614" s="309" t="s">
        <v>335</v>
      </c>
      <c r="N614" s="310" t="s">
        <v>336</v>
      </c>
      <c r="O614" s="311"/>
      <c r="P614" s="309"/>
      <c r="Q614" s="312"/>
      <c r="R614" s="312"/>
      <c r="S614" s="313"/>
      <c r="T614" s="294"/>
    </row>
    <row r="615" spans="2:20" ht="15" hidden="1" customHeight="1" thickBot="1">
      <c r="B615" s="314"/>
      <c r="C615" s="1388"/>
      <c r="D615" s="1388"/>
      <c r="E615" s="1388"/>
      <c r="F615" s="1388"/>
      <c r="G615" s="315"/>
      <c r="H615" s="315"/>
      <c r="I615" s="316"/>
      <c r="J615" s="317"/>
      <c r="K615" s="318"/>
      <c r="L615" s="318" t="s">
        <v>334</v>
      </c>
      <c r="M615" s="318">
        <f>S607</f>
        <v>0.18</v>
      </c>
      <c r="N615" s="318" t="s">
        <v>337</v>
      </c>
      <c r="O615" s="319">
        <f>S617</f>
        <v>0.06</v>
      </c>
      <c r="P615" s="320"/>
      <c r="Q615" s="321"/>
      <c r="R615" s="322"/>
      <c r="S615" s="323">
        <f>ROUNDDOWN(M615-O615,2)</f>
        <v>0.12</v>
      </c>
      <c r="T615" s="289" t="s">
        <v>178</v>
      </c>
    </row>
    <row r="616" spans="2:20" ht="15" hidden="1" customHeight="1">
      <c r="B616" s="255"/>
      <c r="C616" s="324"/>
      <c r="D616" s="457"/>
      <c r="E616" s="325"/>
      <c r="F616" s="326"/>
      <c r="G616" s="327"/>
      <c r="H616" s="1389">
        <v>300</v>
      </c>
      <c r="I616" s="1392">
        <f>H613+H615+H616</f>
        <v>300</v>
      </c>
      <c r="J616" s="262" t="s">
        <v>338</v>
      </c>
      <c r="K616" s="293"/>
      <c r="L616" s="293" t="s">
        <v>339</v>
      </c>
      <c r="M616" s="309"/>
      <c r="N616" s="310" t="s">
        <v>340</v>
      </c>
      <c r="O616" s="293"/>
      <c r="P616" s="293"/>
      <c r="Q616" s="328"/>
      <c r="R616" s="329"/>
      <c r="S616" s="266"/>
      <c r="T616" s="294"/>
    </row>
    <row r="617" spans="2:20" ht="15" hidden="1" customHeight="1">
      <c r="B617" s="330"/>
      <c r="C617" s="324"/>
      <c r="D617" s="331"/>
      <c r="E617" s="332"/>
      <c r="F617" s="326"/>
      <c r="G617" s="333"/>
      <c r="H617" s="1390"/>
      <c r="I617" s="1387"/>
      <c r="J617" s="334"/>
      <c r="K617" s="335"/>
      <c r="L617" s="336" t="s">
        <v>339</v>
      </c>
      <c r="M617" s="335"/>
      <c r="N617" s="335"/>
      <c r="O617" s="286">
        <f>S609</f>
        <v>0.06</v>
      </c>
      <c r="P617" s="286"/>
      <c r="Q617" s="286"/>
      <c r="R617" s="259"/>
      <c r="S617" s="323">
        <f>ROUNDDOWN(O617+Q617,2)</f>
        <v>0.06</v>
      </c>
      <c r="T617" s="337" t="s">
        <v>178</v>
      </c>
    </row>
    <row r="618" spans="2:20" ht="15" hidden="1" customHeight="1">
      <c r="B618" s="255"/>
      <c r="C618" s="324"/>
      <c r="D618" s="331"/>
      <c r="E618" s="332"/>
      <c r="F618" s="326"/>
      <c r="G618" s="333"/>
      <c r="H618" s="1390"/>
      <c r="I618" s="1387"/>
      <c r="J618" s="467" t="s">
        <v>584</v>
      </c>
      <c r="K618" s="293"/>
      <c r="L618" s="293"/>
      <c r="M618" s="293"/>
      <c r="N618" s="293"/>
      <c r="O618" s="339"/>
      <c r="P618" s="340"/>
      <c r="Q618" s="329"/>
      <c r="R618" s="341"/>
      <c r="S618" s="266"/>
      <c r="T618" s="294"/>
    </row>
    <row r="619" spans="2:20" ht="15" hidden="1" customHeight="1">
      <c r="B619" s="255"/>
      <c r="C619" s="324"/>
      <c r="D619" s="331"/>
      <c r="E619" s="332"/>
      <c r="F619" s="326"/>
      <c r="G619" s="333"/>
      <c r="H619" s="1390"/>
      <c r="I619" s="1387"/>
      <c r="J619" s="645" t="s">
        <v>341</v>
      </c>
      <c r="K619" s="343">
        <f>D609/1000</f>
        <v>0.65</v>
      </c>
      <c r="L619" s="646" t="s">
        <v>59</v>
      </c>
      <c r="M619" s="647">
        <f>D624/1000</f>
        <v>0.35</v>
      </c>
      <c r="N619" s="648" t="s">
        <v>137</v>
      </c>
      <c r="O619" s="347" t="s">
        <v>342</v>
      </c>
      <c r="P619" s="649">
        <f>I616/1000</f>
        <v>0.3</v>
      </c>
      <c r="Q619" s="650" t="s">
        <v>343</v>
      </c>
      <c r="R619" s="456">
        <v>4</v>
      </c>
      <c r="S619" s="651">
        <f>((K619+M619)/2)*P619*R619</f>
        <v>0.6</v>
      </c>
      <c r="T619" s="337" t="s">
        <v>344</v>
      </c>
    </row>
    <row r="620" spans="2:20" ht="15" hidden="1" customHeight="1" thickBot="1">
      <c r="B620" s="255"/>
      <c r="C620" s="352"/>
      <c r="D620" s="353"/>
      <c r="E620" s="354"/>
      <c r="F620" s="355"/>
      <c r="G620" s="356"/>
      <c r="H620" s="1391"/>
      <c r="I620" s="1387"/>
      <c r="J620" s="357" t="s">
        <v>345</v>
      </c>
      <c r="K620" s="264"/>
      <c r="L620" s="652" t="s">
        <v>734</v>
      </c>
      <c r="M620" s="264"/>
      <c r="N620" s="264"/>
      <c r="O620" s="265"/>
      <c r="P620" s="329"/>
      <c r="Q620" s="329"/>
      <c r="R620" s="329"/>
      <c r="S620" s="386"/>
      <c r="T620" s="387"/>
    </row>
    <row r="621" spans="2:20" ht="15" hidden="1" customHeight="1">
      <c r="B621" s="255"/>
      <c r="C621" s="362"/>
      <c r="D621" s="363"/>
      <c r="E621" s="364"/>
      <c r="F621" s="365"/>
      <c r="G621" s="456"/>
      <c r="H621" s="269"/>
      <c r="I621" s="282"/>
      <c r="J621" s="390"/>
      <c r="K621" s="391"/>
      <c r="L621" s="391"/>
      <c r="M621" s="391"/>
      <c r="N621" s="391"/>
      <c r="O621" s="392"/>
      <c r="P621" s="393"/>
      <c r="Q621" s="381"/>
      <c r="R621" s="259"/>
      <c r="S621" s="394">
        <v>4</v>
      </c>
      <c r="T621" s="383" t="s">
        <v>37</v>
      </c>
    </row>
    <row r="622" spans="2:20" ht="15" hidden="1" customHeight="1">
      <c r="B622" s="255"/>
      <c r="C622" s="371">
        <v>100</v>
      </c>
      <c r="D622" s="1379">
        <v>650</v>
      </c>
      <c r="E622" s="1381"/>
      <c r="F622" s="372">
        <v>100</v>
      </c>
      <c r="G622" s="268"/>
      <c r="H622" s="373"/>
      <c r="I622" s="282"/>
      <c r="J622" s="357"/>
      <c r="K622" s="358"/>
      <c r="L622" s="358"/>
      <c r="M622" s="358"/>
      <c r="N622" s="358"/>
      <c r="O622" s="374"/>
      <c r="P622" s="375"/>
      <c r="Q622" s="374"/>
      <c r="R622" s="265"/>
      <c r="S622" s="266"/>
      <c r="T622" s="294"/>
    </row>
    <row r="623" spans="2:20" ht="15" hidden="1" customHeight="1">
      <c r="B623" s="376"/>
      <c r="C623" s="377"/>
      <c r="D623" s="303"/>
      <c r="E623" s="302"/>
      <c r="F623" s="378"/>
      <c r="G623" s="379"/>
      <c r="H623" s="373"/>
      <c r="I623" s="282"/>
      <c r="J623" s="380"/>
      <c r="K623" s="306"/>
      <c r="L623" s="306"/>
      <c r="M623" s="306"/>
      <c r="N623" s="306"/>
      <c r="O623" s="381"/>
      <c r="P623" s="381"/>
      <c r="Q623" s="381"/>
      <c r="R623" s="381"/>
      <c r="S623" s="382"/>
      <c r="T623" s="383"/>
    </row>
    <row r="624" spans="2:20" ht="15" hidden="1" customHeight="1">
      <c r="B624" s="255"/>
      <c r="C624" s="371">
        <v>100</v>
      </c>
      <c r="D624" s="1379">
        <v>350</v>
      </c>
      <c r="E624" s="1381"/>
      <c r="F624" s="372">
        <v>100</v>
      </c>
      <c r="G624" s="268"/>
      <c r="H624" s="373"/>
      <c r="I624" s="282"/>
      <c r="J624" s="357"/>
      <c r="K624" s="384"/>
      <c r="L624" s="470"/>
      <c r="M624" s="384"/>
      <c r="N624" s="384"/>
      <c r="O624" s="283"/>
      <c r="P624" s="385"/>
      <c r="Q624" s="385"/>
      <c r="R624" s="385"/>
      <c r="S624" s="386"/>
      <c r="T624" s="387"/>
    </row>
    <row r="625" spans="2:20" ht="15" hidden="1" customHeight="1">
      <c r="B625" s="255"/>
      <c r="C625" s="290"/>
      <c r="D625" s="388"/>
      <c r="E625" s="388"/>
      <c r="F625" s="389"/>
      <c r="G625" s="379"/>
      <c r="H625" s="373"/>
      <c r="I625" s="282"/>
      <c r="J625" s="390"/>
      <c r="K625" s="391"/>
      <c r="L625" s="391"/>
      <c r="M625" s="391"/>
      <c r="N625" s="391"/>
      <c r="O625" s="392"/>
      <c r="P625" s="393"/>
      <c r="Q625" s="381"/>
      <c r="R625" s="259"/>
      <c r="S625" s="394"/>
      <c r="T625" s="383"/>
    </row>
    <row r="626" spans="2:20" ht="15" hidden="1" customHeight="1">
      <c r="B626" s="255"/>
      <c r="C626" s="1376"/>
      <c r="D626" s="1377"/>
      <c r="E626" s="1377"/>
      <c r="F626" s="1378"/>
      <c r="G626" s="268"/>
      <c r="H626" s="269"/>
      <c r="I626" s="282"/>
      <c r="J626" s="476" t="s">
        <v>760</v>
      </c>
      <c r="K626" s="384"/>
      <c r="L626" s="384" t="s">
        <v>526</v>
      </c>
      <c r="M626" s="264"/>
      <c r="N626" s="264"/>
      <c r="O626" s="265"/>
      <c r="P626" s="265"/>
      <c r="Q626" s="329"/>
      <c r="R626" s="329"/>
      <c r="S626" s="266"/>
      <c r="T626" s="267"/>
    </row>
    <row r="627" spans="2:20" ht="15" hidden="1" customHeight="1">
      <c r="B627" s="255"/>
      <c r="C627" s="1379">
        <f>C622+D622+F622</f>
        <v>850</v>
      </c>
      <c r="D627" s="1380"/>
      <c r="E627" s="1380"/>
      <c r="F627" s="1381"/>
      <c r="G627" s="268"/>
      <c r="H627" s="456"/>
      <c r="I627" s="257"/>
      <c r="J627" s="334"/>
      <c r="K627" s="258"/>
      <c r="L627" s="258"/>
      <c r="M627" s="258"/>
      <c r="N627" s="258"/>
      <c r="O627" s="259">
        <v>1</v>
      </c>
      <c r="P627" s="381"/>
      <c r="Q627" s="259"/>
      <c r="R627" s="259"/>
      <c r="S627" s="395">
        <f>O627</f>
        <v>1</v>
      </c>
      <c r="T627" s="261" t="s">
        <v>36</v>
      </c>
    </row>
    <row r="628" spans="2:20" ht="15" hidden="1" customHeight="1">
      <c r="B628" s="255"/>
      <c r="C628" s="396"/>
      <c r="D628" s="388"/>
      <c r="E628" s="388"/>
      <c r="F628" s="397"/>
      <c r="G628" s="268"/>
      <c r="H628" s="269"/>
      <c r="I628" s="257"/>
      <c r="J628" s="262"/>
      <c r="K628" s="398"/>
      <c r="L628" s="398"/>
      <c r="M628" s="398"/>
      <c r="N628" s="398"/>
      <c r="O628" s="399"/>
      <c r="P628" s="400"/>
      <c r="Q628" s="399"/>
      <c r="R628" s="399"/>
      <c r="S628" s="401"/>
      <c r="T628" s="402"/>
    </row>
    <row r="629" spans="2:20" ht="15" hidden="1" customHeight="1">
      <c r="B629" s="255"/>
      <c r="C629" s="1379">
        <f>C624+D624+F624</f>
        <v>550</v>
      </c>
      <c r="D629" s="1380"/>
      <c r="E629" s="1380"/>
      <c r="F629" s="1381"/>
      <c r="G629" s="268"/>
      <c r="H629" s="456"/>
      <c r="I629" s="257"/>
      <c r="J629" s="403"/>
      <c r="K629" s="404"/>
      <c r="L629" s="404"/>
      <c r="M629" s="404"/>
      <c r="N629" s="404"/>
      <c r="O629" s="259"/>
      <c r="P629" s="405"/>
      <c r="Q629" s="405"/>
      <c r="R629" s="405"/>
      <c r="S629" s="395"/>
      <c r="T629" s="261"/>
    </row>
    <row r="630" spans="2:20" ht="15" hidden="1" customHeight="1">
      <c r="B630" s="255"/>
      <c r="C630" s="256"/>
      <c r="D630" s="456"/>
      <c r="E630" s="456"/>
      <c r="F630" s="456"/>
      <c r="G630" s="456"/>
      <c r="H630" s="456"/>
      <c r="I630" s="257"/>
      <c r="J630" s="406"/>
      <c r="K630" s="264"/>
      <c r="L630" s="264"/>
      <c r="M630" s="264"/>
      <c r="N630" s="264"/>
      <c r="O630" s="265"/>
      <c r="P630" s="265"/>
      <c r="Q630" s="329"/>
      <c r="R630" s="329"/>
      <c r="S630" s="266"/>
      <c r="T630" s="267"/>
    </row>
    <row r="631" spans="2:20" ht="15" hidden="1" customHeight="1">
      <c r="B631" s="255"/>
      <c r="C631" s="256"/>
      <c r="D631" s="456"/>
      <c r="E631" s="456"/>
      <c r="F631" s="456"/>
      <c r="G631" s="456"/>
      <c r="H631" s="456"/>
      <c r="I631" s="269"/>
      <c r="J631" s="334"/>
      <c r="K631" s="258"/>
      <c r="L631" s="258"/>
      <c r="M631" s="258"/>
      <c r="N631" s="258"/>
      <c r="O631" s="259"/>
      <c r="P631" s="381"/>
      <c r="Q631" s="259"/>
      <c r="R631" s="259"/>
      <c r="S631" s="395"/>
      <c r="T631" s="261"/>
    </row>
    <row r="632" spans="2:20" ht="15" hidden="1" customHeight="1">
      <c r="B632" s="255"/>
      <c r="C632" s="256"/>
      <c r="D632" s="456"/>
      <c r="E632" s="456"/>
      <c r="F632" s="456"/>
      <c r="G632" s="456"/>
      <c r="H632" s="456"/>
      <c r="I632" s="257"/>
      <c r="J632" s="262"/>
      <c r="K632" s="407"/>
      <c r="L632" s="407"/>
      <c r="M632" s="407"/>
      <c r="N632" s="407"/>
      <c r="O632" s="265"/>
      <c r="P632" s="265"/>
      <c r="Q632" s="265"/>
      <c r="R632" s="265"/>
      <c r="S632" s="266"/>
      <c r="T632" s="267"/>
    </row>
    <row r="633" spans="2:20" ht="15" hidden="1" customHeight="1">
      <c r="B633" s="408"/>
      <c r="C633" s="409"/>
      <c r="D633" s="350"/>
      <c r="E633" s="350"/>
      <c r="F633" s="350"/>
      <c r="G633" s="350"/>
      <c r="H633" s="350"/>
      <c r="I633" s="410"/>
      <c r="J633" s="334"/>
      <c r="K633" s="258"/>
      <c r="L633" s="258"/>
      <c r="M633" s="258"/>
      <c r="N633" s="258"/>
      <c r="O633" s="259"/>
      <c r="P633" s="259"/>
      <c r="Q633" s="259"/>
      <c r="R633" s="411"/>
      <c r="S633" s="395"/>
      <c r="T633" s="261"/>
    </row>
    <row r="634" spans="2:20" ht="24.95" hidden="1" customHeight="1">
      <c r="B634" s="468" t="s">
        <v>750</v>
      </c>
      <c r="C634" s="1383" t="s">
        <v>738</v>
      </c>
      <c r="D634" s="1423"/>
      <c r="E634" s="1423"/>
      <c r="F634" s="1423"/>
      <c r="G634" s="1423"/>
      <c r="H634" s="1424"/>
      <c r="I634" s="1400" t="s">
        <v>744</v>
      </c>
      <c r="J634" s="1419"/>
      <c r="K634" s="1420"/>
      <c r="L634" s="1384"/>
      <c r="M634" s="1384"/>
      <c r="N634" s="1384"/>
      <c r="O634" s="1384"/>
      <c r="P634" s="1384"/>
      <c r="Q634" s="1384"/>
      <c r="R634" s="1384"/>
      <c r="S634" s="1384"/>
      <c r="T634" s="1385"/>
    </row>
    <row r="635" spans="2:20" ht="15" hidden="1" customHeight="1">
      <c r="B635" s="255"/>
      <c r="C635" s="256"/>
      <c r="D635" s="456"/>
      <c r="E635" s="456"/>
      <c r="F635" s="456"/>
      <c r="G635" s="456"/>
      <c r="H635" s="456"/>
      <c r="I635" s="257"/>
      <c r="J635" s="258"/>
      <c r="K635" s="258"/>
      <c r="L635" s="258" t="s">
        <v>39</v>
      </c>
      <c r="M635" s="258" t="s">
        <v>40</v>
      </c>
      <c r="N635" s="258" t="s">
        <v>41</v>
      </c>
      <c r="O635" s="259" t="s">
        <v>42</v>
      </c>
      <c r="P635" s="259" t="s">
        <v>43</v>
      </c>
      <c r="Q635" s="259"/>
      <c r="R635" s="259"/>
      <c r="S635" s="260" t="s">
        <v>44</v>
      </c>
      <c r="T635" s="261"/>
    </row>
    <row r="636" spans="2:20" ht="15" hidden="1" customHeight="1">
      <c r="B636" s="255"/>
      <c r="C636" s="256"/>
      <c r="D636" s="456"/>
      <c r="E636" s="456"/>
      <c r="F636" s="456"/>
      <c r="G636" s="456"/>
      <c r="H636" s="456"/>
      <c r="I636" s="257"/>
      <c r="J636" s="262" t="s">
        <v>45</v>
      </c>
      <c r="K636" s="263"/>
      <c r="L636" s="263" t="s">
        <v>46</v>
      </c>
      <c r="M636" s="264"/>
      <c r="N636" s="264"/>
      <c r="P636" s="265"/>
      <c r="Q636" s="265"/>
      <c r="R636" s="265"/>
      <c r="S636" s="266"/>
      <c r="T636" s="267"/>
    </row>
    <row r="637" spans="2:20" ht="15" hidden="1" customHeight="1">
      <c r="B637" s="255"/>
      <c r="C637" s="1377">
        <f>C659+(0.3*(H648)*2)</f>
        <v>580</v>
      </c>
      <c r="D637" s="1377"/>
      <c r="E637" s="1377"/>
      <c r="F637" s="1377"/>
      <c r="G637" s="268"/>
      <c r="H637" s="269"/>
      <c r="I637" s="257"/>
      <c r="J637" s="270" t="s">
        <v>47</v>
      </c>
      <c r="K637" s="271">
        <f>C637/1000</f>
        <v>0.57999999999999996</v>
      </c>
      <c r="L637" s="271"/>
      <c r="M637" s="271"/>
      <c r="N637" s="272" t="s">
        <v>48</v>
      </c>
      <c r="O637" s="273">
        <f>C659/1000</f>
        <v>0.4</v>
      </c>
      <c r="P637" s="274"/>
      <c r="Q637" s="275" t="s">
        <v>49</v>
      </c>
      <c r="R637" s="276">
        <f>(H648)/1000</f>
        <v>0.3</v>
      </c>
      <c r="S637" s="277"/>
      <c r="T637" s="278"/>
    </row>
    <row r="638" spans="2:20" ht="15" hidden="1" customHeight="1">
      <c r="B638" s="255"/>
      <c r="C638" s="279"/>
      <c r="D638" s="280"/>
      <c r="E638" s="280"/>
      <c r="F638" s="281"/>
      <c r="G638" s="268"/>
      <c r="H638" s="269"/>
      <c r="I638" s="282"/>
      <c r="J638" s="270" t="s">
        <v>50</v>
      </c>
      <c r="K638" s="271">
        <f>C639/1000</f>
        <v>0.57999999999999996</v>
      </c>
      <c r="L638" s="271"/>
      <c r="M638" s="271"/>
      <c r="N638" s="272" t="s">
        <v>51</v>
      </c>
      <c r="O638" s="273">
        <f>C661/1000</f>
        <v>0.4</v>
      </c>
      <c r="P638" s="274"/>
      <c r="Q638" s="254"/>
      <c r="R638" s="283"/>
      <c r="S638" s="284"/>
      <c r="T638" s="278"/>
    </row>
    <row r="639" spans="2:20" ht="15" hidden="1" customHeight="1">
      <c r="B639" s="255"/>
      <c r="C639" s="1379">
        <f>C661+(0.3*(H648)*2)</f>
        <v>580</v>
      </c>
      <c r="D639" s="1380"/>
      <c r="E639" s="1380"/>
      <c r="F639" s="1381"/>
      <c r="G639" s="268"/>
      <c r="H639" s="269"/>
      <c r="I639" s="282"/>
      <c r="J639" s="285" t="s">
        <v>52</v>
      </c>
      <c r="K639" s="286"/>
      <c r="L639" s="286"/>
      <c r="M639" s="286"/>
      <c r="N639" s="286"/>
      <c r="O639" s="287"/>
      <c r="P639" s="286"/>
      <c r="Q639" s="259"/>
      <c r="R639" s="259"/>
      <c r="S639" s="288">
        <f>ROUNDDOWN(R637/6*((2*K637+O637)*K638+(2*O637+K637)*O638),2)</f>
        <v>7.0000000000000007E-2</v>
      </c>
      <c r="T639" s="289" t="s">
        <v>178</v>
      </c>
    </row>
    <row r="640" spans="2:20" ht="15" hidden="1" customHeight="1">
      <c r="B640" s="255"/>
      <c r="C640" s="290"/>
      <c r="D640" s="291"/>
      <c r="E640" s="291"/>
      <c r="F640" s="281"/>
      <c r="G640" s="268"/>
      <c r="H640" s="269"/>
      <c r="I640" s="282"/>
      <c r="J640" s="262" t="s">
        <v>53</v>
      </c>
      <c r="K640" s="292"/>
      <c r="L640" s="292" t="s">
        <v>54</v>
      </c>
      <c r="M640" s="293"/>
      <c r="N640" s="293"/>
      <c r="O640" s="293"/>
      <c r="P640" s="292"/>
      <c r="Q640" s="263"/>
      <c r="R640" s="263"/>
      <c r="S640" s="266"/>
      <c r="T640" s="294"/>
    </row>
    <row r="641" spans="2:20" ht="15" hidden="1" customHeight="1">
      <c r="B641" s="255"/>
      <c r="C641" s="295"/>
      <c r="D641" s="1386">
        <v>200</v>
      </c>
      <c r="E641" s="1387"/>
      <c r="F641" s="296"/>
      <c r="G641" s="268"/>
      <c r="H641" s="269"/>
      <c r="I641" s="282"/>
      <c r="J641" s="270" t="s">
        <v>47</v>
      </c>
      <c r="K641" s="542">
        <f>D641/1000</f>
        <v>0.2</v>
      </c>
      <c r="L641" s="271"/>
      <c r="M641" s="271"/>
      <c r="N641" s="272" t="s">
        <v>48</v>
      </c>
      <c r="O641" s="271">
        <f>D656/1000</f>
        <v>0.2</v>
      </c>
      <c r="P641" s="274"/>
      <c r="Q641" s="275" t="s">
        <v>49</v>
      </c>
      <c r="R641" s="276">
        <f>H648/1000</f>
        <v>0.3</v>
      </c>
      <c r="S641" s="297">
        <f>ROUNDDOWN(K641*O641*R641,2)</f>
        <v>0.01</v>
      </c>
      <c r="T641" s="298" t="s">
        <v>55</v>
      </c>
    </row>
    <row r="642" spans="2:20" ht="15" hidden="1" customHeight="1">
      <c r="B642" s="255"/>
      <c r="C642" s="299"/>
      <c r="D642" s="300"/>
      <c r="E642" s="301"/>
      <c r="F642" s="302"/>
      <c r="G642" s="456"/>
      <c r="H642" s="269"/>
      <c r="I642" s="282"/>
      <c r="J642" s="270"/>
      <c r="K642" s="271"/>
      <c r="L642" s="271"/>
      <c r="M642" s="271"/>
      <c r="N642" s="272"/>
      <c r="O642" s="271"/>
      <c r="P642" s="274"/>
      <c r="Q642" s="275"/>
      <c r="R642" s="276"/>
      <c r="S642" s="297"/>
      <c r="T642" s="298"/>
    </row>
    <row r="643" spans="2:20" ht="15" hidden="1" customHeight="1">
      <c r="B643" s="255"/>
      <c r="C643" s="299"/>
      <c r="D643" s="303"/>
      <c r="E643" s="302"/>
      <c r="F643" s="302"/>
      <c r="G643" s="456"/>
      <c r="H643" s="269"/>
      <c r="I643" s="282"/>
      <c r="J643" s="270"/>
      <c r="K643" s="271"/>
      <c r="L643" s="271"/>
      <c r="M643" s="271"/>
      <c r="N643" s="272"/>
      <c r="O643" s="271"/>
      <c r="P643" s="274"/>
      <c r="Q643" s="275"/>
      <c r="R643" s="276"/>
      <c r="S643" s="297"/>
      <c r="T643" s="541"/>
    </row>
    <row r="644" spans="2:20" ht="15" hidden="1" customHeight="1">
      <c r="B644" s="255"/>
      <c r="C644" s="299"/>
      <c r="D644" s="303"/>
      <c r="E644" s="302"/>
      <c r="F644" s="302"/>
      <c r="G644" s="456"/>
      <c r="H644" s="269"/>
      <c r="I644" s="282"/>
      <c r="J644" s="270"/>
      <c r="K644" s="271"/>
      <c r="L644" s="271"/>
      <c r="M644" s="271"/>
      <c r="N644" s="304"/>
      <c r="O644" s="271"/>
      <c r="P644" s="274"/>
      <c r="Q644" s="275"/>
      <c r="R644" s="276"/>
      <c r="S644" s="297"/>
      <c r="T644" s="298"/>
    </row>
    <row r="645" spans="2:20" ht="15" hidden="1" customHeight="1">
      <c r="B645" s="255"/>
      <c r="C645" s="299"/>
      <c r="D645" s="303"/>
      <c r="E645" s="302"/>
      <c r="F645" s="302"/>
      <c r="G645" s="456"/>
      <c r="H645" s="305"/>
      <c r="I645" s="282"/>
      <c r="J645" s="285" t="s">
        <v>57</v>
      </c>
      <c r="K645" s="286"/>
      <c r="L645" s="286"/>
      <c r="M645" s="286"/>
      <c r="N645" s="286"/>
      <c r="O645" s="287"/>
      <c r="P645" s="286"/>
      <c r="Q645" s="306"/>
      <c r="R645" s="307"/>
      <c r="S645" s="288">
        <f>SUM(S641:S644)</f>
        <v>0.01</v>
      </c>
      <c r="T645" s="289" t="s">
        <v>178</v>
      </c>
    </row>
    <row r="646" spans="2:20" ht="15" hidden="1" customHeight="1">
      <c r="B646" s="255"/>
      <c r="C646" s="299"/>
      <c r="D646" s="303"/>
      <c r="E646" s="302"/>
      <c r="F646" s="302"/>
      <c r="G646" s="456"/>
      <c r="H646" s="269"/>
      <c r="I646" s="308"/>
      <c r="J646" s="262" t="s">
        <v>58</v>
      </c>
      <c r="K646" s="293"/>
      <c r="L646" s="309" t="s">
        <v>334</v>
      </c>
      <c r="M646" s="309" t="s">
        <v>335</v>
      </c>
      <c r="N646" s="310" t="s">
        <v>336</v>
      </c>
      <c r="O646" s="311"/>
      <c r="P646" s="309"/>
      <c r="Q646" s="312"/>
      <c r="R646" s="312"/>
      <c r="S646" s="313"/>
      <c r="T646" s="294"/>
    </row>
    <row r="647" spans="2:20" ht="15" hidden="1" customHeight="1" thickBot="1">
      <c r="B647" s="314"/>
      <c r="C647" s="1388"/>
      <c r="D647" s="1388"/>
      <c r="E647" s="1388"/>
      <c r="F647" s="1388"/>
      <c r="G647" s="315"/>
      <c r="H647" s="315"/>
      <c r="I647" s="316"/>
      <c r="J647" s="317"/>
      <c r="K647" s="318"/>
      <c r="L647" s="318" t="s">
        <v>334</v>
      </c>
      <c r="M647" s="318">
        <f>S639</f>
        <v>7.0000000000000007E-2</v>
      </c>
      <c r="N647" s="318" t="s">
        <v>337</v>
      </c>
      <c r="O647" s="319">
        <f>S649</f>
        <v>0.01</v>
      </c>
      <c r="P647" s="320"/>
      <c r="Q647" s="321"/>
      <c r="R647" s="322"/>
      <c r="S647" s="323">
        <f>ROUNDDOWN(M647-O647,2)</f>
        <v>0.06</v>
      </c>
      <c r="T647" s="289" t="s">
        <v>178</v>
      </c>
    </row>
    <row r="648" spans="2:20" ht="15" hidden="1" customHeight="1">
      <c r="B648" s="255"/>
      <c r="C648" s="324"/>
      <c r="D648" s="457"/>
      <c r="E648" s="325"/>
      <c r="F648" s="326"/>
      <c r="G648" s="327"/>
      <c r="H648" s="1389">
        <v>300</v>
      </c>
      <c r="I648" s="1392">
        <f>H645+H647+H648</f>
        <v>300</v>
      </c>
      <c r="J648" s="262" t="s">
        <v>338</v>
      </c>
      <c r="K648" s="293"/>
      <c r="L648" s="293" t="s">
        <v>339</v>
      </c>
      <c r="M648" s="309"/>
      <c r="N648" s="310" t="s">
        <v>340</v>
      </c>
      <c r="O648" s="293"/>
      <c r="P648" s="293"/>
      <c r="Q648" s="328"/>
      <c r="R648" s="329"/>
      <c r="S648" s="266"/>
      <c r="T648" s="294"/>
    </row>
    <row r="649" spans="2:20" ht="15" hidden="1" customHeight="1">
      <c r="B649" s="330"/>
      <c r="C649" s="324"/>
      <c r="D649" s="331"/>
      <c r="E649" s="332"/>
      <c r="F649" s="326"/>
      <c r="G649" s="333"/>
      <c r="H649" s="1390"/>
      <c r="I649" s="1387"/>
      <c r="J649" s="334"/>
      <c r="K649" s="335"/>
      <c r="L649" s="336" t="s">
        <v>339</v>
      </c>
      <c r="M649" s="335"/>
      <c r="N649" s="335"/>
      <c r="O649" s="286">
        <f>S641</f>
        <v>0.01</v>
      </c>
      <c r="P649" s="286"/>
      <c r="Q649" s="286"/>
      <c r="R649" s="259"/>
      <c r="S649" s="323">
        <f>ROUNDDOWN(O649+Q649,2)</f>
        <v>0.01</v>
      </c>
      <c r="T649" s="337" t="s">
        <v>178</v>
      </c>
    </row>
    <row r="650" spans="2:20" ht="15" hidden="1" customHeight="1">
      <c r="B650" s="255"/>
      <c r="C650" s="324"/>
      <c r="D650" s="331"/>
      <c r="E650" s="332"/>
      <c r="F650" s="326"/>
      <c r="G650" s="333"/>
      <c r="H650" s="1390"/>
      <c r="I650" s="1387"/>
      <c r="J650" s="467" t="s">
        <v>584</v>
      </c>
      <c r="K650" s="293"/>
      <c r="L650" s="293"/>
      <c r="M650" s="293"/>
      <c r="N650" s="293"/>
      <c r="O650" s="339"/>
      <c r="P650" s="340"/>
      <c r="Q650" s="329"/>
      <c r="R650" s="341"/>
      <c r="S650" s="266"/>
      <c r="T650" s="294"/>
    </row>
    <row r="651" spans="2:20" ht="15" hidden="1" customHeight="1">
      <c r="B651" s="255"/>
      <c r="C651" s="324"/>
      <c r="D651" s="331"/>
      <c r="E651" s="332"/>
      <c r="F651" s="326"/>
      <c r="G651" s="333"/>
      <c r="H651" s="1390"/>
      <c r="I651" s="1387"/>
      <c r="J651" s="342" t="s">
        <v>341</v>
      </c>
      <c r="K651" s="343">
        <f>D641/1000</f>
        <v>0.2</v>
      </c>
      <c r="L651" s="344" t="s">
        <v>59</v>
      </c>
      <c r="M651" s="412">
        <f>D656/1000</f>
        <v>0.2</v>
      </c>
      <c r="N651" s="346" t="s">
        <v>137</v>
      </c>
      <c r="O651" s="347" t="s">
        <v>342</v>
      </c>
      <c r="P651" s="348">
        <f>I648/1000</f>
        <v>0.3</v>
      </c>
      <c r="Q651" s="349" t="s">
        <v>343</v>
      </c>
      <c r="R651" s="350">
        <v>4</v>
      </c>
      <c r="S651" s="351">
        <f>((K651+M651)/2)*P651*R651</f>
        <v>0.24</v>
      </c>
      <c r="T651" s="289" t="s">
        <v>344</v>
      </c>
    </row>
    <row r="652" spans="2:20" ht="15" hidden="1" customHeight="1" thickBot="1">
      <c r="B652" s="255"/>
      <c r="C652" s="352"/>
      <c r="D652" s="353"/>
      <c r="E652" s="354"/>
      <c r="F652" s="355"/>
      <c r="G652" s="356"/>
      <c r="H652" s="1391"/>
      <c r="I652" s="1387"/>
      <c r="J652" s="357"/>
      <c r="K652" s="358"/>
      <c r="L652" s="358"/>
      <c r="M652" s="358"/>
      <c r="N652" s="358"/>
      <c r="O652" s="359"/>
      <c r="P652" s="329"/>
      <c r="Q652" s="329"/>
      <c r="R652" s="329"/>
      <c r="S652" s="360"/>
      <c r="T652" s="361"/>
    </row>
    <row r="653" spans="2:20" ht="15" hidden="1" customHeight="1">
      <c r="B653" s="255"/>
      <c r="C653" s="362"/>
      <c r="D653" s="363"/>
      <c r="E653" s="364"/>
      <c r="F653" s="365"/>
      <c r="G653" s="456"/>
      <c r="H653" s="269"/>
      <c r="I653" s="282"/>
      <c r="J653" s="366"/>
      <c r="K653" s="367"/>
      <c r="L653" s="320"/>
      <c r="M653" s="368"/>
      <c r="N653" s="369"/>
      <c r="P653" s="370"/>
      <c r="Q653" s="350"/>
      <c r="R653" s="350"/>
      <c r="S653" s="323"/>
      <c r="T653" s="298"/>
    </row>
    <row r="654" spans="2:20" ht="15" hidden="1" customHeight="1">
      <c r="B654" s="255"/>
      <c r="C654" s="371">
        <v>100</v>
      </c>
      <c r="D654" s="1379">
        <v>200</v>
      </c>
      <c r="E654" s="1381"/>
      <c r="F654" s="372">
        <v>100</v>
      </c>
      <c r="G654" s="268"/>
      <c r="H654" s="373"/>
      <c r="I654" s="282"/>
      <c r="J654" s="357"/>
      <c r="K654" s="358"/>
      <c r="L654" s="358"/>
      <c r="M654" s="358"/>
      <c r="N654" s="358"/>
      <c r="O654" s="374"/>
      <c r="P654" s="375"/>
      <c r="Q654" s="374"/>
      <c r="R654" s="265"/>
      <c r="S654" s="266"/>
      <c r="T654" s="294"/>
    </row>
    <row r="655" spans="2:20" ht="15" hidden="1" customHeight="1">
      <c r="B655" s="376"/>
      <c r="C655" s="377"/>
      <c r="D655" s="303"/>
      <c r="E655" s="302"/>
      <c r="F655" s="378"/>
      <c r="G655" s="379"/>
      <c r="H655" s="373"/>
      <c r="I655" s="282"/>
      <c r="J655" s="380"/>
      <c r="K655" s="306"/>
      <c r="L655" s="306"/>
      <c r="M655" s="306"/>
      <c r="N655" s="306"/>
      <c r="O655" s="381"/>
      <c r="P655" s="381"/>
      <c r="Q655" s="381"/>
      <c r="R655" s="381"/>
      <c r="S655" s="382"/>
      <c r="T655" s="383"/>
    </row>
    <row r="656" spans="2:20" ht="15" hidden="1" customHeight="1">
      <c r="B656" s="255"/>
      <c r="C656" s="371">
        <v>100</v>
      </c>
      <c r="D656" s="1379">
        <v>200</v>
      </c>
      <c r="E656" s="1381"/>
      <c r="F656" s="372">
        <v>100</v>
      </c>
      <c r="G656" s="268"/>
      <c r="H656" s="373"/>
      <c r="I656" s="282"/>
      <c r="J656" s="357" t="s">
        <v>345</v>
      </c>
      <c r="K656" s="384"/>
      <c r="L656" s="470" t="s">
        <v>735</v>
      </c>
      <c r="M656" s="384"/>
      <c r="N656" s="384"/>
      <c r="O656" s="283"/>
      <c r="P656" s="385"/>
      <c r="Q656" s="385"/>
      <c r="R656" s="385"/>
      <c r="S656" s="386"/>
      <c r="T656" s="387"/>
    </row>
    <row r="657" spans="2:20" ht="15" hidden="1" customHeight="1">
      <c r="B657" s="255"/>
      <c r="C657" s="290"/>
      <c r="D657" s="388"/>
      <c r="E657" s="388"/>
      <c r="F657" s="389"/>
      <c r="G657" s="379"/>
      <c r="H657" s="373"/>
      <c r="I657" s="282"/>
      <c r="J657" s="390"/>
      <c r="K657" s="391"/>
      <c r="L657" s="391"/>
      <c r="M657" s="391"/>
      <c r="N657" s="391"/>
      <c r="O657" s="392"/>
      <c r="P657" s="393"/>
      <c r="Q657" s="381"/>
      <c r="R657" s="259"/>
      <c r="S657" s="394">
        <v>4</v>
      </c>
      <c r="T657" s="383" t="s">
        <v>37</v>
      </c>
    </row>
    <row r="658" spans="2:20" ht="15" hidden="1" customHeight="1">
      <c r="B658" s="255"/>
      <c r="C658" s="1376"/>
      <c r="D658" s="1377"/>
      <c r="E658" s="1377"/>
      <c r="F658" s="1378"/>
      <c r="G658" s="268"/>
      <c r="H658" s="269"/>
      <c r="I658" s="282"/>
      <c r="J658" s="262" t="s">
        <v>346</v>
      </c>
      <c r="K658" s="384"/>
      <c r="L658" s="384" t="s">
        <v>526</v>
      </c>
      <c r="M658" s="264"/>
      <c r="N658" s="264"/>
      <c r="O658" s="265"/>
      <c r="P658" s="265"/>
      <c r="Q658" s="329"/>
      <c r="R658" s="329"/>
      <c r="S658" s="266"/>
      <c r="T658" s="267"/>
    </row>
    <row r="659" spans="2:20" ht="15" hidden="1" customHeight="1">
      <c r="B659" s="255"/>
      <c r="C659" s="1379">
        <f>C654+D654+F654</f>
        <v>400</v>
      </c>
      <c r="D659" s="1380"/>
      <c r="E659" s="1380"/>
      <c r="F659" s="1381"/>
      <c r="G659" s="268"/>
      <c r="H659" s="456"/>
      <c r="I659" s="257"/>
      <c r="J659" s="334"/>
      <c r="K659" s="258"/>
      <c r="L659" s="258"/>
      <c r="M659" s="258"/>
      <c r="N659" s="258"/>
      <c r="O659" s="259">
        <v>1</v>
      </c>
      <c r="P659" s="381"/>
      <c r="Q659" s="259"/>
      <c r="R659" s="259"/>
      <c r="S659" s="395">
        <f>O659</f>
        <v>1</v>
      </c>
      <c r="T659" s="261" t="s">
        <v>36</v>
      </c>
    </row>
    <row r="660" spans="2:20" ht="15" hidden="1" customHeight="1">
      <c r="B660" s="255"/>
      <c r="C660" s="396"/>
      <c r="D660" s="388"/>
      <c r="E660" s="388"/>
      <c r="F660" s="397"/>
      <c r="G660" s="268"/>
      <c r="H660" s="269"/>
      <c r="I660" s="257"/>
      <c r="J660" s="262"/>
      <c r="K660" s="398"/>
      <c r="L660" s="398"/>
      <c r="M660" s="398"/>
      <c r="N660" s="398"/>
      <c r="O660" s="399"/>
      <c r="P660" s="400"/>
      <c r="Q660" s="399"/>
      <c r="R660" s="399"/>
      <c r="S660" s="401"/>
      <c r="T660" s="402"/>
    </row>
    <row r="661" spans="2:20" ht="15" hidden="1" customHeight="1">
      <c r="B661" s="255"/>
      <c r="C661" s="1379">
        <f>C656+D656+F656</f>
        <v>400</v>
      </c>
      <c r="D661" s="1380"/>
      <c r="E661" s="1380"/>
      <c r="F661" s="1381"/>
      <c r="G661" s="268"/>
      <c r="H661" s="456"/>
      <c r="I661" s="257"/>
      <c r="J661" s="403"/>
      <c r="K661" s="404"/>
      <c r="L661" s="404"/>
      <c r="M661" s="404"/>
      <c r="N661" s="404"/>
      <c r="O661" s="259"/>
      <c r="P661" s="405"/>
      <c r="Q661" s="405"/>
      <c r="R661" s="405"/>
      <c r="S661" s="395"/>
      <c r="T661" s="261"/>
    </row>
    <row r="662" spans="2:20" ht="15" hidden="1" customHeight="1">
      <c r="B662" s="255"/>
      <c r="C662" s="256"/>
      <c r="D662" s="456"/>
      <c r="E662" s="456"/>
      <c r="F662" s="456"/>
      <c r="G662" s="456"/>
      <c r="H662" s="456"/>
      <c r="I662" s="257"/>
      <c r="J662" s="406"/>
      <c r="K662" s="264"/>
      <c r="L662" s="264"/>
      <c r="M662" s="264"/>
      <c r="N662" s="264"/>
      <c r="O662" s="265"/>
      <c r="P662" s="265"/>
      <c r="Q662" s="329"/>
      <c r="R662" s="329"/>
      <c r="S662" s="266"/>
      <c r="T662" s="267"/>
    </row>
    <row r="663" spans="2:20" ht="15" hidden="1" customHeight="1">
      <c r="B663" s="255"/>
      <c r="C663" s="256"/>
      <c r="D663" s="456"/>
      <c r="E663" s="456"/>
      <c r="F663" s="456"/>
      <c r="G663" s="456"/>
      <c r="H663" s="456"/>
      <c r="I663" s="269"/>
      <c r="J663" s="334"/>
      <c r="K663" s="258"/>
      <c r="L663" s="258"/>
      <c r="M663" s="258"/>
      <c r="N663" s="258"/>
      <c r="O663" s="259"/>
      <c r="P663" s="381"/>
      <c r="Q663" s="259"/>
      <c r="R663" s="259"/>
      <c r="S663" s="395"/>
      <c r="T663" s="261"/>
    </row>
    <row r="664" spans="2:20" ht="15" hidden="1" customHeight="1">
      <c r="B664" s="255"/>
      <c r="C664" s="256"/>
      <c r="D664" s="456"/>
      <c r="E664" s="456"/>
      <c r="F664" s="456"/>
      <c r="G664" s="456"/>
      <c r="H664" s="456"/>
      <c r="I664" s="257"/>
      <c r="J664" s="262"/>
      <c r="K664" s="407"/>
      <c r="L664" s="407"/>
      <c r="M664" s="407"/>
      <c r="N664" s="407"/>
      <c r="O664" s="265"/>
      <c r="P664" s="265"/>
      <c r="Q664" s="265"/>
      <c r="R664" s="265"/>
      <c r="S664" s="266"/>
      <c r="T664" s="267"/>
    </row>
    <row r="665" spans="2:20" ht="15" hidden="1" customHeight="1">
      <c r="B665" s="408"/>
      <c r="C665" s="409"/>
      <c r="D665" s="350"/>
      <c r="E665" s="350"/>
      <c r="F665" s="350"/>
      <c r="G665" s="350"/>
      <c r="H665" s="350"/>
      <c r="I665" s="410"/>
      <c r="J665" s="334"/>
      <c r="K665" s="258"/>
      <c r="L665" s="258"/>
      <c r="M665" s="258"/>
      <c r="N665" s="258"/>
      <c r="O665" s="259"/>
      <c r="P665" s="259"/>
      <c r="Q665" s="259"/>
      <c r="R665" s="411"/>
      <c r="S665" s="395"/>
      <c r="T665" s="261"/>
    </row>
    <row r="666" spans="2:20" ht="24.95" hidden="1" customHeight="1">
      <c r="B666" s="468" t="s">
        <v>751</v>
      </c>
      <c r="C666" s="1400" t="s">
        <v>739</v>
      </c>
      <c r="D666" s="1419"/>
      <c r="E666" s="1419"/>
      <c r="F666" s="1419"/>
      <c r="G666" s="1419"/>
      <c r="H666" s="1438"/>
      <c r="I666" s="1400" t="s">
        <v>741</v>
      </c>
      <c r="J666" s="1419"/>
      <c r="K666" s="1420"/>
      <c r="L666" s="1384"/>
      <c r="M666" s="1384"/>
      <c r="N666" s="1384"/>
      <c r="O666" s="1384"/>
      <c r="P666" s="1384"/>
      <c r="Q666" s="1384"/>
      <c r="R666" s="1384"/>
      <c r="S666" s="1384"/>
      <c r="T666" s="1385"/>
    </row>
    <row r="667" spans="2:20" ht="15" hidden="1" customHeight="1">
      <c r="B667" s="255"/>
      <c r="C667" s="256"/>
      <c r="D667" s="456"/>
      <c r="E667" s="456"/>
      <c r="F667" s="456"/>
      <c r="G667" s="456"/>
      <c r="H667" s="456"/>
      <c r="I667" s="257"/>
      <c r="J667" s="258"/>
      <c r="K667" s="258"/>
      <c r="L667" s="258" t="s">
        <v>39</v>
      </c>
      <c r="M667" s="258" t="s">
        <v>40</v>
      </c>
      <c r="N667" s="258" t="s">
        <v>41</v>
      </c>
      <c r="O667" s="259" t="s">
        <v>42</v>
      </c>
      <c r="P667" s="259" t="s">
        <v>43</v>
      </c>
      <c r="Q667" s="259"/>
      <c r="R667" s="259"/>
      <c r="S667" s="260" t="s">
        <v>44</v>
      </c>
      <c r="T667" s="261"/>
    </row>
    <row r="668" spans="2:20" ht="15" hidden="1" customHeight="1">
      <c r="B668" s="255"/>
      <c r="C668" s="256"/>
      <c r="D668" s="456"/>
      <c r="E668" s="456"/>
      <c r="F668" s="456"/>
      <c r="G668" s="456"/>
      <c r="H668" s="456"/>
      <c r="I668" s="257"/>
      <c r="J668" s="262" t="s">
        <v>45</v>
      </c>
      <c r="K668" s="263"/>
      <c r="L668" s="263" t="s">
        <v>46</v>
      </c>
      <c r="M668" s="264"/>
      <c r="N668" s="264"/>
      <c r="P668" s="265"/>
      <c r="Q668" s="265"/>
      <c r="R668" s="265"/>
      <c r="S668" s="266"/>
      <c r="T668" s="267"/>
    </row>
    <row r="669" spans="2:20" ht="15" hidden="1" customHeight="1">
      <c r="B669" s="255"/>
      <c r="C669" s="1377">
        <f>C691+(0.3*(H680)*2)</f>
        <v>720</v>
      </c>
      <c r="D669" s="1377"/>
      <c r="E669" s="1377"/>
      <c r="F669" s="1377"/>
      <c r="G669" s="268"/>
      <c r="H669" s="269"/>
      <c r="I669" s="257"/>
      <c r="J669" s="270" t="s">
        <v>47</v>
      </c>
      <c r="K669" s="271">
        <f>C669/1000</f>
        <v>0.72</v>
      </c>
      <c r="L669" s="271"/>
      <c r="M669" s="271"/>
      <c r="N669" s="272" t="s">
        <v>48</v>
      </c>
      <c r="O669" s="273">
        <f>C691/1000</f>
        <v>0.6</v>
      </c>
      <c r="P669" s="274"/>
      <c r="Q669" s="275" t="s">
        <v>49</v>
      </c>
      <c r="R669" s="276">
        <f>(H680)/1000</f>
        <v>0.2</v>
      </c>
      <c r="S669" s="277"/>
      <c r="T669" s="278"/>
    </row>
    <row r="670" spans="2:20" ht="15" hidden="1" customHeight="1">
      <c r="B670" s="255"/>
      <c r="C670" s="279"/>
      <c r="D670" s="280"/>
      <c r="E670" s="280"/>
      <c r="F670" s="281"/>
      <c r="G670" s="268"/>
      <c r="H670" s="269"/>
      <c r="I670" s="282"/>
      <c r="J670" s="270" t="s">
        <v>50</v>
      </c>
      <c r="K670" s="271">
        <f>C671/1000</f>
        <v>0.72</v>
      </c>
      <c r="L670" s="271"/>
      <c r="M670" s="271"/>
      <c r="N670" s="272" t="s">
        <v>51</v>
      </c>
      <c r="O670" s="273">
        <f>C693/1000</f>
        <v>0.6</v>
      </c>
      <c r="P670" s="274"/>
      <c r="Q670" s="254"/>
      <c r="R670" s="283"/>
      <c r="S670" s="284"/>
      <c r="T670" s="278"/>
    </row>
    <row r="671" spans="2:20" ht="15" hidden="1" customHeight="1">
      <c r="B671" s="255"/>
      <c r="C671" s="1379">
        <f>C693+(0.3*(H680)*2)</f>
        <v>720</v>
      </c>
      <c r="D671" s="1380"/>
      <c r="E671" s="1380"/>
      <c r="F671" s="1381"/>
      <c r="G671" s="268"/>
      <c r="H671" s="269"/>
      <c r="I671" s="282"/>
      <c r="J671" s="285" t="s">
        <v>52</v>
      </c>
      <c r="K671" s="286"/>
      <c r="L671" s="286"/>
      <c r="M671" s="286"/>
      <c r="N671" s="286"/>
      <c r="O671" s="287"/>
      <c r="P671" s="286"/>
      <c r="Q671" s="259"/>
      <c r="R671" s="259"/>
      <c r="S671" s="288">
        <f>ROUNDDOWN(R669/6*((2*K669+O669)*K670+(2*O669+K669)*O670),2)</f>
        <v>0.08</v>
      </c>
      <c r="T671" s="289" t="s">
        <v>178</v>
      </c>
    </row>
    <row r="672" spans="2:20" ht="15" hidden="1" customHeight="1">
      <c r="B672" s="255"/>
      <c r="C672" s="290"/>
      <c r="D672" s="291"/>
      <c r="E672" s="291"/>
      <c r="F672" s="281"/>
      <c r="G672" s="268"/>
      <c r="H672" s="269"/>
      <c r="I672" s="282"/>
      <c r="J672" s="262" t="s">
        <v>53</v>
      </c>
      <c r="K672" s="292"/>
      <c r="L672" s="292" t="s">
        <v>54</v>
      </c>
      <c r="M672" s="293"/>
      <c r="N672" s="293"/>
      <c r="O672" s="293"/>
      <c r="P672" s="292"/>
      <c r="Q672" s="263"/>
      <c r="R672" s="263"/>
      <c r="S672" s="266"/>
      <c r="T672" s="294"/>
    </row>
    <row r="673" spans="2:20" ht="15" hidden="1" customHeight="1">
      <c r="B673" s="255"/>
      <c r="C673" s="295"/>
      <c r="D673" s="1386">
        <v>400</v>
      </c>
      <c r="E673" s="1387"/>
      <c r="F673" s="296"/>
      <c r="G673" s="268"/>
      <c r="H673" s="269"/>
      <c r="I673" s="282"/>
      <c r="J673" s="270" t="s">
        <v>47</v>
      </c>
      <c r="K673" s="542">
        <f>D673/1000</f>
        <v>0.4</v>
      </c>
      <c r="L673" s="271"/>
      <c r="M673" s="271"/>
      <c r="N673" s="272" t="s">
        <v>48</v>
      </c>
      <c r="O673" s="271">
        <f>D688/1000</f>
        <v>0.4</v>
      </c>
      <c r="P673" s="274"/>
      <c r="Q673" s="275" t="s">
        <v>49</v>
      </c>
      <c r="R673" s="276">
        <f>H680/1000</f>
        <v>0.2</v>
      </c>
      <c r="S673" s="297">
        <f>ROUNDDOWN(K673*O673*R673,2)</f>
        <v>0.03</v>
      </c>
      <c r="T673" s="298" t="s">
        <v>55</v>
      </c>
    </row>
    <row r="674" spans="2:20" ht="15" hidden="1" customHeight="1">
      <c r="B674" s="255"/>
      <c r="C674" s="299"/>
      <c r="D674" s="300"/>
      <c r="E674" s="301"/>
      <c r="F674" s="302"/>
      <c r="G674" s="456"/>
      <c r="H674" s="269"/>
      <c r="I674" s="282"/>
      <c r="J674" s="270"/>
      <c r="K674" s="271"/>
      <c r="L674" s="271"/>
      <c r="M674" s="271"/>
      <c r="N674" s="272"/>
      <c r="O674" s="271"/>
      <c r="P674" s="274"/>
      <c r="Q674" s="275"/>
      <c r="R674" s="276"/>
      <c r="S674" s="297"/>
      <c r="T674" s="298"/>
    </row>
    <row r="675" spans="2:20" ht="15" hidden="1" customHeight="1">
      <c r="B675" s="255"/>
      <c r="C675" s="299"/>
      <c r="D675" s="303"/>
      <c r="E675" s="302"/>
      <c r="F675" s="302"/>
      <c r="G675" s="456"/>
      <c r="H675" s="269"/>
      <c r="I675" s="282"/>
      <c r="J675" s="270"/>
      <c r="K675" s="271"/>
      <c r="L675" s="271"/>
      <c r="M675" s="271"/>
      <c r="N675" s="272"/>
      <c r="O675" s="271"/>
      <c r="P675" s="274"/>
      <c r="Q675" s="275"/>
      <c r="R675" s="276"/>
      <c r="S675" s="297"/>
      <c r="T675" s="541"/>
    </row>
    <row r="676" spans="2:20" ht="15" hidden="1" customHeight="1">
      <c r="B676" s="255"/>
      <c r="C676" s="299"/>
      <c r="D676" s="303"/>
      <c r="E676" s="302"/>
      <c r="F676" s="302"/>
      <c r="G676" s="456"/>
      <c r="H676" s="269"/>
      <c r="I676" s="282"/>
      <c r="J676" s="270"/>
      <c r="K676" s="271"/>
      <c r="L676" s="271"/>
      <c r="M676" s="271"/>
      <c r="N676" s="304"/>
      <c r="O676" s="271"/>
      <c r="P676" s="274"/>
      <c r="Q676" s="275"/>
      <c r="R676" s="276"/>
      <c r="S676" s="297"/>
      <c r="T676" s="298"/>
    </row>
    <row r="677" spans="2:20" ht="15" hidden="1" customHeight="1">
      <c r="B677" s="255"/>
      <c r="C677" s="299"/>
      <c r="D677" s="303"/>
      <c r="E677" s="302"/>
      <c r="F677" s="302"/>
      <c r="G677" s="456"/>
      <c r="H677" s="305"/>
      <c r="I677" s="282"/>
      <c r="J677" s="285" t="s">
        <v>57</v>
      </c>
      <c r="K677" s="286"/>
      <c r="L677" s="286"/>
      <c r="M677" s="286"/>
      <c r="N677" s="286"/>
      <c r="O677" s="287"/>
      <c r="P677" s="286"/>
      <c r="Q677" s="306"/>
      <c r="R677" s="307"/>
      <c r="S677" s="288">
        <f>SUM(S673:S676)</f>
        <v>0.03</v>
      </c>
      <c r="T677" s="289" t="s">
        <v>178</v>
      </c>
    </row>
    <row r="678" spans="2:20" ht="15" hidden="1" customHeight="1">
      <c r="B678" s="255"/>
      <c r="C678" s="299"/>
      <c r="D678" s="303"/>
      <c r="E678" s="302"/>
      <c r="F678" s="302"/>
      <c r="G678" s="456"/>
      <c r="H678" s="269"/>
      <c r="I678" s="308"/>
      <c r="J678" s="262" t="s">
        <v>58</v>
      </c>
      <c r="K678" s="293"/>
      <c r="L678" s="309" t="s">
        <v>334</v>
      </c>
      <c r="M678" s="309" t="s">
        <v>335</v>
      </c>
      <c r="N678" s="310" t="s">
        <v>336</v>
      </c>
      <c r="O678" s="311"/>
      <c r="P678" s="309"/>
      <c r="Q678" s="312"/>
      <c r="R678" s="312"/>
      <c r="S678" s="313"/>
      <c r="T678" s="294"/>
    </row>
    <row r="679" spans="2:20" ht="15" hidden="1" customHeight="1" thickBot="1">
      <c r="B679" s="314"/>
      <c r="C679" s="1388"/>
      <c r="D679" s="1388"/>
      <c r="E679" s="1388"/>
      <c r="F679" s="1388"/>
      <c r="G679" s="315"/>
      <c r="H679" s="315"/>
      <c r="I679" s="316"/>
      <c r="J679" s="317"/>
      <c r="K679" s="318"/>
      <c r="L679" s="318" t="s">
        <v>334</v>
      </c>
      <c r="M679" s="318">
        <f>S671</f>
        <v>0.08</v>
      </c>
      <c r="N679" s="318" t="s">
        <v>337</v>
      </c>
      <c r="O679" s="319">
        <f>S681</f>
        <v>0.03</v>
      </c>
      <c r="P679" s="320"/>
      <c r="Q679" s="321"/>
      <c r="R679" s="322"/>
      <c r="S679" s="323">
        <f>ROUNDDOWN(M679-O679,2)</f>
        <v>0.05</v>
      </c>
      <c r="T679" s="289" t="s">
        <v>178</v>
      </c>
    </row>
    <row r="680" spans="2:20" ht="15" hidden="1" customHeight="1">
      <c r="B680" s="255"/>
      <c r="C680" s="324"/>
      <c r="D680" s="457"/>
      <c r="E680" s="325"/>
      <c r="F680" s="326"/>
      <c r="G680" s="327"/>
      <c r="H680" s="1389">
        <v>200</v>
      </c>
      <c r="I680" s="1392">
        <f>H677+H679+H680</f>
        <v>200</v>
      </c>
      <c r="J680" s="262" t="s">
        <v>338</v>
      </c>
      <c r="K680" s="293"/>
      <c r="L680" s="293" t="s">
        <v>339</v>
      </c>
      <c r="M680" s="309"/>
      <c r="N680" s="310" t="s">
        <v>340</v>
      </c>
      <c r="O680" s="293"/>
      <c r="P680" s="293"/>
      <c r="Q680" s="328"/>
      <c r="R680" s="329"/>
      <c r="S680" s="266"/>
      <c r="T680" s="294"/>
    </row>
    <row r="681" spans="2:20" ht="15" hidden="1" customHeight="1">
      <c r="B681" s="330"/>
      <c r="C681" s="324"/>
      <c r="D681" s="331"/>
      <c r="E681" s="332"/>
      <c r="F681" s="326"/>
      <c r="G681" s="333"/>
      <c r="H681" s="1390"/>
      <c r="I681" s="1387"/>
      <c r="J681" s="334"/>
      <c r="K681" s="335"/>
      <c r="L681" s="336" t="s">
        <v>339</v>
      </c>
      <c r="M681" s="335"/>
      <c r="N681" s="335"/>
      <c r="O681" s="286">
        <f>S673</f>
        <v>0.03</v>
      </c>
      <c r="P681" s="286"/>
      <c r="Q681" s="286"/>
      <c r="R681" s="259"/>
      <c r="S681" s="323">
        <f>ROUNDDOWN(O681+Q681,2)</f>
        <v>0.03</v>
      </c>
      <c r="T681" s="337" t="s">
        <v>178</v>
      </c>
    </row>
    <row r="682" spans="2:20" ht="15" hidden="1" customHeight="1">
      <c r="B682" s="255"/>
      <c r="C682" s="324"/>
      <c r="D682" s="331"/>
      <c r="E682" s="332"/>
      <c r="F682" s="326"/>
      <c r="G682" s="333"/>
      <c r="H682" s="1390"/>
      <c r="I682" s="1387"/>
      <c r="J682" s="467" t="s">
        <v>584</v>
      </c>
      <c r="K682" s="293"/>
      <c r="L682" s="293"/>
      <c r="M682" s="293"/>
      <c r="N682" s="293"/>
      <c r="O682" s="339"/>
      <c r="P682" s="340"/>
      <c r="Q682" s="329"/>
      <c r="R682" s="341"/>
      <c r="S682" s="266"/>
      <c r="T682" s="294"/>
    </row>
    <row r="683" spans="2:20" ht="15" hidden="1" customHeight="1">
      <c r="B683" s="255"/>
      <c r="C683" s="324"/>
      <c r="D683" s="331"/>
      <c r="E683" s="332"/>
      <c r="F683" s="326"/>
      <c r="G683" s="333"/>
      <c r="H683" s="1390"/>
      <c r="I683" s="1387"/>
      <c r="J683" s="342" t="s">
        <v>341</v>
      </c>
      <c r="K683" s="343">
        <f>D673/1000</f>
        <v>0.4</v>
      </c>
      <c r="L683" s="344" t="s">
        <v>59</v>
      </c>
      <c r="M683" s="412">
        <f>D688/1000</f>
        <v>0.4</v>
      </c>
      <c r="N683" s="346" t="s">
        <v>137</v>
      </c>
      <c r="O683" s="347" t="s">
        <v>342</v>
      </c>
      <c r="P683" s="348">
        <f>I680/1000</f>
        <v>0.2</v>
      </c>
      <c r="Q683" s="349" t="s">
        <v>343</v>
      </c>
      <c r="R683" s="350">
        <v>4</v>
      </c>
      <c r="S683" s="351">
        <f>((K683+M683)/2)*P683*R683</f>
        <v>0.32000000000000006</v>
      </c>
      <c r="T683" s="289" t="s">
        <v>344</v>
      </c>
    </row>
    <row r="684" spans="2:20" ht="15" hidden="1" customHeight="1" thickBot="1">
      <c r="B684" s="255"/>
      <c r="C684" s="352"/>
      <c r="D684" s="353"/>
      <c r="E684" s="354"/>
      <c r="F684" s="355"/>
      <c r="G684" s="356"/>
      <c r="H684" s="1391"/>
      <c r="I684" s="1387"/>
      <c r="J684" s="357"/>
      <c r="K684" s="358"/>
      <c r="L684" s="358"/>
      <c r="M684" s="358"/>
      <c r="N684" s="358"/>
      <c r="O684" s="359"/>
      <c r="P684" s="329"/>
      <c r="Q684" s="329"/>
      <c r="R684" s="329"/>
      <c r="S684" s="360"/>
      <c r="T684" s="361"/>
    </row>
    <row r="685" spans="2:20" ht="15" hidden="1" customHeight="1">
      <c r="B685" s="255"/>
      <c r="C685" s="362"/>
      <c r="D685" s="363"/>
      <c r="E685" s="364"/>
      <c r="F685" s="365"/>
      <c r="G685" s="456"/>
      <c r="H685" s="269"/>
      <c r="I685" s="282"/>
      <c r="J685" s="366"/>
      <c r="K685" s="367"/>
      <c r="L685" s="320"/>
      <c r="M685" s="368"/>
      <c r="N685" s="369"/>
      <c r="P685" s="370"/>
      <c r="Q685" s="350"/>
      <c r="R685" s="350"/>
      <c r="S685" s="323"/>
      <c r="T685" s="298"/>
    </row>
    <row r="686" spans="2:20" ht="15" hidden="1" customHeight="1">
      <c r="B686" s="255"/>
      <c r="C686" s="371">
        <v>100</v>
      </c>
      <c r="D686" s="1379">
        <v>400</v>
      </c>
      <c r="E686" s="1381"/>
      <c r="F686" s="372">
        <v>100</v>
      </c>
      <c r="G686" s="268"/>
      <c r="H686" s="373"/>
      <c r="I686" s="282"/>
      <c r="J686" s="357"/>
      <c r="K686" s="358"/>
      <c r="L686" s="358"/>
      <c r="M686" s="358"/>
      <c r="N686" s="358"/>
      <c r="O686" s="374"/>
      <c r="P686" s="375"/>
      <c r="Q686" s="374"/>
      <c r="R686" s="265"/>
      <c r="S686" s="266"/>
      <c r="T686" s="294"/>
    </row>
    <row r="687" spans="2:20" ht="15" hidden="1" customHeight="1">
      <c r="B687" s="376"/>
      <c r="C687" s="377"/>
      <c r="D687" s="303"/>
      <c r="E687" s="302"/>
      <c r="F687" s="378"/>
      <c r="G687" s="379"/>
      <c r="H687" s="373"/>
      <c r="I687" s="282"/>
      <c r="J687" s="380"/>
      <c r="K687" s="306"/>
      <c r="L687" s="306"/>
      <c r="M687" s="306"/>
      <c r="N687" s="306"/>
      <c r="O687" s="381"/>
      <c r="P687" s="381"/>
      <c r="Q687" s="381"/>
      <c r="R687" s="381"/>
      <c r="S687" s="382"/>
      <c r="T687" s="383"/>
    </row>
    <row r="688" spans="2:20" ht="15" hidden="1" customHeight="1">
      <c r="B688" s="255"/>
      <c r="C688" s="371">
        <v>100</v>
      </c>
      <c r="D688" s="1379">
        <v>400</v>
      </c>
      <c r="E688" s="1381"/>
      <c r="F688" s="372">
        <v>100</v>
      </c>
      <c r="G688" s="268"/>
      <c r="H688" s="373"/>
      <c r="I688" s="282"/>
      <c r="J688" s="357" t="s">
        <v>345</v>
      </c>
      <c r="K688" s="384"/>
      <c r="L688" s="470" t="s">
        <v>735</v>
      </c>
      <c r="M688" s="384"/>
      <c r="N688" s="384"/>
      <c r="O688" s="283"/>
      <c r="P688" s="385"/>
      <c r="Q688" s="385"/>
      <c r="R688" s="385"/>
      <c r="S688" s="386"/>
      <c r="T688" s="387"/>
    </row>
    <row r="689" spans="2:20" ht="15" hidden="1" customHeight="1">
      <c r="B689" s="255"/>
      <c r="C689" s="290"/>
      <c r="D689" s="388"/>
      <c r="E689" s="388"/>
      <c r="F689" s="389"/>
      <c r="G689" s="379"/>
      <c r="H689" s="373"/>
      <c r="I689" s="282"/>
      <c r="J689" s="390"/>
      <c r="K689" s="391"/>
      <c r="L689" s="391"/>
      <c r="M689" s="391"/>
      <c r="N689" s="391"/>
      <c r="O689" s="392"/>
      <c r="P689" s="393"/>
      <c r="Q689" s="381"/>
      <c r="R689" s="259"/>
      <c r="S689" s="394">
        <v>1</v>
      </c>
      <c r="T689" s="383" t="s">
        <v>37</v>
      </c>
    </row>
    <row r="690" spans="2:20" ht="15" hidden="1" customHeight="1">
      <c r="B690" s="255"/>
      <c r="C690" s="1376"/>
      <c r="D690" s="1377"/>
      <c r="E690" s="1377"/>
      <c r="F690" s="1378"/>
      <c r="G690" s="268"/>
      <c r="H690" s="269"/>
      <c r="I690" s="282"/>
      <c r="J690" s="262" t="s">
        <v>346</v>
      </c>
      <c r="K690" s="384"/>
      <c r="L690" s="384" t="s">
        <v>526</v>
      </c>
      <c r="M690" s="264"/>
      <c r="N690" s="264"/>
      <c r="O690" s="265"/>
      <c r="P690" s="265"/>
      <c r="Q690" s="329"/>
      <c r="R690" s="329"/>
      <c r="S690" s="266"/>
      <c r="T690" s="267"/>
    </row>
    <row r="691" spans="2:20" ht="15" hidden="1" customHeight="1">
      <c r="B691" s="255"/>
      <c r="C691" s="1379">
        <f>C686+D686+F686</f>
        <v>600</v>
      </c>
      <c r="D691" s="1380"/>
      <c r="E691" s="1380"/>
      <c r="F691" s="1381"/>
      <c r="G691" s="268"/>
      <c r="H691" s="456"/>
      <c r="I691" s="257"/>
      <c r="J691" s="334"/>
      <c r="K691" s="258"/>
      <c r="L691" s="258"/>
      <c r="M691" s="258"/>
      <c r="N691" s="258"/>
      <c r="O691" s="259">
        <v>1</v>
      </c>
      <c r="P691" s="381"/>
      <c r="Q691" s="259"/>
      <c r="R691" s="259"/>
      <c r="S691" s="395">
        <f>O691</f>
        <v>1</v>
      </c>
      <c r="T691" s="261" t="s">
        <v>36</v>
      </c>
    </row>
    <row r="692" spans="2:20" ht="15" hidden="1" customHeight="1">
      <c r="B692" s="255"/>
      <c r="C692" s="396"/>
      <c r="D692" s="388"/>
      <c r="E692" s="388"/>
      <c r="F692" s="397"/>
      <c r="G692" s="268"/>
      <c r="H692" s="269"/>
      <c r="I692" s="257"/>
      <c r="J692" s="262"/>
      <c r="K692" s="398"/>
      <c r="L692" s="398"/>
      <c r="M692" s="398"/>
      <c r="N692" s="398"/>
      <c r="O692" s="399"/>
      <c r="P692" s="400"/>
      <c r="Q692" s="399"/>
      <c r="R692" s="399"/>
      <c r="S692" s="401"/>
      <c r="T692" s="402"/>
    </row>
    <row r="693" spans="2:20" ht="15" hidden="1" customHeight="1">
      <c r="B693" s="255"/>
      <c r="C693" s="1379">
        <f>C688+D688+F688</f>
        <v>600</v>
      </c>
      <c r="D693" s="1380"/>
      <c r="E693" s="1380"/>
      <c r="F693" s="1381"/>
      <c r="G693" s="268"/>
      <c r="H693" s="456"/>
      <c r="I693" s="257"/>
      <c r="J693" s="403"/>
      <c r="K693" s="404"/>
      <c r="L693" s="404"/>
      <c r="M693" s="404"/>
      <c r="N693" s="404"/>
      <c r="O693" s="259"/>
      <c r="P693" s="405"/>
      <c r="Q693" s="405"/>
      <c r="R693" s="405"/>
      <c r="S693" s="395"/>
      <c r="T693" s="261"/>
    </row>
    <row r="694" spans="2:20" ht="15" hidden="1" customHeight="1">
      <c r="B694" s="255"/>
      <c r="C694" s="256"/>
      <c r="D694" s="456"/>
      <c r="E694" s="456"/>
      <c r="F694" s="456"/>
      <c r="G694" s="456"/>
      <c r="H694" s="456"/>
      <c r="I694" s="257"/>
      <c r="J694" s="406"/>
      <c r="K694" s="264"/>
      <c r="L694" s="264"/>
      <c r="M694" s="264"/>
      <c r="N694" s="264"/>
      <c r="O694" s="265"/>
      <c r="P694" s="265"/>
      <c r="Q694" s="329"/>
      <c r="R694" s="329"/>
      <c r="S694" s="266"/>
      <c r="T694" s="267"/>
    </row>
    <row r="695" spans="2:20" ht="15" hidden="1" customHeight="1">
      <c r="B695" s="255"/>
      <c r="C695" s="256"/>
      <c r="D695" s="456"/>
      <c r="E695" s="456"/>
      <c r="F695" s="456"/>
      <c r="G695" s="456"/>
      <c r="H695" s="456"/>
      <c r="I695" s="269"/>
      <c r="J695" s="334"/>
      <c r="K695" s="258"/>
      <c r="L695" s="258"/>
      <c r="M695" s="258"/>
      <c r="N695" s="258"/>
      <c r="O695" s="259"/>
      <c r="P695" s="381"/>
      <c r="Q695" s="259"/>
      <c r="R695" s="259"/>
      <c r="S695" s="395"/>
      <c r="T695" s="261"/>
    </row>
    <row r="696" spans="2:20" ht="15" hidden="1" customHeight="1">
      <c r="B696" s="255"/>
      <c r="C696" s="256"/>
      <c r="D696" s="456"/>
      <c r="E696" s="456"/>
      <c r="F696" s="456"/>
      <c r="G696" s="456"/>
      <c r="H696" s="456"/>
      <c r="I696" s="257"/>
      <c r="J696" s="262"/>
      <c r="K696" s="407"/>
      <c r="L696" s="407"/>
      <c r="M696" s="407"/>
      <c r="N696" s="407"/>
      <c r="O696" s="265"/>
      <c r="P696" s="265"/>
      <c r="Q696" s="265"/>
      <c r="R696" s="265"/>
      <c r="S696" s="266"/>
      <c r="T696" s="267"/>
    </row>
    <row r="697" spans="2:20" ht="15" hidden="1" customHeight="1">
      <c r="B697" s="408"/>
      <c r="C697" s="409"/>
      <c r="D697" s="350"/>
      <c r="E697" s="350"/>
      <c r="F697" s="350"/>
      <c r="G697" s="350"/>
      <c r="H697" s="350"/>
      <c r="I697" s="410"/>
      <c r="J697" s="334"/>
      <c r="K697" s="258"/>
      <c r="L697" s="258"/>
      <c r="M697" s="258"/>
      <c r="N697" s="258"/>
      <c r="O697" s="259"/>
      <c r="P697" s="259"/>
      <c r="Q697" s="259"/>
      <c r="R697" s="411"/>
      <c r="S697" s="395"/>
      <c r="T697" s="261"/>
    </row>
    <row r="698" spans="2:20" ht="24.95" hidden="1" customHeight="1">
      <c r="B698" s="468" t="s">
        <v>752</v>
      </c>
      <c r="C698" s="1383" t="s">
        <v>731</v>
      </c>
      <c r="D698" s="1423"/>
      <c r="E698" s="1423"/>
      <c r="F698" s="1423"/>
      <c r="G698" s="1423"/>
      <c r="H698" s="1424"/>
      <c r="I698" s="1400" t="s">
        <v>740</v>
      </c>
      <c r="J698" s="1419"/>
      <c r="K698" s="1420"/>
      <c r="L698" s="1384"/>
      <c r="M698" s="1384"/>
      <c r="N698" s="1384"/>
      <c r="O698" s="1384"/>
      <c r="P698" s="1384"/>
      <c r="Q698" s="1384"/>
      <c r="R698" s="1384"/>
      <c r="S698" s="1384"/>
      <c r="T698" s="1385"/>
    </row>
    <row r="699" spans="2:20" ht="15" hidden="1" customHeight="1">
      <c r="B699" s="255"/>
      <c r="C699" s="256"/>
      <c r="D699" s="456"/>
      <c r="E699" s="456"/>
      <c r="F699" s="456"/>
      <c r="G699" s="456"/>
      <c r="H699" s="456"/>
      <c r="I699" s="257"/>
      <c r="J699" s="258"/>
      <c r="K699" s="258"/>
      <c r="L699" s="258" t="s">
        <v>39</v>
      </c>
      <c r="M699" s="258" t="s">
        <v>40</v>
      </c>
      <c r="N699" s="258" t="s">
        <v>41</v>
      </c>
      <c r="O699" s="259" t="s">
        <v>42</v>
      </c>
      <c r="P699" s="259" t="s">
        <v>43</v>
      </c>
      <c r="Q699" s="259"/>
      <c r="R699" s="259"/>
      <c r="S699" s="260" t="s">
        <v>44</v>
      </c>
      <c r="T699" s="261"/>
    </row>
    <row r="700" spans="2:20" ht="15" hidden="1" customHeight="1">
      <c r="B700" s="255"/>
      <c r="C700" s="256"/>
      <c r="D700" s="456"/>
      <c r="E700" s="456"/>
      <c r="F700" s="456"/>
      <c r="G700" s="456"/>
      <c r="H700" s="456"/>
      <c r="I700" s="257"/>
      <c r="J700" s="262" t="s">
        <v>45</v>
      </c>
      <c r="K700" s="263"/>
      <c r="L700" s="263" t="s">
        <v>46</v>
      </c>
      <c r="M700" s="264"/>
      <c r="N700" s="264"/>
      <c r="P700" s="265"/>
      <c r="Q700" s="265"/>
      <c r="R700" s="265"/>
      <c r="S700" s="266"/>
      <c r="T700" s="267"/>
    </row>
    <row r="701" spans="2:20" ht="15" hidden="1" customHeight="1">
      <c r="B701" s="255"/>
      <c r="C701" s="1377">
        <f>C723+(0.3*(H712)*2)</f>
        <v>620</v>
      </c>
      <c r="D701" s="1377"/>
      <c r="E701" s="1377"/>
      <c r="F701" s="1377"/>
      <c r="G701" s="268"/>
      <c r="H701" s="269"/>
      <c r="I701" s="257"/>
      <c r="J701" s="270" t="s">
        <v>47</v>
      </c>
      <c r="K701" s="271">
        <f>C701/1000</f>
        <v>0.62</v>
      </c>
      <c r="L701" s="271"/>
      <c r="M701" s="271"/>
      <c r="N701" s="272" t="s">
        <v>48</v>
      </c>
      <c r="O701" s="273">
        <f>C723/1000</f>
        <v>0.5</v>
      </c>
      <c r="P701" s="274"/>
      <c r="Q701" s="275" t="s">
        <v>49</v>
      </c>
      <c r="R701" s="276">
        <f>(H712)/1000</f>
        <v>0.2</v>
      </c>
      <c r="S701" s="277"/>
      <c r="T701" s="278"/>
    </row>
    <row r="702" spans="2:20" ht="15" hidden="1" customHeight="1">
      <c r="B702" s="255"/>
      <c r="C702" s="279"/>
      <c r="D702" s="280"/>
      <c r="E702" s="280"/>
      <c r="F702" s="281"/>
      <c r="G702" s="268"/>
      <c r="H702" s="269"/>
      <c r="I702" s="282"/>
      <c r="J702" s="270" t="s">
        <v>50</v>
      </c>
      <c r="K702" s="271">
        <f>C703/1000</f>
        <v>0.62</v>
      </c>
      <c r="L702" s="271"/>
      <c r="M702" s="271"/>
      <c r="N702" s="272" t="s">
        <v>51</v>
      </c>
      <c r="O702" s="273">
        <f>C725/1000</f>
        <v>0.5</v>
      </c>
      <c r="P702" s="274"/>
      <c r="Q702" s="254"/>
      <c r="R702" s="283"/>
      <c r="S702" s="284"/>
      <c r="T702" s="278"/>
    </row>
    <row r="703" spans="2:20" ht="15" hidden="1" customHeight="1">
      <c r="B703" s="255"/>
      <c r="C703" s="1379">
        <f>C725+(0.3*(H712)*2)</f>
        <v>620</v>
      </c>
      <c r="D703" s="1380"/>
      <c r="E703" s="1380"/>
      <c r="F703" s="1381"/>
      <c r="G703" s="268"/>
      <c r="H703" s="269"/>
      <c r="I703" s="282"/>
      <c r="J703" s="285" t="s">
        <v>52</v>
      </c>
      <c r="K703" s="286"/>
      <c r="L703" s="286"/>
      <c r="M703" s="286"/>
      <c r="N703" s="286"/>
      <c r="O703" s="287"/>
      <c r="P703" s="286"/>
      <c r="Q703" s="259"/>
      <c r="R703" s="259"/>
      <c r="S703" s="288">
        <f>ROUNDDOWN(R701/6*((2*K701+O701)*K702+(2*O701+K701)*O702),2)</f>
        <v>0.06</v>
      </c>
      <c r="T703" s="289" t="s">
        <v>178</v>
      </c>
    </row>
    <row r="704" spans="2:20" ht="15" hidden="1" customHeight="1">
      <c r="B704" s="255"/>
      <c r="C704" s="290"/>
      <c r="D704" s="291"/>
      <c r="E704" s="291"/>
      <c r="F704" s="281"/>
      <c r="G704" s="268"/>
      <c r="H704" s="269"/>
      <c r="I704" s="282"/>
      <c r="J704" s="262" t="s">
        <v>53</v>
      </c>
      <c r="K704" s="292"/>
      <c r="L704" s="292" t="s">
        <v>54</v>
      </c>
      <c r="M704" s="293"/>
      <c r="N704" s="293"/>
      <c r="O704" s="293"/>
      <c r="P704" s="292"/>
      <c r="Q704" s="263"/>
      <c r="R704" s="263"/>
      <c r="S704" s="266"/>
      <c r="T704" s="294"/>
    </row>
    <row r="705" spans="2:20" ht="15" hidden="1" customHeight="1">
      <c r="B705" s="255"/>
      <c r="C705" s="295"/>
      <c r="D705" s="1386">
        <v>300</v>
      </c>
      <c r="E705" s="1387"/>
      <c r="F705" s="296"/>
      <c r="G705" s="268"/>
      <c r="H705" s="269"/>
      <c r="I705" s="282"/>
      <c r="J705" s="270" t="s">
        <v>47</v>
      </c>
      <c r="K705" s="542">
        <f>D705/1000</f>
        <v>0.3</v>
      </c>
      <c r="L705" s="271"/>
      <c r="M705" s="271"/>
      <c r="N705" s="272" t="s">
        <v>48</v>
      </c>
      <c r="O705" s="271">
        <f>D720/1000</f>
        <v>0.3</v>
      </c>
      <c r="P705" s="274"/>
      <c r="Q705" s="275" t="s">
        <v>49</v>
      </c>
      <c r="R705" s="276">
        <f>H712/1000</f>
        <v>0.2</v>
      </c>
      <c r="S705" s="557">
        <f>ROUNDDOWN(K705*O705*R705,2)</f>
        <v>0.01</v>
      </c>
      <c r="T705" s="298" t="s">
        <v>55</v>
      </c>
    </row>
    <row r="706" spans="2:20" ht="15" hidden="1" customHeight="1">
      <c r="B706" s="255"/>
      <c r="C706" s="299"/>
      <c r="D706" s="300"/>
      <c r="E706" s="301"/>
      <c r="F706" s="302"/>
      <c r="G706" s="456"/>
      <c r="H706" s="269"/>
      <c r="I706" s="282"/>
      <c r="J706" s="270"/>
      <c r="K706" s="271"/>
      <c r="L706" s="271"/>
      <c r="M706" s="271"/>
      <c r="N706" s="272"/>
      <c r="O706" s="271"/>
      <c r="P706" s="274"/>
      <c r="Q706" s="275"/>
      <c r="R706" s="276"/>
      <c r="S706" s="297"/>
      <c r="T706" s="298"/>
    </row>
    <row r="707" spans="2:20" ht="15" hidden="1" customHeight="1">
      <c r="B707" s="255"/>
      <c r="C707" s="299"/>
      <c r="D707" s="303"/>
      <c r="E707" s="302"/>
      <c r="F707" s="302"/>
      <c r="G707" s="456"/>
      <c r="H707" s="269"/>
      <c r="I707" s="282"/>
      <c r="J707" s="270"/>
      <c r="K707" s="271"/>
      <c r="L707" s="271"/>
      <c r="M707" s="271"/>
      <c r="N707" s="272"/>
      <c r="O707" s="271"/>
      <c r="P707" s="274"/>
      <c r="Q707" s="275"/>
      <c r="R707" s="276"/>
      <c r="S707" s="297"/>
      <c r="T707" s="541"/>
    </row>
    <row r="708" spans="2:20" ht="15" hidden="1" customHeight="1">
      <c r="B708" s="255"/>
      <c r="C708" s="299"/>
      <c r="D708" s="303"/>
      <c r="E708" s="302"/>
      <c r="F708" s="302"/>
      <c r="G708" s="456"/>
      <c r="H708" s="269"/>
      <c r="I708" s="282"/>
      <c r="J708" s="270"/>
      <c r="K708" s="271"/>
      <c r="L708" s="271"/>
      <c r="M708" s="271"/>
      <c r="N708" s="304"/>
      <c r="O708" s="271"/>
      <c r="P708" s="274"/>
      <c r="Q708" s="275"/>
      <c r="R708" s="276"/>
      <c r="S708" s="297"/>
      <c r="T708" s="298"/>
    </row>
    <row r="709" spans="2:20" ht="15" hidden="1" customHeight="1">
      <c r="B709" s="255"/>
      <c r="C709" s="299"/>
      <c r="D709" s="303"/>
      <c r="E709" s="302"/>
      <c r="F709" s="302"/>
      <c r="G709" s="456"/>
      <c r="H709" s="305"/>
      <c r="I709" s="282"/>
      <c r="J709" s="285" t="s">
        <v>57</v>
      </c>
      <c r="K709" s="286"/>
      <c r="L709" s="286"/>
      <c r="M709" s="286"/>
      <c r="N709" s="286"/>
      <c r="O709" s="287"/>
      <c r="P709" s="286"/>
      <c r="Q709" s="306"/>
      <c r="R709" s="307"/>
      <c r="S709" s="288">
        <f>SUM(S705:S708)</f>
        <v>0.01</v>
      </c>
      <c r="T709" s="289" t="s">
        <v>178</v>
      </c>
    </row>
    <row r="710" spans="2:20" ht="15" hidden="1" customHeight="1">
      <c r="B710" s="255"/>
      <c r="C710" s="299"/>
      <c r="D710" s="303"/>
      <c r="E710" s="302"/>
      <c r="F710" s="302"/>
      <c r="G710" s="456"/>
      <c r="H710" s="269"/>
      <c r="I710" s="308"/>
      <c r="J710" s="262" t="s">
        <v>58</v>
      </c>
      <c r="K710" s="293"/>
      <c r="L710" s="309" t="s">
        <v>334</v>
      </c>
      <c r="M710" s="309" t="s">
        <v>335</v>
      </c>
      <c r="N710" s="310" t="s">
        <v>336</v>
      </c>
      <c r="O710" s="311"/>
      <c r="P710" s="309"/>
      <c r="Q710" s="312"/>
      <c r="R710" s="312"/>
      <c r="S710" s="313"/>
      <c r="T710" s="294"/>
    </row>
    <row r="711" spans="2:20" ht="15" hidden="1" customHeight="1" thickBot="1">
      <c r="B711" s="314"/>
      <c r="C711" s="1388"/>
      <c r="D711" s="1388"/>
      <c r="E711" s="1388"/>
      <c r="F711" s="1388"/>
      <c r="G711" s="315"/>
      <c r="H711" s="315"/>
      <c r="I711" s="316"/>
      <c r="J711" s="317"/>
      <c r="K711" s="318"/>
      <c r="L711" s="318" t="s">
        <v>334</v>
      </c>
      <c r="M711" s="318">
        <f>S703</f>
        <v>0.06</v>
      </c>
      <c r="N711" s="318" t="s">
        <v>337</v>
      </c>
      <c r="O711" s="319">
        <f>S713</f>
        <v>0.01</v>
      </c>
      <c r="P711" s="320"/>
      <c r="Q711" s="321"/>
      <c r="R711" s="322"/>
      <c r="S711" s="323">
        <f>ROUNDDOWN(M711-O711,2)</f>
        <v>0.05</v>
      </c>
      <c r="T711" s="289" t="s">
        <v>178</v>
      </c>
    </row>
    <row r="712" spans="2:20" ht="15" hidden="1" customHeight="1">
      <c r="B712" s="255"/>
      <c r="C712" s="324"/>
      <c r="D712" s="457"/>
      <c r="E712" s="325"/>
      <c r="F712" s="326"/>
      <c r="G712" s="327"/>
      <c r="H712" s="1389">
        <v>200</v>
      </c>
      <c r="I712" s="1392">
        <f>H709+H711+H712</f>
        <v>200</v>
      </c>
      <c r="J712" s="262" t="s">
        <v>338</v>
      </c>
      <c r="K712" s="293"/>
      <c r="L712" s="293" t="s">
        <v>339</v>
      </c>
      <c r="M712" s="309"/>
      <c r="N712" s="310" t="s">
        <v>340</v>
      </c>
      <c r="O712" s="293"/>
      <c r="P712" s="293"/>
      <c r="Q712" s="328"/>
      <c r="R712" s="329"/>
      <c r="S712" s="266"/>
      <c r="T712" s="294"/>
    </row>
    <row r="713" spans="2:20" ht="15" hidden="1" customHeight="1">
      <c r="B713" s="330"/>
      <c r="C713" s="324"/>
      <c r="D713" s="331"/>
      <c r="E713" s="332"/>
      <c r="F713" s="326"/>
      <c r="G713" s="333"/>
      <c r="H713" s="1390"/>
      <c r="I713" s="1387"/>
      <c r="J713" s="334"/>
      <c r="K713" s="335"/>
      <c r="L713" s="336" t="s">
        <v>339</v>
      </c>
      <c r="M713" s="335"/>
      <c r="N713" s="335"/>
      <c r="O713" s="286">
        <f>S705</f>
        <v>0.01</v>
      </c>
      <c r="P713" s="286"/>
      <c r="Q713" s="286"/>
      <c r="R713" s="259"/>
      <c r="S713" s="323">
        <f>ROUNDDOWN(O713+Q713,2)</f>
        <v>0.01</v>
      </c>
      <c r="T713" s="337" t="s">
        <v>178</v>
      </c>
    </row>
    <row r="714" spans="2:20" ht="15" hidden="1" customHeight="1">
      <c r="B714" s="255"/>
      <c r="C714" s="324"/>
      <c r="D714" s="331"/>
      <c r="E714" s="332"/>
      <c r="F714" s="326"/>
      <c r="G714" s="333"/>
      <c r="H714" s="1390"/>
      <c r="I714" s="1387"/>
      <c r="J714" s="467" t="s">
        <v>584</v>
      </c>
      <c r="K714" s="293"/>
      <c r="L714" s="293"/>
      <c r="M714" s="293"/>
      <c r="N714" s="293"/>
      <c r="O714" s="339"/>
      <c r="P714" s="340"/>
      <c r="Q714" s="329"/>
      <c r="R714" s="341"/>
      <c r="S714" s="266"/>
      <c r="T714" s="294"/>
    </row>
    <row r="715" spans="2:20" ht="15" hidden="1" customHeight="1">
      <c r="B715" s="255"/>
      <c r="C715" s="324"/>
      <c r="D715" s="331"/>
      <c r="E715" s="332"/>
      <c r="F715" s="326"/>
      <c r="G715" s="333"/>
      <c r="H715" s="1390"/>
      <c r="I715" s="1387"/>
      <c r="J715" s="342" t="s">
        <v>341</v>
      </c>
      <c r="K715" s="343">
        <f>D705/1000</f>
        <v>0.3</v>
      </c>
      <c r="L715" s="344" t="s">
        <v>59</v>
      </c>
      <c r="M715" s="412">
        <f>D720/1000</f>
        <v>0.3</v>
      </c>
      <c r="N715" s="346" t="s">
        <v>137</v>
      </c>
      <c r="O715" s="347" t="s">
        <v>342</v>
      </c>
      <c r="P715" s="348">
        <f>I712/1000</f>
        <v>0.2</v>
      </c>
      <c r="Q715" s="349" t="s">
        <v>343</v>
      </c>
      <c r="R715" s="350">
        <v>4</v>
      </c>
      <c r="S715" s="351">
        <f>((K715+M715)/2)*P715*R715</f>
        <v>0.24</v>
      </c>
      <c r="T715" s="289" t="s">
        <v>344</v>
      </c>
    </row>
    <row r="716" spans="2:20" ht="15" hidden="1" customHeight="1" thickBot="1">
      <c r="B716" s="255"/>
      <c r="C716" s="352"/>
      <c r="D716" s="353"/>
      <c r="E716" s="354"/>
      <c r="F716" s="355"/>
      <c r="G716" s="356"/>
      <c r="H716" s="1391"/>
      <c r="I716" s="1387"/>
      <c r="J716" s="357"/>
      <c r="K716" s="358"/>
      <c r="L716" s="358"/>
      <c r="M716" s="358"/>
      <c r="N716" s="358"/>
      <c r="O716" s="359"/>
      <c r="P716" s="329"/>
      <c r="Q716" s="329"/>
      <c r="R716" s="329"/>
      <c r="S716" s="360"/>
      <c r="T716" s="361"/>
    </row>
    <row r="717" spans="2:20" ht="15" hidden="1" customHeight="1">
      <c r="B717" s="255"/>
      <c r="C717" s="362"/>
      <c r="D717" s="363"/>
      <c r="E717" s="364"/>
      <c r="F717" s="365"/>
      <c r="G717" s="456"/>
      <c r="H717" s="269"/>
      <c r="I717" s="282"/>
      <c r="J717" s="366"/>
      <c r="K717" s="367"/>
      <c r="L717" s="320"/>
      <c r="M717" s="368"/>
      <c r="N717" s="369"/>
      <c r="P717" s="370"/>
      <c r="Q717" s="350"/>
      <c r="R717" s="350"/>
      <c r="S717" s="323"/>
      <c r="T717" s="298"/>
    </row>
    <row r="718" spans="2:20" ht="15" hidden="1" customHeight="1">
      <c r="B718" s="255"/>
      <c r="C718" s="371">
        <v>100</v>
      </c>
      <c r="D718" s="1379">
        <v>300</v>
      </c>
      <c r="E718" s="1381"/>
      <c r="F718" s="372">
        <v>100</v>
      </c>
      <c r="G718" s="268"/>
      <c r="H718" s="373"/>
      <c r="I718" s="282"/>
      <c r="J718" s="357"/>
      <c r="K718" s="358"/>
      <c r="L718" s="358"/>
      <c r="M718" s="358"/>
      <c r="N718" s="358"/>
      <c r="O718" s="374"/>
      <c r="P718" s="375"/>
      <c r="Q718" s="374"/>
      <c r="R718" s="265"/>
      <c r="S718" s="266"/>
      <c r="T718" s="294"/>
    </row>
    <row r="719" spans="2:20" ht="15" hidden="1" customHeight="1">
      <c r="B719" s="376"/>
      <c r="C719" s="377"/>
      <c r="D719" s="303"/>
      <c r="E719" s="302"/>
      <c r="F719" s="378"/>
      <c r="G719" s="379"/>
      <c r="H719" s="373"/>
      <c r="I719" s="282"/>
      <c r="J719" s="380"/>
      <c r="K719" s="306"/>
      <c r="L719" s="306"/>
      <c r="M719" s="306"/>
      <c r="N719" s="306"/>
      <c r="O719" s="381"/>
      <c r="P719" s="381"/>
      <c r="Q719" s="381"/>
      <c r="R719" s="381"/>
      <c r="S719" s="382"/>
      <c r="T719" s="383"/>
    </row>
    <row r="720" spans="2:20" ht="15" hidden="1" customHeight="1">
      <c r="B720" s="255"/>
      <c r="C720" s="371">
        <v>100</v>
      </c>
      <c r="D720" s="1379">
        <v>300</v>
      </c>
      <c r="E720" s="1381"/>
      <c r="F720" s="372">
        <v>100</v>
      </c>
      <c r="G720" s="268"/>
      <c r="H720" s="373"/>
      <c r="I720" s="282"/>
      <c r="J720" s="357" t="s">
        <v>345</v>
      </c>
      <c r="K720" s="384"/>
      <c r="L720" s="470" t="s">
        <v>735</v>
      </c>
      <c r="M720" s="384"/>
      <c r="N720" s="384"/>
      <c r="O720" s="283"/>
      <c r="P720" s="385"/>
      <c r="Q720" s="385"/>
      <c r="R720" s="385"/>
      <c r="S720" s="386"/>
      <c r="T720" s="387"/>
    </row>
    <row r="721" spans="2:20" ht="15" hidden="1" customHeight="1">
      <c r="B721" s="255"/>
      <c r="C721" s="290"/>
      <c r="D721" s="388"/>
      <c r="E721" s="388"/>
      <c r="F721" s="389"/>
      <c r="G721" s="379"/>
      <c r="H721" s="373"/>
      <c r="I721" s="282"/>
      <c r="J721" s="390"/>
      <c r="K721" s="391"/>
      <c r="L721" s="391"/>
      <c r="M721" s="391"/>
      <c r="N721" s="391"/>
      <c r="O721" s="392"/>
      <c r="P721" s="393"/>
      <c r="Q721" s="381"/>
      <c r="R721" s="259"/>
      <c r="S721" s="394">
        <v>1</v>
      </c>
      <c r="T721" s="383" t="s">
        <v>37</v>
      </c>
    </row>
    <row r="722" spans="2:20" ht="15" hidden="1" customHeight="1">
      <c r="B722" s="255"/>
      <c r="C722" s="1376"/>
      <c r="D722" s="1377"/>
      <c r="E722" s="1377"/>
      <c r="F722" s="1378"/>
      <c r="G722" s="268"/>
      <c r="H722" s="269"/>
      <c r="I722" s="282"/>
      <c r="J722" s="262" t="s">
        <v>346</v>
      </c>
      <c r="K722" s="384"/>
      <c r="L722" s="384" t="s">
        <v>526</v>
      </c>
      <c r="M722" s="264"/>
      <c r="N722" s="264"/>
      <c r="O722" s="265"/>
      <c r="P722" s="265"/>
      <c r="Q722" s="329"/>
      <c r="R722" s="329"/>
      <c r="S722" s="266"/>
      <c r="T722" s="267"/>
    </row>
    <row r="723" spans="2:20" ht="15" hidden="1" customHeight="1">
      <c r="B723" s="255"/>
      <c r="C723" s="1379">
        <f>C718+D718+F718</f>
        <v>500</v>
      </c>
      <c r="D723" s="1380"/>
      <c r="E723" s="1380"/>
      <c r="F723" s="1381"/>
      <c r="G723" s="268"/>
      <c r="H723" s="456"/>
      <c r="I723" s="257"/>
      <c r="J723" s="334"/>
      <c r="K723" s="258"/>
      <c r="L723" s="258"/>
      <c r="M723" s="258"/>
      <c r="N723" s="258"/>
      <c r="O723" s="259">
        <v>1</v>
      </c>
      <c r="P723" s="381"/>
      <c r="Q723" s="259"/>
      <c r="R723" s="259"/>
      <c r="S723" s="395">
        <f>O723</f>
        <v>1</v>
      </c>
      <c r="T723" s="261" t="s">
        <v>36</v>
      </c>
    </row>
    <row r="724" spans="2:20" ht="15" hidden="1" customHeight="1">
      <c r="B724" s="255"/>
      <c r="C724" s="396"/>
      <c r="D724" s="388"/>
      <c r="E724" s="388"/>
      <c r="F724" s="397"/>
      <c r="G724" s="268"/>
      <c r="H724" s="269"/>
      <c r="I724" s="257"/>
      <c r="J724" s="262"/>
      <c r="K724" s="398"/>
      <c r="L724" s="398"/>
      <c r="M724" s="398"/>
      <c r="N724" s="398"/>
      <c r="O724" s="399"/>
      <c r="P724" s="400"/>
      <c r="Q724" s="399"/>
      <c r="R724" s="399"/>
      <c r="S724" s="401"/>
      <c r="T724" s="402"/>
    </row>
    <row r="725" spans="2:20" ht="15" hidden="1" customHeight="1">
      <c r="B725" s="255"/>
      <c r="C725" s="1379">
        <f>C720+D720+F720</f>
        <v>500</v>
      </c>
      <c r="D725" s="1380"/>
      <c r="E725" s="1380"/>
      <c r="F725" s="1381"/>
      <c r="G725" s="268"/>
      <c r="H725" s="456"/>
      <c r="I725" s="257"/>
      <c r="J725" s="403"/>
      <c r="K725" s="404"/>
      <c r="L725" s="404"/>
      <c r="M725" s="404"/>
      <c r="N725" s="404"/>
      <c r="O725" s="259"/>
      <c r="P725" s="405"/>
      <c r="Q725" s="405"/>
      <c r="R725" s="405"/>
      <c r="S725" s="395"/>
      <c r="T725" s="261"/>
    </row>
    <row r="726" spans="2:20" ht="15" hidden="1" customHeight="1">
      <c r="B726" s="255"/>
      <c r="C726" s="256"/>
      <c r="D726" s="456"/>
      <c r="E726" s="456"/>
      <c r="F726" s="456"/>
      <c r="G726" s="456"/>
      <c r="H726" s="456"/>
      <c r="I726" s="257"/>
      <c r="J726" s="406"/>
      <c r="K726" s="264"/>
      <c r="L726" s="264"/>
      <c r="M726" s="264"/>
      <c r="N726" s="264"/>
      <c r="O726" s="265"/>
      <c r="P726" s="265"/>
      <c r="Q726" s="329"/>
      <c r="R726" s="329"/>
      <c r="S726" s="266"/>
      <c r="T726" s="267"/>
    </row>
    <row r="727" spans="2:20" ht="15" hidden="1" customHeight="1">
      <c r="B727" s="255"/>
      <c r="C727" s="256"/>
      <c r="D727" s="456"/>
      <c r="E727" s="456"/>
      <c r="F727" s="456"/>
      <c r="G727" s="456"/>
      <c r="H727" s="456"/>
      <c r="I727" s="269"/>
      <c r="J727" s="334"/>
      <c r="K727" s="258"/>
      <c r="L727" s="258"/>
      <c r="M727" s="258"/>
      <c r="N727" s="258"/>
      <c r="O727" s="259"/>
      <c r="P727" s="381"/>
      <c r="Q727" s="259"/>
      <c r="R727" s="259"/>
      <c r="S727" s="395"/>
      <c r="T727" s="261"/>
    </row>
    <row r="728" spans="2:20" ht="15" hidden="1" customHeight="1">
      <c r="B728" s="255"/>
      <c r="C728" s="256"/>
      <c r="D728" s="456"/>
      <c r="E728" s="456"/>
      <c r="F728" s="456"/>
      <c r="G728" s="456"/>
      <c r="H728" s="456"/>
      <c r="I728" s="257"/>
      <c r="J728" s="262"/>
      <c r="K728" s="407"/>
      <c r="L728" s="407"/>
      <c r="M728" s="407"/>
      <c r="N728" s="407"/>
      <c r="O728" s="265"/>
      <c r="P728" s="265"/>
      <c r="Q728" s="265"/>
      <c r="R728" s="265"/>
      <c r="S728" s="266"/>
      <c r="T728" s="267"/>
    </row>
    <row r="729" spans="2:20" ht="15" hidden="1" customHeight="1">
      <c r="B729" s="408"/>
      <c r="C729" s="409"/>
      <c r="D729" s="350"/>
      <c r="E729" s="350"/>
      <c r="F729" s="350"/>
      <c r="G729" s="350"/>
      <c r="H729" s="350"/>
      <c r="I729" s="410"/>
      <c r="J729" s="334"/>
      <c r="K729" s="258"/>
      <c r="L729" s="258"/>
      <c r="M729" s="258"/>
      <c r="N729" s="258"/>
      <c r="O729" s="259"/>
      <c r="P729" s="259"/>
      <c r="Q729" s="259"/>
      <c r="R729" s="411"/>
      <c r="S729" s="395"/>
      <c r="T729" s="261"/>
    </row>
    <row r="730" spans="2:20" ht="24.95" hidden="1" customHeight="1">
      <c r="B730" s="468" t="s">
        <v>753</v>
      </c>
      <c r="C730" s="1383" t="s">
        <v>732</v>
      </c>
      <c r="D730" s="1423"/>
      <c r="E730" s="1423"/>
      <c r="F730" s="1423"/>
      <c r="G730" s="1423"/>
      <c r="H730" s="1424"/>
      <c r="I730" s="1400" t="s">
        <v>742</v>
      </c>
      <c r="J730" s="1419"/>
      <c r="K730" s="1420"/>
      <c r="L730" s="1384"/>
      <c r="M730" s="1384"/>
      <c r="N730" s="1384"/>
      <c r="O730" s="1384"/>
      <c r="P730" s="1384"/>
      <c r="Q730" s="1384"/>
      <c r="R730" s="1384"/>
      <c r="S730" s="1384"/>
      <c r="T730" s="1385"/>
    </row>
    <row r="731" spans="2:20" ht="15" hidden="1" customHeight="1">
      <c r="B731" s="255"/>
      <c r="C731" s="256"/>
      <c r="D731" s="456"/>
      <c r="E731" s="456"/>
      <c r="F731" s="456"/>
      <c r="G731" s="456"/>
      <c r="H731" s="456"/>
      <c r="I731" s="257"/>
      <c r="J731" s="258"/>
      <c r="K731" s="258"/>
      <c r="L731" s="258" t="s">
        <v>39</v>
      </c>
      <c r="M731" s="258" t="s">
        <v>40</v>
      </c>
      <c r="N731" s="258" t="s">
        <v>41</v>
      </c>
      <c r="O731" s="259" t="s">
        <v>42</v>
      </c>
      <c r="P731" s="259" t="s">
        <v>43</v>
      </c>
      <c r="Q731" s="259"/>
      <c r="R731" s="259"/>
      <c r="S731" s="260" t="s">
        <v>44</v>
      </c>
      <c r="T731" s="261"/>
    </row>
    <row r="732" spans="2:20" ht="15" hidden="1" customHeight="1">
      <c r="B732" s="255"/>
      <c r="C732" s="256"/>
      <c r="D732" s="456"/>
      <c r="E732" s="456"/>
      <c r="F732" s="456"/>
      <c r="G732" s="456"/>
      <c r="H732" s="456"/>
      <c r="I732" s="257"/>
      <c r="J732" s="262" t="s">
        <v>45</v>
      </c>
      <c r="K732" s="263"/>
      <c r="L732" s="263" t="s">
        <v>46</v>
      </c>
      <c r="M732" s="264"/>
      <c r="N732" s="264"/>
      <c r="P732" s="265"/>
      <c r="Q732" s="265"/>
      <c r="R732" s="265"/>
      <c r="S732" s="266"/>
      <c r="T732" s="267"/>
    </row>
    <row r="733" spans="2:20" ht="15" hidden="1" customHeight="1">
      <c r="B733" s="255"/>
      <c r="C733" s="1377">
        <f>C755+(0.3*(H744)*2)</f>
        <v>1320</v>
      </c>
      <c r="D733" s="1377"/>
      <c r="E733" s="1377"/>
      <c r="F733" s="1377"/>
      <c r="G733" s="268"/>
      <c r="H733" s="269"/>
      <c r="I733" s="257"/>
      <c r="J733" s="270" t="s">
        <v>47</v>
      </c>
      <c r="K733" s="271">
        <f>C733/1000</f>
        <v>1.32</v>
      </c>
      <c r="L733" s="271"/>
      <c r="M733" s="271"/>
      <c r="N733" s="272" t="s">
        <v>48</v>
      </c>
      <c r="O733" s="273">
        <f>C755/1000</f>
        <v>1.2</v>
      </c>
      <c r="P733" s="274"/>
      <c r="Q733" s="275" t="s">
        <v>49</v>
      </c>
      <c r="R733" s="276">
        <f>(H744)/1000</f>
        <v>0.2</v>
      </c>
      <c r="S733" s="277"/>
      <c r="T733" s="278"/>
    </row>
    <row r="734" spans="2:20" ht="15" hidden="1" customHeight="1">
      <c r="B734" s="255"/>
      <c r="C734" s="279"/>
      <c r="D734" s="280"/>
      <c r="E734" s="280"/>
      <c r="F734" s="281"/>
      <c r="G734" s="268"/>
      <c r="H734" s="269"/>
      <c r="I734" s="282"/>
      <c r="J734" s="270" t="s">
        <v>50</v>
      </c>
      <c r="K734" s="271">
        <f>C735/1000</f>
        <v>0.42</v>
      </c>
      <c r="L734" s="271"/>
      <c r="M734" s="271"/>
      <c r="N734" s="272" t="s">
        <v>51</v>
      </c>
      <c r="O734" s="273">
        <f>C757/1000</f>
        <v>0.3</v>
      </c>
      <c r="P734" s="274"/>
      <c r="Q734" s="254"/>
      <c r="R734" s="283"/>
      <c r="S734" s="284"/>
      <c r="T734" s="278"/>
    </row>
    <row r="735" spans="2:20" ht="15" hidden="1" customHeight="1">
      <c r="B735" s="255"/>
      <c r="C735" s="1379">
        <f>C757+(0.3*(H744)*2)</f>
        <v>420</v>
      </c>
      <c r="D735" s="1380"/>
      <c r="E735" s="1380"/>
      <c r="F735" s="1381"/>
      <c r="G735" s="268"/>
      <c r="H735" s="269"/>
      <c r="I735" s="282"/>
      <c r="J735" s="285" t="s">
        <v>52</v>
      </c>
      <c r="K735" s="286"/>
      <c r="L735" s="286"/>
      <c r="M735" s="286"/>
      <c r="N735" s="286"/>
      <c r="O735" s="287"/>
      <c r="P735" s="286"/>
      <c r="Q735" s="259"/>
      <c r="R735" s="259"/>
      <c r="S735" s="288">
        <f>ROUNDDOWN(R733/6*((2*K733+O733)*K734+(2*O733+K733)*O734),2)</f>
        <v>0.09</v>
      </c>
      <c r="T735" s="289" t="s">
        <v>178</v>
      </c>
    </row>
    <row r="736" spans="2:20" ht="15" hidden="1" customHeight="1">
      <c r="B736" s="255"/>
      <c r="C736" s="290"/>
      <c r="D736" s="291"/>
      <c r="E736" s="291"/>
      <c r="F736" s="281"/>
      <c r="G736" s="268"/>
      <c r="H736" s="269"/>
      <c r="I736" s="282"/>
      <c r="J736" s="262" t="s">
        <v>53</v>
      </c>
      <c r="K736" s="292"/>
      <c r="L736" s="292" t="s">
        <v>54</v>
      </c>
      <c r="M736" s="293"/>
      <c r="N736" s="293"/>
      <c r="O736" s="293"/>
      <c r="P736" s="292"/>
      <c r="Q736" s="263"/>
      <c r="R736" s="263"/>
      <c r="S736" s="266"/>
      <c r="T736" s="294"/>
    </row>
    <row r="737" spans="2:20" ht="15" hidden="1" customHeight="1">
      <c r="B737" s="255"/>
      <c r="C737" s="295"/>
      <c r="D737" s="1386">
        <v>1000</v>
      </c>
      <c r="E737" s="1387"/>
      <c r="F737" s="296"/>
      <c r="G737" s="268"/>
      <c r="H737" s="269"/>
      <c r="I737" s="282"/>
      <c r="J737" s="270" t="s">
        <v>47</v>
      </c>
      <c r="K737" s="542">
        <f>D737/1000</f>
        <v>1</v>
      </c>
      <c r="L737" s="271"/>
      <c r="M737" s="271"/>
      <c r="N737" s="272" t="s">
        <v>48</v>
      </c>
      <c r="O737" s="271">
        <f>D752/1000</f>
        <v>0.1</v>
      </c>
      <c r="P737" s="274"/>
      <c r="Q737" s="275" t="s">
        <v>49</v>
      </c>
      <c r="R737" s="276">
        <f>H744/1000</f>
        <v>0.2</v>
      </c>
      <c r="S737" s="557">
        <f>ROUNDDOWN(K737*O737*R737,2)</f>
        <v>0.02</v>
      </c>
      <c r="T737" s="298" t="s">
        <v>55</v>
      </c>
    </row>
    <row r="738" spans="2:20" ht="15" hidden="1" customHeight="1">
      <c r="B738" s="255"/>
      <c r="C738" s="299"/>
      <c r="D738" s="300"/>
      <c r="E738" s="301"/>
      <c r="F738" s="302"/>
      <c r="G738" s="456"/>
      <c r="H738" s="269"/>
      <c r="I738" s="282"/>
      <c r="J738" s="270"/>
      <c r="K738" s="271"/>
      <c r="L738" s="271"/>
      <c r="M738" s="271"/>
      <c r="N738" s="272"/>
      <c r="O738" s="271"/>
      <c r="P738" s="274"/>
      <c r="Q738" s="275"/>
      <c r="R738" s="276"/>
      <c r="S738" s="297"/>
      <c r="T738" s="298"/>
    </row>
    <row r="739" spans="2:20" ht="15" hidden="1" customHeight="1">
      <c r="B739" s="255"/>
      <c r="C739" s="299"/>
      <c r="D739" s="303"/>
      <c r="E739" s="302"/>
      <c r="F739" s="302"/>
      <c r="G739" s="456"/>
      <c r="H739" s="269"/>
      <c r="I739" s="282"/>
      <c r="J739" s="270"/>
      <c r="K739" s="271"/>
      <c r="L739" s="271"/>
      <c r="M739" s="271"/>
      <c r="N739" s="272"/>
      <c r="O739" s="271"/>
      <c r="P739" s="274"/>
      <c r="Q739" s="275"/>
      <c r="R739" s="276"/>
      <c r="S739" s="297"/>
      <c r="T739" s="541"/>
    </row>
    <row r="740" spans="2:20" ht="15" hidden="1" customHeight="1">
      <c r="B740" s="255"/>
      <c r="C740" s="299"/>
      <c r="D740" s="303"/>
      <c r="E740" s="302"/>
      <c r="F740" s="302"/>
      <c r="G740" s="456"/>
      <c r="H740" s="269"/>
      <c r="I740" s="282"/>
      <c r="J740" s="270"/>
      <c r="K740" s="271"/>
      <c r="L740" s="271"/>
      <c r="M740" s="271"/>
      <c r="N740" s="304"/>
      <c r="O740" s="271"/>
      <c r="P740" s="274"/>
      <c r="Q740" s="275"/>
      <c r="R740" s="276"/>
      <c r="S740" s="297"/>
      <c r="T740" s="298"/>
    </row>
    <row r="741" spans="2:20" ht="15" hidden="1" customHeight="1">
      <c r="B741" s="255"/>
      <c r="C741" s="299"/>
      <c r="D741" s="303"/>
      <c r="E741" s="302"/>
      <c r="F741" s="302"/>
      <c r="G741" s="456"/>
      <c r="H741" s="305"/>
      <c r="I741" s="282"/>
      <c r="J741" s="285" t="s">
        <v>57</v>
      </c>
      <c r="K741" s="286"/>
      <c r="L741" s="286"/>
      <c r="M741" s="286"/>
      <c r="N741" s="286"/>
      <c r="O741" s="287"/>
      <c r="P741" s="286"/>
      <c r="Q741" s="306"/>
      <c r="R741" s="307"/>
      <c r="S741" s="288">
        <f>SUM(S737:S740)</f>
        <v>0.02</v>
      </c>
      <c r="T741" s="289" t="s">
        <v>178</v>
      </c>
    </row>
    <row r="742" spans="2:20" ht="15" hidden="1" customHeight="1">
      <c r="B742" s="255"/>
      <c r="C742" s="299"/>
      <c r="D742" s="303"/>
      <c r="E742" s="302"/>
      <c r="F742" s="302"/>
      <c r="G742" s="456"/>
      <c r="H742" s="269"/>
      <c r="I742" s="308"/>
      <c r="J742" s="262" t="s">
        <v>58</v>
      </c>
      <c r="K742" s="293"/>
      <c r="L742" s="309" t="s">
        <v>334</v>
      </c>
      <c r="M742" s="309" t="s">
        <v>335</v>
      </c>
      <c r="N742" s="310" t="s">
        <v>336</v>
      </c>
      <c r="O742" s="311"/>
      <c r="P742" s="309"/>
      <c r="Q742" s="312"/>
      <c r="R742" s="312"/>
      <c r="S742" s="313"/>
      <c r="T742" s="294"/>
    </row>
    <row r="743" spans="2:20" ht="15" hidden="1" customHeight="1" thickBot="1">
      <c r="B743" s="314"/>
      <c r="C743" s="1388"/>
      <c r="D743" s="1388"/>
      <c r="E743" s="1388"/>
      <c r="F743" s="1388"/>
      <c r="G743" s="315"/>
      <c r="H743" s="315"/>
      <c r="I743" s="316"/>
      <c r="J743" s="317"/>
      <c r="K743" s="318"/>
      <c r="L743" s="318" t="s">
        <v>334</v>
      </c>
      <c r="M743" s="318">
        <f>S735</f>
        <v>0.09</v>
      </c>
      <c r="N743" s="318" t="s">
        <v>337</v>
      </c>
      <c r="O743" s="319">
        <f>S745</f>
        <v>0.02</v>
      </c>
      <c r="P743" s="320"/>
      <c r="Q743" s="321"/>
      <c r="R743" s="322"/>
      <c r="S743" s="323">
        <f>ROUNDDOWN(M743-O743,2)</f>
        <v>7.0000000000000007E-2</v>
      </c>
      <c r="T743" s="289" t="s">
        <v>178</v>
      </c>
    </row>
    <row r="744" spans="2:20" ht="15" hidden="1" customHeight="1">
      <c r="B744" s="255"/>
      <c r="C744" s="324"/>
      <c r="D744" s="457"/>
      <c r="E744" s="325"/>
      <c r="F744" s="326"/>
      <c r="G744" s="327"/>
      <c r="H744" s="1389">
        <v>200</v>
      </c>
      <c r="I744" s="1392">
        <f>H741+H743+H744</f>
        <v>200</v>
      </c>
      <c r="J744" s="262" t="s">
        <v>338</v>
      </c>
      <c r="K744" s="293"/>
      <c r="L744" s="293" t="s">
        <v>339</v>
      </c>
      <c r="M744" s="309"/>
      <c r="N744" s="310" t="s">
        <v>340</v>
      </c>
      <c r="O744" s="293"/>
      <c r="P744" s="293"/>
      <c r="Q744" s="328"/>
      <c r="R744" s="329"/>
      <c r="S744" s="266"/>
      <c r="T744" s="294"/>
    </row>
    <row r="745" spans="2:20" ht="15" hidden="1" customHeight="1">
      <c r="B745" s="330"/>
      <c r="C745" s="324"/>
      <c r="D745" s="331"/>
      <c r="E745" s="332"/>
      <c r="F745" s="326"/>
      <c r="G745" s="333"/>
      <c r="H745" s="1390"/>
      <c r="I745" s="1387"/>
      <c r="J745" s="334"/>
      <c r="K745" s="335"/>
      <c r="L745" s="336" t="s">
        <v>339</v>
      </c>
      <c r="M745" s="335"/>
      <c r="N745" s="335"/>
      <c r="O745" s="286">
        <f>S737</f>
        <v>0.02</v>
      </c>
      <c r="P745" s="286"/>
      <c r="Q745" s="286"/>
      <c r="R745" s="259"/>
      <c r="S745" s="323">
        <f>ROUNDDOWN(O745+Q745,2)</f>
        <v>0.02</v>
      </c>
      <c r="T745" s="337" t="s">
        <v>178</v>
      </c>
    </row>
    <row r="746" spans="2:20" ht="15" hidden="1" customHeight="1">
      <c r="B746" s="255"/>
      <c r="C746" s="324"/>
      <c r="D746" s="331"/>
      <c r="E746" s="332"/>
      <c r="F746" s="326"/>
      <c r="G746" s="333"/>
      <c r="H746" s="1390"/>
      <c r="I746" s="1387"/>
      <c r="J746" s="467" t="s">
        <v>584</v>
      </c>
      <c r="K746" s="293"/>
      <c r="L746" s="293"/>
      <c r="M746" s="293"/>
      <c r="N746" s="293"/>
      <c r="O746" s="339"/>
      <c r="P746" s="340"/>
      <c r="Q746" s="329"/>
      <c r="R746" s="341"/>
      <c r="S746" s="266"/>
      <c r="T746" s="294"/>
    </row>
    <row r="747" spans="2:20" ht="15" hidden="1" customHeight="1">
      <c r="B747" s="255"/>
      <c r="C747" s="324"/>
      <c r="D747" s="331"/>
      <c r="E747" s="332"/>
      <c r="F747" s="326"/>
      <c r="G747" s="333"/>
      <c r="H747" s="1390"/>
      <c r="I747" s="1387"/>
      <c r="J747" s="342" t="s">
        <v>341</v>
      </c>
      <c r="K747" s="343">
        <f>D737/1000</f>
        <v>1</v>
      </c>
      <c r="L747" s="344" t="s">
        <v>59</v>
      </c>
      <c r="M747" s="412">
        <f>D752/1000</f>
        <v>0.1</v>
      </c>
      <c r="N747" s="346" t="s">
        <v>137</v>
      </c>
      <c r="O747" s="347" t="s">
        <v>342</v>
      </c>
      <c r="P747" s="348">
        <f>I744/1000</f>
        <v>0.2</v>
      </c>
      <c r="Q747" s="349" t="s">
        <v>343</v>
      </c>
      <c r="R747" s="350">
        <v>4</v>
      </c>
      <c r="S747" s="351">
        <f>((K747+M747)/2)*P747*R747</f>
        <v>0.44000000000000006</v>
      </c>
      <c r="T747" s="289" t="s">
        <v>344</v>
      </c>
    </row>
    <row r="748" spans="2:20" ht="15" hidden="1" customHeight="1" thickBot="1">
      <c r="B748" s="255"/>
      <c r="C748" s="352"/>
      <c r="D748" s="353"/>
      <c r="E748" s="354"/>
      <c r="F748" s="355"/>
      <c r="G748" s="356"/>
      <c r="H748" s="1391"/>
      <c r="I748" s="1387"/>
      <c r="J748" s="357"/>
      <c r="K748" s="358"/>
      <c r="L748" s="358"/>
      <c r="M748" s="358"/>
      <c r="N748" s="358"/>
      <c r="O748" s="359"/>
      <c r="P748" s="329"/>
      <c r="Q748" s="329"/>
      <c r="R748" s="329"/>
      <c r="S748" s="360"/>
      <c r="T748" s="361"/>
    </row>
    <row r="749" spans="2:20" ht="15" hidden="1" customHeight="1">
      <c r="B749" s="255"/>
      <c r="C749" s="362"/>
      <c r="D749" s="363"/>
      <c r="E749" s="364"/>
      <c r="F749" s="365"/>
      <c r="G749" s="456"/>
      <c r="H749" s="269"/>
      <c r="I749" s="282"/>
      <c r="J749" s="366"/>
      <c r="K749" s="367"/>
      <c r="L749" s="320"/>
      <c r="M749" s="368"/>
      <c r="N749" s="369"/>
      <c r="P749" s="370"/>
      <c r="Q749" s="350"/>
      <c r="R749" s="350"/>
      <c r="S749" s="323"/>
      <c r="T749" s="298"/>
    </row>
    <row r="750" spans="2:20" ht="15" hidden="1" customHeight="1">
      <c r="B750" s="255"/>
      <c r="C750" s="371">
        <v>100</v>
      </c>
      <c r="D750" s="1379">
        <v>1000</v>
      </c>
      <c r="E750" s="1381"/>
      <c r="F750" s="372">
        <v>100</v>
      </c>
      <c r="G750" s="268"/>
      <c r="H750" s="373"/>
      <c r="I750" s="282"/>
      <c r="J750" s="357"/>
      <c r="K750" s="358"/>
      <c r="L750" s="358"/>
      <c r="M750" s="358"/>
      <c r="N750" s="358"/>
      <c r="O750" s="374"/>
      <c r="P750" s="375"/>
      <c r="Q750" s="374"/>
      <c r="R750" s="265"/>
      <c r="S750" s="266"/>
      <c r="T750" s="294"/>
    </row>
    <row r="751" spans="2:20" ht="15" hidden="1" customHeight="1">
      <c r="B751" s="376"/>
      <c r="C751" s="377"/>
      <c r="D751" s="303"/>
      <c r="E751" s="302"/>
      <c r="F751" s="378"/>
      <c r="G751" s="379"/>
      <c r="H751" s="373"/>
      <c r="I751" s="282"/>
      <c r="J751" s="380"/>
      <c r="K751" s="306"/>
      <c r="L751" s="306"/>
      <c r="M751" s="306"/>
      <c r="N751" s="306"/>
      <c r="O751" s="381"/>
      <c r="P751" s="381"/>
      <c r="Q751" s="381"/>
      <c r="R751" s="381"/>
      <c r="S751" s="382"/>
      <c r="T751" s="383"/>
    </row>
    <row r="752" spans="2:20" ht="15" hidden="1" customHeight="1">
      <c r="B752" s="255"/>
      <c r="C752" s="371">
        <v>100</v>
      </c>
      <c r="D752" s="1379">
        <v>100</v>
      </c>
      <c r="E752" s="1381"/>
      <c r="F752" s="372">
        <v>100</v>
      </c>
      <c r="G752" s="268"/>
      <c r="H752" s="373"/>
      <c r="I752" s="282"/>
      <c r="J752" s="357" t="s">
        <v>345</v>
      </c>
      <c r="K752" s="384"/>
      <c r="L752" s="470" t="s">
        <v>735</v>
      </c>
      <c r="M752" s="384"/>
      <c r="N752" s="384"/>
      <c r="O752" s="283"/>
      <c r="P752" s="385"/>
      <c r="Q752" s="385"/>
      <c r="R752" s="385"/>
      <c r="S752" s="386"/>
      <c r="T752" s="387"/>
    </row>
    <row r="753" spans="2:20" ht="15" hidden="1" customHeight="1">
      <c r="B753" s="255"/>
      <c r="C753" s="290"/>
      <c r="D753" s="388"/>
      <c r="E753" s="388"/>
      <c r="F753" s="389"/>
      <c r="G753" s="379"/>
      <c r="H753" s="373"/>
      <c r="I753" s="282"/>
      <c r="J753" s="390"/>
      <c r="K753" s="391"/>
      <c r="L753" s="391"/>
      <c r="M753" s="391"/>
      <c r="N753" s="391"/>
      <c r="O753" s="392"/>
      <c r="P753" s="393"/>
      <c r="Q753" s="381"/>
      <c r="R753" s="259"/>
      <c r="S753" s="394">
        <v>2</v>
      </c>
      <c r="T753" s="383" t="s">
        <v>37</v>
      </c>
    </row>
    <row r="754" spans="2:20" ht="15" hidden="1" customHeight="1">
      <c r="B754" s="255"/>
      <c r="C754" s="1376"/>
      <c r="D754" s="1377"/>
      <c r="E754" s="1377"/>
      <c r="F754" s="1378"/>
      <c r="G754" s="268"/>
      <c r="H754" s="269"/>
      <c r="I754" s="282"/>
      <c r="J754" s="262" t="s">
        <v>346</v>
      </c>
      <c r="K754" s="384"/>
      <c r="L754" s="384" t="s">
        <v>526</v>
      </c>
      <c r="M754" s="264"/>
      <c r="N754" s="264"/>
      <c r="O754" s="265"/>
      <c r="P754" s="265"/>
      <c r="Q754" s="329"/>
      <c r="R754" s="329"/>
      <c r="S754" s="266"/>
      <c r="T754" s="267"/>
    </row>
    <row r="755" spans="2:20" ht="15" hidden="1" customHeight="1">
      <c r="B755" s="255"/>
      <c r="C755" s="1379">
        <f>C750+D750+F750</f>
        <v>1200</v>
      </c>
      <c r="D755" s="1380"/>
      <c r="E755" s="1380"/>
      <c r="F755" s="1381"/>
      <c r="G755" s="268"/>
      <c r="H755" s="456"/>
      <c r="I755" s="257"/>
      <c r="J755" s="334"/>
      <c r="K755" s="258"/>
      <c r="L755" s="258"/>
      <c r="M755" s="258"/>
      <c r="N755" s="258"/>
      <c r="O755" s="259">
        <v>1</v>
      </c>
      <c r="P755" s="381"/>
      <c r="Q755" s="259"/>
      <c r="R755" s="259"/>
      <c r="S755" s="395">
        <f>O755</f>
        <v>1</v>
      </c>
      <c r="T755" s="261" t="s">
        <v>36</v>
      </c>
    </row>
    <row r="756" spans="2:20" ht="15" hidden="1" customHeight="1">
      <c r="B756" s="255"/>
      <c r="C756" s="396"/>
      <c r="D756" s="388"/>
      <c r="E756" s="388"/>
      <c r="F756" s="397"/>
      <c r="G756" s="268"/>
      <c r="H756" s="269"/>
      <c r="I756" s="257"/>
      <c r="J756" s="262"/>
      <c r="K756" s="398"/>
      <c r="L756" s="398"/>
      <c r="M756" s="398"/>
      <c r="N756" s="398"/>
      <c r="O756" s="399"/>
      <c r="P756" s="400"/>
      <c r="Q756" s="399"/>
      <c r="R756" s="399"/>
      <c r="S756" s="401"/>
      <c r="T756" s="402"/>
    </row>
    <row r="757" spans="2:20" ht="15" hidden="1" customHeight="1">
      <c r="B757" s="255"/>
      <c r="C757" s="1379">
        <f>C752+D752+F752</f>
        <v>300</v>
      </c>
      <c r="D757" s="1380"/>
      <c r="E757" s="1380"/>
      <c r="F757" s="1381"/>
      <c r="G757" s="268"/>
      <c r="H757" s="456"/>
      <c r="I757" s="257"/>
      <c r="J757" s="403"/>
      <c r="K757" s="404"/>
      <c r="L757" s="404"/>
      <c r="M757" s="404"/>
      <c r="N757" s="404"/>
      <c r="O757" s="259"/>
      <c r="P757" s="405"/>
      <c r="Q757" s="405"/>
      <c r="R757" s="405"/>
      <c r="S757" s="395"/>
      <c r="T757" s="261"/>
    </row>
    <row r="758" spans="2:20" ht="15" hidden="1" customHeight="1">
      <c r="B758" s="255"/>
      <c r="C758" s="256"/>
      <c r="D758" s="456"/>
      <c r="E758" s="456"/>
      <c r="F758" s="456"/>
      <c r="G758" s="456"/>
      <c r="H758" s="456"/>
      <c r="I758" s="257"/>
      <c r="J758" s="406"/>
      <c r="K758" s="264"/>
      <c r="L758" s="264"/>
      <c r="M758" s="264"/>
      <c r="N758" s="264"/>
      <c r="O758" s="265"/>
      <c r="P758" s="265"/>
      <c r="Q758" s="329"/>
      <c r="R758" s="329"/>
      <c r="S758" s="266"/>
      <c r="T758" s="267"/>
    </row>
    <row r="759" spans="2:20" ht="15" hidden="1" customHeight="1">
      <c r="B759" s="255"/>
      <c r="C759" s="256"/>
      <c r="D759" s="456"/>
      <c r="E759" s="456"/>
      <c r="F759" s="456"/>
      <c r="G759" s="456"/>
      <c r="H759" s="456"/>
      <c r="I759" s="269"/>
      <c r="J759" s="334"/>
      <c r="K759" s="258"/>
      <c r="L759" s="258"/>
      <c r="M759" s="258"/>
      <c r="N759" s="258"/>
      <c r="O759" s="259"/>
      <c r="P759" s="381"/>
      <c r="Q759" s="259"/>
      <c r="R759" s="259"/>
      <c r="S759" s="395"/>
      <c r="T759" s="261"/>
    </row>
    <row r="760" spans="2:20" ht="15" hidden="1" customHeight="1">
      <c r="B760" s="255"/>
      <c r="C760" s="256"/>
      <c r="D760" s="456"/>
      <c r="E760" s="456"/>
      <c r="F760" s="456"/>
      <c r="G760" s="456"/>
      <c r="H760" s="456"/>
      <c r="I760" s="257"/>
      <c r="J760" s="262"/>
      <c r="K760" s="407"/>
      <c r="L760" s="407"/>
      <c r="M760" s="407"/>
      <c r="N760" s="407"/>
      <c r="O760" s="265"/>
      <c r="P760" s="265"/>
      <c r="Q760" s="265"/>
      <c r="R760" s="265"/>
      <c r="S760" s="266"/>
      <c r="T760" s="267"/>
    </row>
    <row r="761" spans="2:20" ht="15" hidden="1" customHeight="1">
      <c r="B761" s="408"/>
      <c r="C761" s="409"/>
      <c r="D761" s="350"/>
      <c r="E761" s="350"/>
      <c r="F761" s="350"/>
      <c r="G761" s="350"/>
      <c r="H761" s="350"/>
      <c r="I761" s="410"/>
      <c r="J761" s="334"/>
      <c r="K761" s="258"/>
      <c r="L761" s="258"/>
      <c r="M761" s="258"/>
      <c r="N761" s="258"/>
      <c r="O761" s="259"/>
      <c r="P761" s="259"/>
      <c r="Q761" s="259"/>
      <c r="R761" s="411"/>
      <c r="S761" s="395"/>
      <c r="T761" s="261"/>
    </row>
    <row r="762" spans="2:20" ht="24.95" hidden="1" customHeight="1">
      <c r="B762" s="468" t="s">
        <v>754</v>
      </c>
      <c r="C762" s="1383" t="s">
        <v>745</v>
      </c>
      <c r="D762" s="1423"/>
      <c r="E762" s="1423"/>
      <c r="F762" s="1423"/>
      <c r="G762" s="1423"/>
      <c r="H762" s="1424"/>
      <c r="I762" s="1400" t="s">
        <v>748</v>
      </c>
      <c r="J762" s="1419"/>
      <c r="K762" s="1420"/>
      <c r="L762" s="1384"/>
      <c r="M762" s="1384"/>
      <c r="N762" s="1384"/>
      <c r="O762" s="1384"/>
      <c r="P762" s="1384"/>
      <c r="Q762" s="1384"/>
      <c r="R762" s="1384"/>
      <c r="S762" s="1384"/>
      <c r="T762" s="1385"/>
    </row>
    <row r="763" spans="2:20" ht="15" hidden="1" customHeight="1">
      <c r="B763" s="255"/>
      <c r="C763" s="256"/>
      <c r="D763" s="456"/>
      <c r="E763" s="456"/>
      <c r="F763" s="456"/>
      <c r="G763" s="456"/>
      <c r="H763" s="456"/>
      <c r="I763" s="257"/>
      <c r="J763" s="258"/>
      <c r="K763" s="258"/>
      <c r="L763" s="258" t="s">
        <v>39</v>
      </c>
      <c r="M763" s="258" t="s">
        <v>40</v>
      </c>
      <c r="N763" s="258" t="s">
        <v>41</v>
      </c>
      <c r="O763" s="259" t="s">
        <v>42</v>
      </c>
      <c r="P763" s="259" t="s">
        <v>43</v>
      </c>
      <c r="Q763" s="259"/>
      <c r="R763" s="259"/>
      <c r="S763" s="260" t="s">
        <v>44</v>
      </c>
      <c r="T763" s="261"/>
    </row>
    <row r="764" spans="2:20" ht="15" hidden="1" customHeight="1">
      <c r="B764" s="255"/>
      <c r="C764" s="256"/>
      <c r="D764" s="456"/>
      <c r="E764" s="456"/>
      <c r="F764" s="456"/>
      <c r="G764" s="456"/>
      <c r="H764" s="456"/>
      <c r="I764" s="257"/>
      <c r="J764" s="262" t="s">
        <v>45</v>
      </c>
      <c r="K764" s="263"/>
      <c r="L764" s="263" t="s">
        <v>46</v>
      </c>
      <c r="M764" s="264"/>
      <c r="N764" s="264"/>
      <c r="P764" s="265"/>
      <c r="Q764" s="265"/>
      <c r="R764" s="265"/>
      <c r="S764" s="266"/>
      <c r="T764" s="267"/>
    </row>
    <row r="765" spans="2:20" ht="15" hidden="1" customHeight="1">
      <c r="B765" s="255"/>
      <c r="C765" s="1377">
        <f>C787+(0.3*(H776)*2)</f>
        <v>1420</v>
      </c>
      <c r="D765" s="1377"/>
      <c r="E765" s="1377"/>
      <c r="F765" s="1377"/>
      <c r="G765" s="268"/>
      <c r="H765" s="269"/>
      <c r="I765" s="257"/>
      <c r="J765" s="270" t="s">
        <v>47</v>
      </c>
      <c r="K765" s="271">
        <f>C765/1000</f>
        <v>1.42</v>
      </c>
      <c r="L765" s="271"/>
      <c r="M765" s="271"/>
      <c r="N765" s="272" t="s">
        <v>48</v>
      </c>
      <c r="O765" s="273">
        <f>C787/1000</f>
        <v>0.7</v>
      </c>
      <c r="P765" s="274"/>
      <c r="Q765" s="275" t="s">
        <v>49</v>
      </c>
      <c r="R765" s="276">
        <f>(H776)/1000</f>
        <v>1.2</v>
      </c>
      <c r="S765" s="277"/>
      <c r="T765" s="278"/>
    </row>
    <row r="766" spans="2:20" ht="15" hidden="1" customHeight="1">
      <c r="B766" s="255"/>
      <c r="C766" s="279"/>
      <c r="D766" s="280"/>
      <c r="E766" s="280"/>
      <c r="F766" s="281"/>
      <c r="G766" s="268"/>
      <c r="H766" s="269"/>
      <c r="I766" s="282"/>
      <c r="J766" s="270" t="s">
        <v>50</v>
      </c>
      <c r="K766" s="271">
        <f>C767/1000</f>
        <v>2.02</v>
      </c>
      <c r="L766" s="271"/>
      <c r="M766" s="271"/>
      <c r="N766" s="272" t="s">
        <v>51</v>
      </c>
      <c r="O766" s="273">
        <f>C789/1000</f>
        <v>1.3</v>
      </c>
      <c r="P766" s="274"/>
      <c r="Q766" s="254"/>
      <c r="R766" s="283"/>
      <c r="S766" s="284"/>
      <c r="T766" s="278"/>
    </row>
    <row r="767" spans="2:20" ht="15" hidden="1" customHeight="1">
      <c r="B767" s="255"/>
      <c r="C767" s="1379">
        <f>C789+(0.3*(H776)*2)</f>
        <v>2020</v>
      </c>
      <c r="D767" s="1380"/>
      <c r="E767" s="1380"/>
      <c r="F767" s="1381"/>
      <c r="G767" s="268"/>
      <c r="H767" s="269"/>
      <c r="I767" s="282"/>
      <c r="J767" s="285" t="s">
        <v>52</v>
      </c>
      <c r="K767" s="286"/>
      <c r="L767" s="286"/>
      <c r="M767" s="286"/>
      <c r="N767" s="286"/>
      <c r="O767" s="287"/>
      <c r="P767" s="286"/>
      <c r="Q767" s="259"/>
      <c r="R767" s="259"/>
      <c r="S767" s="288">
        <f>ROUNDDOWN(R765/6*((2*K765+O765)*K766+(2*O765+K765)*O766),2)</f>
        <v>2.16</v>
      </c>
      <c r="T767" s="289" t="s">
        <v>178</v>
      </c>
    </row>
    <row r="768" spans="2:20" ht="15" hidden="1" customHeight="1">
      <c r="B768" s="255"/>
      <c r="C768" s="290"/>
      <c r="D768" s="291"/>
      <c r="E768" s="291"/>
      <c r="F768" s="281"/>
      <c r="G768" s="268"/>
      <c r="H768" s="269"/>
      <c r="I768" s="282"/>
      <c r="J768" s="262" t="s">
        <v>53</v>
      </c>
      <c r="K768" s="292"/>
      <c r="L768" s="292" t="s">
        <v>54</v>
      </c>
      <c r="M768" s="293"/>
      <c r="N768" s="293"/>
      <c r="O768" s="293"/>
      <c r="P768" s="292"/>
      <c r="Q768" s="263"/>
      <c r="R768" s="263"/>
      <c r="S768" s="266"/>
      <c r="T768" s="294"/>
    </row>
    <row r="769" spans="2:20" ht="15" hidden="1" customHeight="1">
      <c r="B769" s="255"/>
      <c r="C769" s="295"/>
      <c r="D769" s="1386">
        <v>500</v>
      </c>
      <c r="E769" s="1387"/>
      <c r="F769" s="296"/>
      <c r="G769" s="268"/>
      <c r="H769" s="269"/>
      <c r="I769" s="282"/>
      <c r="J769" s="270" t="s">
        <v>47</v>
      </c>
      <c r="K769" s="542">
        <f>D769/1000</f>
        <v>0.5</v>
      </c>
      <c r="L769" s="271"/>
      <c r="M769" s="271"/>
      <c r="N769" s="272" t="s">
        <v>48</v>
      </c>
      <c r="O769" s="271">
        <f>D784/1000</f>
        <v>1.1000000000000001</v>
      </c>
      <c r="P769" s="274"/>
      <c r="Q769" s="275" t="s">
        <v>49</v>
      </c>
      <c r="R769" s="276">
        <f>H776/1000</f>
        <v>1.2</v>
      </c>
      <c r="S769" s="297">
        <f>ROUNDDOWN(K769*O769*R769,2)</f>
        <v>0.66</v>
      </c>
      <c r="T769" s="298" t="s">
        <v>55</v>
      </c>
    </row>
    <row r="770" spans="2:20" ht="15" hidden="1" customHeight="1">
      <c r="B770" s="255"/>
      <c r="C770" s="299"/>
      <c r="D770" s="300"/>
      <c r="E770" s="301"/>
      <c r="F770" s="302"/>
      <c r="G770" s="456"/>
      <c r="H770" s="269"/>
      <c r="I770" s="282"/>
      <c r="J770" s="270"/>
      <c r="K770" s="271"/>
      <c r="L770" s="271"/>
      <c r="M770" s="271"/>
      <c r="N770" s="272"/>
      <c r="O770" s="271"/>
      <c r="P770" s="274"/>
      <c r="Q770" s="275"/>
      <c r="R770" s="276"/>
      <c r="S770" s="297"/>
      <c r="T770" s="298"/>
    </row>
    <row r="771" spans="2:20" ht="15" hidden="1" customHeight="1">
      <c r="B771" s="255"/>
      <c r="C771" s="299"/>
      <c r="D771" s="303"/>
      <c r="E771" s="302"/>
      <c r="F771" s="302"/>
      <c r="G771" s="456"/>
      <c r="H771" s="269"/>
      <c r="I771" s="282"/>
      <c r="J771" s="270"/>
      <c r="K771" s="271"/>
      <c r="L771" s="271"/>
      <c r="M771" s="271"/>
      <c r="N771" s="272"/>
      <c r="O771" s="271"/>
      <c r="P771" s="274"/>
      <c r="Q771" s="275"/>
      <c r="R771" s="276"/>
      <c r="S771" s="297"/>
      <c r="T771" s="541"/>
    </row>
    <row r="772" spans="2:20" ht="15" hidden="1" customHeight="1">
      <c r="B772" s="255"/>
      <c r="C772" s="299"/>
      <c r="D772" s="303"/>
      <c r="E772" s="302"/>
      <c r="F772" s="302"/>
      <c r="G772" s="456"/>
      <c r="H772" s="269"/>
      <c r="I772" s="282"/>
      <c r="J772" s="270"/>
      <c r="K772" s="271"/>
      <c r="L772" s="271"/>
      <c r="M772" s="271"/>
      <c r="N772" s="304"/>
      <c r="O772" s="271"/>
      <c r="P772" s="274"/>
      <c r="Q772" s="275"/>
      <c r="R772" s="276"/>
      <c r="S772" s="297"/>
      <c r="T772" s="298"/>
    </row>
    <row r="773" spans="2:20" ht="15" hidden="1" customHeight="1">
      <c r="B773" s="255"/>
      <c r="C773" s="299"/>
      <c r="D773" s="456"/>
      <c r="E773" s="456"/>
      <c r="F773" s="302"/>
      <c r="G773" s="456"/>
      <c r="H773" s="1431"/>
      <c r="J773" s="285" t="s">
        <v>57</v>
      </c>
      <c r="K773" s="286"/>
      <c r="L773" s="286"/>
      <c r="M773" s="286"/>
      <c r="N773" s="286"/>
      <c r="O773" s="287"/>
      <c r="P773" s="286"/>
      <c r="Q773" s="306"/>
      <c r="R773" s="307"/>
      <c r="S773" s="288">
        <f>SUM(S769:S772)</f>
        <v>0.66</v>
      </c>
      <c r="T773" s="289" t="s">
        <v>178</v>
      </c>
    </row>
    <row r="774" spans="2:20" ht="15" hidden="1" customHeight="1">
      <c r="B774" s="255"/>
      <c r="C774" s="299"/>
      <c r="D774" s="456"/>
      <c r="E774" s="456"/>
      <c r="F774" s="302"/>
      <c r="G774" s="456"/>
      <c r="H774" s="1387"/>
      <c r="I774" s="546"/>
      <c r="J774" s="262" t="s">
        <v>58</v>
      </c>
      <c r="K774" s="293"/>
      <c r="L774" s="309" t="s">
        <v>334</v>
      </c>
      <c r="M774" s="309" t="s">
        <v>335</v>
      </c>
      <c r="N774" s="310" t="s">
        <v>336</v>
      </c>
      <c r="O774" s="311"/>
      <c r="P774" s="309"/>
      <c r="Q774" s="312"/>
      <c r="R774" s="312"/>
      <c r="S774" s="313"/>
      <c r="T774" s="294"/>
    </row>
    <row r="775" spans="2:20" ht="15" hidden="1" customHeight="1" thickBot="1">
      <c r="B775" s="314"/>
      <c r="C775" s="556"/>
      <c r="D775" s="547"/>
      <c r="E775" s="547"/>
      <c r="F775" s="556"/>
      <c r="G775" s="315"/>
      <c r="H775" s="1432"/>
      <c r="I775" s="546"/>
      <c r="J775" s="317"/>
      <c r="K775" s="318"/>
      <c r="L775" s="318" t="s">
        <v>334</v>
      </c>
      <c r="M775" s="318">
        <f>S767</f>
        <v>2.16</v>
      </c>
      <c r="N775" s="318" t="s">
        <v>337</v>
      </c>
      <c r="O775" s="319">
        <f>S777</f>
        <v>0.66</v>
      </c>
      <c r="P775" s="320"/>
      <c r="Q775" s="321"/>
      <c r="R775" s="322"/>
      <c r="S775" s="323">
        <f>ROUNDDOWN(M775-O775,2)</f>
        <v>1.5</v>
      </c>
      <c r="T775" s="289" t="s">
        <v>178</v>
      </c>
    </row>
    <row r="776" spans="2:20" ht="15" hidden="1" customHeight="1">
      <c r="B776" s="255"/>
      <c r="C776" s="324"/>
      <c r="D776" s="457"/>
      <c r="E776" s="325"/>
      <c r="F776" s="326"/>
      <c r="G776" s="327"/>
      <c r="H776" s="1389">
        <v>1200</v>
      </c>
      <c r="I776" s="1414">
        <f>H776</f>
        <v>1200</v>
      </c>
      <c r="J776" s="262" t="s">
        <v>338</v>
      </c>
      <c r="K776" s="293"/>
      <c r="L776" s="293" t="s">
        <v>339</v>
      </c>
      <c r="M776" s="309"/>
      <c r="N776" s="310" t="s">
        <v>340</v>
      </c>
      <c r="O776" s="293"/>
      <c r="P776" s="293"/>
      <c r="Q776" s="328"/>
      <c r="R776" s="329"/>
      <c r="S776" s="266"/>
      <c r="T776" s="294"/>
    </row>
    <row r="777" spans="2:20" ht="15" hidden="1" customHeight="1">
      <c r="B777" s="330"/>
      <c r="C777" s="324"/>
      <c r="D777" s="331"/>
      <c r="E777" s="332"/>
      <c r="F777" s="326"/>
      <c r="G777" s="333"/>
      <c r="H777" s="1390"/>
      <c r="I777" s="1436"/>
      <c r="J777" s="334"/>
      <c r="K777" s="335"/>
      <c r="L777" s="336" t="s">
        <v>339</v>
      </c>
      <c r="M777" s="335"/>
      <c r="N777" s="335"/>
      <c r="O777" s="286">
        <f>S769</f>
        <v>0.66</v>
      </c>
      <c r="P777" s="286"/>
      <c r="Q777" s="286"/>
      <c r="R777" s="259"/>
      <c r="S777" s="323">
        <f>ROUNDDOWN(O777+Q777,2)</f>
        <v>0.66</v>
      </c>
      <c r="T777" s="337" t="s">
        <v>178</v>
      </c>
    </row>
    <row r="778" spans="2:20" ht="15" hidden="1" customHeight="1">
      <c r="B778" s="255"/>
      <c r="C778" s="324"/>
      <c r="D778" s="331"/>
      <c r="E778" s="332"/>
      <c r="F778" s="326"/>
      <c r="G778" s="333"/>
      <c r="H778" s="1390"/>
      <c r="I778" s="1436"/>
      <c r="J778" s="467" t="s">
        <v>584</v>
      </c>
      <c r="K778" s="293"/>
      <c r="L778" s="293"/>
      <c r="M778" s="293"/>
      <c r="N778" s="293"/>
      <c r="O778" s="339"/>
      <c r="P778" s="340"/>
      <c r="Q778" s="329"/>
      <c r="R778" s="341"/>
      <c r="S778" s="266"/>
      <c r="T778" s="294"/>
    </row>
    <row r="779" spans="2:20" ht="15" hidden="1" customHeight="1">
      <c r="B779" s="255"/>
      <c r="C779" s="324"/>
      <c r="D779" s="331"/>
      <c r="E779" s="332"/>
      <c r="F779" s="326"/>
      <c r="G779" s="333"/>
      <c r="H779" s="1390"/>
      <c r="I779" s="1436"/>
      <c r="J779" s="342" t="s">
        <v>341</v>
      </c>
      <c r="K779" s="343">
        <f>D769/1000</f>
        <v>0.5</v>
      </c>
      <c r="L779" s="344" t="s">
        <v>59</v>
      </c>
      <c r="M779" s="412">
        <f>D784/1000</f>
        <v>1.1000000000000001</v>
      </c>
      <c r="N779" s="346" t="s">
        <v>137</v>
      </c>
      <c r="O779" s="347" t="s">
        <v>342</v>
      </c>
      <c r="P779" s="348">
        <f>I776/1000</f>
        <v>1.2</v>
      </c>
      <c r="Q779" s="349" t="s">
        <v>343</v>
      </c>
      <c r="R779" s="350">
        <v>4</v>
      </c>
      <c r="S779" s="351">
        <f>((K779+M779)/2)*P779*R779</f>
        <v>3.84</v>
      </c>
      <c r="T779" s="289" t="s">
        <v>344</v>
      </c>
    </row>
    <row r="780" spans="2:20" ht="15" hidden="1" customHeight="1" thickBot="1">
      <c r="B780" s="255"/>
      <c r="C780" s="352"/>
      <c r="D780" s="353"/>
      <c r="E780" s="354"/>
      <c r="F780" s="355"/>
      <c r="G780" s="356"/>
      <c r="H780" s="1391"/>
      <c r="I780" s="1436"/>
      <c r="J780" s="357"/>
      <c r="K780" s="358"/>
      <c r="L780" s="358"/>
      <c r="M780" s="358"/>
      <c r="N780" s="358"/>
      <c r="O780" s="359"/>
      <c r="P780" s="329"/>
      <c r="Q780" s="329"/>
      <c r="R780" s="329"/>
      <c r="S780" s="360"/>
      <c r="T780" s="361"/>
    </row>
    <row r="781" spans="2:20" ht="15" hidden="1" customHeight="1">
      <c r="B781" s="255"/>
      <c r="C781" s="362"/>
      <c r="D781" s="363"/>
      <c r="E781" s="364"/>
      <c r="F781" s="365"/>
      <c r="G781" s="456"/>
      <c r="H781" s="269"/>
      <c r="I781" s="282"/>
      <c r="J781" s="366"/>
      <c r="K781" s="367"/>
      <c r="L781" s="320"/>
      <c r="M781" s="368"/>
      <c r="N781" s="369"/>
      <c r="P781" s="370"/>
      <c r="Q781" s="350"/>
      <c r="R781" s="350"/>
      <c r="S781" s="323"/>
      <c r="T781" s="298"/>
    </row>
    <row r="782" spans="2:20" ht="15" hidden="1" customHeight="1">
      <c r="B782" s="255"/>
      <c r="C782" s="371">
        <v>100</v>
      </c>
      <c r="D782" s="1379">
        <v>500</v>
      </c>
      <c r="E782" s="1381"/>
      <c r="F782" s="372">
        <v>100</v>
      </c>
      <c r="G782" s="268"/>
      <c r="H782" s="373"/>
      <c r="I782" s="282"/>
      <c r="J782" s="357"/>
      <c r="K782" s="358"/>
      <c r="L782" s="358"/>
      <c r="M782" s="358"/>
      <c r="N782" s="358"/>
      <c r="O782" s="374"/>
      <c r="P782" s="375"/>
      <c r="Q782" s="374"/>
      <c r="R782" s="265"/>
      <c r="S782" s="266"/>
      <c r="T782" s="294"/>
    </row>
    <row r="783" spans="2:20" ht="15" hidden="1" customHeight="1">
      <c r="B783" s="376"/>
      <c r="C783" s="377"/>
      <c r="D783" s="303"/>
      <c r="E783" s="302"/>
      <c r="F783" s="378"/>
      <c r="G783" s="379"/>
      <c r="H783" s="373"/>
      <c r="I783" s="282"/>
      <c r="J783" s="380"/>
      <c r="K783" s="306"/>
      <c r="L783" s="306"/>
      <c r="M783" s="306"/>
      <c r="N783" s="306"/>
      <c r="O783" s="381"/>
      <c r="P783" s="381"/>
      <c r="Q783" s="381"/>
      <c r="R783" s="381"/>
      <c r="S783" s="382"/>
      <c r="T783" s="383"/>
    </row>
    <row r="784" spans="2:20" ht="15" hidden="1" customHeight="1">
      <c r="B784" s="255"/>
      <c r="C784" s="371">
        <v>100</v>
      </c>
      <c r="D784" s="1379">
        <v>1100</v>
      </c>
      <c r="E784" s="1381"/>
      <c r="F784" s="372">
        <v>100</v>
      </c>
      <c r="G784" s="268"/>
      <c r="H784" s="373"/>
      <c r="I784" s="282"/>
      <c r="J784" s="357" t="s">
        <v>345</v>
      </c>
      <c r="K784" s="384"/>
      <c r="L784" s="470" t="s">
        <v>746</v>
      </c>
      <c r="M784" s="384"/>
      <c r="N784" s="384"/>
      <c r="O784" s="283"/>
      <c r="P784" s="385"/>
      <c r="Q784" s="385"/>
      <c r="R784" s="385"/>
      <c r="S784" s="386"/>
      <c r="T784" s="387"/>
    </row>
    <row r="785" spans="2:20" ht="15" hidden="1" customHeight="1">
      <c r="B785" s="255"/>
      <c r="C785" s="290"/>
      <c r="D785" s="388"/>
      <c r="E785" s="388"/>
      <c r="F785" s="389"/>
      <c r="G785" s="379"/>
      <c r="H785" s="373"/>
      <c r="I785" s="282"/>
      <c r="J785" s="390"/>
      <c r="K785" s="391"/>
      <c r="L785" s="391"/>
      <c r="M785" s="391"/>
      <c r="N785" s="391"/>
      <c r="O785" s="392"/>
      <c r="P785" s="393"/>
      <c r="Q785" s="381"/>
      <c r="R785" s="259"/>
      <c r="S785" s="394">
        <v>1</v>
      </c>
      <c r="T785" s="383" t="s">
        <v>37</v>
      </c>
    </row>
    <row r="786" spans="2:20" ht="15" hidden="1" customHeight="1">
      <c r="B786" s="255"/>
      <c r="C786" s="1376"/>
      <c r="D786" s="1377"/>
      <c r="E786" s="1377"/>
      <c r="F786" s="1378"/>
      <c r="G786" s="268"/>
      <c r="H786" s="269"/>
      <c r="I786" s="282"/>
      <c r="J786" s="262" t="s">
        <v>346</v>
      </c>
      <c r="K786" s="384"/>
      <c r="L786" s="384" t="s">
        <v>526</v>
      </c>
      <c r="M786" s="264"/>
      <c r="N786" s="264"/>
      <c r="O786" s="265"/>
      <c r="P786" s="265"/>
      <c r="Q786" s="329"/>
      <c r="R786" s="329"/>
      <c r="S786" s="266"/>
      <c r="T786" s="267"/>
    </row>
    <row r="787" spans="2:20" ht="15" hidden="1" customHeight="1">
      <c r="B787" s="255"/>
      <c r="C787" s="1379">
        <f>C782+D782+F782</f>
        <v>700</v>
      </c>
      <c r="D787" s="1380"/>
      <c r="E787" s="1380"/>
      <c r="F787" s="1381"/>
      <c r="G787" s="268"/>
      <c r="H787" s="456"/>
      <c r="I787" s="257"/>
      <c r="J787" s="334"/>
      <c r="K787" s="258"/>
      <c r="L787" s="258"/>
      <c r="M787" s="258"/>
      <c r="N787" s="258"/>
      <c r="O787" s="259">
        <v>1</v>
      </c>
      <c r="P787" s="381"/>
      <c r="Q787" s="259"/>
      <c r="R787" s="259"/>
      <c r="S787" s="395">
        <f>O787</f>
        <v>1</v>
      </c>
      <c r="T787" s="261" t="s">
        <v>36</v>
      </c>
    </row>
    <row r="788" spans="2:20" ht="15" hidden="1" customHeight="1">
      <c r="B788" s="255"/>
      <c r="C788" s="396"/>
      <c r="D788" s="388"/>
      <c r="E788" s="388"/>
      <c r="F788" s="397"/>
      <c r="G788" s="268"/>
      <c r="H788" s="269"/>
      <c r="I788" s="257"/>
      <c r="J788" s="476" t="s">
        <v>743</v>
      </c>
      <c r="K788" s="398"/>
      <c r="L788" s="398"/>
      <c r="M788" s="398"/>
      <c r="N788" s="398"/>
      <c r="O788" s="399"/>
      <c r="P788" s="400"/>
      <c r="Q788" s="399"/>
      <c r="R788" s="399"/>
      <c r="S788" s="401"/>
      <c r="T788" s="402"/>
    </row>
    <row r="789" spans="2:20" ht="15" hidden="1" customHeight="1">
      <c r="B789" s="255"/>
      <c r="C789" s="1379">
        <f>C784+D784+F784</f>
        <v>1300</v>
      </c>
      <c r="D789" s="1380"/>
      <c r="E789" s="1380"/>
      <c r="F789" s="1381"/>
      <c r="G789" s="268"/>
      <c r="H789" s="456"/>
      <c r="I789" s="257"/>
      <c r="J789" s="403"/>
      <c r="K789" s="404"/>
      <c r="L789" s="404"/>
      <c r="M789" s="404"/>
      <c r="N789" s="404"/>
      <c r="O789" s="259">
        <v>1</v>
      </c>
      <c r="P789" s="405"/>
      <c r="Q789" s="405"/>
      <c r="R789" s="405"/>
      <c r="S789" s="395">
        <f>O789</f>
        <v>1</v>
      </c>
      <c r="T789" s="261" t="s">
        <v>36</v>
      </c>
    </row>
    <row r="790" spans="2:20" ht="15" hidden="1" customHeight="1">
      <c r="B790" s="255"/>
      <c r="C790" s="256"/>
      <c r="D790" s="456"/>
      <c r="E790" s="456"/>
      <c r="F790" s="456"/>
      <c r="G790" s="456"/>
      <c r="H790" s="456"/>
      <c r="I790" s="257"/>
      <c r="J790" s="485" t="s">
        <v>747</v>
      </c>
      <c r="K790" s="264"/>
      <c r="L790" s="264"/>
      <c r="M790" s="264"/>
      <c r="N790" s="264"/>
      <c r="O790" s="265"/>
      <c r="P790" s="265"/>
      <c r="Q790" s="329"/>
      <c r="R790" s="329"/>
      <c r="S790" s="266"/>
      <c r="T790" s="267"/>
    </row>
    <row r="791" spans="2:20" ht="15" hidden="1" customHeight="1">
      <c r="B791" s="255"/>
      <c r="C791" s="256"/>
      <c r="D791" s="456"/>
      <c r="E791" s="456"/>
      <c r="F791" s="456"/>
      <c r="G791" s="456"/>
      <c r="H791" s="456"/>
      <c r="I791" s="269"/>
      <c r="J791" s="334"/>
      <c r="K791" s="258"/>
      <c r="L791" s="258"/>
      <c r="M791" s="258"/>
      <c r="N791" s="258"/>
      <c r="O791" s="259">
        <v>1</v>
      </c>
      <c r="P791" s="381"/>
      <c r="Q791" s="259"/>
      <c r="R791" s="259"/>
      <c r="S791" s="395">
        <f>ROUNDDOWN(dhTextEvaluate(O791),2)</f>
        <v>1</v>
      </c>
      <c r="T791" s="261" t="s">
        <v>26</v>
      </c>
    </row>
    <row r="792" spans="2:20" ht="15" hidden="1" customHeight="1">
      <c r="B792" s="255"/>
      <c r="C792" s="256"/>
      <c r="D792" s="456"/>
      <c r="E792" s="456"/>
      <c r="F792" s="456"/>
      <c r="G792" s="456"/>
      <c r="H792" s="456"/>
      <c r="I792" s="257"/>
      <c r="J792" s="262"/>
      <c r="K792" s="407"/>
      <c r="L792" s="407"/>
      <c r="M792" s="407"/>
      <c r="N792" s="407"/>
      <c r="O792" s="265"/>
      <c r="P792" s="265"/>
      <c r="Q792" s="265"/>
      <c r="R792" s="265"/>
      <c r="S792" s="266"/>
      <c r="T792" s="267"/>
    </row>
    <row r="793" spans="2:20" ht="15" hidden="1" customHeight="1">
      <c r="B793" s="408"/>
      <c r="C793" s="409"/>
      <c r="D793" s="350"/>
      <c r="E793" s="350"/>
      <c r="F793" s="350"/>
      <c r="G793" s="350"/>
      <c r="H793" s="350"/>
      <c r="I793" s="410"/>
      <c r="J793" s="334"/>
      <c r="K793" s="258"/>
      <c r="L793" s="258"/>
      <c r="M793" s="258"/>
      <c r="N793" s="258"/>
      <c r="O793" s="259"/>
      <c r="P793" s="259"/>
      <c r="Q793" s="259"/>
      <c r="R793" s="411"/>
      <c r="S793" s="395"/>
      <c r="T793" s="261"/>
    </row>
    <row r="794" spans="2:20" ht="24.95" hidden="1" customHeight="1">
      <c r="B794" s="468" t="s">
        <v>729</v>
      </c>
      <c r="C794" s="1383" t="s">
        <v>730</v>
      </c>
      <c r="D794" s="1423"/>
      <c r="E794" s="1423"/>
      <c r="F794" s="1423"/>
      <c r="G794" s="1423"/>
      <c r="H794" s="1424"/>
      <c r="I794" s="1400" t="s">
        <v>728</v>
      </c>
      <c r="J794" s="1419"/>
      <c r="K794" s="1420"/>
      <c r="L794" s="1384"/>
      <c r="M794" s="1384"/>
      <c r="N794" s="1384"/>
      <c r="O794" s="1384"/>
      <c r="P794" s="1384"/>
      <c r="Q794" s="1384"/>
      <c r="R794" s="1384"/>
      <c r="S794" s="1384"/>
      <c r="T794" s="1385"/>
    </row>
    <row r="795" spans="2:20" ht="15" hidden="1" customHeight="1">
      <c r="B795" s="255"/>
      <c r="C795" s="256"/>
      <c r="D795" s="456"/>
      <c r="E795" s="456"/>
      <c r="F795" s="456"/>
      <c r="G795" s="456"/>
      <c r="H795" s="456"/>
      <c r="I795" s="257"/>
      <c r="J795" s="258"/>
      <c r="K795" s="258"/>
      <c r="L795" s="258" t="s">
        <v>39</v>
      </c>
      <c r="M795" s="258" t="s">
        <v>40</v>
      </c>
      <c r="N795" s="258" t="s">
        <v>41</v>
      </c>
      <c r="O795" s="259" t="s">
        <v>42</v>
      </c>
      <c r="P795" s="259" t="s">
        <v>43</v>
      </c>
      <c r="Q795" s="259"/>
      <c r="R795" s="259"/>
      <c r="S795" s="260" t="s">
        <v>44</v>
      </c>
      <c r="T795" s="261"/>
    </row>
    <row r="796" spans="2:20" ht="15" hidden="1" customHeight="1">
      <c r="B796" s="255"/>
      <c r="C796" s="256"/>
      <c r="D796" s="456"/>
      <c r="E796" s="456"/>
      <c r="F796" s="456"/>
      <c r="G796" s="456"/>
      <c r="H796" s="456"/>
      <c r="I796" s="257"/>
      <c r="J796" s="262" t="s">
        <v>45</v>
      </c>
      <c r="K796" s="263"/>
      <c r="L796" s="263" t="s">
        <v>46</v>
      </c>
      <c r="M796" s="264"/>
      <c r="N796" s="264"/>
      <c r="P796" s="265"/>
      <c r="Q796" s="265"/>
      <c r="R796" s="265"/>
      <c r="S796" s="266"/>
      <c r="T796" s="267"/>
    </row>
    <row r="797" spans="2:20" ht="15" hidden="1" customHeight="1">
      <c r="B797" s="255"/>
      <c r="C797" s="1377">
        <f>C819+(0.3*(H808)*2)</f>
        <v>1300</v>
      </c>
      <c r="D797" s="1377"/>
      <c r="E797" s="1377"/>
      <c r="F797" s="1377"/>
      <c r="G797" s="268"/>
      <c r="H797" s="269"/>
      <c r="I797" s="257"/>
      <c r="J797" s="270" t="s">
        <v>47</v>
      </c>
      <c r="K797" s="271">
        <f>C797/1000</f>
        <v>1.3</v>
      </c>
      <c r="L797" s="271"/>
      <c r="M797" s="271"/>
      <c r="N797" s="272" t="s">
        <v>48</v>
      </c>
      <c r="O797" s="273">
        <f>C819/1000</f>
        <v>1</v>
      </c>
      <c r="P797" s="274"/>
      <c r="Q797" s="275" t="s">
        <v>49</v>
      </c>
      <c r="R797" s="276">
        <f>(H808)/1000</f>
        <v>0.5</v>
      </c>
      <c r="S797" s="277"/>
      <c r="T797" s="278"/>
    </row>
    <row r="798" spans="2:20" ht="15" hidden="1" customHeight="1">
      <c r="B798" s="255"/>
      <c r="C798" s="279"/>
      <c r="D798" s="280"/>
      <c r="E798" s="280"/>
      <c r="F798" s="281"/>
      <c r="G798" s="268"/>
      <c r="H798" s="269"/>
      <c r="I798" s="282"/>
      <c r="J798" s="270" t="s">
        <v>50</v>
      </c>
      <c r="K798" s="271">
        <f>C799/1000</f>
        <v>1</v>
      </c>
      <c r="L798" s="271"/>
      <c r="M798" s="271"/>
      <c r="N798" s="272" t="s">
        <v>51</v>
      </c>
      <c r="O798" s="273">
        <f>C821/1000</f>
        <v>0.7</v>
      </c>
      <c r="P798" s="274"/>
      <c r="Q798" s="254"/>
      <c r="R798" s="283"/>
      <c r="S798" s="284"/>
      <c r="T798" s="278"/>
    </row>
    <row r="799" spans="2:20" ht="15" hidden="1" customHeight="1">
      <c r="B799" s="255"/>
      <c r="C799" s="1379">
        <f>C821+(0.3*(H808)*2)</f>
        <v>1000</v>
      </c>
      <c r="D799" s="1380"/>
      <c r="E799" s="1380"/>
      <c r="F799" s="1381"/>
      <c r="G799" s="268"/>
      <c r="H799" s="269"/>
      <c r="I799" s="282"/>
      <c r="J799" s="285" t="s">
        <v>52</v>
      </c>
      <c r="K799" s="286"/>
      <c r="L799" s="286"/>
      <c r="M799" s="286"/>
      <c r="N799" s="286"/>
      <c r="O799" s="287"/>
      <c r="P799" s="286"/>
      <c r="Q799" s="259"/>
      <c r="R799" s="259"/>
      <c r="S799" s="288">
        <f>ROUNDDOWN(R797/6*((2*K797+O797)*K798+(2*O797+K797)*O798),2)</f>
        <v>0.49</v>
      </c>
      <c r="T799" s="289" t="s">
        <v>178</v>
      </c>
    </row>
    <row r="800" spans="2:20" ht="15" hidden="1" customHeight="1">
      <c r="B800" s="255"/>
      <c r="C800" s="290"/>
      <c r="D800" s="291"/>
      <c r="E800" s="291"/>
      <c r="F800" s="281"/>
      <c r="G800" s="268"/>
      <c r="H800" s="269"/>
      <c r="I800" s="282"/>
      <c r="J800" s="262" t="s">
        <v>53</v>
      </c>
      <c r="K800" s="292"/>
      <c r="L800" s="292" t="s">
        <v>54</v>
      </c>
      <c r="M800" s="293"/>
      <c r="N800" s="293"/>
      <c r="O800" s="293"/>
      <c r="P800" s="292"/>
      <c r="Q800" s="263"/>
      <c r="R800" s="263"/>
      <c r="S800" s="266"/>
      <c r="T800" s="294"/>
    </row>
    <row r="801" spans="2:20" ht="15" hidden="1" customHeight="1">
      <c r="B801" s="255"/>
      <c r="C801" s="295"/>
      <c r="D801" s="1386">
        <v>800</v>
      </c>
      <c r="E801" s="1387"/>
      <c r="F801" s="296"/>
      <c r="G801" s="268"/>
      <c r="H801" s="269"/>
      <c r="I801" s="282"/>
      <c r="J801" s="270" t="s">
        <v>47</v>
      </c>
      <c r="K801" s="542">
        <f>D801/1000</f>
        <v>0.8</v>
      </c>
      <c r="L801" s="271"/>
      <c r="M801" s="271"/>
      <c r="N801" s="272" t="s">
        <v>48</v>
      </c>
      <c r="O801" s="271">
        <f>D816/1000</f>
        <v>0.5</v>
      </c>
      <c r="P801" s="274"/>
      <c r="Q801" s="275" t="s">
        <v>49</v>
      </c>
      <c r="R801" s="276">
        <f>H808/1000</f>
        <v>0.5</v>
      </c>
      <c r="S801" s="297">
        <f>ROUNDDOWN(K801*O801*R801,2)</f>
        <v>0.2</v>
      </c>
      <c r="T801" s="298" t="s">
        <v>55</v>
      </c>
    </row>
    <row r="802" spans="2:20" ht="15" hidden="1" customHeight="1">
      <c r="B802" s="255"/>
      <c r="C802" s="299"/>
      <c r="D802" s="300"/>
      <c r="E802" s="301"/>
      <c r="F802" s="302"/>
      <c r="G802" s="456"/>
      <c r="H802" s="269"/>
      <c r="I802" s="282"/>
      <c r="J802" s="270"/>
      <c r="K802" s="271"/>
      <c r="L802" s="271"/>
      <c r="M802" s="271"/>
      <c r="N802" s="272"/>
      <c r="O802" s="271"/>
      <c r="P802" s="274"/>
      <c r="Q802" s="275"/>
      <c r="R802" s="276"/>
      <c r="S802" s="297"/>
      <c r="T802" s="298"/>
    </row>
    <row r="803" spans="2:20" ht="15" hidden="1" customHeight="1">
      <c r="B803" s="255"/>
      <c r="C803" s="299"/>
      <c r="D803" s="303"/>
      <c r="E803" s="302"/>
      <c r="F803" s="302"/>
      <c r="G803" s="456"/>
      <c r="H803" s="269"/>
      <c r="I803" s="282"/>
      <c r="J803" s="270"/>
      <c r="K803" s="271"/>
      <c r="L803" s="271"/>
      <c r="M803" s="271"/>
      <c r="N803" s="272"/>
      <c r="O803" s="271"/>
      <c r="P803" s="274"/>
      <c r="Q803" s="275"/>
      <c r="R803" s="276"/>
      <c r="S803" s="297"/>
      <c r="T803" s="541"/>
    </row>
    <row r="804" spans="2:20" ht="15" hidden="1" customHeight="1">
      <c r="B804" s="255"/>
      <c r="C804" s="299"/>
      <c r="D804" s="303"/>
      <c r="E804" s="302"/>
      <c r="F804" s="302"/>
      <c r="G804" s="456"/>
      <c r="H804" s="269"/>
      <c r="I804" s="282"/>
      <c r="J804" s="270"/>
      <c r="K804" s="271"/>
      <c r="L804" s="271"/>
      <c r="M804" s="271"/>
      <c r="N804" s="304"/>
      <c r="O804" s="271"/>
      <c r="P804" s="274"/>
      <c r="Q804" s="275"/>
      <c r="R804" s="276"/>
      <c r="S804" s="297"/>
      <c r="T804" s="298"/>
    </row>
    <row r="805" spans="2:20" ht="15" hidden="1" customHeight="1">
      <c r="B805" s="255"/>
      <c r="C805" s="299"/>
      <c r="D805" s="456"/>
      <c r="E805" s="456"/>
      <c r="F805" s="302"/>
      <c r="G805" s="456"/>
      <c r="H805" s="1431"/>
      <c r="J805" s="285" t="s">
        <v>57</v>
      </c>
      <c r="K805" s="286"/>
      <c r="L805" s="286"/>
      <c r="M805" s="286"/>
      <c r="N805" s="286"/>
      <c r="O805" s="287"/>
      <c r="P805" s="286"/>
      <c r="Q805" s="306"/>
      <c r="R805" s="307"/>
      <c r="S805" s="288">
        <f>SUM(S801:S804)</f>
        <v>0.2</v>
      </c>
      <c r="T805" s="289" t="s">
        <v>178</v>
      </c>
    </row>
    <row r="806" spans="2:20" ht="15" hidden="1" customHeight="1">
      <c r="B806" s="255"/>
      <c r="C806" s="299"/>
      <c r="D806" s="456"/>
      <c r="E806" s="456"/>
      <c r="F806" s="302"/>
      <c r="G806" s="456"/>
      <c r="H806" s="1387"/>
      <c r="I806" s="546"/>
      <c r="J806" s="262" t="s">
        <v>58</v>
      </c>
      <c r="K806" s="293"/>
      <c r="L806" s="309" t="s">
        <v>334</v>
      </c>
      <c r="M806" s="309" t="s">
        <v>335</v>
      </c>
      <c r="N806" s="310" t="s">
        <v>336</v>
      </c>
      <c r="O806" s="311"/>
      <c r="P806" s="309"/>
      <c r="Q806" s="312"/>
      <c r="R806" s="312"/>
      <c r="S806" s="313"/>
      <c r="T806" s="294"/>
    </row>
    <row r="807" spans="2:20" ht="15" hidden="1" customHeight="1" thickBot="1">
      <c r="B807" s="314"/>
      <c r="C807" s="556"/>
      <c r="D807" s="547"/>
      <c r="E807" s="547"/>
      <c r="F807" s="556"/>
      <c r="G807" s="315"/>
      <c r="H807" s="1432"/>
      <c r="I807" s="546"/>
      <c r="J807" s="317"/>
      <c r="K807" s="318"/>
      <c r="L807" s="318" t="s">
        <v>334</v>
      </c>
      <c r="M807" s="318">
        <f>S799</f>
        <v>0.49</v>
      </c>
      <c r="N807" s="318" t="s">
        <v>337</v>
      </c>
      <c r="O807" s="319">
        <f>S809</f>
        <v>0.2</v>
      </c>
      <c r="P807" s="320"/>
      <c r="Q807" s="321"/>
      <c r="R807" s="322"/>
      <c r="S807" s="323">
        <f>ROUNDDOWN(M807-O807,2)</f>
        <v>0.28999999999999998</v>
      </c>
      <c r="T807" s="289" t="s">
        <v>178</v>
      </c>
    </row>
    <row r="808" spans="2:20" ht="15" hidden="1" customHeight="1">
      <c r="B808" s="255"/>
      <c r="C808" s="324"/>
      <c r="D808" s="457"/>
      <c r="E808" s="325"/>
      <c r="F808" s="326"/>
      <c r="G808" s="327"/>
      <c r="H808" s="1389">
        <v>500</v>
      </c>
      <c r="I808" s="1414">
        <f>H808</f>
        <v>500</v>
      </c>
      <c r="J808" s="262" t="s">
        <v>338</v>
      </c>
      <c r="K808" s="293"/>
      <c r="L808" s="293" t="s">
        <v>339</v>
      </c>
      <c r="M808" s="309"/>
      <c r="N808" s="310" t="s">
        <v>340</v>
      </c>
      <c r="O808" s="293"/>
      <c r="P808" s="293"/>
      <c r="Q808" s="328"/>
      <c r="R808" s="329"/>
      <c r="S808" s="266"/>
      <c r="T808" s="294"/>
    </row>
    <row r="809" spans="2:20" ht="15" hidden="1" customHeight="1">
      <c r="B809" s="330"/>
      <c r="C809" s="324"/>
      <c r="D809" s="331"/>
      <c r="E809" s="332"/>
      <c r="F809" s="326"/>
      <c r="G809" s="333"/>
      <c r="H809" s="1390"/>
      <c r="I809" s="1436"/>
      <c r="J809" s="334"/>
      <c r="K809" s="335"/>
      <c r="L809" s="336" t="s">
        <v>339</v>
      </c>
      <c r="M809" s="335"/>
      <c r="N809" s="335"/>
      <c r="O809" s="286">
        <f>S801</f>
        <v>0.2</v>
      </c>
      <c r="P809" s="286"/>
      <c r="Q809" s="286"/>
      <c r="R809" s="259"/>
      <c r="S809" s="323">
        <f>ROUNDDOWN(O809+Q809,2)</f>
        <v>0.2</v>
      </c>
      <c r="T809" s="337" t="s">
        <v>178</v>
      </c>
    </row>
    <row r="810" spans="2:20" ht="15" hidden="1" customHeight="1">
      <c r="B810" s="255"/>
      <c r="C810" s="324"/>
      <c r="D810" s="331"/>
      <c r="E810" s="332"/>
      <c r="F810" s="326"/>
      <c r="G810" s="333"/>
      <c r="H810" s="1390"/>
      <c r="I810" s="1436"/>
      <c r="J810" s="467" t="s">
        <v>584</v>
      </c>
      <c r="K810" s="293"/>
      <c r="L810" s="293"/>
      <c r="M810" s="293"/>
      <c r="N810" s="293"/>
      <c r="O810" s="339"/>
      <c r="P810" s="340"/>
      <c r="Q810" s="329"/>
      <c r="R810" s="341"/>
      <c r="S810" s="266"/>
      <c r="T810" s="294"/>
    </row>
    <row r="811" spans="2:20" ht="15" hidden="1" customHeight="1">
      <c r="B811" s="255"/>
      <c r="C811" s="324"/>
      <c r="D811" s="331"/>
      <c r="E811" s="332"/>
      <c r="F811" s="326"/>
      <c r="G811" s="333"/>
      <c r="H811" s="1390"/>
      <c r="I811" s="1436"/>
      <c r="J811" s="342" t="s">
        <v>341</v>
      </c>
      <c r="K811" s="343">
        <f>D801/1000</f>
        <v>0.8</v>
      </c>
      <c r="L811" s="344" t="s">
        <v>59</v>
      </c>
      <c r="M811" s="412">
        <f>D816/1000</f>
        <v>0.5</v>
      </c>
      <c r="N811" s="346" t="s">
        <v>137</v>
      </c>
      <c r="O811" s="347" t="s">
        <v>342</v>
      </c>
      <c r="P811" s="348">
        <f>I808/1000</f>
        <v>0.5</v>
      </c>
      <c r="Q811" s="349" t="s">
        <v>343</v>
      </c>
      <c r="R811" s="350">
        <v>4</v>
      </c>
      <c r="S811" s="351">
        <f>((K811+M811)/2)*P811*R811</f>
        <v>1.3</v>
      </c>
      <c r="T811" s="289" t="s">
        <v>344</v>
      </c>
    </row>
    <row r="812" spans="2:20" ht="15" hidden="1" customHeight="1" thickBot="1">
      <c r="B812" s="255"/>
      <c r="C812" s="352"/>
      <c r="D812" s="353"/>
      <c r="E812" s="354"/>
      <c r="F812" s="355"/>
      <c r="G812" s="356"/>
      <c r="H812" s="1391"/>
      <c r="I812" s="1436"/>
      <c r="J812" s="357"/>
      <c r="K812" s="358"/>
      <c r="L812" s="358"/>
      <c r="M812" s="358"/>
      <c r="N812" s="358"/>
      <c r="O812" s="359"/>
      <c r="P812" s="329"/>
      <c r="Q812" s="329"/>
      <c r="R812" s="329"/>
      <c r="S812" s="360"/>
      <c r="T812" s="361"/>
    </row>
    <row r="813" spans="2:20" ht="15" hidden="1" customHeight="1">
      <c r="B813" s="255"/>
      <c r="C813" s="362"/>
      <c r="D813" s="363"/>
      <c r="E813" s="364"/>
      <c r="F813" s="365"/>
      <c r="G813" s="456"/>
      <c r="H813" s="269"/>
      <c r="I813" s="282"/>
      <c r="J813" s="366"/>
      <c r="K813" s="367"/>
      <c r="L813" s="320"/>
      <c r="M813" s="368"/>
      <c r="N813" s="369"/>
      <c r="P813" s="370"/>
      <c r="Q813" s="350"/>
      <c r="R813" s="350"/>
      <c r="S813" s="323"/>
      <c r="T813" s="298"/>
    </row>
    <row r="814" spans="2:20" ht="15" hidden="1" customHeight="1">
      <c r="B814" s="255"/>
      <c r="C814" s="371">
        <v>100</v>
      </c>
      <c r="D814" s="1379">
        <v>800</v>
      </c>
      <c r="E814" s="1381"/>
      <c r="F814" s="372">
        <v>100</v>
      </c>
      <c r="G814" s="268"/>
      <c r="H814" s="373"/>
      <c r="I814" s="282"/>
      <c r="J814" s="357"/>
      <c r="K814" s="358"/>
      <c r="L814" s="358"/>
      <c r="M814" s="358"/>
      <c r="N814" s="358"/>
      <c r="O814" s="374"/>
      <c r="P814" s="375"/>
      <c r="Q814" s="374"/>
      <c r="R814" s="265"/>
      <c r="S814" s="266"/>
      <c r="T814" s="294"/>
    </row>
    <row r="815" spans="2:20" ht="15" hidden="1" customHeight="1">
      <c r="B815" s="376"/>
      <c r="C815" s="377"/>
      <c r="D815" s="303"/>
      <c r="E815" s="302"/>
      <c r="F815" s="378"/>
      <c r="G815" s="379"/>
      <c r="H815" s="373"/>
      <c r="I815" s="282"/>
      <c r="J815" s="380"/>
      <c r="K815" s="306"/>
      <c r="L815" s="306"/>
      <c r="M815" s="306"/>
      <c r="N815" s="306"/>
      <c r="O815" s="381"/>
      <c r="P815" s="381"/>
      <c r="Q815" s="381"/>
      <c r="R815" s="381"/>
      <c r="S815" s="382"/>
      <c r="T815" s="383"/>
    </row>
    <row r="816" spans="2:20" ht="15" hidden="1" customHeight="1">
      <c r="B816" s="255"/>
      <c r="C816" s="371">
        <v>100</v>
      </c>
      <c r="D816" s="1379">
        <v>500</v>
      </c>
      <c r="E816" s="1381"/>
      <c r="F816" s="372">
        <v>100</v>
      </c>
      <c r="G816" s="268"/>
      <c r="H816" s="373"/>
      <c r="I816" s="282"/>
      <c r="J816" s="357" t="s">
        <v>345</v>
      </c>
      <c r="K816" s="384"/>
      <c r="L816" s="470" t="s">
        <v>735</v>
      </c>
      <c r="M816" s="384"/>
      <c r="N816" s="384"/>
      <c r="O816" s="283"/>
      <c r="P816" s="385"/>
      <c r="Q816" s="385"/>
      <c r="R816" s="385"/>
      <c r="S816" s="386"/>
      <c r="T816" s="387"/>
    </row>
    <row r="817" spans="2:20" ht="15" hidden="1" customHeight="1">
      <c r="B817" s="255"/>
      <c r="C817" s="290"/>
      <c r="D817" s="388"/>
      <c r="E817" s="388"/>
      <c r="F817" s="389"/>
      <c r="G817" s="379"/>
      <c r="H817" s="373"/>
      <c r="I817" s="282"/>
      <c r="J817" s="390"/>
      <c r="K817" s="391"/>
      <c r="L817" s="391"/>
      <c r="M817" s="391"/>
      <c r="N817" s="391"/>
      <c r="O817" s="392"/>
      <c r="P817" s="393"/>
      <c r="Q817" s="381"/>
      <c r="R817" s="259"/>
      <c r="S817" s="394">
        <v>4</v>
      </c>
      <c r="T817" s="383" t="s">
        <v>37</v>
      </c>
    </row>
    <row r="818" spans="2:20" ht="15" hidden="1" customHeight="1">
      <c r="B818" s="255"/>
      <c r="C818" s="1376"/>
      <c r="D818" s="1377"/>
      <c r="E818" s="1377"/>
      <c r="F818" s="1378"/>
      <c r="G818" s="268"/>
      <c r="H818" s="269"/>
      <c r="I818" s="282"/>
      <c r="J818" s="262" t="s">
        <v>346</v>
      </c>
      <c r="K818" s="384"/>
      <c r="L818" s="384" t="s">
        <v>526</v>
      </c>
      <c r="M818" s="264"/>
      <c r="N818" s="264"/>
      <c r="O818" s="265"/>
      <c r="P818" s="265"/>
      <c r="Q818" s="329"/>
      <c r="R818" s="329"/>
      <c r="S818" s="266"/>
      <c r="T818" s="267"/>
    </row>
    <row r="819" spans="2:20" ht="15" hidden="1" customHeight="1">
      <c r="B819" s="255"/>
      <c r="C819" s="1379">
        <f>C814+D814+F814</f>
        <v>1000</v>
      </c>
      <c r="D819" s="1380"/>
      <c r="E819" s="1380"/>
      <c r="F819" s="1381"/>
      <c r="G819" s="268"/>
      <c r="H819" s="456"/>
      <c r="I819" s="257"/>
      <c r="J819" s="334"/>
      <c r="K819" s="258"/>
      <c r="L819" s="258"/>
      <c r="M819" s="258"/>
      <c r="N819" s="258"/>
      <c r="O819" s="259">
        <v>1</v>
      </c>
      <c r="P819" s="381"/>
      <c r="Q819" s="259"/>
      <c r="R819" s="259"/>
      <c r="S819" s="395">
        <f>O819</f>
        <v>1</v>
      </c>
      <c r="T819" s="261" t="s">
        <v>36</v>
      </c>
    </row>
    <row r="820" spans="2:20" ht="15" hidden="1" customHeight="1">
      <c r="B820" s="255"/>
      <c r="C820" s="396"/>
      <c r="D820" s="388"/>
      <c r="E820" s="388"/>
      <c r="F820" s="397"/>
      <c r="G820" s="268"/>
      <c r="H820" s="269"/>
      <c r="I820" s="257"/>
      <c r="J820" s="476" t="s">
        <v>725</v>
      </c>
      <c r="K820" s="398"/>
      <c r="L820" s="398"/>
      <c r="M820" s="398"/>
      <c r="N820" s="398"/>
      <c r="O820" s="399"/>
      <c r="P820" s="400"/>
      <c r="Q820" s="399"/>
      <c r="R820" s="399"/>
      <c r="S820" s="401"/>
      <c r="T820" s="402"/>
    </row>
    <row r="821" spans="2:20" ht="15" hidden="1" customHeight="1">
      <c r="B821" s="255"/>
      <c r="C821" s="1379">
        <f>C816+D816+F816</f>
        <v>700</v>
      </c>
      <c r="D821" s="1380"/>
      <c r="E821" s="1380"/>
      <c r="F821" s="1381"/>
      <c r="G821" s="268"/>
      <c r="H821" s="456"/>
      <c r="I821" s="257"/>
      <c r="J821" s="403"/>
      <c r="K821" s="404"/>
      <c r="L821" s="404"/>
      <c r="M821" s="404"/>
      <c r="N821" s="404"/>
      <c r="O821" s="259">
        <v>1</v>
      </c>
      <c r="P821" s="405"/>
      <c r="Q821" s="405"/>
      <c r="R821" s="405"/>
      <c r="S821" s="395">
        <f>O821</f>
        <v>1</v>
      </c>
      <c r="T821" s="261" t="s">
        <v>36</v>
      </c>
    </row>
    <row r="822" spans="2:20" ht="15" hidden="1" customHeight="1">
      <c r="B822" s="255"/>
      <c r="C822" s="256"/>
      <c r="D822" s="456"/>
      <c r="E822" s="456"/>
      <c r="F822" s="456"/>
      <c r="G822" s="456"/>
      <c r="H822" s="456"/>
      <c r="I822" s="257"/>
      <c r="J822" s="485" t="s">
        <v>726</v>
      </c>
      <c r="K822" s="264"/>
      <c r="L822" s="264"/>
      <c r="M822" s="264"/>
      <c r="N822" s="264"/>
      <c r="O822" s="265"/>
      <c r="P822" s="265"/>
      <c r="Q822" s="329"/>
      <c r="R822" s="329"/>
      <c r="S822" s="266"/>
      <c r="T822" s="267"/>
    </row>
    <row r="823" spans="2:20" ht="15" hidden="1" customHeight="1">
      <c r="B823" s="255"/>
      <c r="C823" s="256"/>
      <c r="D823" s="456"/>
      <c r="E823" s="456"/>
      <c r="F823" s="456"/>
      <c r="G823" s="456"/>
      <c r="H823" s="456"/>
      <c r="I823" s="269"/>
      <c r="J823" s="334"/>
      <c r="K823" s="258"/>
      <c r="L823" s="258"/>
      <c r="M823" s="258"/>
      <c r="N823" s="258"/>
      <c r="O823" s="259">
        <v>1</v>
      </c>
      <c r="P823" s="381"/>
      <c r="Q823" s="259"/>
      <c r="R823" s="259"/>
      <c r="S823" s="395">
        <f>ROUNDDOWN(dhTextEvaluate(O823),2)</f>
        <v>1</v>
      </c>
      <c r="T823" s="261" t="s">
        <v>26</v>
      </c>
    </row>
    <row r="824" spans="2:20" ht="15" hidden="1" customHeight="1">
      <c r="B824" s="255"/>
      <c r="C824" s="256"/>
      <c r="D824" s="456"/>
      <c r="E824" s="456"/>
      <c r="F824" s="456"/>
      <c r="G824" s="456"/>
      <c r="H824" s="456"/>
      <c r="I824" s="257"/>
      <c r="J824" s="262"/>
      <c r="K824" s="407"/>
      <c r="L824" s="407"/>
      <c r="M824" s="407"/>
      <c r="N824" s="407"/>
      <c r="O824" s="265"/>
      <c r="P824" s="265"/>
      <c r="Q824" s="265"/>
      <c r="R824" s="265"/>
      <c r="S824" s="266"/>
      <c r="T824" s="267"/>
    </row>
    <row r="825" spans="2:20" ht="15" hidden="1" customHeight="1">
      <c r="B825" s="408"/>
      <c r="C825" s="409"/>
      <c r="D825" s="350"/>
      <c r="E825" s="350"/>
      <c r="F825" s="350"/>
      <c r="G825" s="350"/>
      <c r="H825" s="350"/>
      <c r="I825" s="410"/>
      <c r="J825" s="334"/>
      <c r="K825" s="258"/>
      <c r="L825" s="258"/>
      <c r="M825" s="258"/>
      <c r="N825" s="258"/>
      <c r="O825" s="259"/>
      <c r="P825" s="259"/>
      <c r="Q825" s="259"/>
      <c r="R825" s="411"/>
      <c r="S825" s="395"/>
      <c r="T825" s="261"/>
    </row>
    <row r="826" spans="2:20" ht="24.95" hidden="1" customHeight="1">
      <c r="B826" s="468" t="s">
        <v>706</v>
      </c>
      <c r="C826" s="1383" t="s">
        <v>707</v>
      </c>
      <c r="D826" s="1423"/>
      <c r="E826" s="1423"/>
      <c r="F826" s="1423"/>
      <c r="G826" s="1423"/>
      <c r="H826" s="1424"/>
      <c r="I826" s="1383" t="s">
        <v>712</v>
      </c>
      <c r="J826" s="1423"/>
      <c r="K826" s="1435"/>
      <c r="L826" s="1433"/>
      <c r="M826" s="1424"/>
      <c r="N826" s="1424"/>
      <c r="O826" s="1424"/>
      <c r="P826" s="1424"/>
      <c r="Q826" s="1424"/>
      <c r="R826" s="1424"/>
      <c r="S826" s="1424"/>
      <c r="T826" s="1434"/>
    </row>
    <row r="827" spans="2:20" ht="15" hidden="1" customHeight="1">
      <c r="B827" s="255"/>
      <c r="C827" s="256"/>
      <c r="D827" s="456"/>
      <c r="E827" s="456"/>
      <c r="F827" s="456"/>
      <c r="G827" s="456"/>
      <c r="H827" s="456"/>
      <c r="I827" s="257"/>
      <c r="J827" s="258"/>
      <c r="K827" s="258"/>
      <c r="L827" s="258" t="s">
        <v>39</v>
      </c>
      <c r="M827" s="258" t="s">
        <v>40</v>
      </c>
      <c r="N827" s="258" t="s">
        <v>41</v>
      </c>
      <c r="O827" s="259" t="s">
        <v>42</v>
      </c>
      <c r="P827" s="259" t="s">
        <v>43</v>
      </c>
      <c r="Q827" s="259"/>
      <c r="R827" s="259"/>
      <c r="S827" s="260" t="s">
        <v>44</v>
      </c>
      <c r="T827" s="261"/>
    </row>
    <row r="828" spans="2:20" ht="15" hidden="1" customHeight="1">
      <c r="B828" s="255"/>
      <c r="C828" s="256"/>
      <c r="D828" s="456"/>
      <c r="E828" s="456"/>
      <c r="F828" s="456"/>
      <c r="G828" s="456"/>
      <c r="H828" s="456"/>
      <c r="I828" s="257"/>
      <c r="J828" s="262" t="s">
        <v>45</v>
      </c>
      <c r="K828" s="263"/>
      <c r="L828" s="263" t="s">
        <v>46</v>
      </c>
      <c r="M828" s="264"/>
      <c r="N828" s="264"/>
      <c r="P828" s="265"/>
      <c r="Q828" s="265"/>
      <c r="R828" s="265"/>
      <c r="S828" s="266"/>
      <c r="T828" s="267"/>
    </row>
    <row r="829" spans="2:20" ht="15" hidden="1" customHeight="1">
      <c r="B829" s="255"/>
      <c r="C829" s="1377">
        <f>C851+(0.3*(H840)*2)</f>
        <v>1420</v>
      </c>
      <c r="D829" s="1377"/>
      <c r="E829" s="1377"/>
      <c r="F829" s="1377"/>
      <c r="G829" s="268"/>
      <c r="H829" s="269"/>
      <c r="I829" s="257"/>
      <c r="J829" s="270" t="s">
        <v>47</v>
      </c>
      <c r="K829" s="271">
        <f>C829/1000</f>
        <v>1.42</v>
      </c>
      <c r="L829" s="271"/>
      <c r="M829" s="271"/>
      <c r="N829" s="272" t="s">
        <v>48</v>
      </c>
      <c r="O829" s="273">
        <f>C851/1000</f>
        <v>0.7</v>
      </c>
      <c r="P829" s="274"/>
      <c r="Q829" s="275" t="s">
        <v>49</v>
      </c>
      <c r="R829" s="276">
        <f>(H840)/1000</f>
        <v>1.2</v>
      </c>
      <c r="S829" s="277"/>
      <c r="T829" s="278"/>
    </row>
    <row r="830" spans="2:20" ht="15" hidden="1" customHeight="1">
      <c r="B830" s="255"/>
      <c r="C830" s="279"/>
      <c r="D830" s="280"/>
      <c r="E830" s="280"/>
      <c r="F830" s="281"/>
      <c r="G830" s="268"/>
      <c r="H830" s="269"/>
      <c r="I830" s="282"/>
      <c r="J830" s="270" t="s">
        <v>50</v>
      </c>
      <c r="K830" s="271">
        <f>C831/1000</f>
        <v>1.92</v>
      </c>
      <c r="L830" s="271"/>
      <c r="M830" s="271"/>
      <c r="N830" s="272" t="s">
        <v>51</v>
      </c>
      <c r="O830" s="273">
        <f>C853/1000</f>
        <v>1.2</v>
      </c>
      <c r="P830" s="274"/>
      <c r="Q830" s="254"/>
      <c r="R830" s="283"/>
      <c r="S830" s="284"/>
      <c r="T830" s="278"/>
    </row>
    <row r="831" spans="2:20" ht="15" hidden="1" customHeight="1">
      <c r="B831" s="255"/>
      <c r="C831" s="1379">
        <f>C853+(0.3*(H840)*2)</f>
        <v>1920</v>
      </c>
      <c r="D831" s="1380"/>
      <c r="E831" s="1380"/>
      <c r="F831" s="1381"/>
      <c r="G831" s="268"/>
      <c r="H831" s="269"/>
      <c r="I831" s="282"/>
      <c r="J831" s="285" t="s">
        <v>52</v>
      </c>
      <c r="K831" s="286"/>
      <c r="L831" s="286"/>
      <c r="M831" s="286"/>
      <c r="N831" s="286"/>
      <c r="O831" s="287"/>
      <c r="P831" s="286"/>
      <c r="Q831" s="259"/>
      <c r="R831" s="259"/>
      <c r="S831" s="288">
        <f>ROUNDDOWN(R829/6*((2*K829+O829)*K830+(2*O829+K829)*O830),2)</f>
        <v>2.0299999999999998</v>
      </c>
      <c r="T831" s="289" t="s">
        <v>178</v>
      </c>
    </row>
    <row r="832" spans="2:20" ht="15" hidden="1" customHeight="1">
      <c r="B832" s="255"/>
      <c r="C832" s="290"/>
      <c r="D832" s="291"/>
      <c r="E832" s="291"/>
      <c r="F832" s="281"/>
      <c r="G832" s="268"/>
      <c r="H832" s="269"/>
      <c r="I832" s="282"/>
      <c r="J832" s="262" t="s">
        <v>53</v>
      </c>
      <c r="K832" s="292"/>
      <c r="L832" s="292" t="s">
        <v>54</v>
      </c>
      <c r="M832" s="293"/>
      <c r="N832" s="293"/>
      <c r="O832" s="293"/>
      <c r="P832" s="292"/>
      <c r="Q832" s="263"/>
      <c r="R832" s="263"/>
      <c r="S832" s="266"/>
      <c r="T832" s="294"/>
    </row>
    <row r="833" spans="2:20" ht="15" hidden="1" customHeight="1">
      <c r="B833" s="255"/>
      <c r="C833" s="295"/>
      <c r="D833" s="1386">
        <v>500</v>
      </c>
      <c r="E833" s="1387"/>
      <c r="F833" s="296"/>
      <c r="G833" s="268"/>
      <c r="H833" s="269"/>
      <c r="I833" s="282"/>
      <c r="J833" s="270" t="s">
        <v>47</v>
      </c>
      <c r="K833" s="542">
        <f>D833/1000</f>
        <v>0.5</v>
      </c>
      <c r="L833" s="271"/>
      <c r="M833" s="271"/>
      <c r="N833" s="272" t="s">
        <v>48</v>
      </c>
      <c r="O833" s="271">
        <f>D848/1000</f>
        <v>1</v>
      </c>
      <c r="P833" s="274"/>
      <c r="Q833" s="275" t="s">
        <v>49</v>
      </c>
      <c r="R833" s="276">
        <f>H840/1000</f>
        <v>1.2</v>
      </c>
      <c r="S833" s="297">
        <f>ROUNDDOWN(K833*O833*R833,2)</f>
        <v>0.6</v>
      </c>
      <c r="T833" s="298" t="s">
        <v>55</v>
      </c>
    </row>
    <row r="834" spans="2:20" ht="15" hidden="1" customHeight="1">
      <c r="B834" s="255"/>
      <c r="C834" s="299"/>
      <c r="D834" s="300"/>
      <c r="E834" s="301"/>
      <c r="F834" s="302"/>
      <c r="G834" s="456"/>
      <c r="H834" s="269"/>
      <c r="I834" s="282"/>
      <c r="J834" s="270"/>
      <c r="K834" s="271"/>
      <c r="L834" s="271"/>
      <c r="M834" s="271"/>
      <c r="N834" s="272"/>
      <c r="O834" s="271"/>
      <c r="P834" s="274"/>
      <c r="Q834" s="275"/>
      <c r="R834" s="276"/>
      <c r="S834" s="297"/>
      <c r="T834" s="298"/>
    </row>
    <row r="835" spans="2:20" ht="15" hidden="1" customHeight="1">
      <c r="B835" s="255"/>
      <c r="C835" s="299"/>
      <c r="D835" s="303"/>
      <c r="E835" s="302"/>
      <c r="F835" s="302"/>
      <c r="G835" s="456"/>
      <c r="H835" s="269"/>
      <c r="I835" s="282"/>
      <c r="J835" s="270"/>
      <c r="K835" s="271"/>
      <c r="L835" s="271"/>
      <c r="M835" s="271"/>
      <c r="N835" s="272"/>
      <c r="O835" s="271"/>
      <c r="P835" s="274"/>
      <c r="Q835" s="275"/>
      <c r="R835" s="276"/>
      <c r="S835" s="297"/>
      <c r="T835" s="541"/>
    </row>
    <row r="836" spans="2:20" ht="15" hidden="1" customHeight="1">
      <c r="B836" s="255"/>
      <c r="C836" s="299"/>
      <c r="D836" s="303"/>
      <c r="E836" s="302"/>
      <c r="F836" s="302"/>
      <c r="G836" s="456"/>
      <c r="H836" s="269"/>
      <c r="I836" s="282"/>
      <c r="J836" s="270"/>
      <c r="K836" s="271"/>
      <c r="L836" s="271"/>
      <c r="M836" s="271"/>
      <c r="N836" s="304"/>
      <c r="O836" s="271"/>
      <c r="P836" s="274"/>
      <c r="Q836" s="275"/>
      <c r="R836" s="276"/>
      <c r="S836" s="297"/>
      <c r="T836" s="298"/>
    </row>
    <row r="837" spans="2:20" ht="15" hidden="1" customHeight="1">
      <c r="B837" s="255"/>
      <c r="C837" s="299"/>
      <c r="D837" s="303"/>
      <c r="E837" s="302"/>
      <c r="F837" s="302"/>
      <c r="G837" s="456"/>
      <c r="H837" s="305"/>
      <c r="I837" s="282"/>
      <c r="J837" s="285" t="s">
        <v>57</v>
      </c>
      <c r="K837" s="286"/>
      <c r="L837" s="286"/>
      <c r="M837" s="286"/>
      <c r="N837" s="286"/>
      <c r="O837" s="287"/>
      <c r="P837" s="286"/>
      <c r="Q837" s="306"/>
      <c r="R837" s="307"/>
      <c r="S837" s="288">
        <f>SUM(S833:S836)</f>
        <v>0.6</v>
      </c>
      <c r="T837" s="289" t="s">
        <v>178</v>
      </c>
    </row>
    <row r="838" spans="2:20" ht="15" hidden="1" customHeight="1">
      <c r="B838" s="255"/>
      <c r="C838" s="299"/>
      <c r="D838" s="303"/>
      <c r="E838" s="302"/>
      <c r="F838" s="302"/>
      <c r="G838" s="456"/>
      <c r="H838" s="269"/>
      <c r="I838" s="308"/>
      <c r="J838" s="262" t="s">
        <v>58</v>
      </c>
      <c r="K838" s="293"/>
      <c r="L838" s="309" t="s">
        <v>334</v>
      </c>
      <c r="M838" s="309" t="s">
        <v>335</v>
      </c>
      <c r="N838" s="310" t="s">
        <v>336</v>
      </c>
      <c r="O838" s="311"/>
      <c r="P838" s="309"/>
      <c r="Q838" s="312"/>
      <c r="R838" s="312"/>
      <c r="S838" s="313"/>
      <c r="T838" s="294"/>
    </row>
    <row r="839" spans="2:20" ht="15" hidden="1" customHeight="1" thickBot="1">
      <c r="B839" s="314"/>
      <c r="C839" s="1388"/>
      <c r="D839" s="1388"/>
      <c r="E839" s="1388"/>
      <c r="F839" s="1388"/>
      <c r="G839" s="315"/>
      <c r="H839" s="315"/>
      <c r="I839" s="316"/>
      <c r="J839" s="317"/>
      <c r="K839" s="318"/>
      <c r="L839" s="318" t="s">
        <v>334</v>
      </c>
      <c r="M839" s="318">
        <f>S831</f>
        <v>2.0299999999999998</v>
      </c>
      <c r="N839" s="318" t="s">
        <v>337</v>
      </c>
      <c r="O839" s="319">
        <f>S841</f>
        <v>0.6</v>
      </c>
      <c r="P839" s="320"/>
      <c r="Q839" s="321"/>
      <c r="R839" s="322"/>
      <c r="S839" s="323">
        <f>ROUNDDOWN(M839-O839,2)</f>
        <v>1.43</v>
      </c>
      <c r="T839" s="289" t="s">
        <v>178</v>
      </c>
    </row>
    <row r="840" spans="2:20" ht="15" hidden="1" customHeight="1">
      <c r="B840" s="255"/>
      <c r="C840" s="324"/>
      <c r="D840" s="457"/>
      <c r="E840" s="325"/>
      <c r="F840" s="326"/>
      <c r="G840" s="327"/>
      <c r="H840" s="1389">
        <v>1200</v>
      </c>
      <c r="I840" s="1392">
        <f>H837+H839+H840</f>
        <v>1200</v>
      </c>
      <c r="J840" s="262" t="s">
        <v>338</v>
      </c>
      <c r="K840" s="293"/>
      <c r="L840" s="293" t="s">
        <v>339</v>
      </c>
      <c r="M840" s="309"/>
      <c r="N840" s="310" t="s">
        <v>340</v>
      </c>
      <c r="O840" s="293"/>
      <c r="P840" s="293"/>
      <c r="Q840" s="328"/>
      <c r="R840" s="329"/>
      <c r="S840" s="266"/>
      <c r="T840" s="294"/>
    </row>
    <row r="841" spans="2:20" ht="15" hidden="1" customHeight="1">
      <c r="B841" s="330"/>
      <c r="C841" s="324"/>
      <c r="D841" s="331"/>
      <c r="E841" s="332"/>
      <c r="F841" s="326"/>
      <c r="G841" s="333"/>
      <c r="H841" s="1390"/>
      <c r="I841" s="1387"/>
      <c r="J841" s="334"/>
      <c r="K841" s="335"/>
      <c r="L841" s="336" t="s">
        <v>339</v>
      </c>
      <c r="M841" s="335"/>
      <c r="N841" s="335"/>
      <c r="O841" s="286">
        <f>S833</f>
        <v>0.6</v>
      </c>
      <c r="P841" s="286"/>
      <c r="Q841" s="286"/>
      <c r="R841" s="259"/>
      <c r="S841" s="323">
        <f>ROUNDDOWN(O841+Q841,2)</f>
        <v>0.6</v>
      </c>
      <c r="T841" s="337" t="s">
        <v>178</v>
      </c>
    </row>
    <row r="842" spans="2:20" ht="15" hidden="1" customHeight="1">
      <c r="B842" s="255"/>
      <c r="C842" s="324"/>
      <c r="D842" s="331"/>
      <c r="E842" s="332"/>
      <c r="F842" s="326"/>
      <c r="G842" s="333"/>
      <c r="H842" s="1390"/>
      <c r="I842" s="1387"/>
      <c r="J842" s="467" t="s">
        <v>584</v>
      </c>
      <c r="K842" s="293"/>
      <c r="L842" s="293"/>
      <c r="M842" s="293"/>
      <c r="N842" s="293"/>
      <c r="O842" s="339"/>
      <c r="P842" s="340"/>
      <c r="Q842" s="329"/>
      <c r="R842" s="341"/>
      <c r="S842" s="266"/>
      <c r="T842" s="294"/>
    </row>
    <row r="843" spans="2:20" ht="15" hidden="1" customHeight="1">
      <c r="B843" s="255"/>
      <c r="C843" s="324"/>
      <c r="D843" s="331"/>
      <c r="E843" s="332"/>
      <c r="F843" s="326"/>
      <c r="G843" s="333"/>
      <c r="H843" s="1390"/>
      <c r="I843" s="1387"/>
      <c r="J843" s="342" t="s">
        <v>341</v>
      </c>
      <c r="K843" s="343">
        <f>D833/1000</f>
        <v>0.5</v>
      </c>
      <c r="L843" s="344" t="s">
        <v>59</v>
      </c>
      <c r="M843" s="412">
        <f>D848/1000</f>
        <v>1</v>
      </c>
      <c r="N843" s="346" t="s">
        <v>137</v>
      </c>
      <c r="O843" s="347" t="s">
        <v>342</v>
      </c>
      <c r="P843" s="348">
        <f>I840/1000</f>
        <v>1.2</v>
      </c>
      <c r="Q843" s="349" t="s">
        <v>343</v>
      </c>
      <c r="R843" s="350">
        <v>4</v>
      </c>
      <c r="S843" s="351">
        <f>((K843+M843)/2)*P843*R843</f>
        <v>3.5999999999999996</v>
      </c>
      <c r="T843" s="289" t="s">
        <v>344</v>
      </c>
    </row>
    <row r="844" spans="2:20" ht="15" hidden="1" customHeight="1" thickBot="1">
      <c r="B844" s="255"/>
      <c r="C844" s="352"/>
      <c r="D844" s="353"/>
      <c r="E844" s="354"/>
      <c r="F844" s="355"/>
      <c r="G844" s="356"/>
      <c r="H844" s="1391"/>
      <c r="I844" s="1387"/>
      <c r="J844" s="357"/>
      <c r="K844" s="358"/>
      <c r="L844" s="358"/>
      <c r="M844" s="358"/>
      <c r="N844" s="358"/>
      <c r="O844" s="359"/>
      <c r="P844" s="329"/>
      <c r="Q844" s="329"/>
      <c r="R844" s="329"/>
      <c r="S844" s="360"/>
      <c r="T844" s="361"/>
    </row>
    <row r="845" spans="2:20" ht="15" hidden="1" customHeight="1">
      <c r="B845" s="255"/>
      <c r="C845" s="362"/>
      <c r="D845" s="363"/>
      <c r="E845" s="364"/>
      <c r="F845" s="365"/>
      <c r="G845" s="456"/>
      <c r="H845" s="269"/>
      <c r="I845" s="282"/>
      <c r="J845" s="366"/>
      <c r="K845" s="367"/>
      <c r="L845" s="320"/>
      <c r="M845" s="368"/>
      <c r="N845" s="369"/>
      <c r="P845" s="370"/>
      <c r="Q845" s="350"/>
      <c r="R845" s="350"/>
      <c r="S845" s="323"/>
      <c r="T845" s="298"/>
    </row>
    <row r="846" spans="2:20" ht="15" hidden="1" customHeight="1">
      <c r="B846" s="255"/>
      <c r="C846" s="371">
        <v>100</v>
      </c>
      <c r="D846" s="1379">
        <v>500</v>
      </c>
      <c r="E846" s="1381"/>
      <c r="F846" s="372">
        <v>100</v>
      </c>
      <c r="G846" s="268"/>
      <c r="H846" s="373"/>
      <c r="I846" s="282"/>
      <c r="J846" s="357"/>
      <c r="K846" s="358"/>
      <c r="L846" s="358"/>
      <c r="M846" s="358"/>
      <c r="N846" s="358"/>
      <c r="O846" s="374"/>
      <c r="P846" s="375"/>
      <c r="Q846" s="374"/>
      <c r="R846" s="265"/>
      <c r="S846" s="266"/>
      <c r="T846" s="294"/>
    </row>
    <row r="847" spans="2:20" ht="15" hidden="1" customHeight="1">
      <c r="B847" s="376"/>
      <c r="C847" s="377"/>
      <c r="D847" s="303"/>
      <c r="E847" s="302"/>
      <c r="F847" s="378"/>
      <c r="G847" s="379"/>
      <c r="H847" s="373"/>
      <c r="I847" s="282"/>
      <c r="J847" s="380"/>
      <c r="K847" s="306"/>
      <c r="L847" s="306"/>
      <c r="M847" s="306"/>
      <c r="N847" s="306"/>
      <c r="O847" s="381"/>
      <c r="P847" s="381"/>
      <c r="Q847" s="381"/>
      <c r="R847" s="381"/>
      <c r="S847" s="382"/>
      <c r="T847" s="383"/>
    </row>
    <row r="848" spans="2:20" ht="15" hidden="1" customHeight="1">
      <c r="B848" s="255"/>
      <c r="C848" s="371">
        <v>100</v>
      </c>
      <c r="D848" s="1386">
        <v>1000</v>
      </c>
      <c r="E848" s="1387"/>
      <c r="F848" s="372">
        <v>100</v>
      </c>
      <c r="G848" s="268"/>
      <c r="H848" s="373"/>
      <c r="I848" s="282"/>
      <c r="J848" s="357" t="s">
        <v>345</v>
      </c>
      <c r="K848" s="384"/>
      <c r="L848" s="470" t="s">
        <v>587</v>
      </c>
      <c r="M848" s="384"/>
      <c r="N848" s="384"/>
      <c r="O848" s="283"/>
      <c r="P848" s="385"/>
      <c r="Q848" s="385"/>
      <c r="R848" s="385"/>
      <c r="S848" s="386"/>
      <c r="T848" s="387"/>
    </row>
    <row r="849" spans="2:20" ht="15" hidden="1" customHeight="1">
      <c r="B849" s="255"/>
      <c r="C849" s="290"/>
      <c r="D849" s="388"/>
      <c r="E849" s="388"/>
      <c r="F849" s="389"/>
      <c r="G849" s="379"/>
      <c r="H849" s="373"/>
      <c r="I849" s="282"/>
      <c r="J849" s="390"/>
      <c r="K849" s="391"/>
      <c r="L849" s="391"/>
      <c r="M849" s="391"/>
      <c r="N849" s="391"/>
      <c r="O849" s="392"/>
      <c r="P849" s="393"/>
      <c r="Q849" s="381"/>
      <c r="R849" s="259"/>
      <c r="S849" s="394">
        <v>1</v>
      </c>
      <c r="T849" s="383" t="s">
        <v>37</v>
      </c>
    </row>
    <row r="850" spans="2:20" ht="15" hidden="1" customHeight="1">
      <c r="B850" s="255"/>
      <c r="C850" s="1376"/>
      <c r="D850" s="1377"/>
      <c r="E850" s="1377"/>
      <c r="F850" s="1378"/>
      <c r="G850" s="268"/>
      <c r="H850" s="269"/>
      <c r="I850" s="282"/>
      <c r="J850" s="262" t="s">
        <v>346</v>
      </c>
      <c r="K850" s="384"/>
      <c r="L850" s="384" t="s">
        <v>526</v>
      </c>
      <c r="M850" s="264"/>
      <c r="N850" s="264"/>
      <c r="O850" s="265"/>
      <c r="P850" s="265"/>
      <c r="Q850" s="329"/>
      <c r="R850" s="329"/>
      <c r="S850" s="266"/>
      <c r="T850" s="267"/>
    </row>
    <row r="851" spans="2:20" ht="15" hidden="1" customHeight="1">
      <c r="B851" s="255"/>
      <c r="C851" s="1379">
        <f>C846+D846+F846</f>
        <v>700</v>
      </c>
      <c r="D851" s="1380"/>
      <c r="E851" s="1380"/>
      <c r="F851" s="1381"/>
      <c r="G851" s="268"/>
      <c r="H851" s="456"/>
      <c r="I851" s="257"/>
      <c r="J851" s="334"/>
      <c r="K851" s="258"/>
      <c r="L851" s="258"/>
      <c r="M851" s="258"/>
      <c r="N851" s="258"/>
      <c r="O851" s="259">
        <v>3</v>
      </c>
      <c r="P851" s="381"/>
      <c r="Q851" s="259"/>
      <c r="R851" s="259"/>
      <c r="S851" s="395">
        <f>O851</f>
        <v>3</v>
      </c>
      <c r="T851" s="261" t="s">
        <v>36</v>
      </c>
    </row>
    <row r="852" spans="2:20" ht="15" hidden="1" customHeight="1">
      <c r="B852" s="255"/>
      <c r="C852" s="396"/>
      <c r="D852" s="388"/>
      <c r="E852" s="388"/>
      <c r="F852" s="397"/>
      <c r="G852" s="268"/>
      <c r="H852" s="269"/>
      <c r="I852" s="257"/>
      <c r="J852" s="476" t="s">
        <v>709</v>
      </c>
      <c r="K852" s="398"/>
      <c r="L852" s="398"/>
      <c r="M852" s="398"/>
      <c r="N852" s="398"/>
      <c r="O852" s="399"/>
      <c r="P852" s="400"/>
      <c r="Q852" s="399"/>
      <c r="R852" s="399"/>
      <c r="S852" s="401"/>
      <c r="T852" s="402"/>
    </row>
    <row r="853" spans="2:20" ht="15" hidden="1" customHeight="1">
      <c r="B853" s="255"/>
      <c r="C853" s="1379">
        <f>C848+D848+F848</f>
        <v>1200</v>
      </c>
      <c r="D853" s="1380"/>
      <c r="E853" s="1380"/>
      <c r="F853" s="1381"/>
      <c r="G853" s="268"/>
      <c r="H853" s="456"/>
      <c r="I853" s="257"/>
      <c r="J853" s="403"/>
      <c r="K853" s="404"/>
      <c r="L853" s="404"/>
      <c r="M853" s="404"/>
      <c r="N853" s="404"/>
      <c r="O853" s="259">
        <v>3</v>
      </c>
      <c r="P853" s="405"/>
      <c r="Q853" s="405"/>
      <c r="R853" s="405"/>
      <c r="S853" s="395">
        <f>O853</f>
        <v>3</v>
      </c>
      <c r="T853" s="261" t="s">
        <v>36</v>
      </c>
    </row>
    <row r="854" spans="2:20" ht="15" hidden="1" customHeight="1">
      <c r="B854" s="255"/>
      <c r="C854" s="256"/>
      <c r="D854" s="456"/>
      <c r="E854" s="456"/>
      <c r="F854" s="456"/>
      <c r="G854" s="456"/>
      <c r="H854" s="456"/>
      <c r="I854" s="257"/>
      <c r="J854" s="485" t="s">
        <v>708</v>
      </c>
      <c r="K854" s="264"/>
      <c r="L854" s="264"/>
      <c r="M854" s="264"/>
      <c r="N854" s="264"/>
      <c r="O854" s="265"/>
      <c r="P854" s="265"/>
      <c r="Q854" s="329"/>
      <c r="R854" s="329"/>
      <c r="S854" s="266"/>
      <c r="T854" s="267"/>
    </row>
    <row r="855" spans="2:20" ht="15" hidden="1" customHeight="1">
      <c r="B855" s="255"/>
      <c r="C855" s="256"/>
      <c r="D855" s="456"/>
      <c r="E855" s="456"/>
      <c r="F855" s="456"/>
      <c r="G855" s="456"/>
      <c r="H855" s="456"/>
      <c r="I855" s="269"/>
      <c r="J855" s="334"/>
      <c r="K855" s="258"/>
      <c r="L855" s="258"/>
      <c r="M855" s="258"/>
      <c r="N855" s="258"/>
      <c r="O855" s="259">
        <v>1</v>
      </c>
      <c r="P855" s="381"/>
      <c r="Q855" s="259"/>
      <c r="R855" s="259"/>
      <c r="S855" s="395">
        <f>ROUNDDOWN(dhTextEvaluate(O855),2)</f>
        <v>1</v>
      </c>
      <c r="T855" s="261" t="s">
        <v>26</v>
      </c>
    </row>
    <row r="856" spans="2:20" ht="15" hidden="1" customHeight="1">
      <c r="B856" s="255"/>
      <c r="C856" s="256"/>
      <c r="D856" s="456"/>
      <c r="E856" s="456"/>
      <c r="F856" s="456"/>
      <c r="G856" s="456"/>
      <c r="H856" s="456"/>
      <c r="I856" s="257"/>
      <c r="J856" s="262"/>
      <c r="K856" s="407"/>
      <c r="L856" s="407"/>
      <c r="M856" s="407"/>
      <c r="N856" s="407"/>
      <c r="O856" s="265"/>
      <c r="P856" s="265"/>
      <c r="Q856" s="265"/>
      <c r="R856" s="265"/>
      <c r="S856" s="266"/>
      <c r="T856" s="267"/>
    </row>
    <row r="857" spans="2:20" ht="15" hidden="1" customHeight="1">
      <c r="B857" s="408"/>
      <c r="C857" s="409"/>
      <c r="D857" s="350"/>
      <c r="E857" s="350"/>
      <c r="F857" s="350"/>
      <c r="G857" s="350"/>
      <c r="H857" s="350"/>
      <c r="I857" s="410"/>
      <c r="J857" s="334"/>
      <c r="K857" s="258"/>
      <c r="L857" s="258"/>
      <c r="M857" s="258"/>
      <c r="N857" s="258"/>
      <c r="O857" s="259"/>
      <c r="P857" s="259"/>
      <c r="Q857" s="259"/>
      <c r="R857" s="411"/>
      <c r="S857" s="395"/>
      <c r="T857" s="261"/>
    </row>
    <row r="858" spans="2:20" ht="24.95" hidden="1" customHeight="1">
      <c r="B858" s="468" t="s">
        <v>710</v>
      </c>
      <c r="C858" s="1383" t="s">
        <v>707</v>
      </c>
      <c r="D858" s="1423"/>
      <c r="E858" s="1423"/>
      <c r="F858" s="1423"/>
      <c r="G858" s="1423"/>
      <c r="H858" s="1424"/>
      <c r="I858" s="1383" t="s">
        <v>711</v>
      </c>
      <c r="J858" s="1423"/>
      <c r="K858" s="1435"/>
      <c r="L858" s="1433"/>
      <c r="M858" s="1424"/>
      <c r="N858" s="1424"/>
      <c r="O858" s="1424"/>
      <c r="P858" s="1424"/>
      <c r="Q858" s="1424"/>
      <c r="R858" s="1424"/>
      <c r="S858" s="1424"/>
      <c r="T858" s="1434"/>
    </row>
    <row r="859" spans="2:20" ht="15" hidden="1" customHeight="1">
      <c r="B859" s="255"/>
      <c r="C859" s="256"/>
      <c r="D859" s="456"/>
      <c r="E859" s="456"/>
      <c r="F859" s="456"/>
      <c r="G859" s="456"/>
      <c r="H859" s="456"/>
      <c r="I859" s="257"/>
      <c r="J859" s="258"/>
      <c r="K859" s="258"/>
      <c r="L859" s="258" t="s">
        <v>39</v>
      </c>
      <c r="M859" s="258" t="s">
        <v>40</v>
      </c>
      <c r="N859" s="258" t="s">
        <v>41</v>
      </c>
      <c r="O859" s="259" t="s">
        <v>42</v>
      </c>
      <c r="P859" s="259" t="s">
        <v>43</v>
      </c>
      <c r="Q859" s="259"/>
      <c r="R859" s="259"/>
      <c r="S859" s="260" t="s">
        <v>44</v>
      </c>
      <c r="T859" s="261"/>
    </row>
    <row r="860" spans="2:20" ht="15" hidden="1" customHeight="1">
      <c r="B860" s="255"/>
      <c r="C860" s="256"/>
      <c r="D860" s="456"/>
      <c r="E860" s="456"/>
      <c r="F860" s="456"/>
      <c r="G860" s="456"/>
      <c r="H860" s="456"/>
      <c r="I860" s="257"/>
      <c r="J860" s="262" t="s">
        <v>45</v>
      </c>
      <c r="K860" s="263"/>
      <c r="L860" s="263" t="s">
        <v>46</v>
      </c>
      <c r="M860" s="264"/>
      <c r="N860" s="264"/>
      <c r="P860" s="265"/>
      <c r="Q860" s="265"/>
      <c r="R860" s="265"/>
      <c r="S860" s="266"/>
      <c r="T860" s="267"/>
    </row>
    <row r="861" spans="2:20" ht="15" hidden="1" customHeight="1">
      <c r="B861" s="255"/>
      <c r="C861" s="1377">
        <f>C883+(0.3*(H872)*2)</f>
        <v>1120</v>
      </c>
      <c r="D861" s="1377"/>
      <c r="E861" s="1377"/>
      <c r="F861" s="1377"/>
      <c r="G861" s="268"/>
      <c r="H861" s="269"/>
      <c r="I861" s="257"/>
      <c r="J861" s="270" t="s">
        <v>47</v>
      </c>
      <c r="K861" s="271">
        <f>C861/1000</f>
        <v>1.1200000000000001</v>
      </c>
      <c r="L861" s="271"/>
      <c r="M861" s="271"/>
      <c r="N861" s="272" t="s">
        <v>48</v>
      </c>
      <c r="O861" s="273">
        <f>C883/1000</f>
        <v>0.7</v>
      </c>
      <c r="P861" s="274"/>
      <c r="Q861" s="275" t="s">
        <v>49</v>
      </c>
      <c r="R861" s="276">
        <f>(H872)/1000</f>
        <v>0.7</v>
      </c>
      <c r="S861" s="277"/>
      <c r="T861" s="278"/>
    </row>
    <row r="862" spans="2:20" ht="15" hidden="1" customHeight="1">
      <c r="B862" s="255"/>
      <c r="C862" s="279"/>
      <c r="D862" s="280"/>
      <c r="E862" s="280"/>
      <c r="F862" s="281"/>
      <c r="G862" s="268"/>
      <c r="H862" s="269"/>
      <c r="I862" s="282"/>
      <c r="J862" s="270" t="s">
        <v>50</v>
      </c>
      <c r="K862" s="271">
        <f>C863/1000</f>
        <v>1.1200000000000001</v>
      </c>
      <c r="L862" s="271"/>
      <c r="M862" s="271"/>
      <c r="N862" s="272" t="s">
        <v>51</v>
      </c>
      <c r="O862" s="273">
        <f>C885/1000</f>
        <v>0.7</v>
      </c>
      <c r="P862" s="274"/>
      <c r="Q862" s="254"/>
      <c r="R862" s="283"/>
      <c r="S862" s="284"/>
      <c r="T862" s="278"/>
    </row>
    <row r="863" spans="2:20" ht="15" hidden="1" customHeight="1">
      <c r="B863" s="255"/>
      <c r="C863" s="1379">
        <f>C885+(0.3*(H872)*2)</f>
        <v>1120</v>
      </c>
      <c r="D863" s="1380"/>
      <c r="E863" s="1380"/>
      <c r="F863" s="1381"/>
      <c r="G863" s="268"/>
      <c r="H863" s="269"/>
      <c r="I863" s="282"/>
      <c r="J863" s="285" t="s">
        <v>52</v>
      </c>
      <c r="K863" s="286"/>
      <c r="L863" s="286"/>
      <c r="M863" s="286"/>
      <c r="N863" s="286"/>
      <c r="O863" s="287"/>
      <c r="P863" s="286"/>
      <c r="Q863" s="259"/>
      <c r="R863" s="259"/>
      <c r="S863" s="288">
        <f>ROUNDDOWN(R861/6*((2*K861+O861)*K862+(2*O861+K861)*O862),2)</f>
        <v>0.57999999999999996</v>
      </c>
      <c r="T863" s="289" t="s">
        <v>178</v>
      </c>
    </row>
    <row r="864" spans="2:20" ht="15" hidden="1" customHeight="1">
      <c r="B864" s="255"/>
      <c r="C864" s="290"/>
      <c r="D864" s="291"/>
      <c r="E864" s="291"/>
      <c r="F864" s="281"/>
      <c r="G864" s="268"/>
      <c r="H864" s="269"/>
      <c r="I864" s="282"/>
      <c r="J864" s="262" t="s">
        <v>53</v>
      </c>
      <c r="K864" s="292"/>
      <c r="L864" s="292" t="s">
        <v>54</v>
      </c>
      <c r="M864" s="293"/>
      <c r="N864" s="293"/>
      <c r="O864" s="293"/>
      <c r="P864" s="292"/>
      <c r="Q864" s="263"/>
      <c r="R864" s="263"/>
      <c r="S864" s="266"/>
      <c r="T864" s="294"/>
    </row>
    <row r="865" spans="2:20" ht="15" hidden="1" customHeight="1">
      <c r="B865" s="255"/>
      <c r="C865" s="295"/>
      <c r="D865" s="1386">
        <v>500</v>
      </c>
      <c r="E865" s="1387"/>
      <c r="F865" s="296"/>
      <c r="G865" s="268"/>
      <c r="H865" s="269"/>
      <c r="I865" s="282"/>
      <c r="J865" s="270" t="s">
        <v>47</v>
      </c>
      <c r="K865" s="542">
        <f>D865/1000</f>
        <v>0.5</v>
      </c>
      <c r="L865" s="271"/>
      <c r="M865" s="271"/>
      <c r="N865" s="272" t="s">
        <v>48</v>
      </c>
      <c r="O865" s="271">
        <f>D880/1000</f>
        <v>0.5</v>
      </c>
      <c r="P865" s="274"/>
      <c r="Q865" s="275" t="s">
        <v>49</v>
      </c>
      <c r="R865" s="276">
        <f>H872/1000</f>
        <v>0.7</v>
      </c>
      <c r="S865" s="297">
        <f>ROUNDDOWN(K865*O865*R865,2)</f>
        <v>0.17</v>
      </c>
      <c r="T865" s="298" t="s">
        <v>55</v>
      </c>
    </row>
    <row r="866" spans="2:20" ht="15" hidden="1" customHeight="1">
      <c r="B866" s="255"/>
      <c r="C866" s="299"/>
      <c r="D866" s="300"/>
      <c r="E866" s="301"/>
      <c r="F866" s="302"/>
      <c r="G866" s="456"/>
      <c r="H866" s="269"/>
      <c r="I866" s="282"/>
      <c r="J866" s="270"/>
      <c r="K866" s="271"/>
      <c r="L866" s="271"/>
      <c r="M866" s="271"/>
      <c r="N866" s="272"/>
      <c r="O866" s="271"/>
      <c r="P866" s="274"/>
      <c r="Q866" s="275"/>
      <c r="R866" s="276"/>
      <c r="S866" s="297"/>
      <c r="T866" s="298"/>
    </row>
    <row r="867" spans="2:20" ht="15" hidden="1" customHeight="1">
      <c r="B867" s="255"/>
      <c r="C867" s="299"/>
      <c r="D867" s="303"/>
      <c r="E867" s="302"/>
      <c r="F867" s="302"/>
      <c r="G867" s="456"/>
      <c r="H867" s="269"/>
      <c r="I867" s="282"/>
      <c r="J867" s="270"/>
      <c r="K867" s="271"/>
      <c r="L867" s="271"/>
      <c r="M867" s="271"/>
      <c r="N867" s="272"/>
      <c r="O867" s="271"/>
      <c r="P867" s="274"/>
      <c r="Q867" s="275"/>
      <c r="R867" s="276"/>
      <c r="S867" s="297"/>
      <c r="T867" s="541"/>
    </row>
    <row r="868" spans="2:20" ht="15" hidden="1" customHeight="1">
      <c r="B868" s="255"/>
      <c r="C868" s="299"/>
      <c r="D868" s="303"/>
      <c r="E868" s="302"/>
      <c r="F868" s="302"/>
      <c r="G868" s="456"/>
      <c r="H868" s="269"/>
      <c r="I868" s="282"/>
      <c r="J868" s="270"/>
      <c r="K868" s="271"/>
      <c r="L868" s="271"/>
      <c r="M868" s="271"/>
      <c r="N868" s="304"/>
      <c r="O868" s="271"/>
      <c r="P868" s="274"/>
      <c r="Q868" s="275"/>
      <c r="R868" s="276"/>
      <c r="S868" s="297"/>
      <c r="T868" s="298"/>
    </row>
    <row r="869" spans="2:20" ht="15" hidden="1" customHeight="1">
      <c r="B869" s="255"/>
      <c r="C869" s="299"/>
      <c r="D869" s="303"/>
      <c r="E869" s="302"/>
      <c r="F869" s="302"/>
      <c r="G869" s="456"/>
      <c r="H869" s="305"/>
      <c r="I869" s="282"/>
      <c r="J869" s="285" t="s">
        <v>57</v>
      </c>
      <c r="K869" s="286"/>
      <c r="L869" s="286"/>
      <c r="M869" s="286"/>
      <c r="N869" s="286"/>
      <c r="O869" s="287"/>
      <c r="P869" s="286"/>
      <c r="Q869" s="306"/>
      <c r="R869" s="307"/>
      <c r="S869" s="288">
        <f>SUM(S865:S868)</f>
        <v>0.17</v>
      </c>
      <c r="T869" s="289" t="s">
        <v>178</v>
      </c>
    </row>
    <row r="870" spans="2:20" ht="15" hidden="1" customHeight="1">
      <c r="B870" s="255"/>
      <c r="C870" s="299"/>
      <c r="D870" s="303"/>
      <c r="E870" s="302"/>
      <c r="F870" s="302"/>
      <c r="G870" s="456"/>
      <c r="H870" s="269"/>
      <c r="I870" s="308"/>
      <c r="J870" s="262" t="s">
        <v>58</v>
      </c>
      <c r="K870" s="293"/>
      <c r="L870" s="309" t="s">
        <v>334</v>
      </c>
      <c r="M870" s="309" t="s">
        <v>335</v>
      </c>
      <c r="N870" s="310" t="s">
        <v>336</v>
      </c>
      <c r="O870" s="311"/>
      <c r="P870" s="309"/>
      <c r="Q870" s="312"/>
      <c r="R870" s="312"/>
      <c r="S870" s="313"/>
      <c r="T870" s="294"/>
    </row>
    <row r="871" spans="2:20" ht="15" hidden="1" customHeight="1" thickBot="1">
      <c r="B871" s="314"/>
      <c r="C871" s="1388"/>
      <c r="D871" s="1388"/>
      <c r="E871" s="1388"/>
      <c r="F871" s="1388"/>
      <c r="G871" s="315"/>
      <c r="H871" s="315"/>
      <c r="I871" s="316"/>
      <c r="J871" s="317"/>
      <c r="K871" s="318"/>
      <c r="L871" s="318" t="s">
        <v>334</v>
      </c>
      <c r="M871" s="318">
        <f>S863</f>
        <v>0.57999999999999996</v>
      </c>
      <c r="N871" s="318" t="s">
        <v>337</v>
      </c>
      <c r="O871" s="319">
        <f>S873</f>
        <v>0.17</v>
      </c>
      <c r="P871" s="320"/>
      <c r="Q871" s="321"/>
      <c r="R871" s="322"/>
      <c r="S871" s="323">
        <f>ROUNDDOWN(M871-O871,2)</f>
        <v>0.41</v>
      </c>
      <c r="T871" s="289" t="s">
        <v>178</v>
      </c>
    </row>
    <row r="872" spans="2:20" ht="15" hidden="1" customHeight="1">
      <c r="B872" s="255"/>
      <c r="C872" s="324"/>
      <c r="D872" s="457"/>
      <c r="E872" s="325"/>
      <c r="F872" s="326"/>
      <c r="G872" s="327"/>
      <c r="H872" s="1389">
        <v>700</v>
      </c>
      <c r="I872" s="1392">
        <f>H869+H871+H872</f>
        <v>700</v>
      </c>
      <c r="J872" s="262" t="s">
        <v>338</v>
      </c>
      <c r="K872" s="293"/>
      <c r="L872" s="293" t="s">
        <v>339</v>
      </c>
      <c r="M872" s="309"/>
      <c r="N872" s="310" t="s">
        <v>340</v>
      </c>
      <c r="O872" s="293"/>
      <c r="P872" s="293"/>
      <c r="Q872" s="328"/>
      <c r="R872" s="329"/>
      <c r="S872" s="266"/>
      <c r="T872" s="294"/>
    </row>
    <row r="873" spans="2:20" ht="15" hidden="1" customHeight="1">
      <c r="B873" s="330"/>
      <c r="C873" s="324"/>
      <c r="D873" s="331"/>
      <c r="E873" s="332"/>
      <c r="F873" s="326"/>
      <c r="G873" s="333"/>
      <c r="H873" s="1390"/>
      <c r="I873" s="1387"/>
      <c r="J873" s="334"/>
      <c r="K873" s="335"/>
      <c r="L873" s="336" t="s">
        <v>339</v>
      </c>
      <c r="M873" s="335"/>
      <c r="N873" s="335"/>
      <c r="O873" s="286">
        <f>S865</f>
        <v>0.17</v>
      </c>
      <c r="P873" s="286"/>
      <c r="Q873" s="286"/>
      <c r="R873" s="259"/>
      <c r="S873" s="323">
        <f>ROUNDDOWN(O873+Q873,2)</f>
        <v>0.17</v>
      </c>
      <c r="T873" s="337" t="s">
        <v>178</v>
      </c>
    </row>
    <row r="874" spans="2:20" ht="15" hidden="1" customHeight="1">
      <c r="B874" s="255"/>
      <c r="C874" s="324"/>
      <c r="D874" s="331"/>
      <c r="E874" s="332"/>
      <c r="F874" s="326"/>
      <c r="G874" s="333"/>
      <c r="H874" s="1390"/>
      <c r="I874" s="1387"/>
      <c r="J874" s="467" t="s">
        <v>584</v>
      </c>
      <c r="K874" s="293"/>
      <c r="L874" s="293"/>
      <c r="M874" s="293"/>
      <c r="N874" s="293"/>
      <c r="O874" s="339"/>
      <c r="P874" s="340"/>
      <c r="Q874" s="329"/>
      <c r="R874" s="341"/>
      <c r="S874" s="266"/>
      <c r="T874" s="294"/>
    </row>
    <row r="875" spans="2:20" ht="15" hidden="1" customHeight="1">
      <c r="B875" s="255"/>
      <c r="C875" s="324"/>
      <c r="D875" s="331"/>
      <c r="E875" s="332"/>
      <c r="F875" s="326"/>
      <c r="G875" s="333"/>
      <c r="H875" s="1390"/>
      <c r="I875" s="1387"/>
      <c r="J875" s="342" t="s">
        <v>341</v>
      </c>
      <c r="K875" s="343">
        <f>D865/1000</f>
        <v>0.5</v>
      </c>
      <c r="L875" s="344" t="s">
        <v>59</v>
      </c>
      <c r="M875" s="412">
        <f>D880/1000</f>
        <v>0.5</v>
      </c>
      <c r="N875" s="346" t="s">
        <v>137</v>
      </c>
      <c r="O875" s="347" t="s">
        <v>342</v>
      </c>
      <c r="P875" s="348">
        <f>I872/1000</f>
        <v>0.7</v>
      </c>
      <c r="Q875" s="349" t="s">
        <v>343</v>
      </c>
      <c r="R875" s="350">
        <v>4</v>
      </c>
      <c r="S875" s="351">
        <f>((K875+M875)/2)*P875*R875</f>
        <v>1.4</v>
      </c>
      <c r="T875" s="289" t="s">
        <v>344</v>
      </c>
    </row>
    <row r="876" spans="2:20" ht="15" hidden="1" customHeight="1" thickBot="1">
      <c r="B876" s="255"/>
      <c r="C876" s="352"/>
      <c r="D876" s="353"/>
      <c r="E876" s="354"/>
      <c r="F876" s="355"/>
      <c r="G876" s="356"/>
      <c r="H876" s="1391"/>
      <c r="I876" s="1387"/>
      <c r="J876" s="357"/>
      <c r="K876" s="358"/>
      <c r="L876" s="358"/>
      <c r="M876" s="358"/>
      <c r="N876" s="358"/>
      <c r="O876" s="359"/>
      <c r="P876" s="329"/>
      <c r="Q876" s="329"/>
      <c r="R876" s="329"/>
      <c r="S876" s="360"/>
      <c r="T876" s="361"/>
    </row>
    <row r="877" spans="2:20" ht="15" hidden="1" customHeight="1">
      <c r="B877" s="255"/>
      <c r="C877" s="362"/>
      <c r="D877" s="363"/>
      <c r="E877" s="364"/>
      <c r="F877" s="365"/>
      <c r="G877" s="456"/>
      <c r="H877" s="269"/>
      <c r="I877" s="282"/>
      <c r="J877" s="366"/>
      <c r="K877" s="367"/>
      <c r="L877" s="320"/>
      <c r="M877" s="368"/>
      <c r="N877" s="369"/>
      <c r="P877" s="370"/>
      <c r="Q877" s="350"/>
      <c r="R877" s="350"/>
      <c r="S877" s="323"/>
      <c r="T877" s="298"/>
    </row>
    <row r="878" spans="2:20" ht="15" hidden="1" customHeight="1">
      <c r="B878" s="255"/>
      <c r="C878" s="371">
        <v>100</v>
      </c>
      <c r="D878" s="1379">
        <v>500</v>
      </c>
      <c r="E878" s="1381"/>
      <c r="F878" s="372">
        <v>100</v>
      </c>
      <c r="G878" s="268"/>
      <c r="H878" s="373"/>
      <c r="I878" s="282"/>
      <c r="J878" s="357"/>
      <c r="K878" s="358"/>
      <c r="L878" s="358"/>
      <c r="M878" s="358"/>
      <c r="N878" s="358"/>
      <c r="O878" s="374"/>
      <c r="P878" s="375"/>
      <c r="Q878" s="374"/>
      <c r="R878" s="265"/>
      <c r="S878" s="266"/>
      <c r="T878" s="294"/>
    </row>
    <row r="879" spans="2:20" ht="15" hidden="1" customHeight="1">
      <c r="B879" s="376"/>
      <c r="C879" s="377"/>
      <c r="D879" s="303"/>
      <c r="E879" s="302"/>
      <c r="F879" s="378"/>
      <c r="G879" s="379"/>
      <c r="H879" s="373"/>
      <c r="I879" s="282"/>
      <c r="J879" s="380"/>
      <c r="K879" s="306"/>
      <c r="L879" s="306"/>
      <c r="M879" s="306"/>
      <c r="N879" s="306"/>
      <c r="O879" s="381"/>
      <c r="P879" s="381"/>
      <c r="Q879" s="381"/>
      <c r="R879" s="381"/>
      <c r="S879" s="382"/>
      <c r="T879" s="383"/>
    </row>
    <row r="880" spans="2:20" ht="15" hidden="1" customHeight="1">
      <c r="B880" s="255"/>
      <c r="C880" s="371">
        <v>100</v>
      </c>
      <c r="D880" s="1386">
        <v>500</v>
      </c>
      <c r="E880" s="1387"/>
      <c r="F880" s="372">
        <v>100</v>
      </c>
      <c r="G880" s="268"/>
      <c r="H880" s="373"/>
      <c r="I880" s="282"/>
      <c r="J880" s="357" t="s">
        <v>345</v>
      </c>
      <c r="K880" s="384"/>
      <c r="L880" s="470" t="s">
        <v>587</v>
      </c>
      <c r="M880" s="384"/>
      <c r="N880" s="384"/>
      <c r="O880" s="283"/>
      <c r="P880" s="385"/>
      <c r="Q880" s="385"/>
      <c r="R880" s="385"/>
      <c r="S880" s="386"/>
      <c r="T880" s="387"/>
    </row>
    <row r="881" spans="2:20" ht="15" hidden="1" customHeight="1">
      <c r="B881" s="255"/>
      <c r="C881" s="290"/>
      <c r="D881" s="388"/>
      <c r="E881" s="388"/>
      <c r="F881" s="389"/>
      <c r="G881" s="379"/>
      <c r="H881" s="373"/>
      <c r="I881" s="282"/>
      <c r="J881" s="390"/>
      <c r="K881" s="391"/>
      <c r="L881" s="391"/>
      <c r="M881" s="391"/>
      <c r="N881" s="391"/>
      <c r="O881" s="392"/>
      <c r="P881" s="393"/>
      <c r="Q881" s="381"/>
      <c r="R881" s="259"/>
      <c r="S881" s="394">
        <v>1</v>
      </c>
      <c r="T881" s="383" t="s">
        <v>37</v>
      </c>
    </row>
    <row r="882" spans="2:20" ht="15" hidden="1" customHeight="1">
      <c r="B882" s="255"/>
      <c r="C882" s="1376"/>
      <c r="D882" s="1377"/>
      <c r="E882" s="1377"/>
      <c r="F882" s="1378"/>
      <c r="G882" s="268"/>
      <c r="H882" s="269"/>
      <c r="I882" s="282"/>
      <c r="J882" s="262" t="s">
        <v>346</v>
      </c>
      <c r="K882" s="384"/>
      <c r="L882" s="384" t="s">
        <v>526</v>
      </c>
      <c r="M882" s="264"/>
      <c r="N882" s="264"/>
      <c r="O882" s="265"/>
      <c r="P882" s="265"/>
      <c r="Q882" s="329"/>
      <c r="R882" s="329"/>
      <c r="S882" s="266"/>
      <c r="T882" s="267"/>
    </row>
    <row r="883" spans="2:20" ht="15" hidden="1" customHeight="1">
      <c r="B883" s="255"/>
      <c r="C883" s="1379">
        <f>C878+D878+F878</f>
        <v>700</v>
      </c>
      <c r="D883" s="1380"/>
      <c r="E883" s="1380"/>
      <c r="F883" s="1381"/>
      <c r="G883" s="268"/>
      <c r="H883" s="456"/>
      <c r="I883" s="257"/>
      <c r="J883" s="334"/>
      <c r="K883" s="258"/>
      <c r="L883" s="258"/>
      <c r="M883" s="258"/>
      <c r="N883" s="258"/>
      <c r="O883" s="259">
        <v>3</v>
      </c>
      <c r="P883" s="381"/>
      <c r="Q883" s="259"/>
      <c r="R883" s="259"/>
      <c r="S883" s="395">
        <f>O883</f>
        <v>3</v>
      </c>
      <c r="T883" s="261" t="s">
        <v>36</v>
      </c>
    </row>
    <row r="884" spans="2:20" ht="15" hidden="1" customHeight="1">
      <c r="B884" s="255"/>
      <c r="C884" s="396"/>
      <c r="D884" s="388"/>
      <c r="E884" s="388"/>
      <c r="F884" s="397"/>
      <c r="G884" s="268"/>
      <c r="H884" s="269"/>
      <c r="I884" s="257"/>
      <c r="J884" s="476" t="s">
        <v>709</v>
      </c>
      <c r="K884" s="398"/>
      <c r="L884" s="398"/>
      <c r="M884" s="398"/>
      <c r="N884" s="398"/>
      <c r="O884" s="399"/>
      <c r="P884" s="400"/>
      <c r="Q884" s="399"/>
      <c r="R884" s="399"/>
      <c r="S884" s="401"/>
      <c r="T884" s="402"/>
    </row>
    <row r="885" spans="2:20" ht="15" hidden="1" customHeight="1">
      <c r="B885" s="255"/>
      <c r="C885" s="1379">
        <f>C880+D880+F880</f>
        <v>700</v>
      </c>
      <c r="D885" s="1380"/>
      <c r="E885" s="1380"/>
      <c r="F885" s="1381"/>
      <c r="G885" s="268"/>
      <c r="H885" s="456"/>
      <c r="I885" s="257"/>
      <c r="J885" s="403"/>
      <c r="K885" s="404"/>
      <c r="L885" s="404"/>
      <c r="M885" s="404"/>
      <c r="N885" s="404"/>
      <c r="O885" s="259">
        <v>3</v>
      </c>
      <c r="P885" s="405"/>
      <c r="Q885" s="405"/>
      <c r="R885" s="405"/>
      <c r="S885" s="395">
        <f>O885</f>
        <v>3</v>
      </c>
      <c r="T885" s="261" t="s">
        <v>36</v>
      </c>
    </row>
    <row r="886" spans="2:20" ht="15" hidden="1" customHeight="1">
      <c r="B886" s="255"/>
      <c r="C886" s="256"/>
      <c r="D886" s="456"/>
      <c r="E886" s="456"/>
      <c r="F886" s="456"/>
      <c r="G886" s="456"/>
      <c r="H886" s="456"/>
      <c r="I886" s="257"/>
      <c r="J886" s="485" t="s">
        <v>708</v>
      </c>
      <c r="K886" s="264"/>
      <c r="L886" s="264"/>
      <c r="M886" s="264"/>
      <c r="N886" s="264"/>
      <c r="O886" s="265"/>
      <c r="P886" s="265"/>
      <c r="Q886" s="329"/>
      <c r="R886" s="329"/>
      <c r="S886" s="266"/>
      <c r="T886" s="267"/>
    </row>
    <row r="887" spans="2:20" ht="15" hidden="1" customHeight="1">
      <c r="B887" s="255"/>
      <c r="C887" s="256"/>
      <c r="D887" s="456"/>
      <c r="E887" s="456"/>
      <c r="F887" s="456"/>
      <c r="G887" s="456"/>
      <c r="H887" s="456"/>
      <c r="I887" s="269"/>
      <c r="J887" s="334"/>
      <c r="K887" s="258"/>
      <c r="L887" s="258"/>
      <c r="M887" s="258"/>
      <c r="N887" s="258"/>
      <c r="O887" s="259">
        <v>1</v>
      </c>
      <c r="P887" s="381"/>
      <c r="Q887" s="259"/>
      <c r="R887" s="259"/>
      <c r="S887" s="395">
        <f>ROUNDDOWN(dhTextEvaluate(O887),2)</f>
        <v>1</v>
      </c>
      <c r="T887" s="261" t="s">
        <v>26</v>
      </c>
    </row>
    <row r="888" spans="2:20" ht="15" hidden="1" customHeight="1">
      <c r="B888" s="255"/>
      <c r="C888" s="256"/>
      <c r="D888" s="456"/>
      <c r="E888" s="456"/>
      <c r="F888" s="456"/>
      <c r="G888" s="456"/>
      <c r="H888" s="456"/>
      <c r="I888" s="257"/>
      <c r="J888" s="262"/>
      <c r="K888" s="407"/>
      <c r="L888" s="407"/>
      <c r="M888" s="407"/>
      <c r="N888" s="407"/>
      <c r="O888" s="265"/>
      <c r="P888" s="265"/>
      <c r="Q888" s="265"/>
      <c r="R888" s="265"/>
      <c r="S888" s="266"/>
      <c r="T888" s="267"/>
    </row>
    <row r="889" spans="2:20" ht="15" hidden="1" customHeight="1">
      <c r="B889" s="408"/>
      <c r="C889" s="409"/>
      <c r="D889" s="350"/>
      <c r="E889" s="350"/>
      <c r="F889" s="350"/>
      <c r="G889" s="350"/>
      <c r="H889" s="350"/>
      <c r="I889" s="410"/>
      <c r="J889" s="334"/>
      <c r="K889" s="258"/>
      <c r="L889" s="258"/>
      <c r="M889" s="258"/>
      <c r="N889" s="258"/>
      <c r="O889" s="259"/>
      <c r="P889" s="259"/>
      <c r="Q889" s="259"/>
      <c r="R889" s="411"/>
      <c r="S889" s="395"/>
      <c r="T889" s="261"/>
    </row>
    <row r="890" spans="2:20" ht="24.95" hidden="1" customHeight="1">
      <c r="B890" s="468" t="s">
        <v>618</v>
      </c>
      <c r="C890" s="1383" t="s">
        <v>588</v>
      </c>
      <c r="D890" s="1423"/>
      <c r="E890" s="1423"/>
      <c r="F890" s="1423"/>
      <c r="G890" s="1423"/>
      <c r="H890" s="1424"/>
      <c r="I890" s="1400" t="s">
        <v>589</v>
      </c>
      <c r="J890" s="1419"/>
      <c r="K890" s="1420"/>
      <c r="L890" s="1433"/>
      <c r="M890" s="1424"/>
      <c r="N890" s="1424"/>
      <c r="O890" s="1424"/>
      <c r="P890" s="1424"/>
      <c r="Q890" s="1424"/>
      <c r="R890" s="1424"/>
      <c r="S890" s="1424"/>
      <c r="T890" s="1434"/>
    </row>
    <row r="891" spans="2:20" ht="15" hidden="1" customHeight="1">
      <c r="B891" s="255"/>
      <c r="C891" s="256"/>
      <c r="D891" s="456"/>
      <c r="E891" s="456"/>
      <c r="F891" s="456"/>
      <c r="G891" s="456"/>
      <c r="H891" s="456"/>
      <c r="I891" s="257"/>
      <c r="J891" s="258"/>
      <c r="K891" s="258"/>
      <c r="L891" s="258" t="s">
        <v>39</v>
      </c>
      <c r="M891" s="258" t="s">
        <v>40</v>
      </c>
      <c r="N891" s="258" t="s">
        <v>41</v>
      </c>
      <c r="O891" s="259" t="s">
        <v>42</v>
      </c>
      <c r="P891" s="259" t="s">
        <v>43</v>
      </c>
      <c r="Q891" s="259"/>
      <c r="R891" s="259"/>
      <c r="S891" s="260" t="s">
        <v>44</v>
      </c>
      <c r="T891" s="261"/>
    </row>
    <row r="892" spans="2:20" ht="15" hidden="1" customHeight="1">
      <c r="B892" s="255"/>
      <c r="C892" s="256"/>
      <c r="D892" s="456"/>
      <c r="E892" s="456"/>
      <c r="F892" s="456"/>
      <c r="G892" s="456"/>
      <c r="H892" s="456"/>
      <c r="I892" s="257"/>
      <c r="J892" s="262" t="s">
        <v>45</v>
      </c>
      <c r="K892" s="263"/>
      <c r="L892" s="263" t="s">
        <v>46</v>
      </c>
      <c r="M892" s="264"/>
      <c r="N892" s="264"/>
      <c r="P892" s="265"/>
      <c r="Q892" s="265"/>
      <c r="R892" s="265"/>
      <c r="S892" s="266"/>
      <c r="T892" s="267"/>
    </row>
    <row r="893" spans="2:20" ht="15" hidden="1" customHeight="1">
      <c r="B893" s="255"/>
      <c r="C893" s="1377">
        <f>C915+(0.3*(H904)*2)</f>
        <v>1300</v>
      </c>
      <c r="D893" s="1377"/>
      <c r="E893" s="1377"/>
      <c r="F893" s="1377"/>
      <c r="G893" s="268"/>
      <c r="H893" s="269"/>
      <c r="I893" s="257"/>
      <c r="J893" s="270" t="s">
        <v>47</v>
      </c>
      <c r="K893" s="271">
        <f>C893/1000</f>
        <v>1.3</v>
      </c>
      <c r="L893" s="271"/>
      <c r="M893" s="271"/>
      <c r="N893" s="272" t="s">
        <v>48</v>
      </c>
      <c r="O893" s="273">
        <f>C915/1000</f>
        <v>0.7</v>
      </c>
      <c r="P893" s="274"/>
      <c r="Q893" s="275" t="s">
        <v>49</v>
      </c>
      <c r="R893" s="276">
        <f>(H904)/1000</f>
        <v>1</v>
      </c>
      <c r="S893" s="277"/>
      <c r="T893" s="278"/>
    </row>
    <row r="894" spans="2:20" ht="15" hidden="1" customHeight="1">
      <c r="B894" s="255"/>
      <c r="C894" s="279"/>
      <c r="D894" s="280"/>
      <c r="E894" s="280"/>
      <c r="F894" s="281"/>
      <c r="G894" s="268"/>
      <c r="H894" s="269"/>
      <c r="I894" s="282"/>
      <c r="J894" s="270" t="s">
        <v>50</v>
      </c>
      <c r="K894" s="271">
        <f>C895/1000</f>
        <v>1.6</v>
      </c>
      <c r="L894" s="271"/>
      <c r="M894" s="271"/>
      <c r="N894" s="272" t="s">
        <v>51</v>
      </c>
      <c r="O894" s="273">
        <f>C917/1000</f>
        <v>1</v>
      </c>
      <c r="P894" s="274"/>
      <c r="Q894" s="254"/>
      <c r="R894" s="283"/>
      <c r="S894" s="284"/>
      <c r="T894" s="278"/>
    </row>
    <row r="895" spans="2:20" ht="15" hidden="1" customHeight="1">
      <c r="B895" s="255"/>
      <c r="C895" s="1379">
        <f>C917+(0.3*(H904)*2)</f>
        <v>1600</v>
      </c>
      <c r="D895" s="1380"/>
      <c r="E895" s="1380"/>
      <c r="F895" s="1381"/>
      <c r="G895" s="268"/>
      <c r="H895" s="269"/>
      <c r="I895" s="282"/>
      <c r="J895" s="285" t="s">
        <v>52</v>
      </c>
      <c r="K895" s="286"/>
      <c r="L895" s="286"/>
      <c r="M895" s="286"/>
      <c r="N895" s="286"/>
      <c r="O895" s="287"/>
      <c r="P895" s="286"/>
      <c r="Q895" s="259"/>
      <c r="R895" s="259"/>
      <c r="S895" s="288">
        <f>ROUNDDOWN(R893/6*((2*K893+O893)*K894+(2*O893+K893)*O894),2)</f>
        <v>1.33</v>
      </c>
      <c r="T895" s="289" t="s">
        <v>178</v>
      </c>
    </row>
    <row r="896" spans="2:20" ht="15" hidden="1" customHeight="1">
      <c r="B896" s="255"/>
      <c r="C896" s="290"/>
      <c r="D896" s="291"/>
      <c r="E896" s="291"/>
      <c r="F896" s="281"/>
      <c r="G896" s="268"/>
      <c r="H896" s="269"/>
      <c r="I896" s="282"/>
      <c r="J896" s="262" t="s">
        <v>53</v>
      </c>
      <c r="K896" s="292"/>
      <c r="L896" s="292" t="s">
        <v>54</v>
      </c>
      <c r="M896" s="293"/>
      <c r="N896" s="293"/>
      <c r="O896" s="293"/>
      <c r="P896" s="292"/>
      <c r="Q896" s="263"/>
      <c r="R896" s="263"/>
      <c r="S896" s="266"/>
      <c r="T896" s="294"/>
    </row>
    <row r="897" spans="2:20" ht="15" hidden="1" customHeight="1">
      <c r="B897" s="255"/>
      <c r="C897" s="295"/>
      <c r="D897" s="1386">
        <v>500</v>
      </c>
      <c r="E897" s="1387"/>
      <c r="F897" s="296"/>
      <c r="G897" s="268"/>
      <c r="H897" s="269"/>
      <c r="I897" s="282"/>
      <c r="J897" s="270" t="s">
        <v>47</v>
      </c>
      <c r="K897" s="271">
        <f>D897/1000</f>
        <v>0.5</v>
      </c>
      <c r="L897" s="271"/>
      <c r="M897" s="271"/>
      <c r="N897" s="272" t="s">
        <v>48</v>
      </c>
      <c r="O897" s="271">
        <f>D912/1000</f>
        <v>0.8</v>
      </c>
      <c r="P897" s="274"/>
      <c r="Q897" s="275" t="s">
        <v>49</v>
      </c>
      <c r="R897" s="276">
        <f>H904/1000</f>
        <v>1</v>
      </c>
      <c r="S897" s="297">
        <f>ROUNDDOWN(K897*O897*R897,2)</f>
        <v>0.4</v>
      </c>
      <c r="T897" s="298" t="s">
        <v>55</v>
      </c>
    </row>
    <row r="898" spans="2:20" ht="15" hidden="1" customHeight="1">
      <c r="B898" s="255"/>
      <c r="C898" s="299"/>
      <c r="D898" s="300"/>
      <c r="E898" s="301"/>
      <c r="F898" s="302"/>
      <c r="G898" s="456"/>
      <c r="H898" s="269"/>
      <c r="I898" s="282"/>
      <c r="J898" s="270"/>
      <c r="K898" s="271"/>
      <c r="L898" s="271"/>
      <c r="M898" s="271"/>
      <c r="N898" s="272"/>
      <c r="O898" s="271"/>
      <c r="P898" s="274"/>
      <c r="Q898" s="275"/>
      <c r="R898" s="276"/>
      <c r="S898" s="297">
        <f>ROUNDDOWN(K898*O898*R898,2)</f>
        <v>0</v>
      </c>
      <c r="T898" s="298" t="s">
        <v>56</v>
      </c>
    </row>
    <row r="899" spans="2:20" ht="15" hidden="1" customHeight="1">
      <c r="B899" s="255"/>
      <c r="C899" s="299"/>
      <c r="D899" s="303"/>
      <c r="E899" s="302"/>
      <c r="F899" s="302"/>
      <c r="G899" s="456"/>
      <c r="H899" s="269"/>
      <c r="I899" s="282"/>
      <c r="J899" s="270"/>
      <c r="K899" s="271"/>
      <c r="L899" s="271"/>
      <c r="M899" s="271"/>
      <c r="N899" s="304"/>
      <c r="O899" s="271"/>
      <c r="P899" s="274"/>
      <c r="Q899" s="275"/>
      <c r="R899" s="276"/>
      <c r="S899" s="297"/>
      <c r="T899" s="298"/>
    </row>
    <row r="900" spans="2:20" ht="15" hidden="1" customHeight="1">
      <c r="B900" s="255"/>
      <c r="C900" s="299"/>
      <c r="D900" s="303"/>
      <c r="E900" s="302"/>
      <c r="F900" s="302"/>
      <c r="G900" s="456"/>
      <c r="H900" s="269"/>
      <c r="I900" s="282"/>
      <c r="J900" s="270"/>
      <c r="K900" s="271"/>
      <c r="L900" s="271"/>
      <c r="M900" s="271"/>
      <c r="N900" s="304"/>
      <c r="O900" s="271"/>
      <c r="P900" s="274"/>
      <c r="Q900" s="275"/>
      <c r="R900" s="276"/>
      <c r="S900" s="297"/>
      <c r="T900" s="298"/>
    </row>
    <row r="901" spans="2:20" ht="15" hidden="1" customHeight="1">
      <c r="B901" s="255"/>
      <c r="C901" s="299"/>
      <c r="D901" s="303"/>
      <c r="E901" s="302"/>
      <c r="F901" s="302"/>
      <c r="G901" s="456"/>
      <c r="H901" s="305"/>
      <c r="I901" s="282"/>
      <c r="J901" s="285" t="s">
        <v>57</v>
      </c>
      <c r="K901" s="286"/>
      <c r="L901" s="286"/>
      <c r="M901" s="286"/>
      <c r="N901" s="286"/>
      <c r="O901" s="287"/>
      <c r="P901" s="286"/>
      <c r="Q901" s="306"/>
      <c r="R901" s="307"/>
      <c r="S901" s="288">
        <f>SUM(S897:S900)</f>
        <v>0.4</v>
      </c>
      <c r="T901" s="289" t="s">
        <v>178</v>
      </c>
    </row>
    <row r="902" spans="2:20" ht="15" hidden="1" customHeight="1">
      <c r="B902" s="255"/>
      <c r="C902" s="299"/>
      <c r="D902" s="303"/>
      <c r="E902" s="302"/>
      <c r="F902" s="302"/>
      <c r="G902" s="456"/>
      <c r="H902" s="269"/>
      <c r="I902" s="308"/>
      <c r="J902" s="262" t="s">
        <v>58</v>
      </c>
      <c r="K902" s="293"/>
      <c r="L902" s="309" t="s">
        <v>334</v>
      </c>
      <c r="M902" s="309" t="s">
        <v>335</v>
      </c>
      <c r="N902" s="310" t="s">
        <v>336</v>
      </c>
      <c r="O902" s="311"/>
      <c r="P902" s="309"/>
      <c r="Q902" s="312"/>
      <c r="R902" s="312"/>
      <c r="S902" s="313"/>
      <c r="T902" s="294"/>
    </row>
    <row r="903" spans="2:20" ht="15" hidden="1" customHeight="1" thickBot="1">
      <c r="B903" s="314"/>
      <c r="C903" s="1388"/>
      <c r="D903" s="1388"/>
      <c r="E903" s="1388"/>
      <c r="F903" s="1388"/>
      <c r="G903" s="315"/>
      <c r="H903" s="315"/>
      <c r="I903" s="316"/>
      <c r="J903" s="317"/>
      <c r="K903" s="318"/>
      <c r="L903" s="318" t="s">
        <v>334</v>
      </c>
      <c r="M903" s="318">
        <f>S895</f>
        <v>1.33</v>
      </c>
      <c r="N903" s="318" t="s">
        <v>337</v>
      </c>
      <c r="O903" s="319">
        <f>S905</f>
        <v>0.4</v>
      </c>
      <c r="P903" s="320"/>
      <c r="Q903" s="321"/>
      <c r="R903" s="322"/>
      <c r="S903" s="323">
        <f>ROUNDDOWN(M903-O903,2)</f>
        <v>0.93</v>
      </c>
      <c r="T903" s="289" t="s">
        <v>178</v>
      </c>
    </row>
    <row r="904" spans="2:20" ht="15" hidden="1" customHeight="1">
      <c r="B904" s="255"/>
      <c r="C904" s="324"/>
      <c r="D904" s="457"/>
      <c r="E904" s="325"/>
      <c r="F904" s="326"/>
      <c r="G904" s="327"/>
      <c r="H904" s="1389">
        <v>1000</v>
      </c>
      <c r="I904" s="1392">
        <f>H901+H903+H904</f>
        <v>1000</v>
      </c>
      <c r="J904" s="262" t="s">
        <v>338</v>
      </c>
      <c r="K904" s="293"/>
      <c r="L904" s="293" t="s">
        <v>339</v>
      </c>
      <c r="M904" s="309"/>
      <c r="N904" s="310" t="s">
        <v>340</v>
      </c>
      <c r="O904" s="293"/>
      <c r="P904" s="293"/>
      <c r="Q904" s="328"/>
      <c r="R904" s="329"/>
      <c r="S904" s="266"/>
      <c r="T904" s="294"/>
    </row>
    <row r="905" spans="2:20" ht="15" hidden="1" customHeight="1">
      <c r="B905" s="330"/>
      <c r="C905" s="324"/>
      <c r="D905" s="331"/>
      <c r="E905" s="332"/>
      <c r="F905" s="326"/>
      <c r="G905" s="333"/>
      <c r="H905" s="1390"/>
      <c r="I905" s="1387"/>
      <c r="J905" s="334"/>
      <c r="K905" s="335"/>
      <c r="L905" s="336" t="s">
        <v>339</v>
      </c>
      <c r="M905" s="335"/>
      <c r="N905" s="335"/>
      <c r="O905" s="286">
        <f>S897</f>
        <v>0.4</v>
      </c>
      <c r="P905" s="286"/>
      <c r="Q905" s="286"/>
      <c r="R905" s="259"/>
      <c r="S905" s="323">
        <f>ROUNDDOWN(O905+Q905,2)</f>
        <v>0.4</v>
      </c>
      <c r="T905" s="337" t="s">
        <v>178</v>
      </c>
    </row>
    <row r="906" spans="2:20" ht="15" hidden="1" customHeight="1">
      <c r="B906" s="255"/>
      <c r="C906" s="324"/>
      <c r="D906" s="331"/>
      <c r="E906" s="332"/>
      <c r="F906" s="326"/>
      <c r="G906" s="333"/>
      <c r="H906" s="1390"/>
      <c r="I906" s="1387"/>
      <c r="J906" s="467" t="s">
        <v>584</v>
      </c>
      <c r="K906" s="293"/>
      <c r="L906" s="293"/>
      <c r="M906" s="293"/>
      <c r="N906" s="293"/>
      <c r="O906" s="339"/>
      <c r="P906" s="340"/>
      <c r="Q906" s="329"/>
      <c r="R906" s="341"/>
      <c r="S906" s="266"/>
      <c r="T906" s="294"/>
    </row>
    <row r="907" spans="2:20" ht="15" hidden="1" customHeight="1">
      <c r="B907" s="255"/>
      <c r="C907" s="324"/>
      <c r="D907" s="331"/>
      <c r="E907" s="332"/>
      <c r="F907" s="326"/>
      <c r="G907" s="333"/>
      <c r="H907" s="1390"/>
      <c r="I907" s="1387"/>
      <c r="J907" s="342" t="s">
        <v>341</v>
      </c>
      <c r="K907" s="343">
        <f>D897/1000</f>
        <v>0.5</v>
      </c>
      <c r="L907" s="344" t="s">
        <v>59</v>
      </c>
      <c r="M907" s="412">
        <f>D912/1000</f>
        <v>0.8</v>
      </c>
      <c r="N907" s="346" t="s">
        <v>137</v>
      </c>
      <c r="O907" s="347" t="s">
        <v>342</v>
      </c>
      <c r="P907" s="348">
        <f>I904/1000</f>
        <v>1</v>
      </c>
      <c r="Q907" s="349" t="s">
        <v>343</v>
      </c>
      <c r="R907" s="350">
        <v>4</v>
      </c>
      <c r="S907" s="351">
        <f>((K907+M907)/2)*P907*R907</f>
        <v>2.6</v>
      </c>
      <c r="T907" s="289" t="s">
        <v>344</v>
      </c>
    </row>
    <row r="908" spans="2:20" ht="15" hidden="1" customHeight="1" thickBot="1">
      <c r="B908" s="255"/>
      <c r="C908" s="352"/>
      <c r="D908" s="353"/>
      <c r="E908" s="354"/>
      <c r="F908" s="355"/>
      <c r="G908" s="356"/>
      <c r="H908" s="1391"/>
      <c r="I908" s="1387"/>
      <c r="J908" s="357"/>
      <c r="K908" s="358"/>
      <c r="L908" s="358"/>
      <c r="M908" s="358"/>
      <c r="N908" s="358"/>
      <c r="O908" s="359"/>
      <c r="P908" s="329"/>
      <c r="Q908" s="329"/>
      <c r="R908" s="329"/>
      <c r="S908" s="360"/>
      <c r="T908" s="361"/>
    </row>
    <row r="909" spans="2:20" ht="15" hidden="1" customHeight="1">
      <c r="B909" s="255"/>
      <c r="C909" s="362"/>
      <c r="D909" s="363"/>
      <c r="E909" s="364"/>
      <c r="F909" s="365"/>
      <c r="G909" s="456"/>
      <c r="H909" s="269"/>
      <c r="I909" s="282"/>
      <c r="J909" s="366"/>
      <c r="K909" s="367"/>
      <c r="L909" s="320"/>
      <c r="M909" s="368"/>
      <c r="N909" s="369"/>
      <c r="P909" s="370"/>
      <c r="Q909" s="350"/>
      <c r="R909" s="350"/>
      <c r="S909" s="323"/>
      <c r="T909" s="298"/>
    </row>
    <row r="910" spans="2:20" ht="15" hidden="1" customHeight="1">
      <c r="B910" s="255"/>
      <c r="C910" s="371">
        <v>100</v>
      </c>
      <c r="D910" s="1379">
        <v>500</v>
      </c>
      <c r="E910" s="1381"/>
      <c r="F910" s="372">
        <v>100</v>
      </c>
      <c r="G910" s="268"/>
      <c r="H910" s="373"/>
      <c r="I910" s="282"/>
      <c r="J910" s="357"/>
      <c r="K910" s="358"/>
      <c r="L910" s="358"/>
      <c r="M910" s="358"/>
      <c r="N910" s="358"/>
      <c r="O910" s="374"/>
      <c r="P910" s="375"/>
      <c r="Q910" s="374"/>
      <c r="R910" s="265"/>
      <c r="S910" s="266"/>
      <c r="T910" s="294"/>
    </row>
    <row r="911" spans="2:20" ht="15" hidden="1" customHeight="1">
      <c r="B911" s="376"/>
      <c r="C911" s="377"/>
      <c r="D911" s="303"/>
      <c r="E911" s="302"/>
      <c r="F911" s="378"/>
      <c r="G911" s="379"/>
      <c r="H911" s="373"/>
      <c r="I911" s="282"/>
      <c r="J911" s="380"/>
      <c r="K911" s="306"/>
      <c r="L911" s="306"/>
      <c r="M911" s="306"/>
      <c r="N911" s="306"/>
      <c r="O911" s="381"/>
      <c r="P911" s="381"/>
      <c r="Q911" s="381"/>
      <c r="R911" s="381"/>
      <c r="S911" s="382"/>
      <c r="T911" s="383"/>
    </row>
    <row r="912" spans="2:20" ht="15" hidden="1" customHeight="1">
      <c r="B912" s="255"/>
      <c r="C912" s="371">
        <v>100</v>
      </c>
      <c r="D912" s="1379">
        <v>800</v>
      </c>
      <c r="E912" s="1381"/>
      <c r="F912" s="372">
        <v>100</v>
      </c>
      <c r="G912" s="268"/>
      <c r="H912" s="373"/>
      <c r="I912" s="282"/>
      <c r="J912" s="469" t="s">
        <v>586</v>
      </c>
      <c r="K912" s="384"/>
      <c r="L912" s="470" t="s">
        <v>587</v>
      </c>
      <c r="M912" s="384"/>
      <c r="N912" s="384"/>
      <c r="O912" s="283"/>
      <c r="P912" s="385"/>
      <c r="Q912" s="385"/>
      <c r="R912" s="385"/>
      <c r="S912" s="386"/>
      <c r="T912" s="387"/>
    </row>
    <row r="913" spans="2:20" ht="15" hidden="1" customHeight="1">
      <c r="B913" s="255"/>
      <c r="C913" s="290"/>
      <c r="D913" s="388"/>
      <c r="E913" s="388"/>
      <c r="F913" s="389"/>
      <c r="G913" s="379"/>
      <c r="H913" s="373"/>
      <c r="I913" s="282"/>
      <c r="J913" s="390"/>
      <c r="K913" s="391"/>
      <c r="L913" s="391"/>
      <c r="M913" s="391"/>
      <c r="N913" s="391"/>
      <c r="O913" s="392"/>
      <c r="P913" s="393"/>
      <c r="Q913" s="381"/>
      <c r="R913" s="259"/>
      <c r="S913" s="394">
        <v>1</v>
      </c>
      <c r="T913" s="383" t="s">
        <v>37</v>
      </c>
    </row>
    <row r="914" spans="2:20" ht="15" hidden="1" customHeight="1">
      <c r="B914" s="255"/>
      <c r="C914" s="1376"/>
      <c r="D914" s="1377"/>
      <c r="E914" s="1377"/>
      <c r="F914" s="1378"/>
      <c r="G914" s="268"/>
      <c r="H914" s="269"/>
      <c r="I914" s="282"/>
      <c r="J914" s="262" t="s">
        <v>346</v>
      </c>
      <c r="K914" s="384"/>
      <c r="L914" s="384" t="s">
        <v>526</v>
      </c>
      <c r="M914" s="264"/>
      <c r="N914" s="264"/>
      <c r="O914" s="265"/>
      <c r="P914" s="265"/>
      <c r="Q914" s="329"/>
      <c r="R914" s="329"/>
      <c r="S914" s="266"/>
      <c r="T914" s="267"/>
    </row>
    <row r="915" spans="2:20" ht="15" hidden="1" customHeight="1">
      <c r="B915" s="255"/>
      <c r="C915" s="1379">
        <f>C910+D910+F910</f>
        <v>700</v>
      </c>
      <c r="D915" s="1380"/>
      <c r="E915" s="1380"/>
      <c r="F915" s="1381"/>
      <c r="G915" s="268"/>
      <c r="H915" s="456"/>
      <c r="I915" s="257"/>
      <c r="J915" s="334"/>
      <c r="K915" s="258"/>
      <c r="L915" s="258"/>
      <c r="M915" s="258"/>
      <c r="N915" s="258"/>
      <c r="O915" s="259">
        <v>3</v>
      </c>
      <c r="P915" s="381"/>
      <c r="Q915" s="259"/>
      <c r="R915" s="259"/>
      <c r="S915" s="395">
        <f>O915</f>
        <v>3</v>
      </c>
      <c r="T915" s="261" t="s">
        <v>36</v>
      </c>
    </row>
    <row r="916" spans="2:20" ht="15" hidden="1" customHeight="1">
      <c r="B916" s="255"/>
      <c r="C916" s="396"/>
      <c r="D916" s="388"/>
      <c r="E916" s="388"/>
      <c r="F916" s="397"/>
      <c r="G916" s="268"/>
      <c r="H916" s="269"/>
      <c r="I916" s="257"/>
      <c r="J916" s="476" t="s">
        <v>619</v>
      </c>
      <c r="K916" s="398"/>
      <c r="L916" s="398"/>
      <c r="M916" s="398"/>
      <c r="N916" s="398"/>
      <c r="O916" s="399"/>
      <c r="P916" s="400"/>
      <c r="Q916" s="399"/>
      <c r="R916" s="399"/>
      <c r="S916" s="401"/>
      <c r="T916" s="402"/>
    </row>
    <row r="917" spans="2:20" ht="15" hidden="1" customHeight="1">
      <c r="B917" s="255"/>
      <c r="C917" s="1379">
        <f>C912+D912+F912</f>
        <v>1000</v>
      </c>
      <c r="D917" s="1380"/>
      <c r="E917" s="1380"/>
      <c r="F917" s="1381"/>
      <c r="G917" s="268"/>
      <c r="H917" s="456"/>
      <c r="I917" s="257"/>
      <c r="J917" s="403"/>
      <c r="K917" s="404"/>
      <c r="L917" s="404"/>
      <c r="M917" s="404"/>
      <c r="N917" s="404"/>
      <c r="O917" s="259">
        <v>3</v>
      </c>
      <c r="P917" s="405"/>
      <c r="Q917" s="405"/>
      <c r="R917" s="405"/>
      <c r="S917" s="395">
        <f>O917</f>
        <v>3</v>
      </c>
      <c r="T917" s="261" t="s">
        <v>36</v>
      </c>
    </row>
    <row r="918" spans="2:20" ht="15" hidden="1" customHeight="1">
      <c r="B918" s="255"/>
      <c r="C918" s="256"/>
      <c r="D918" s="456"/>
      <c r="E918" s="456"/>
      <c r="F918" s="456"/>
      <c r="G918" s="456"/>
      <c r="H918" s="456"/>
      <c r="I918" s="257"/>
      <c r="J918" s="406" t="s">
        <v>350</v>
      </c>
      <c r="K918" s="264"/>
      <c r="L918" s="264"/>
      <c r="M918" s="264"/>
      <c r="N918" s="264"/>
      <c r="O918" s="265"/>
      <c r="P918" s="265"/>
      <c r="Q918" s="329"/>
      <c r="R918" s="329"/>
      <c r="S918" s="266"/>
      <c r="T918" s="267"/>
    </row>
    <row r="919" spans="2:20" ht="15" hidden="1" customHeight="1">
      <c r="B919" s="255"/>
      <c r="C919" s="256"/>
      <c r="D919" s="456"/>
      <c r="E919" s="456"/>
      <c r="F919" s="456"/>
      <c r="G919" s="456"/>
      <c r="H919" s="456"/>
      <c r="I919" s="269"/>
      <c r="J919" s="334"/>
      <c r="K919" s="258"/>
      <c r="L919" s="258"/>
      <c r="M919" s="258"/>
      <c r="N919" s="258"/>
      <c r="O919" s="259">
        <v>1</v>
      </c>
      <c r="P919" s="381"/>
      <c r="Q919" s="259"/>
      <c r="R919" s="259"/>
      <c r="S919" s="395">
        <f>ROUNDDOWN(dhTextEvaluate(O919),2)</f>
        <v>1</v>
      </c>
      <c r="T919" s="261" t="s">
        <v>26</v>
      </c>
    </row>
    <row r="920" spans="2:20" ht="15" hidden="1" customHeight="1">
      <c r="B920" s="255"/>
      <c r="C920" s="256"/>
      <c r="D920" s="456"/>
      <c r="E920" s="456"/>
      <c r="F920" s="456"/>
      <c r="G920" s="456"/>
      <c r="H920" s="456"/>
      <c r="I920" s="257"/>
      <c r="J920" s="262"/>
      <c r="K920" s="407"/>
      <c r="L920" s="407"/>
      <c r="M920" s="407"/>
      <c r="N920" s="407"/>
      <c r="O920" s="265"/>
      <c r="P920" s="265"/>
      <c r="Q920" s="265"/>
      <c r="R920" s="265"/>
      <c r="S920" s="266"/>
      <c r="T920" s="267"/>
    </row>
    <row r="921" spans="2:20" ht="15" hidden="1" customHeight="1">
      <c r="B921" s="408"/>
      <c r="C921" s="409"/>
      <c r="D921" s="350"/>
      <c r="E921" s="350"/>
      <c r="F921" s="350"/>
      <c r="G921" s="350"/>
      <c r="H921" s="350"/>
      <c r="I921" s="410"/>
      <c r="J921" s="334"/>
      <c r="K921" s="258"/>
      <c r="L921" s="258"/>
      <c r="M921" s="258"/>
      <c r="N921" s="258"/>
      <c r="O921" s="259"/>
      <c r="P921" s="259"/>
      <c r="Q921" s="259"/>
      <c r="R921" s="411"/>
      <c r="S921" s="395"/>
      <c r="T921" s="261"/>
    </row>
    <row r="922" spans="2:20" ht="24.95" hidden="1" customHeight="1">
      <c r="B922" s="455" t="s">
        <v>349</v>
      </c>
      <c r="C922" s="1383" t="s">
        <v>599</v>
      </c>
      <c r="D922" s="1423"/>
      <c r="E922" s="1423"/>
      <c r="F922" s="1423"/>
      <c r="G922" s="1423"/>
      <c r="H922" s="1424"/>
      <c r="I922" s="1383" t="s">
        <v>597</v>
      </c>
      <c r="J922" s="1423"/>
      <c r="K922" s="1435"/>
      <c r="L922" s="1433"/>
      <c r="M922" s="1424"/>
      <c r="N922" s="1424"/>
      <c r="O922" s="1424"/>
      <c r="P922" s="1424"/>
      <c r="Q922" s="1424"/>
      <c r="R922" s="1424"/>
      <c r="S922" s="1424"/>
      <c r="T922" s="1434"/>
    </row>
    <row r="923" spans="2:20" ht="15" hidden="1" customHeight="1">
      <c r="B923" s="255"/>
      <c r="C923" s="256"/>
      <c r="D923" s="456"/>
      <c r="E923" s="456"/>
      <c r="F923" s="456"/>
      <c r="G923" s="456"/>
      <c r="H923" s="456"/>
      <c r="I923" s="257"/>
      <c r="J923" s="258"/>
      <c r="K923" s="258"/>
      <c r="L923" s="258" t="s">
        <v>39</v>
      </c>
      <c r="M923" s="258" t="s">
        <v>40</v>
      </c>
      <c r="N923" s="258" t="s">
        <v>41</v>
      </c>
      <c r="O923" s="259" t="s">
        <v>42</v>
      </c>
      <c r="P923" s="259" t="s">
        <v>43</v>
      </c>
      <c r="Q923" s="259"/>
      <c r="R923" s="259"/>
      <c r="S923" s="260" t="s">
        <v>44</v>
      </c>
      <c r="T923" s="261"/>
    </row>
    <row r="924" spans="2:20" ht="15" hidden="1" customHeight="1">
      <c r="B924" s="255"/>
      <c r="C924" s="256"/>
      <c r="D924" s="456"/>
      <c r="E924" s="456"/>
      <c r="F924" s="456"/>
      <c r="G924" s="456"/>
      <c r="H924" s="456"/>
      <c r="I924" s="257"/>
      <c r="J924" s="262" t="s">
        <v>45</v>
      </c>
      <c r="K924" s="263"/>
      <c r="L924" s="263" t="s">
        <v>46</v>
      </c>
      <c r="M924" s="264"/>
      <c r="N924" s="264"/>
      <c r="P924" s="265"/>
      <c r="Q924" s="265"/>
      <c r="R924" s="265"/>
      <c r="S924" s="266"/>
      <c r="T924" s="267"/>
    </row>
    <row r="925" spans="2:20" ht="15" hidden="1" customHeight="1">
      <c r="B925" s="255"/>
      <c r="C925" s="1377">
        <f>C947+(0.3*(H936)*2)</f>
        <v>630</v>
      </c>
      <c r="D925" s="1377"/>
      <c r="E925" s="1377"/>
      <c r="F925" s="1377"/>
      <c r="G925" s="268"/>
      <c r="H925" s="269"/>
      <c r="I925" s="257"/>
      <c r="J925" s="270" t="s">
        <v>47</v>
      </c>
      <c r="K925" s="271">
        <f>C925/1000</f>
        <v>0.63</v>
      </c>
      <c r="L925" s="271"/>
      <c r="M925" s="271"/>
      <c r="N925" s="272" t="s">
        <v>48</v>
      </c>
      <c r="O925" s="273">
        <f>C947/1000</f>
        <v>0.45</v>
      </c>
      <c r="P925" s="274"/>
      <c r="Q925" s="275" t="s">
        <v>49</v>
      </c>
      <c r="R925" s="276">
        <f>(H936)/1000</f>
        <v>0.3</v>
      </c>
      <c r="S925" s="277"/>
      <c r="T925" s="278"/>
    </row>
    <row r="926" spans="2:20" ht="15" hidden="1" customHeight="1">
      <c r="B926" s="255"/>
      <c r="C926" s="279"/>
      <c r="D926" s="280"/>
      <c r="E926" s="280"/>
      <c r="F926" s="281"/>
      <c r="G926" s="268"/>
      <c r="H926" s="269"/>
      <c r="I926" s="282"/>
      <c r="J926" s="270" t="s">
        <v>50</v>
      </c>
      <c r="K926" s="271">
        <f>C927/1000</f>
        <v>0.63</v>
      </c>
      <c r="L926" s="271"/>
      <c r="M926" s="271"/>
      <c r="N926" s="272" t="s">
        <v>51</v>
      </c>
      <c r="O926" s="273">
        <f>C949/1000</f>
        <v>0.45</v>
      </c>
      <c r="P926" s="274"/>
      <c r="Q926" s="254"/>
      <c r="R926" s="283"/>
      <c r="S926" s="284"/>
      <c r="T926" s="278"/>
    </row>
    <row r="927" spans="2:20" ht="15" hidden="1" customHeight="1">
      <c r="B927" s="255"/>
      <c r="C927" s="1379">
        <f>C949+(0.3*(H936)*2)</f>
        <v>630</v>
      </c>
      <c r="D927" s="1380"/>
      <c r="E927" s="1380"/>
      <c r="F927" s="1381"/>
      <c r="G927" s="268"/>
      <c r="H927" s="269"/>
      <c r="I927" s="282"/>
      <c r="J927" s="285" t="s">
        <v>52</v>
      </c>
      <c r="K927" s="286"/>
      <c r="L927" s="286"/>
      <c r="M927" s="286"/>
      <c r="N927" s="286"/>
      <c r="O927" s="287"/>
      <c r="P927" s="286"/>
      <c r="Q927" s="259"/>
      <c r="R927" s="259"/>
      <c r="S927" s="288">
        <f>ROUNDDOWN(R925/6*((2*K925+O925)*K926+(2*O925+K925)*O926),2)</f>
        <v>0.08</v>
      </c>
      <c r="T927" s="289" t="s">
        <v>178</v>
      </c>
    </row>
    <row r="928" spans="2:20" ht="15" hidden="1" customHeight="1">
      <c r="B928" s="255"/>
      <c r="C928" s="290"/>
      <c r="D928" s="291"/>
      <c r="E928" s="291"/>
      <c r="F928" s="281"/>
      <c r="G928" s="268"/>
      <c r="H928" s="269"/>
      <c r="I928" s="282"/>
      <c r="J928" s="262" t="s">
        <v>53</v>
      </c>
      <c r="K928" s="292"/>
      <c r="L928" s="292" t="s">
        <v>54</v>
      </c>
      <c r="M928" s="293"/>
      <c r="N928" s="293"/>
      <c r="O928" s="293"/>
      <c r="P928" s="292"/>
      <c r="Q928" s="263"/>
      <c r="R928" s="263"/>
      <c r="S928" s="266"/>
      <c r="T928" s="294"/>
    </row>
    <row r="929" spans="2:20" ht="15" hidden="1" customHeight="1">
      <c r="B929" s="255"/>
      <c r="C929" s="295"/>
      <c r="D929" s="1386">
        <v>250</v>
      </c>
      <c r="E929" s="1387"/>
      <c r="F929" s="296"/>
      <c r="G929" s="268"/>
      <c r="H929" s="269"/>
      <c r="I929" s="282"/>
      <c r="J929" s="270" t="s">
        <v>47</v>
      </c>
      <c r="K929" s="271">
        <f>D929/1000</f>
        <v>0.25</v>
      </c>
      <c r="L929" s="271"/>
      <c r="M929" s="271"/>
      <c r="N929" s="272" t="s">
        <v>48</v>
      </c>
      <c r="O929" s="271">
        <f>D944/1000</f>
        <v>0.25</v>
      </c>
      <c r="P929" s="274"/>
      <c r="Q929" s="275" t="s">
        <v>49</v>
      </c>
      <c r="R929" s="276">
        <f>H936/1000</f>
        <v>0.3</v>
      </c>
      <c r="S929" s="297">
        <f>ROUNDDOWN(K929*O929*R929,2)</f>
        <v>0.01</v>
      </c>
      <c r="T929" s="298" t="s">
        <v>55</v>
      </c>
    </row>
    <row r="930" spans="2:20" ht="15" hidden="1" customHeight="1">
      <c r="B930" s="255"/>
      <c r="C930" s="299"/>
      <c r="D930" s="300"/>
      <c r="E930" s="301"/>
      <c r="F930" s="302"/>
      <c r="G930" s="456"/>
      <c r="H930" s="269"/>
      <c r="I930" s="282"/>
      <c r="J930" s="270"/>
      <c r="K930" s="271"/>
      <c r="L930" s="271"/>
      <c r="M930" s="271"/>
      <c r="N930" s="272"/>
      <c r="O930" s="271"/>
      <c r="P930" s="274"/>
      <c r="Q930" s="275"/>
      <c r="R930" s="276"/>
      <c r="S930" s="297">
        <f>ROUNDDOWN(K930*O930*R930,2)</f>
        <v>0</v>
      </c>
      <c r="T930" s="298" t="s">
        <v>56</v>
      </c>
    </row>
    <row r="931" spans="2:20" ht="15" hidden="1" customHeight="1">
      <c r="B931" s="255"/>
      <c r="C931" s="299"/>
      <c r="D931" s="303"/>
      <c r="E931" s="302"/>
      <c r="F931" s="302"/>
      <c r="G931" s="456"/>
      <c r="H931" s="269"/>
      <c r="I931" s="282"/>
      <c r="J931" s="270"/>
      <c r="K931" s="271"/>
      <c r="L931" s="271"/>
      <c r="M931" s="271"/>
      <c r="N931" s="304"/>
      <c r="O931" s="271"/>
      <c r="P931" s="274"/>
      <c r="Q931" s="275"/>
      <c r="R931" s="276"/>
      <c r="S931" s="297"/>
      <c r="T931" s="298"/>
    </row>
    <row r="932" spans="2:20" ht="15" hidden="1" customHeight="1">
      <c r="B932" s="255"/>
      <c r="C932" s="299"/>
      <c r="D932" s="303"/>
      <c r="E932" s="302"/>
      <c r="F932" s="302"/>
      <c r="G932" s="456"/>
      <c r="H932" s="269"/>
      <c r="I932" s="282"/>
      <c r="J932" s="270"/>
      <c r="K932" s="271"/>
      <c r="L932" s="271"/>
      <c r="M932" s="271"/>
      <c r="N932" s="304"/>
      <c r="O932" s="271"/>
      <c r="P932" s="274"/>
      <c r="Q932" s="275"/>
      <c r="R932" s="276"/>
      <c r="S932" s="297"/>
      <c r="T932" s="298"/>
    </row>
    <row r="933" spans="2:20" ht="15" hidden="1" customHeight="1">
      <c r="B933" s="255"/>
      <c r="C933" s="299"/>
      <c r="D933" s="303"/>
      <c r="E933" s="302"/>
      <c r="F933" s="302"/>
      <c r="G933" s="456"/>
      <c r="H933" s="305"/>
      <c r="I933" s="282"/>
      <c r="J933" s="285" t="s">
        <v>57</v>
      </c>
      <c r="K933" s="286"/>
      <c r="L933" s="286"/>
      <c r="M933" s="286"/>
      <c r="N933" s="286"/>
      <c r="O933" s="287"/>
      <c r="P933" s="286"/>
      <c r="Q933" s="306"/>
      <c r="R933" s="307"/>
      <c r="S933" s="288">
        <f>SUM(S929:S932)</f>
        <v>0.01</v>
      </c>
      <c r="T933" s="289" t="s">
        <v>178</v>
      </c>
    </row>
    <row r="934" spans="2:20" ht="15" hidden="1" customHeight="1">
      <c r="B934" s="255"/>
      <c r="C934" s="299"/>
      <c r="D934" s="303"/>
      <c r="E934" s="302"/>
      <c r="F934" s="302"/>
      <c r="G934" s="456"/>
      <c r="H934" s="269"/>
      <c r="I934" s="308"/>
      <c r="J934" s="262" t="s">
        <v>58</v>
      </c>
      <c r="K934" s="293"/>
      <c r="L934" s="309" t="s">
        <v>334</v>
      </c>
      <c r="M934" s="309" t="s">
        <v>335</v>
      </c>
      <c r="N934" s="310" t="s">
        <v>336</v>
      </c>
      <c r="O934" s="311"/>
      <c r="P934" s="309"/>
      <c r="Q934" s="312"/>
      <c r="R934" s="312"/>
      <c r="S934" s="313"/>
      <c r="T934" s="294"/>
    </row>
    <row r="935" spans="2:20" ht="15" hidden="1" customHeight="1" thickBot="1">
      <c r="B935" s="314"/>
      <c r="C935" s="1388"/>
      <c r="D935" s="1388"/>
      <c r="E935" s="1388"/>
      <c r="F935" s="1388"/>
      <c r="G935" s="315"/>
      <c r="H935" s="315"/>
      <c r="I935" s="316"/>
      <c r="J935" s="317"/>
      <c r="K935" s="318"/>
      <c r="L935" s="318" t="s">
        <v>334</v>
      </c>
      <c r="M935" s="318">
        <f>S927</f>
        <v>0.08</v>
      </c>
      <c r="N935" s="318" t="s">
        <v>337</v>
      </c>
      <c r="O935" s="319">
        <f>S937</f>
        <v>0.01</v>
      </c>
      <c r="P935" s="320"/>
      <c r="Q935" s="321"/>
      <c r="R935" s="322"/>
      <c r="S935" s="323">
        <f>ROUNDDOWN(M935-O935,2)</f>
        <v>7.0000000000000007E-2</v>
      </c>
      <c r="T935" s="289" t="s">
        <v>178</v>
      </c>
    </row>
    <row r="936" spans="2:20" ht="15" hidden="1" customHeight="1">
      <c r="B936" s="255"/>
      <c r="C936" s="324"/>
      <c r="D936" s="457"/>
      <c r="E936" s="325"/>
      <c r="F936" s="326"/>
      <c r="G936" s="327"/>
      <c r="H936" s="1389">
        <v>300</v>
      </c>
      <c r="I936" s="1392">
        <f>H933+H935+H936</f>
        <v>300</v>
      </c>
      <c r="J936" s="262" t="s">
        <v>338</v>
      </c>
      <c r="K936" s="293"/>
      <c r="L936" s="293" t="s">
        <v>339</v>
      </c>
      <c r="M936" s="309"/>
      <c r="N936" s="310" t="s">
        <v>340</v>
      </c>
      <c r="O936" s="293"/>
      <c r="P936" s="293"/>
      <c r="Q936" s="328"/>
      <c r="R936" s="329"/>
      <c r="S936" s="266"/>
      <c r="T936" s="294"/>
    </row>
    <row r="937" spans="2:20" ht="15" hidden="1" customHeight="1">
      <c r="B937" s="330"/>
      <c r="C937" s="324"/>
      <c r="D937" s="331"/>
      <c r="E937" s="332"/>
      <c r="F937" s="326"/>
      <c r="G937" s="333"/>
      <c r="H937" s="1390"/>
      <c r="I937" s="1387"/>
      <c r="J937" s="334"/>
      <c r="K937" s="335"/>
      <c r="L937" s="336" t="s">
        <v>339</v>
      </c>
      <c r="M937" s="335"/>
      <c r="N937" s="335"/>
      <c r="O937" s="286">
        <f>S929</f>
        <v>0.01</v>
      </c>
      <c r="P937" s="286"/>
      <c r="Q937" s="286"/>
      <c r="R937" s="259"/>
      <c r="S937" s="323">
        <f>ROUNDDOWN(O937+Q937,2)</f>
        <v>0.01</v>
      </c>
      <c r="T937" s="337" t="s">
        <v>178</v>
      </c>
    </row>
    <row r="938" spans="2:20" ht="15" hidden="1" customHeight="1">
      <c r="B938" s="255"/>
      <c r="C938" s="324"/>
      <c r="D938" s="331"/>
      <c r="E938" s="332"/>
      <c r="F938" s="326"/>
      <c r="G938" s="333"/>
      <c r="H938" s="1390"/>
      <c r="I938" s="1387"/>
      <c r="J938" s="467" t="s">
        <v>584</v>
      </c>
      <c r="K938" s="293"/>
      <c r="L938" s="293"/>
      <c r="M938" s="293"/>
      <c r="N938" s="293"/>
      <c r="O938" s="339"/>
      <c r="P938" s="340"/>
      <c r="Q938" s="329"/>
      <c r="R938" s="341"/>
      <c r="S938" s="266"/>
      <c r="T938" s="294"/>
    </row>
    <row r="939" spans="2:20" ht="15" hidden="1" customHeight="1">
      <c r="B939" s="255"/>
      <c r="C939" s="324"/>
      <c r="D939" s="331"/>
      <c r="E939" s="332"/>
      <c r="F939" s="326"/>
      <c r="G939" s="333"/>
      <c r="H939" s="1390"/>
      <c r="I939" s="1387"/>
      <c r="J939" s="342" t="s">
        <v>341</v>
      </c>
      <c r="K939" s="343">
        <f>D929/1000</f>
        <v>0.25</v>
      </c>
      <c r="L939" s="344" t="s">
        <v>59</v>
      </c>
      <c r="M939" s="412">
        <f>D944/1000</f>
        <v>0.25</v>
      </c>
      <c r="N939" s="346" t="s">
        <v>137</v>
      </c>
      <c r="O939" s="347" t="s">
        <v>342</v>
      </c>
      <c r="P939" s="348">
        <f>I936/1000</f>
        <v>0.3</v>
      </c>
      <c r="Q939" s="349" t="s">
        <v>343</v>
      </c>
      <c r="R939" s="350">
        <v>4</v>
      </c>
      <c r="S939" s="351">
        <f>((K939+M939)/2)*P939*R939</f>
        <v>0.3</v>
      </c>
      <c r="T939" s="289" t="s">
        <v>344</v>
      </c>
    </row>
    <row r="940" spans="2:20" ht="15" hidden="1" customHeight="1" thickBot="1">
      <c r="B940" s="255"/>
      <c r="C940" s="352"/>
      <c r="D940" s="353"/>
      <c r="E940" s="354"/>
      <c r="F940" s="355"/>
      <c r="G940" s="356"/>
      <c r="H940" s="1391"/>
      <c r="I940" s="1387"/>
      <c r="J940" s="357"/>
      <c r="K940" s="358"/>
      <c r="L940" s="358"/>
      <c r="M940" s="358"/>
      <c r="N940" s="358"/>
      <c r="O940" s="359"/>
      <c r="P940" s="329"/>
      <c r="Q940" s="329"/>
      <c r="R940" s="329"/>
      <c r="S940" s="360"/>
      <c r="T940" s="361"/>
    </row>
    <row r="941" spans="2:20" ht="15" hidden="1" customHeight="1">
      <c r="B941" s="255"/>
      <c r="C941" s="362"/>
      <c r="D941" s="363"/>
      <c r="E941" s="364"/>
      <c r="F941" s="365"/>
      <c r="G941" s="456"/>
      <c r="H941" s="269"/>
      <c r="I941" s="282"/>
      <c r="J941" s="366"/>
      <c r="K941" s="367"/>
      <c r="L941" s="320"/>
      <c r="M941" s="368"/>
      <c r="N941" s="369"/>
      <c r="P941" s="370"/>
      <c r="Q941" s="350"/>
      <c r="R941" s="350"/>
      <c r="S941" s="323"/>
      <c r="T941" s="298"/>
    </row>
    <row r="942" spans="2:20" ht="15" hidden="1" customHeight="1">
      <c r="B942" s="255"/>
      <c r="C942" s="371">
        <v>100</v>
      </c>
      <c r="D942" s="1379">
        <v>250</v>
      </c>
      <c r="E942" s="1381"/>
      <c r="F942" s="372">
        <v>100</v>
      </c>
      <c r="G942" s="268"/>
      <c r="H942" s="373"/>
      <c r="I942" s="282"/>
      <c r="J942" s="357"/>
      <c r="K942" s="358"/>
      <c r="L942" s="358"/>
      <c r="M942" s="358"/>
      <c r="N942" s="358"/>
      <c r="O942" s="374"/>
      <c r="P942" s="375"/>
      <c r="Q942" s="374"/>
      <c r="R942" s="265"/>
      <c r="S942" s="266"/>
      <c r="T942" s="294"/>
    </row>
    <row r="943" spans="2:20" ht="15" hidden="1" customHeight="1">
      <c r="B943" s="376"/>
      <c r="C943" s="377"/>
      <c r="D943" s="303"/>
      <c r="E943" s="302"/>
      <c r="F943" s="378"/>
      <c r="G943" s="379"/>
      <c r="H943" s="373"/>
      <c r="I943" s="282"/>
      <c r="J943" s="380"/>
      <c r="K943" s="306"/>
      <c r="L943" s="306"/>
      <c r="M943" s="306"/>
      <c r="N943" s="306"/>
      <c r="O943" s="381"/>
      <c r="P943" s="381"/>
      <c r="Q943" s="381"/>
      <c r="R943" s="381"/>
      <c r="S943" s="382"/>
      <c r="T943" s="383"/>
    </row>
    <row r="944" spans="2:20" ht="15" hidden="1" customHeight="1">
      <c r="B944" s="255"/>
      <c r="C944" s="371">
        <v>100</v>
      </c>
      <c r="D944" s="1379">
        <v>250</v>
      </c>
      <c r="E944" s="1381"/>
      <c r="F944" s="372">
        <v>100</v>
      </c>
      <c r="G944" s="268"/>
      <c r="H944" s="373"/>
      <c r="I944" s="282"/>
      <c r="J944" s="469" t="s">
        <v>586</v>
      </c>
      <c r="K944" s="384"/>
      <c r="L944" s="470" t="s">
        <v>601</v>
      </c>
      <c r="M944" s="384"/>
      <c r="N944" s="384"/>
      <c r="O944" s="283"/>
      <c r="P944" s="385"/>
      <c r="Q944" s="385"/>
      <c r="R944" s="385"/>
      <c r="S944" s="386"/>
      <c r="T944" s="387"/>
    </row>
    <row r="945" spans="2:20" ht="15" hidden="1" customHeight="1">
      <c r="B945" s="255"/>
      <c r="C945" s="290"/>
      <c r="D945" s="388"/>
      <c r="E945" s="388"/>
      <c r="F945" s="389"/>
      <c r="G945" s="379"/>
      <c r="H945" s="373"/>
      <c r="I945" s="282"/>
      <c r="J945" s="390"/>
      <c r="K945" s="391"/>
      <c r="L945" s="391"/>
      <c r="M945" s="391"/>
      <c r="N945" s="391"/>
      <c r="O945" s="392"/>
      <c r="P945" s="393"/>
      <c r="Q945" s="381"/>
      <c r="R945" s="259"/>
      <c r="S945" s="394">
        <v>2</v>
      </c>
      <c r="T945" s="383" t="s">
        <v>37</v>
      </c>
    </row>
    <row r="946" spans="2:20" ht="15" hidden="1" customHeight="1">
      <c r="B946" s="255"/>
      <c r="C946" s="1376"/>
      <c r="D946" s="1377"/>
      <c r="E946" s="1377"/>
      <c r="F946" s="1378"/>
      <c r="G946" s="268"/>
      <c r="H946" s="269"/>
      <c r="I946" s="282"/>
      <c r="J946" s="262" t="s">
        <v>346</v>
      </c>
      <c r="K946" s="384"/>
      <c r="L946" s="384" t="s">
        <v>526</v>
      </c>
      <c r="M946" s="264"/>
      <c r="N946" s="264"/>
      <c r="O946" s="265"/>
      <c r="P946" s="265"/>
      <c r="Q946" s="329"/>
      <c r="R946" s="329"/>
      <c r="S946" s="266"/>
      <c r="T946" s="267"/>
    </row>
    <row r="947" spans="2:20" ht="15" hidden="1" customHeight="1">
      <c r="B947" s="255"/>
      <c r="C947" s="1379">
        <f>C942+D942+F942</f>
        <v>450</v>
      </c>
      <c r="D947" s="1380"/>
      <c r="E947" s="1380"/>
      <c r="F947" s="1381"/>
      <c r="G947" s="268"/>
      <c r="H947" s="456"/>
      <c r="I947" s="257"/>
      <c r="J947" s="334"/>
      <c r="K947" s="258"/>
      <c r="L947" s="258"/>
      <c r="M947" s="258"/>
      <c r="N947" s="258"/>
      <c r="O947" s="259">
        <v>3</v>
      </c>
      <c r="P947" s="381"/>
      <c r="Q947" s="259"/>
      <c r="R947" s="259"/>
      <c r="S947" s="395">
        <v>1</v>
      </c>
      <c r="T947" s="261" t="s">
        <v>36</v>
      </c>
    </row>
    <row r="948" spans="2:20" ht="15" hidden="1" customHeight="1">
      <c r="B948" s="255"/>
      <c r="C948" s="396"/>
      <c r="D948" s="388"/>
      <c r="E948" s="388"/>
      <c r="F948" s="397"/>
      <c r="G948" s="268"/>
      <c r="H948" s="269"/>
      <c r="I948" s="257"/>
      <c r="J948" s="476"/>
      <c r="K948" s="398"/>
      <c r="L948" s="398"/>
      <c r="M948" s="398"/>
      <c r="N948" s="398"/>
      <c r="O948" s="399"/>
      <c r="P948" s="400"/>
      <c r="Q948" s="399"/>
      <c r="R948" s="399"/>
      <c r="S948" s="401"/>
      <c r="T948" s="402"/>
    </row>
    <row r="949" spans="2:20" ht="15" hidden="1" customHeight="1">
      <c r="B949" s="255"/>
      <c r="C949" s="1379">
        <f>C944+D944+F944</f>
        <v>450</v>
      </c>
      <c r="D949" s="1380"/>
      <c r="E949" s="1380"/>
      <c r="F949" s="1381"/>
      <c r="G949" s="268"/>
      <c r="H949" s="456"/>
      <c r="I949" s="257"/>
      <c r="J949" s="403"/>
      <c r="K949" s="404"/>
      <c r="L949" s="404"/>
      <c r="M949" s="404"/>
      <c r="N949" s="404"/>
      <c r="O949" s="259"/>
      <c r="P949" s="405"/>
      <c r="Q949" s="405"/>
      <c r="R949" s="405"/>
      <c r="S949" s="395"/>
      <c r="T949" s="261"/>
    </row>
    <row r="950" spans="2:20" ht="15" hidden="1" customHeight="1">
      <c r="B950" s="255"/>
      <c r="C950" s="256"/>
      <c r="D950" s="456"/>
      <c r="E950" s="456"/>
      <c r="F950" s="456"/>
      <c r="G950" s="456"/>
      <c r="H950" s="456"/>
      <c r="I950" s="257"/>
      <c r="J950" s="406"/>
      <c r="K950" s="264"/>
      <c r="L950" s="264"/>
      <c r="M950" s="264"/>
      <c r="N950" s="264"/>
      <c r="O950" s="265"/>
      <c r="P950" s="265"/>
      <c r="Q950" s="329"/>
      <c r="R950" s="329"/>
      <c r="S950" s="266"/>
      <c r="T950" s="267"/>
    </row>
    <row r="951" spans="2:20" ht="15" hidden="1" customHeight="1">
      <c r="B951" s="255"/>
      <c r="C951" s="256"/>
      <c r="D951" s="456"/>
      <c r="E951" s="456"/>
      <c r="F951" s="456"/>
      <c r="G951" s="456"/>
      <c r="H951" s="456"/>
      <c r="I951" s="269"/>
      <c r="J951" s="334"/>
      <c r="K951" s="258"/>
      <c r="L951" s="258"/>
      <c r="M951" s="258"/>
      <c r="N951" s="258"/>
      <c r="O951" s="259"/>
      <c r="P951" s="381"/>
      <c r="Q951" s="259"/>
      <c r="R951" s="259"/>
      <c r="S951" s="395"/>
      <c r="T951" s="261"/>
    </row>
    <row r="952" spans="2:20" ht="15" hidden="1" customHeight="1">
      <c r="B952" s="255"/>
      <c r="C952" s="256"/>
      <c r="D952" s="456"/>
      <c r="E952" s="456"/>
      <c r="F952" s="456"/>
      <c r="G952" s="456"/>
      <c r="H952" s="456"/>
      <c r="I952" s="257"/>
      <c r="J952" s="262"/>
      <c r="K952" s="407"/>
      <c r="L952" s="407"/>
      <c r="M952" s="407"/>
      <c r="N952" s="407"/>
      <c r="O952" s="265"/>
      <c r="P952" s="265"/>
      <c r="Q952" s="265"/>
      <c r="R952" s="265"/>
      <c r="S952" s="266"/>
      <c r="T952" s="267"/>
    </row>
    <row r="953" spans="2:20" ht="15" hidden="1" customHeight="1">
      <c r="B953" s="408"/>
      <c r="C953" s="409"/>
      <c r="D953" s="350"/>
      <c r="E953" s="350"/>
      <c r="F953" s="350"/>
      <c r="G953" s="350"/>
      <c r="H953" s="350"/>
      <c r="I953" s="410"/>
      <c r="J953" s="334"/>
      <c r="K953" s="258"/>
      <c r="L953" s="258"/>
      <c r="M953" s="258"/>
      <c r="N953" s="258"/>
      <c r="O953" s="259"/>
      <c r="P953" s="259"/>
      <c r="Q953" s="259"/>
      <c r="R953" s="411"/>
      <c r="S953" s="395"/>
      <c r="T953" s="261"/>
    </row>
    <row r="954" spans="2:20" ht="24.95" hidden="1" customHeight="1">
      <c r="B954" s="468" t="s">
        <v>590</v>
      </c>
      <c r="C954" s="1383" t="s">
        <v>600</v>
      </c>
      <c r="D954" s="1423"/>
      <c r="E954" s="1423"/>
      <c r="F954" s="1423"/>
      <c r="G954" s="1423"/>
      <c r="H954" s="1424"/>
      <c r="I954" s="1383" t="s">
        <v>602</v>
      </c>
      <c r="J954" s="1423"/>
      <c r="K954" s="1435"/>
      <c r="L954" s="1433"/>
      <c r="M954" s="1424"/>
      <c r="N954" s="1424"/>
      <c r="O954" s="1424"/>
      <c r="P954" s="1424"/>
      <c r="Q954" s="1424"/>
      <c r="R954" s="1424"/>
      <c r="S954" s="1424"/>
      <c r="T954" s="1434"/>
    </row>
    <row r="955" spans="2:20" ht="15" hidden="1" customHeight="1">
      <c r="B955" s="255"/>
      <c r="C955" s="256"/>
      <c r="D955" s="456"/>
      <c r="E955" s="456"/>
      <c r="F955" s="456"/>
      <c r="G955" s="456"/>
      <c r="H955" s="456"/>
      <c r="I955" s="257"/>
      <c r="J955" s="258"/>
      <c r="K955" s="258"/>
      <c r="L955" s="258" t="s">
        <v>39</v>
      </c>
      <c r="M955" s="258" t="s">
        <v>40</v>
      </c>
      <c r="N955" s="258" t="s">
        <v>41</v>
      </c>
      <c r="O955" s="259" t="s">
        <v>42</v>
      </c>
      <c r="P955" s="259" t="s">
        <v>43</v>
      </c>
      <c r="Q955" s="259"/>
      <c r="R955" s="259"/>
      <c r="S955" s="260" t="s">
        <v>44</v>
      </c>
      <c r="T955" s="261"/>
    </row>
    <row r="956" spans="2:20" ht="15" hidden="1" customHeight="1">
      <c r="B956" s="255"/>
      <c r="C956" s="256"/>
      <c r="D956" s="456"/>
      <c r="E956" s="456"/>
      <c r="F956" s="456"/>
      <c r="G956" s="456"/>
      <c r="H956" s="456"/>
      <c r="I956" s="257"/>
      <c r="J956" s="262" t="s">
        <v>45</v>
      </c>
      <c r="K956" s="263"/>
      <c r="L956" s="263" t="s">
        <v>46</v>
      </c>
      <c r="M956" s="264"/>
      <c r="N956" s="264"/>
      <c r="P956" s="265"/>
      <c r="Q956" s="265"/>
      <c r="R956" s="265"/>
      <c r="S956" s="266"/>
      <c r="T956" s="267"/>
    </row>
    <row r="957" spans="2:20" ht="15" hidden="1" customHeight="1">
      <c r="B957" s="255"/>
      <c r="C957" s="1377">
        <f>C979+(0.3*(H968)*2)</f>
        <v>680</v>
      </c>
      <c r="D957" s="1377"/>
      <c r="E957" s="1377"/>
      <c r="F957" s="1377"/>
      <c r="G957" s="268"/>
      <c r="H957" s="269"/>
      <c r="I957" s="257"/>
      <c r="J957" s="270" t="s">
        <v>47</v>
      </c>
      <c r="K957" s="271">
        <f>C957/1000</f>
        <v>0.68</v>
      </c>
      <c r="L957" s="271"/>
      <c r="M957" s="271"/>
      <c r="N957" s="272" t="s">
        <v>48</v>
      </c>
      <c r="O957" s="273">
        <f>C979/1000</f>
        <v>0.5</v>
      </c>
      <c r="P957" s="274"/>
      <c r="Q957" s="275" t="s">
        <v>49</v>
      </c>
      <c r="R957" s="276">
        <f>(H968)/1000</f>
        <v>0.3</v>
      </c>
      <c r="S957" s="277"/>
      <c r="T957" s="278"/>
    </row>
    <row r="958" spans="2:20" ht="15" hidden="1" customHeight="1">
      <c r="B958" s="255"/>
      <c r="C958" s="279"/>
      <c r="D958" s="280"/>
      <c r="E958" s="280"/>
      <c r="F958" s="281"/>
      <c r="G958" s="268"/>
      <c r="H958" s="269"/>
      <c r="I958" s="282"/>
      <c r="J958" s="270" t="s">
        <v>50</v>
      </c>
      <c r="K958" s="271">
        <f>C959/1000</f>
        <v>0.68</v>
      </c>
      <c r="L958" s="271"/>
      <c r="M958" s="271"/>
      <c r="N958" s="272" t="s">
        <v>51</v>
      </c>
      <c r="O958" s="273">
        <f>C981/1000</f>
        <v>0.5</v>
      </c>
      <c r="P958" s="274"/>
      <c r="Q958" s="254"/>
      <c r="R958" s="283"/>
      <c r="S958" s="284"/>
      <c r="T958" s="278"/>
    </row>
    <row r="959" spans="2:20" ht="15" hidden="1" customHeight="1">
      <c r="B959" s="255"/>
      <c r="C959" s="1379">
        <f>C981+(0.3*(H968)*2)</f>
        <v>680</v>
      </c>
      <c r="D959" s="1380"/>
      <c r="E959" s="1380"/>
      <c r="F959" s="1381"/>
      <c r="G959" s="268"/>
      <c r="H959" s="269"/>
      <c r="I959" s="282"/>
      <c r="J959" s="285" t="s">
        <v>52</v>
      </c>
      <c r="K959" s="286"/>
      <c r="L959" s="286"/>
      <c r="M959" s="286"/>
      <c r="N959" s="286"/>
      <c r="O959" s="287"/>
      <c r="P959" s="286"/>
      <c r="Q959" s="259"/>
      <c r="R959" s="259"/>
      <c r="S959" s="288">
        <f>ROUNDDOWN(R957/6*((2*K957+O957)*K958+(2*O957+K957)*O958),2)</f>
        <v>0.1</v>
      </c>
      <c r="T959" s="289" t="s">
        <v>178</v>
      </c>
    </row>
    <row r="960" spans="2:20" ht="15" hidden="1" customHeight="1">
      <c r="B960" s="255"/>
      <c r="C960" s="290"/>
      <c r="D960" s="291"/>
      <c r="E960" s="291"/>
      <c r="F960" s="281"/>
      <c r="G960" s="268"/>
      <c r="H960" s="269"/>
      <c r="I960" s="282"/>
      <c r="J960" s="262" t="s">
        <v>53</v>
      </c>
      <c r="K960" s="292"/>
      <c r="L960" s="292" t="s">
        <v>54</v>
      </c>
      <c r="M960" s="293"/>
      <c r="N960" s="293"/>
      <c r="O960" s="293"/>
      <c r="P960" s="292"/>
      <c r="Q960" s="263"/>
      <c r="R960" s="263"/>
      <c r="S960" s="266"/>
      <c r="T960" s="294"/>
    </row>
    <row r="961" spans="2:20" ht="15" hidden="1" customHeight="1">
      <c r="B961" s="255"/>
      <c r="C961" s="295"/>
      <c r="D961" s="1386">
        <v>300</v>
      </c>
      <c r="E961" s="1387"/>
      <c r="F961" s="296"/>
      <c r="G961" s="268"/>
      <c r="H961" s="269"/>
      <c r="I961" s="282"/>
      <c r="J961" s="270" t="s">
        <v>47</v>
      </c>
      <c r="K961" s="271">
        <f>D961/1000</f>
        <v>0.3</v>
      </c>
      <c r="L961" s="271"/>
      <c r="M961" s="271"/>
      <c r="N961" s="272" t="s">
        <v>48</v>
      </c>
      <c r="O961" s="271">
        <f>D976/1000</f>
        <v>0.3</v>
      </c>
      <c r="P961" s="274"/>
      <c r="Q961" s="275" t="s">
        <v>49</v>
      </c>
      <c r="R961" s="276">
        <f>H968/1000</f>
        <v>0.3</v>
      </c>
      <c r="S961" s="297">
        <f>ROUNDDOWN(K961*O961*R961,2)</f>
        <v>0.02</v>
      </c>
      <c r="T961" s="298" t="s">
        <v>55</v>
      </c>
    </row>
    <row r="962" spans="2:20" ht="15" hidden="1" customHeight="1">
      <c r="B962" s="255"/>
      <c r="C962" s="299"/>
      <c r="D962" s="300"/>
      <c r="E962" s="301"/>
      <c r="F962" s="302"/>
      <c r="G962" s="456"/>
      <c r="H962" s="269"/>
      <c r="I962" s="282"/>
      <c r="J962" s="270"/>
      <c r="K962" s="271"/>
      <c r="L962" s="271"/>
      <c r="M962" s="271"/>
      <c r="N962" s="272"/>
      <c r="O962" s="271"/>
      <c r="P962" s="274"/>
      <c r="Q962" s="275"/>
      <c r="R962" s="276"/>
      <c r="S962" s="297">
        <f>ROUNDDOWN(K962*O962*R962,2)</f>
        <v>0</v>
      </c>
      <c r="T962" s="298" t="s">
        <v>56</v>
      </c>
    </row>
    <row r="963" spans="2:20" ht="15" hidden="1" customHeight="1">
      <c r="B963" s="255"/>
      <c r="C963" s="299"/>
      <c r="D963" s="303"/>
      <c r="E963" s="302"/>
      <c r="F963" s="302"/>
      <c r="G963" s="456"/>
      <c r="H963" s="269"/>
      <c r="I963" s="282"/>
      <c r="J963" s="270"/>
      <c r="K963" s="271"/>
      <c r="L963" s="271"/>
      <c r="M963" s="271"/>
      <c r="N963" s="304"/>
      <c r="O963" s="271"/>
      <c r="P963" s="274"/>
      <c r="Q963" s="275"/>
      <c r="R963" s="276"/>
      <c r="S963" s="297"/>
      <c r="T963" s="298"/>
    </row>
    <row r="964" spans="2:20" ht="15" hidden="1" customHeight="1">
      <c r="B964" s="255"/>
      <c r="C964" s="299"/>
      <c r="D964" s="303"/>
      <c r="E964" s="302"/>
      <c r="F964" s="302"/>
      <c r="G964" s="456"/>
      <c r="H964" s="269"/>
      <c r="I964" s="282"/>
      <c r="J964" s="270"/>
      <c r="K964" s="271"/>
      <c r="L964" s="271"/>
      <c r="M964" s="271"/>
      <c r="N964" s="304"/>
      <c r="O964" s="271"/>
      <c r="P964" s="274"/>
      <c r="Q964" s="275"/>
      <c r="R964" s="276"/>
      <c r="S964" s="297"/>
      <c r="T964" s="298"/>
    </row>
    <row r="965" spans="2:20" ht="15" hidden="1" customHeight="1">
      <c r="B965" s="255"/>
      <c r="C965" s="299"/>
      <c r="D965" s="303"/>
      <c r="E965" s="302"/>
      <c r="F965" s="302"/>
      <c r="G965" s="456"/>
      <c r="H965" s="305"/>
      <c r="I965" s="282"/>
      <c r="J965" s="285" t="s">
        <v>57</v>
      </c>
      <c r="K965" s="286"/>
      <c r="L965" s="286"/>
      <c r="M965" s="286"/>
      <c r="N965" s="286"/>
      <c r="O965" s="287"/>
      <c r="P965" s="286"/>
      <c r="Q965" s="306"/>
      <c r="R965" s="307"/>
      <c r="S965" s="288">
        <f>SUM(S961:S964)</f>
        <v>0.02</v>
      </c>
      <c r="T965" s="289" t="s">
        <v>178</v>
      </c>
    </row>
    <row r="966" spans="2:20" ht="15" hidden="1" customHeight="1">
      <c r="B966" s="255"/>
      <c r="C966" s="299"/>
      <c r="D966" s="303"/>
      <c r="E966" s="302"/>
      <c r="F966" s="302"/>
      <c r="G966" s="456"/>
      <c r="H966" s="269"/>
      <c r="I966" s="308"/>
      <c r="J966" s="262" t="s">
        <v>58</v>
      </c>
      <c r="K966" s="293"/>
      <c r="L966" s="309" t="s">
        <v>334</v>
      </c>
      <c r="M966" s="309" t="s">
        <v>335</v>
      </c>
      <c r="N966" s="310" t="s">
        <v>336</v>
      </c>
      <c r="O966" s="311"/>
      <c r="P966" s="309"/>
      <c r="Q966" s="312"/>
      <c r="R966" s="312"/>
      <c r="S966" s="313"/>
      <c r="T966" s="294"/>
    </row>
    <row r="967" spans="2:20" ht="15" hidden="1" customHeight="1" thickBot="1">
      <c r="B967" s="314"/>
      <c r="C967" s="1388"/>
      <c r="D967" s="1388"/>
      <c r="E967" s="1388"/>
      <c r="F967" s="1388"/>
      <c r="G967" s="315"/>
      <c r="H967" s="315"/>
      <c r="I967" s="316"/>
      <c r="J967" s="317"/>
      <c r="K967" s="318"/>
      <c r="L967" s="318" t="s">
        <v>334</v>
      </c>
      <c r="M967" s="318">
        <f>S959</f>
        <v>0.1</v>
      </c>
      <c r="N967" s="318" t="s">
        <v>337</v>
      </c>
      <c r="O967" s="319">
        <f>S969</f>
        <v>0.02</v>
      </c>
      <c r="P967" s="320"/>
      <c r="Q967" s="321"/>
      <c r="R967" s="322"/>
      <c r="S967" s="323">
        <f>ROUNDDOWN(M967-O967,2)</f>
        <v>0.08</v>
      </c>
      <c r="T967" s="289" t="s">
        <v>178</v>
      </c>
    </row>
    <row r="968" spans="2:20" ht="15" hidden="1" customHeight="1">
      <c r="B968" s="255"/>
      <c r="C968" s="324"/>
      <c r="D968" s="457"/>
      <c r="E968" s="325"/>
      <c r="F968" s="326"/>
      <c r="G968" s="327"/>
      <c r="H968" s="1389">
        <v>300</v>
      </c>
      <c r="I968" s="1392">
        <f>H965+H967+H968</f>
        <v>300</v>
      </c>
      <c r="J968" s="262" t="s">
        <v>338</v>
      </c>
      <c r="K968" s="293"/>
      <c r="L968" s="293" t="s">
        <v>339</v>
      </c>
      <c r="M968" s="309"/>
      <c r="N968" s="310" t="s">
        <v>340</v>
      </c>
      <c r="O968" s="293"/>
      <c r="P968" s="293"/>
      <c r="Q968" s="328"/>
      <c r="R968" s="329"/>
      <c r="S968" s="266"/>
      <c r="T968" s="294"/>
    </row>
    <row r="969" spans="2:20" ht="15" hidden="1" customHeight="1">
      <c r="B969" s="330"/>
      <c r="C969" s="324"/>
      <c r="D969" s="331"/>
      <c r="E969" s="332"/>
      <c r="F969" s="326"/>
      <c r="G969" s="333"/>
      <c r="H969" s="1390"/>
      <c r="I969" s="1387"/>
      <c r="J969" s="334"/>
      <c r="K969" s="335"/>
      <c r="L969" s="336" t="s">
        <v>339</v>
      </c>
      <c r="M969" s="335"/>
      <c r="N969" s="335"/>
      <c r="O969" s="286">
        <f>S961</f>
        <v>0.02</v>
      </c>
      <c r="P969" s="286"/>
      <c r="Q969" s="286"/>
      <c r="R969" s="259"/>
      <c r="S969" s="323">
        <f>ROUNDDOWN(O969+Q969,2)</f>
        <v>0.02</v>
      </c>
      <c r="T969" s="337" t="s">
        <v>178</v>
      </c>
    </row>
    <row r="970" spans="2:20" ht="15" hidden="1" customHeight="1">
      <c r="B970" s="255"/>
      <c r="C970" s="324"/>
      <c r="D970" s="331"/>
      <c r="E970" s="332"/>
      <c r="F970" s="326"/>
      <c r="G970" s="333"/>
      <c r="H970" s="1390"/>
      <c r="I970" s="1387"/>
      <c r="J970" s="467" t="s">
        <v>584</v>
      </c>
      <c r="K970" s="293"/>
      <c r="L970" s="293"/>
      <c r="M970" s="293"/>
      <c r="N970" s="293"/>
      <c r="O970" s="339"/>
      <c r="P970" s="340"/>
      <c r="Q970" s="329"/>
      <c r="R970" s="341"/>
      <c r="S970" s="266"/>
      <c r="T970" s="294"/>
    </row>
    <row r="971" spans="2:20" ht="15" hidden="1" customHeight="1">
      <c r="B971" s="255"/>
      <c r="C971" s="324"/>
      <c r="D971" s="331"/>
      <c r="E971" s="332"/>
      <c r="F971" s="326"/>
      <c r="G971" s="333"/>
      <c r="H971" s="1390"/>
      <c r="I971" s="1387"/>
      <c r="J971" s="342" t="s">
        <v>341</v>
      </c>
      <c r="K971" s="343">
        <f>D961/1000</f>
        <v>0.3</v>
      </c>
      <c r="L971" s="344" t="s">
        <v>59</v>
      </c>
      <c r="M971" s="412">
        <f>D976/1000</f>
        <v>0.3</v>
      </c>
      <c r="N971" s="346" t="s">
        <v>137</v>
      </c>
      <c r="O971" s="347" t="s">
        <v>342</v>
      </c>
      <c r="P971" s="348">
        <f>I968/1000</f>
        <v>0.3</v>
      </c>
      <c r="Q971" s="349" t="s">
        <v>343</v>
      </c>
      <c r="R971" s="350">
        <v>4</v>
      </c>
      <c r="S971" s="351">
        <f>((K971+M971)/2)*P971*R971</f>
        <v>0.36</v>
      </c>
      <c r="T971" s="289" t="s">
        <v>344</v>
      </c>
    </row>
    <row r="972" spans="2:20" ht="15" hidden="1" customHeight="1" thickBot="1">
      <c r="B972" s="255"/>
      <c r="C972" s="352"/>
      <c r="D972" s="353"/>
      <c r="E972" s="354"/>
      <c r="F972" s="355"/>
      <c r="G972" s="356"/>
      <c r="H972" s="1391"/>
      <c r="I972" s="1387"/>
      <c r="J972" s="357"/>
      <c r="K972" s="358"/>
      <c r="L972" s="358"/>
      <c r="M972" s="358"/>
      <c r="N972" s="358"/>
      <c r="O972" s="359"/>
      <c r="P972" s="329"/>
      <c r="Q972" s="329"/>
      <c r="R972" s="329"/>
      <c r="S972" s="360"/>
      <c r="T972" s="361"/>
    </row>
    <row r="973" spans="2:20" ht="15" hidden="1" customHeight="1">
      <c r="B973" s="255"/>
      <c r="C973" s="362"/>
      <c r="D973" s="363"/>
      <c r="E973" s="364"/>
      <c r="F973" s="365"/>
      <c r="G973" s="456"/>
      <c r="H973" s="269"/>
      <c r="I973" s="282"/>
      <c r="J973" s="366"/>
      <c r="K973" s="367"/>
      <c r="L973" s="320"/>
      <c r="M973" s="368"/>
      <c r="N973" s="369"/>
      <c r="P973" s="370"/>
      <c r="Q973" s="350"/>
      <c r="R973" s="350"/>
      <c r="S973" s="323"/>
      <c r="T973" s="298"/>
    </row>
    <row r="974" spans="2:20" ht="15" hidden="1" customHeight="1">
      <c r="B974" s="255"/>
      <c r="C974" s="371">
        <v>100</v>
      </c>
      <c r="D974" s="1379">
        <v>300</v>
      </c>
      <c r="E974" s="1381"/>
      <c r="F974" s="372">
        <v>100</v>
      </c>
      <c r="G974" s="268"/>
      <c r="H974" s="373"/>
      <c r="I974" s="282"/>
      <c r="J974" s="357"/>
      <c r="K974" s="358"/>
      <c r="L974" s="358"/>
      <c r="M974" s="358"/>
      <c r="N974" s="358"/>
      <c r="O974" s="374"/>
      <c r="P974" s="375"/>
      <c r="Q974" s="374"/>
      <c r="R974" s="265"/>
      <c r="S974" s="266"/>
      <c r="T974" s="294"/>
    </row>
    <row r="975" spans="2:20" ht="15" hidden="1" customHeight="1">
      <c r="B975" s="376"/>
      <c r="C975" s="377"/>
      <c r="D975" s="303"/>
      <c r="E975" s="302"/>
      <c r="F975" s="378"/>
      <c r="G975" s="379"/>
      <c r="H975" s="373"/>
      <c r="I975" s="282"/>
      <c r="J975" s="380"/>
      <c r="K975" s="306"/>
      <c r="L975" s="306"/>
      <c r="M975" s="306"/>
      <c r="N975" s="306"/>
      <c r="O975" s="381"/>
      <c r="P975" s="381"/>
      <c r="Q975" s="381"/>
      <c r="R975" s="381"/>
      <c r="S975" s="382"/>
      <c r="T975" s="383"/>
    </row>
    <row r="976" spans="2:20" ht="15" hidden="1" customHeight="1">
      <c r="B976" s="255"/>
      <c r="C976" s="371">
        <v>100</v>
      </c>
      <c r="D976" s="1379">
        <v>300</v>
      </c>
      <c r="E976" s="1381"/>
      <c r="F976" s="372">
        <v>100</v>
      </c>
      <c r="G976" s="268"/>
      <c r="H976" s="373"/>
      <c r="I976" s="282"/>
      <c r="J976" s="469" t="s">
        <v>586</v>
      </c>
      <c r="K976" s="384"/>
      <c r="L976" s="470" t="s">
        <v>601</v>
      </c>
      <c r="M976" s="384"/>
      <c r="N976" s="384"/>
      <c r="O976" s="283"/>
      <c r="P976" s="385"/>
      <c r="Q976" s="385"/>
      <c r="R976" s="385"/>
      <c r="S976" s="386"/>
      <c r="T976" s="387"/>
    </row>
    <row r="977" spans="2:20" ht="15" hidden="1" customHeight="1">
      <c r="B977" s="255"/>
      <c r="C977" s="290"/>
      <c r="D977" s="388"/>
      <c r="E977" s="388"/>
      <c r="F977" s="389"/>
      <c r="G977" s="379"/>
      <c r="H977" s="373"/>
      <c r="I977" s="282"/>
      <c r="J977" s="390"/>
      <c r="K977" s="391"/>
      <c r="L977" s="391"/>
      <c r="M977" s="391"/>
      <c r="N977" s="391"/>
      <c r="O977" s="392"/>
      <c r="P977" s="393"/>
      <c r="Q977" s="381"/>
      <c r="R977" s="259"/>
      <c r="S977" s="394">
        <v>2</v>
      </c>
      <c r="T977" s="383" t="s">
        <v>37</v>
      </c>
    </row>
    <row r="978" spans="2:20" ht="15" hidden="1" customHeight="1">
      <c r="B978" s="255"/>
      <c r="C978" s="1376"/>
      <c r="D978" s="1377"/>
      <c r="E978" s="1377"/>
      <c r="F978" s="1378"/>
      <c r="G978" s="268"/>
      <c r="H978" s="269"/>
      <c r="I978" s="282"/>
      <c r="J978" s="262" t="s">
        <v>346</v>
      </c>
      <c r="K978" s="384"/>
      <c r="L978" s="384" t="s">
        <v>526</v>
      </c>
      <c r="M978" s="264"/>
      <c r="N978" s="264"/>
      <c r="O978" s="265"/>
      <c r="P978" s="265"/>
      <c r="Q978" s="329"/>
      <c r="R978" s="329"/>
      <c r="S978" s="266"/>
      <c r="T978" s="267"/>
    </row>
    <row r="979" spans="2:20" ht="15" hidden="1" customHeight="1">
      <c r="B979" s="255"/>
      <c r="C979" s="1379">
        <f>C974+D974+F974</f>
        <v>500</v>
      </c>
      <c r="D979" s="1380"/>
      <c r="E979" s="1380"/>
      <c r="F979" s="1381"/>
      <c r="G979" s="268"/>
      <c r="H979" s="456"/>
      <c r="I979" s="257"/>
      <c r="J979" s="334"/>
      <c r="K979" s="258"/>
      <c r="L979" s="258"/>
      <c r="M979" s="258"/>
      <c r="N979" s="258"/>
      <c r="O979" s="259">
        <v>3</v>
      </c>
      <c r="P979" s="381"/>
      <c r="Q979" s="259"/>
      <c r="R979" s="259"/>
      <c r="S979" s="395">
        <f>O979</f>
        <v>3</v>
      </c>
      <c r="T979" s="261" t="s">
        <v>36</v>
      </c>
    </row>
    <row r="980" spans="2:20" ht="15" hidden="1" customHeight="1">
      <c r="B980" s="255"/>
      <c r="C980" s="396"/>
      <c r="D980" s="388"/>
      <c r="E980" s="388"/>
      <c r="F980" s="397"/>
      <c r="G980" s="268"/>
      <c r="H980" s="269"/>
      <c r="I980" s="257"/>
      <c r="J980" s="476"/>
      <c r="K980" s="398"/>
      <c r="L980" s="398"/>
      <c r="M980" s="398"/>
      <c r="N980" s="398"/>
      <c r="O980" s="399"/>
      <c r="P980" s="400"/>
      <c r="Q980" s="399"/>
      <c r="R980" s="399"/>
      <c r="S980" s="401"/>
      <c r="T980" s="402"/>
    </row>
    <row r="981" spans="2:20" ht="15" hidden="1" customHeight="1">
      <c r="B981" s="255"/>
      <c r="C981" s="1379">
        <f>C976+D976+F976</f>
        <v>500</v>
      </c>
      <c r="D981" s="1380"/>
      <c r="E981" s="1380"/>
      <c r="F981" s="1381"/>
      <c r="G981" s="268"/>
      <c r="H981" s="456"/>
      <c r="I981" s="257"/>
      <c r="J981" s="403"/>
      <c r="K981" s="404"/>
      <c r="L981" s="404"/>
      <c r="M981" s="404"/>
      <c r="N981" s="404"/>
      <c r="O981" s="259"/>
      <c r="P981" s="405"/>
      <c r="Q981" s="405"/>
      <c r="R981" s="405"/>
      <c r="S981" s="395"/>
      <c r="T981" s="261"/>
    </row>
    <row r="982" spans="2:20" ht="15" hidden="1" customHeight="1">
      <c r="B982" s="255"/>
      <c r="C982" s="256"/>
      <c r="D982" s="456"/>
      <c r="E982" s="456"/>
      <c r="F982" s="456"/>
      <c r="G982" s="456"/>
      <c r="H982" s="456"/>
      <c r="I982" s="257"/>
      <c r="J982" s="406"/>
      <c r="K982" s="264"/>
      <c r="L982" s="264"/>
      <c r="M982" s="264"/>
      <c r="N982" s="264"/>
      <c r="O982" s="265"/>
      <c r="P982" s="265"/>
      <c r="Q982" s="329"/>
      <c r="R982" s="329"/>
      <c r="S982" s="266"/>
      <c r="T982" s="267"/>
    </row>
    <row r="983" spans="2:20" ht="15" hidden="1" customHeight="1">
      <c r="B983" s="255"/>
      <c r="C983" s="256"/>
      <c r="D983" s="456"/>
      <c r="E983" s="456"/>
      <c r="F983" s="456"/>
      <c r="G983" s="456"/>
      <c r="H983" s="456"/>
      <c r="I983" s="269"/>
      <c r="J983" s="334"/>
      <c r="K983" s="258"/>
      <c r="L983" s="258"/>
      <c r="M983" s="258"/>
      <c r="N983" s="258"/>
      <c r="O983" s="259"/>
      <c r="P983" s="381"/>
      <c r="Q983" s="259"/>
      <c r="R983" s="259"/>
      <c r="S983" s="395"/>
      <c r="T983" s="261"/>
    </row>
    <row r="984" spans="2:20" ht="15" hidden="1" customHeight="1">
      <c r="B984" s="255"/>
      <c r="C984" s="256"/>
      <c r="D984" s="456"/>
      <c r="E984" s="456"/>
      <c r="F984" s="456"/>
      <c r="G984" s="456"/>
      <c r="H984" s="456"/>
      <c r="I984" s="257"/>
      <c r="J984" s="262"/>
      <c r="K984" s="407"/>
      <c r="L984" s="407"/>
      <c r="M984" s="407"/>
      <c r="N984" s="407"/>
      <c r="O984" s="265"/>
      <c r="P984" s="265"/>
      <c r="Q984" s="265"/>
      <c r="R984" s="265"/>
      <c r="S984" s="266"/>
      <c r="T984" s="267"/>
    </row>
    <row r="985" spans="2:20" ht="15" hidden="1" customHeight="1">
      <c r="B985" s="408"/>
      <c r="C985" s="409"/>
      <c r="D985" s="350"/>
      <c r="E985" s="350"/>
      <c r="F985" s="350"/>
      <c r="G985" s="350"/>
      <c r="H985" s="350"/>
      <c r="I985" s="410"/>
      <c r="J985" s="334"/>
      <c r="K985" s="258"/>
      <c r="L985" s="258"/>
      <c r="M985" s="258"/>
      <c r="N985" s="258"/>
      <c r="O985" s="259"/>
      <c r="P985" s="259"/>
      <c r="Q985" s="259"/>
      <c r="R985" s="411"/>
      <c r="S985" s="395"/>
      <c r="T985" s="261"/>
    </row>
    <row r="986" spans="2:20" ht="24.95" hidden="1" customHeight="1">
      <c r="B986" s="468" t="s">
        <v>591</v>
      </c>
      <c r="C986" s="1383" t="s">
        <v>582</v>
      </c>
      <c r="D986" s="1423"/>
      <c r="E986" s="1423"/>
      <c r="F986" s="1423"/>
      <c r="G986" s="1423"/>
      <c r="H986" s="1424"/>
      <c r="I986" s="1383" t="s">
        <v>583</v>
      </c>
      <c r="J986" s="1423"/>
      <c r="K986" s="1435"/>
      <c r="L986" s="1433"/>
      <c r="M986" s="1424"/>
      <c r="N986" s="1424"/>
      <c r="O986" s="1424"/>
      <c r="P986" s="1424"/>
      <c r="Q986" s="1424"/>
      <c r="R986" s="1424"/>
      <c r="S986" s="1424"/>
      <c r="T986" s="1434"/>
    </row>
    <row r="987" spans="2:20" ht="15" hidden="1" customHeight="1">
      <c r="B987" s="255"/>
      <c r="C987" s="256"/>
      <c r="D987" s="456"/>
      <c r="E987" s="456"/>
      <c r="F987" s="456"/>
      <c r="G987" s="456"/>
      <c r="H987" s="456"/>
      <c r="I987" s="257"/>
      <c r="J987" s="258"/>
      <c r="K987" s="258"/>
      <c r="L987" s="258" t="s">
        <v>39</v>
      </c>
      <c r="M987" s="258" t="s">
        <v>40</v>
      </c>
      <c r="N987" s="258" t="s">
        <v>41</v>
      </c>
      <c r="O987" s="259" t="s">
        <v>42</v>
      </c>
      <c r="P987" s="259" t="s">
        <v>43</v>
      </c>
      <c r="Q987" s="259"/>
      <c r="R987" s="259"/>
      <c r="S987" s="260" t="s">
        <v>44</v>
      </c>
      <c r="T987" s="261"/>
    </row>
    <row r="988" spans="2:20" ht="15" hidden="1" customHeight="1">
      <c r="B988" s="255"/>
      <c r="C988" s="256"/>
      <c r="D988" s="456"/>
      <c r="E988" s="456"/>
      <c r="F988" s="456"/>
      <c r="G988" s="456"/>
      <c r="H988" s="456"/>
      <c r="I988" s="257"/>
      <c r="J988" s="262" t="s">
        <v>45</v>
      </c>
      <c r="K988" s="263"/>
      <c r="L988" s="263" t="s">
        <v>46</v>
      </c>
      <c r="M988" s="264"/>
      <c r="N988" s="264"/>
      <c r="P988" s="265"/>
      <c r="Q988" s="265"/>
      <c r="R988" s="265"/>
      <c r="S988" s="266"/>
      <c r="T988" s="267"/>
    </row>
    <row r="989" spans="2:20" ht="15" hidden="1" customHeight="1">
      <c r="B989" s="255"/>
      <c r="C989" s="1377">
        <f>C1011+(0.3*(H1000)*2)</f>
        <v>880</v>
      </c>
      <c r="D989" s="1377"/>
      <c r="E989" s="1377"/>
      <c r="F989" s="1377"/>
      <c r="G989" s="268"/>
      <c r="H989" s="269"/>
      <c r="I989" s="257"/>
      <c r="J989" s="270" t="s">
        <v>47</v>
      </c>
      <c r="K989" s="271">
        <f>C989/1000</f>
        <v>0.88</v>
      </c>
      <c r="L989" s="271"/>
      <c r="M989" s="271"/>
      <c r="N989" s="272" t="s">
        <v>48</v>
      </c>
      <c r="O989" s="273">
        <f>C1011/1000</f>
        <v>0.7</v>
      </c>
      <c r="P989" s="274"/>
      <c r="Q989" s="275" t="s">
        <v>49</v>
      </c>
      <c r="R989" s="276">
        <f>(H1000)/1000</f>
        <v>0.3</v>
      </c>
      <c r="S989" s="277"/>
      <c r="T989" s="278"/>
    </row>
    <row r="990" spans="2:20" ht="15" hidden="1" customHeight="1">
      <c r="B990" s="255"/>
      <c r="C990" s="279"/>
      <c r="D990" s="280"/>
      <c r="E990" s="280"/>
      <c r="F990" s="281"/>
      <c r="G990" s="268"/>
      <c r="H990" s="269"/>
      <c r="I990" s="282"/>
      <c r="J990" s="270" t="s">
        <v>50</v>
      </c>
      <c r="K990" s="271">
        <f>C991/1000</f>
        <v>0.88</v>
      </c>
      <c r="L990" s="271"/>
      <c r="M990" s="271"/>
      <c r="N990" s="272" t="s">
        <v>51</v>
      </c>
      <c r="O990" s="273">
        <f>C1013/1000</f>
        <v>0.7</v>
      </c>
      <c r="P990" s="274"/>
      <c r="Q990" s="254"/>
      <c r="R990" s="283"/>
      <c r="S990" s="284"/>
      <c r="T990" s="278"/>
    </row>
    <row r="991" spans="2:20" ht="15" hidden="1" customHeight="1">
      <c r="B991" s="255"/>
      <c r="C991" s="1379">
        <f>C1013+(0.3*(H1000)*2)</f>
        <v>880</v>
      </c>
      <c r="D991" s="1380"/>
      <c r="E991" s="1380"/>
      <c r="F991" s="1381"/>
      <c r="G991" s="268"/>
      <c r="H991" s="269"/>
      <c r="I991" s="282"/>
      <c r="J991" s="285" t="s">
        <v>52</v>
      </c>
      <c r="K991" s="286"/>
      <c r="L991" s="286"/>
      <c r="M991" s="286"/>
      <c r="N991" s="286"/>
      <c r="O991" s="287"/>
      <c r="P991" s="286"/>
      <c r="Q991" s="259"/>
      <c r="R991" s="259"/>
      <c r="S991" s="288">
        <f>ROUNDDOWN(R989/6*((2*K989+O989)*K990+(2*O989+K989)*O990),2)</f>
        <v>0.18</v>
      </c>
      <c r="T991" s="289" t="s">
        <v>178</v>
      </c>
    </row>
    <row r="992" spans="2:20" ht="15" hidden="1" customHeight="1">
      <c r="B992" s="255"/>
      <c r="C992" s="290"/>
      <c r="D992" s="291"/>
      <c r="E992" s="291"/>
      <c r="F992" s="281"/>
      <c r="G992" s="268"/>
      <c r="H992" s="269"/>
      <c r="I992" s="282"/>
      <c r="J992" s="262" t="s">
        <v>53</v>
      </c>
      <c r="K992" s="292"/>
      <c r="L992" s="292" t="s">
        <v>54</v>
      </c>
      <c r="M992" s="293"/>
      <c r="N992" s="293"/>
      <c r="O992" s="293"/>
      <c r="P992" s="292"/>
      <c r="Q992" s="263"/>
      <c r="R992" s="263"/>
      <c r="S992" s="266"/>
      <c r="T992" s="294"/>
    </row>
    <row r="993" spans="2:20" ht="15" hidden="1" customHeight="1">
      <c r="B993" s="255"/>
      <c r="C993" s="295"/>
      <c r="D993" s="1386">
        <v>500</v>
      </c>
      <c r="E993" s="1387"/>
      <c r="F993" s="296"/>
      <c r="G993" s="268"/>
      <c r="H993" s="269"/>
      <c r="I993" s="282"/>
      <c r="J993" s="270" t="s">
        <v>47</v>
      </c>
      <c r="K993" s="271">
        <f>D993/1000</f>
        <v>0.5</v>
      </c>
      <c r="L993" s="271"/>
      <c r="M993" s="271"/>
      <c r="N993" s="272" t="s">
        <v>48</v>
      </c>
      <c r="O993" s="271">
        <f>D1008/1000</f>
        <v>0.5</v>
      </c>
      <c r="P993" s="274"/>
      <c r="Q993" s="275" t="s">
        <v>49</v>
      </c>
      <c r="R993" s="276">
        <f>H1000/1000</f>
        <v>0.3</v>
      </c>
      <c r="S993" s="297">
        <f>ROUNDDOWN(K993*O993*R993,2)</f>
        <v>7.0000000000000007E-2</v>
      </c>
      <c r="T993" s="298" t="s">
        <v>55</v>
      </c>
    </row>
    <row r="994" spans="2:20" ht="15" hidden="1" customHeight="1">
      <c r="B994" s="255"/>
      <c r="C994" s="299"/>
      <c r="D994" s="300"/>
      <c r="E994" s="301"/>
      <c r="F994" s="302"/>
      <c r="G994" s="456"/>
      <c r="H994" s="269"/>
      <c r="I994" s="282"/>
      <c r="J994" s="270"/>
      <c r="K994" s="271"/>
      <c r="L994" s="271"/>
      <c r="M994" s="271"/>
      <c r="N994" s="272"/>
      <c r="O994" s="271"/>
      <c r="P994" s="274"/>
      <c r="Q994" s="275"/>
      <c r="R994" s="276"/>
      <c r="S994" s="297">
        <f>ROUNDDOWN(K994*O994*R994,2)</f>
        <v>0</v>
      </c>
      <c r="T994" s="298" t="s">
        <v>56</v>
      </c>
    </row>
    <row r="995" spans="2:20" ht="15" hidden="1" customHeight="1">
      <c r="B995" s="255"/>
      <c r="C995" s="299"/>
      <c r="D995" s="303"/>
      <c r="E995" s="302"/>
      <c r="F995" s="302"/>
      <c r="G995" s="456"/>
      <c r="H995" s="269"/>
      <c r="I995" s="282"/>
      <c r="J995" s="270"/>
      <c r="K995" s="271"/>
      <c r="L995" s="271"/>
      <c r="M995" s="271"/>
      <c r="N995" s="304"/>
      <c r="O995" s="271"/>
      <c r="P995" s="274"/>
      <c r="Q995" s="275"/>
      <c r="R995" s="276"/>
      <c r="S995" s="297"/>
      <c r="T995" s="298"/>
    </row>
    <row r="996" spans="2:20" ht="15" hidden="1" customHeight="1">
      <c r="B996" s="255"/>
      <c r="C996" s="299"/>
      <c r="D996" s="303"/>
      <c r="E996" s="302"/>
      <c r="F996" s="302"/>
      <c r="G996" s="456"/>
      <c r="H996" s="269"/>
      <c r="I996" s="282"/>
      <c r="J996" s="270"/>
      <c r="K996" s="271"/>
      <c r="L996" s="271"/>
      <c r="M996" s="271"/>
      <c r="N996" s="304"/>
      <c r="O996" s="271"/>
      <c r="P996" s="274"/>
      <c r="Q996" s="275"/>
      <c r="R996" s="276"/>
      <c r="S996" s="297"/>
      <c r="T996" s="298"/>
    </row>
    <row r="997" spans="2:20" ht="15" hidden="1" customHeight="1">
      <c r="B997" s="255"/>
      <c r="C997" s="299"/>
      <c r="D997" s="303"/>
      <c r="E997" s="302"/>
      <c r="F997" s="302"/>
      <c r="G997" s="456"/>
      <c r="H997" s="305"/>
      <c r="I997" s="282"/>
      <c r="J997" s="285" t="s">
        <v>57</v>
      </c>
      <c r="K997" s="286"/>
      <c r="L997" s="286"/>
      <c r="M997" s="286"/>
      <c r="N997" s="286"/>
      <c r="O997" s="287"/>
      <c r="P997" s="286"/>
      <c r="Q997" s="306"/>
      <c r="R997" s="307"/>
      <c r="S997" s="288">
        <f>SUM(S993:S996)</f>
        <v>7.0000000000000007E-2</v>
      </c>
      <c r="T997" s="289" t="s">
        <v>178</v>
      </c>
    </row>
    <row r="998" spans="2:20" ht="15" hidden="1" customHeight="1">
      <c r="B998" s="255"/>
      <c r="C998" s="299"/>
      <c r="D998" s="303"/>
      <c r="E998" s="302"/>
      <c r="F998" s="302"/>
      <c r="G998" s="456"/>
      <c r="H998" s="269"/>
      <c r="I998" s="308"/>
      <c r="J998" s="262" t="s">
        <v>58</v>
      </c>
      <c r="K998" s="293"/>
      <c r="L998" s="309" t="s">
        <v>334</v>
      </c>
      <c r="M998" s="309" t="s">
        <v>335</v>
      </c>
      <c r="N998" s="310" t="s">
        <v>336</v>
      </c>
      <c r="O998" s="311"/>
      <c r="P998" s="309"/>
      <c r="Q998" s="312"/>
      <c r="R998" s="312"/>
      <c r="S998" s="313"/>
      <c r="T998" s="294"/>
    </row>
    <row r="999" spans="2:20" ht="15" hidden="1" customHeight="1" thickBot="1">
      <c r="B999" s="314"/>
      <c r="C999" s="1388"/>
      <c r="D999" s="1388"/>
      <c r="E999" s="1388"/>
      <c r="F999" s="1388"/>
      <c r="G999" s="315"/>
      <c r="H999" s="315"/>
      <c r="I999" s="316"/>
      <c r="J999" s="317"/>
      <c r="K999" s="318"/>
      <c r="L999" s="318" t="s">
        <v>334</v>
      </c>
      <c r="M999" s="318">
        <f>S991</f>
        <v>0.18</v>
      </c>
      <c r="N999" s="318" t="s">
        <v>337</v>
      </c>
      <c r="O999" s="319">
        <f>S1001</f>
        <v>7.0000000000000007E-2</v>
      </c>
      <c r="P999" s="320"/>
      <c r="Q999" s="321"/>
      <c r="R999" s="322"/>
      <c r="S999" s="323">
        <f>ROUNDDOWN(M999-O999,2)</f>
        <v>0.11</v>
      </c>
      <c r="T999" s="289" t="s">
        <v>178</v>
      </c>
    </row>
    <row r="1000" spans="2:20" ht="15" hidden="1" customHeight="1">
      <c r="B1000" s="255"/>
      <c r="C1000" s="324"/>
      <c r="D1000" s="457"/>
      <c r="E1000" s="325"/>
      <c r="F1000" s="326"/>
      <c r="G1000" s="327"/>
      <c r="H1000" s="1389">
        <v>300</v>
      </c>
      <c r="I1000" s="1392">
        <f>H997+H999+H1000</f>
        <v>300</v>
      </c>
      <c r="J1000" s="262" t="s">
        <v>338</v>
      </c>
      <c r="K1000" s="293"/>
      <c r="L1000" s="293" t="s">
        <v>339</v>
      </c>
      <c r="M1000" s="309"/>
      <c r="N1000" s="310" t="s">
        <v>340</v>
      </c>
      <c r="O1000" s="293"/>
      <c r="P1000" s="293"/>
      <c r="Q1000" s="328"/>
      <c r="R1000" s="329"/>
      <c r="S1000" s="266"/>
      <c r="T1000" s="294"/>
    </row>
    <row r="1001" spans="2:20" ht="15" hidden="1" customHeight="1">
      <c r="B1001" s="330"/>
      <c r="C1001" s="324"/>
      <c r="D1001" s="331"/>
      <c r="E1001" s="332"/>
      <c r="F1001" s="326"/>
      <c r="G1001" s="333"/>
      <c r="H1001" s="1390"/>
      <c r="I1001" s="1387"/>
      <c r="J1001" s="334"/>
      <c r="K1001" s="335"/>
      <c r="L1001" s="336" t="s">
        <v>339</v>
      </c>
      <c r="M1001" s="335"/>
      <c r="N1001" s="335"/>
      <c r="O1001" s="286">
        <f>S993</f>
        <v>7.0000000000000007E-2</v>
      </c>
      <c r="P1001" s="286"/>
      <c r="Q1001" s="286"/>
      <c r="R1001" s="259"/>
      <c r="S1001" s="323">
        <f>ROUNDDOWN(O1001+Q1001,2)</f>
        <v>7.0000000000000007E-2</v>
      </c>
      <c r="T1001" s="337" t="s">
        <v>178</v>
      </c>
    </row>
    <row r="1002" spans="2:20" ht="15" hidden="1" customHeight="1">
      <c r="B1002" s="255"/>
      <c r="C1002" s="324"/>
      <c r="D1002" s="331"/>
      <c r="E1002" s="332"/>
      <c r="F1002" s="326"/>
      <c r="G1002" s="333"/>
      <c r="H1002" s="1390"/>
      <c r="I1002" s="1387"/>
      <c r="J1002" s="467" t="s">
        <v>584</v>
      </c>
      <c r="K1002" s="293"/>
      <c r="L1002" s="293"/>
      <c r="M1002" s="293"/>
      <c r="N1002" s="293"/>
      <c r="O1002" s="339"/>
      <c r="P1002" s="340"/>
      <c r="Q1002" s="329"/>
      <c r="R1002" s="341"/>
      <c r="S1002" s="266"/>
      <c r="T1002" s="294"/>
    </row>
    <row r="1003" spans="2:20" ht="15" hidden="1" customHeight="1">
      <c r="B1003" s="255"/>
      <c r="C1003" s="324"/>
      <c r="D1003" s="331"/>
      <c r="E1003" s="332"/>
      <c r="F1003" s="326"/>
      <c r="G1003" s="333"/>
      <c r="H1003" s="1390"/>
      <c r="I1003" s="1387"/>
      <c r="J1003" s="342" t="s">
        <v>341</v>
      </c>
      <c r="K1003" s="343">
        <f>D993/1000</f>
        <v>0.5</v>
      </c>
      <c r="L1003" s="344" t="s">
        <v>59</v>
      </c>
      <c r="M1003" s="412">
        <f>D1008/1000</f>
        <v>0.5</v>
      </c>
      <c r="N1003" s="346" t="s">
        <v>137</v>
      </c>
      <c r="O1003" s="347" t="s">
        <v>342</v>
      </c>
      <c r="P1003" s="348">
        <f>I1000/1000</f>
        <v>0.3</v>
      </c>
      <c r="Q1003" s="349" t="s">
        <v>343</v>
      </c>
      <c r="R1003" s="350">
        <v>4</v>
      </c>
      <c r="S1003" s="351">
        <f>((K1003+M1003)/2)*P1003*R1003</f>
        <v>0.6</v>
      </c>
      <c r="T1003" s="289" t="s">
        <v>344</v>
      </c>
    </row>
    <row r="1004" spans="2:20" ht="15" hidden="1" customHeight="1" thickBot="1">
      <c r="B1004" s="255"/>
      <c r="C1004" s="352"/>
      <c r="D1004" s="353"/>
      <c r="E1004" s="354"/>
      <c r="F1004" s="355"/>
      <c r="G1004" s="356"/>
      <c r="H1004" s="1391"/>
      <c r="I1004" s="1387"/>
      <c r="J1004" s="357"/>
      <c r="K1004" s="358"/>
      <c r="L1004" s="358"/>
      <c r="M1004" s="358"/>
      <c r="N1004" s="358"/>
      <c r="O1004" s="359"/>
      <c r="P1004" s="329"/>
      <c r="Q1004" s="329"/>
      <c r="R1004" s="329"/>
      <c r="S1004" s="360"/>
      <c r="T1004" s="361"/>
    </row>
    <row r="1005" spans="2:20" ht="15" hidden="1" customHeight="1">
      <c r="B1005" s="255"/>
      <c r="C1005" s="362"/>
      <c r="D1005" s="363"/>
      <c r="E1005" s="364"/>
      <c r="F1005" s="365"/>
      <c r="G1005" s="456"/>
      <c r="H1005" s="269"/>
      <c r="I1005" s="282"/>
      <c r="J1005" s="366"/>
      <c r="K1005" s="367"/>
      <c r="L1005" s="320"/>
      <c r="M1005" s="368"/>
      <c r="N1005" s="369"/>
      <c r="P1005" s="370"/>
      <c r="Q1005" s="350"/>
      <c r="R1005" s="350"/>
      <c r="S1005" s="323"/>
      <c r="T1005" s="298"/>
    </row>
    <row r="1006" spans="2:20" ht="15" hidden="1" customHeight="1">
      <c r="B1006" s="255"/>
      <c r="C1006" s="371">
        <v>100</v>
      </c>
      <c r="D1006" s="1379">
        <v>500</v>
      </c>
      <c r="E1006" s="1381"/>
      <c r="F1006" s="372">
        <v>100</v>
      </c>
      <c r="G1006" s="268"/>
      <c r="H1006" s="373"/>
      <c r="I1006" s="282"/>
      <c r="J1006" s="357"/>
      <c r="K1006" s="358"/>
      <c r="L1006" s="358"/>
      <c r="M1006" s="358"/>
      <c r="N1006" s="358"/>
      <c r="O1006" s="374"/>
      <c r="P1006" s="375"/>
      <c r="Q1006" s="374"/>
      <c r="R1006" s="265"/>
      <c r="S1006" s="266"/>
      <c r="T1006" s="294"/>
    </row>
    <row r="1007" spans="2:20" ht="15" hidden="1" customHeight="1">
      <c r="B1007" s="376"/>
      <c r="C1007" s="377"/>
      <c r="D1007" s="303"/>
      <c r="E1007" s="302"/>
      <c r="F1007" s="378"/>
      <c r="G1007" s="379"/>
      <c r="H1007" s="373"/>
      <c r="I1007" s="282"/>
      <c r="J1007" s="380"/>
      <c r="K1007" s="306"/>
      <c r="L1007" s="306"/>
      <c r="M1007" s="306"/>
      <c r="N1007" s="306"/>
      <c r="O1007" s="381"/>
      <c r="P1007" s="381"/>
      <c r="Q1007" s="381"/>
      <c r="R1007" s="381"/>
      <c r="S1007" s="382"/>
      <c r="T1007" s="383"/>
    </row>
    <row r="1008" spans="2:20" ht="15" hidden="1" customHeight="1">
      <c r="B1008" s="255"/>
      <c r="C1008" s="371">
        <v>100</v>
      </c>
      <c r="D1008" s="1379">
        <v>500</v>
      </c>
      <c r="E1008" s="1381"/>
      <c r="F1008" s="372">
        <v>100</v>
      </c>
      <c r="G1008" s="268"/>
      <c r="H1008" s="373"/>
      <c r="I1008" s="282"/>
      <c r="J1008" s="469" t="s">
        <v>585</v>
      </c>
      <c r="K1008" s="384"/>
      <c r="L1008" s="384" t="s">
        <v>356</v>
      </c>
      <c r="M1008" s="384"/>
      <c r="N1008" s="384"/>
      <c r="O1008" s="283"/>
      <c r="P1008" s="385"/>
      <c r="Q1008" s="385"/>
      <c r="R1008" s="385"/>
      <c r="S1008" s="386"/>
      <c r="T1008" s="387"/>
    </row>
    <row r="1009" spans="2:20" ht="15" hidden="1" customHeight="1">
      <c r="B1009" s="255"/>
      <c r="C1009" s="290"/>
      <c r="D1009" s="388"/>
      <c r="E1009" s="388"/>
      <c r="F1009" s="389"/>
      <c r="G1009" s="379"/>
      <c r="H1009" s="373"/>
      <c r="I1009" s="282"/>
      <c r="J1009" s="390"/>
      <c r="K1009" s="391"/>
      <c r="L1009" s="391"/>
      <c r="M1009" s="391"/>
      <c r="N1009" s="391"/>
      <c r="O1009" s="392"/>
      <c r="P1009" s="393"/>
      <c r="Q1009" s="381"/>
      <c r="R1009" s="259"/>
      <c r="S1009" s="394">
        <v>4</v>
      </c>
      <c r="T1009" s="383" t="s">
        <v>37</v>
      </c>
    </row>
    <row r="1010" spans="2:20" ht="15" hidden="1" customHeight="1">
      <c r="B1010" s="255"/>
      <c r="C1010" s="1376"/>
      <c r="D1010" s="1377"/>
      <c r="E1010" s="1377"/>
      <c r="F1010" s="1378"/>
      <c r="G1010" s="268"/>
      <c r="H1010" s="269"/>
      <c r="I1010" s="282"/>
      <c r="J1010" s="262"/>
      <c r="K1010" s="384"/>
      <c r="L1010" s="384"/>
      <c r="M1010" s="264"/>
      <c r="N1010" s="264"/>
      <c r="O1010" s="265"/>
      <c r="P1010" s="265"/>
      <c r="Q1010" s="329"/>
      <c r="R1010" s="329"/>
      <c r="S1010" s="266"/>
      <c r="T1010" s="267"/>
    </row>
    <row r="1011" spans="2:20" ht="15" hidden="1" customHeight="1">
      <c r="B1011" s="255"/>
      <c r="C1011" s="1379">
        <f>C1006+D1006+F1006</f>
        <v>700</v>
      </c>
      <c r="D1011" s="1380"/>
      <c r="E1011" s="1380"/>
      <c r="F1011" s="1381"/>
      <c r="G1011" s="268"/>
      <c r="H1011" s="456"/>
      <c r="I1011" s="257"/>
      <c r="J1011" s="334"/>
      <c r="K1011" s="258"/>
      <c r="L1011" s="258"/>
      <c r="M1011" s="258"/>
      <c r="N1011" s="258"/>
      <c r="O1011" s="259"/>
      <c r="P1011" s="381"/>
      <c r="Q1011" s="259"/>
      <c r="R1011" s="259"/>
      <c r="S1011" s="395"/>
      <c r="T1011" s="261"/>
    </row>
    <row r="1012" spans="2:20" ht="15" hidden="1" customHeight="1">
      <c r="B1012" s="255"/>
      <c r="C1012" s="396"/>
      <c r="D1012" s="388"/>
      <c r="E1012" s="388"/>
      <c r="F1012" s="397"/>
      <c r="G1012" s="268"/>
      <c r="H1012" s="269"/>
      <c r="I1012" s="257"/>
      <c r="J1012" s="262"/>
      <c r="K1012" s="398"/>
      <c r="L1012" s="398"/>
      <c r="M1012" s="398"/>
      <c r="N1012" s="398"/>
      <c r="O1012" s="399"/>
      <c r="P1012" s="400"/>
      <c r="Q1012" s="399"/>
      <c r="R1012" s="399"/>
      <c r="S1012" s="401"/>
      <c r="T1012" s="402"/>
    </row>
    <row r="1013" spans="2:20" ht="15" hidden="1" customHeight="1">
      <c r="B1013" s="255"/>
      <c r="C1013" s="1379">
        <f>C1008+D1008+F1008</f>
        <v>700</v>
      </c>
      <c r="D1013" s="1380"/>
      <c r="E1013" s="1380"/>
      <c r="F1013" s="1381"/>
      <c r="G1013" s="268"/>
      <c r="H1013" s="456"/>
      <c r="I1013" s="257"/>
      <c r="J1013" s="403"/>
      <c r="K1013" s="404"/>
      <c r="L1013" s="404"/>
      <c r="M1013" s="404"/>
      <c r="N1013" s="404"/>
      <c r="O1013" s="259"/>
      <c r="P1013" s="405"/>
      <c r="Q1013" s="405"/>
      <c r="R1013" s="405"/>
      <c r="S1013" s="395"/>
      <c r="T1013" s="261"/>
    </row>
    <row r="1014" spans="2:20" ht="15" hidden="1" customHeight="1">
      <c r="B1014" s="255"/>
      <c r="C1014" s="256"/>
      <c r="D1014" s="456"/>
      <c r="E1014" s="456"/>
      <c r="F1014" s="456"/>
      <c r="G1014" s="456"/>
      <c r="H1014" s="456"/>
      <c r="I1014" s="257"/>
      <c r="J1014" s="406"/>
      <c r="K1014" s="264"/>
      <c r="L1014" s="264"/>
      <c r="M1014" s="264"/>
      <c r="N1014" s="264"/>
      <c r="O1014" s="265"/>
      <c r="P1014" s="265"/>
      <c r="Q1014" s="329"/>
      <c r="R1014" s="329"/>
      <c r="S1014" s="266"/>
      <c r="T1014" s="267"/>
    </row>
    <row r="1015" spans="2:20" ht="15" hidden="1" customHeight="1">
      <c r="B1015" s="255"/>
      <c r="C1015" s="256"/>
      <c r="D1015" s="456"/>
      <c r="E1015" s="456"/>
      <c r="F1015" s="456"/>
      <c r="G1015" s="456"/>
      <c r="H1015" s="456"/>
      <c r="I1015" s="269"/>
      <c r="J1015" s="334"/>
      <c r="K1015" s="258"/>
      <c r="L1015" s="258"/>
      <c r="M1015" s="258"/>
      <c r="N1015" s="258"/>
      <c r="O1015" s="259"/>
      <c r="P1015" s="381"/>
      <c r="Q1015" s="259"/>
      <c r="R1015" s="259"/>
      <c r="S1015" s="395"/>
      <c r="T1015" s="261"/>
    </row>
    <row r="1016" spans="2:20" ht="15" hidden="1" customHeight="1">
      <c r="B1016" s="255"/>
      <c r="C1016" s="256"/>
      <c r="D1016" s="456"/>
      <c r="E1016" s="456"/>
      <c r="F1016" s="456"/>
      <c r="G1016" s="456"/>
      <c r="H1016" s="456"/>
      <c r="I1016" s="257"/>
      <c r="J1016" s="262"/>
      <c r="K1016" s="407"/>
      <c r="L1016" s="407"/>
      <c r="M1016" s="407"/>
      <c r="N1016" s="407"/>
      <c r="O1016" s="265"/>
      <c r="P1016" s="265"/>
      <c r="Q1016" s="265"/>
      <c r="R1016" s="265"/>
      <c r="S1016" s="266"/>
      <c r="T1016" s="267"/>
    </row>
    <row r="1017" spans="2:20" ht="15" hidden="1" customHeight="1">
      <c r="B1017" s="408"/>
      <c r="C1017" s="409"/>
      <c r="D1017" s="350"/>
      <c r="E1017" s="350"/>
      <c r="F1017" s="350"/>
      <c r="G1017" s="350"/>
      <c r="H1017" s="350"/>
      <c r="I1017" s="410"/>
      <c r="J1017" s="334"/>
      <c r="K1017" s="258"/>
      <c r="L1017" s="258"/>
      <c r="M1017" s="258"/>
      <c r="N1017" s="258"/>
      <c r="O1017" s="259"/>
      <c r="P1017" s="259"/>
      <c r="Q1017" s="259"/>
      <c r="R1017" s="411"/>
      <c r="S1017" s="395"/>
      <c r="T1017" s="261"/>
    </row>
    <row r="1018" spans="2:20" ht="24.95" hidden="1" customHeight="1">
      <c r="B1018" s="455" t="s">
        <v>38</v>
      </c>
      <c r="C1018" s="1423" t="s">
        <v>354</v>
      </c>
      <c r="D1018" s="1423"/>
      <c r="E1018" s="1423"/>
      <c r="F1018" s="1423"/>
      <c r="G1018" s="1423"/>
      <c r="H1018" s="1424"/>
      <c r="I1018" s="1383" t="s">
        <v>613</v>
      </c>
      <c r="J1018" s="1423"/>
      <c r="K1018" s="1435"/>
      <c r="L1018" s="1433"/>
      <c r="M1018" s="1424"/>
      <c r="N1018" s="1424"/>
      <c r="O1018" s="1424"/>
      <c r="P1018" s="1424"/>
      <c r="Q1018" s="1424"/>
      <c r="R1018" s="1424"/>
      <c r="S1018" s="1424"/>
      <c r="T1018" s="1434"/>
    </row>
    <row r="1019" spans="2:20" ht="15" hidden="1" customHeight="1">
      <c r="B1019" s="255"/>
      <c r="C1019" s="256"/>
      <c r="D1019" s="456"/>
      <c r="E1019" s="456"/>
      <c r="F1019" s="456"/>
      <c r="G1019" s="456"/>
      <c r="H1019" s="456"/>
      <c r="I1019" s="257"/>
      <c r="J1019" s="258"/>
      <c r="K1019" s="258"/>
      <c r="L1019" s="258" t="s">
        <v>39</v>
      </c>
      <c r="M1019" s="258" t="s">
        <v>40</v>
      </c>
      <c r="N1019" s="258" t="s">
        <v>41</v>
      </c>
      <c r="O1019" s="259" t="s">
        <v>42</v>
      </c>
      <c r="P1019" s="259" t="s">
        <v>43</v>
      </c>
      <c r="Q1019" s="259"/>
      <c r="R1019" s="259"/>
      <c r="S1019" s="260" t="s">
        <v>44</v>
      </c>
      <c r="T1019" s="261"/>
    </row>
    <row r="1020" spans="2:20" ht="15" hidden="1" customHeight="1">
      <c r="B1020" s="255"/>
      <c r="C1020" s="256"/>
      <c r="D1020" s="456"/>
      <c r="E1020" s="456"/>
      <c r="F1020" s="456"/>
      <c r="G1020" s="456"/>
      <c r="H1020" s="456"/>
      <c r="I1020" s="257"/>
      <c r="J1020" s="262" t="s">
        <v>45</v>
      </c>
      <c r="K1020" s="263"/>
      <c r="L1020" s="263" t="s">
        <v>46</v>
      </c>
      <c r="M1020" s="264"/>
      <c r="N1020" s="264"/>
      <c r="P1020" s="265"/>
      <c r="Q1020" s="265"/>
      <c r="R1020" s="265"/>
      <c r="S1020" s="266"/>
      <c r="T1020" s="267"/>
    </row>
    <row r="1021" spans="2:20" ht="15" hidden="1" customHeight="1">
      <c r="B1021" s="255"/>
      <c r="C1021" s="1377">
        <f>C1043+(0.3*(H1032)*2)</f>
        <v>1420</v>
      </c>
      <c r="D1021" s="1377"/>
      <c r="E1021" s="1377"/>
      <c r="F1021" s="1377"/>
      <c r="G1021" s="268"/>
      <c r="H1021" s="269"/>
      <c r="I1021" s="257"/>
      <c r="J1021" s="270" t="s">
        <v>47</v>
      </c>
      <c r="K1021" s="271">
        <f>C1021/1000</f>
        <v>1.42</v>
      </c>
      <c r="L1021" s="271"/>
      <c r="M1021" s="271"/>
      <c r="N1021" s="272" t="s">
        <v>48</v>
      </c>
      <c r="O1021" s="273">
        <f>C1043/1000</f>
        <v>1</v>
      </c>
      <c r="P1021" s="274"/>
      <c r="Q1021" s="275" t="s">
        <v>49</v>
      </c>
      <c r="R1021" s="276">
        <f>(H1032)/1000</f>
        <v>0.7</v>
      </c>
      <c r="S1021" s="277"/>
      <c r="T1021" s="278"/>
    </row>
    <row r="1022" spans="2:20" ht="15" hidden="1" customHeight="1">
      <c r="B1022" s="255"/>
      <c r="C1022" s="279"/>
      <c r="D1022" s="280"/>
      <c r="E1022" s="280"/>
      <c r="F1022" s="281"/>
      <c r="G1022" s="268"/>
      <c r="H1022" s="269"/>
      <c r="I1022" s="282"/>
      <c r="J1022" s="270" t="s">
        <v>50</v>
      </c>
      <c r="K1022" s="271">
        <f>C1023/1000</f>
        <v>1.42</v>
      </c>
      <c r="L1022" s="271"/>
      <c r="M1022" s="271"/>
      <c r="N1022" s="272" t="s">
        <v>51</v>
      </c>
      <c r="O1022" s="273">
        <f>C1045/1000</f>
        <v>1</v>
      </c>
      <c r="P1022" s="274"/>
      <c r="Q1022" s="254"/>
      <c r="R1022" s="283"/>
      <c r="S1022" s="284"/>
      <c r="T1022" s="278"/>
    </row>
    <row r="1023" spans="2:20" ht="15" hidden="1" customHeight="1">
      <c r="B1023" s="255"/>
      <c r="C1023" s="1379">
        <f>C1045+(0.3*(H1032)*2)</f>
        <v>1420</v>
      </c>
      <c r="D1023" s="1380"/>
      <c r="E1023" s="1380"/>
      <c r="F1023" s="1381"/>
      <c r="G1023" s="268"/>
      <c r="H1023" s="269"/>
      <c r="I1023" s="282"/>
      <c r="J1023" s="285" t="s">
        <v>52</v>
      </c>
      <c r="K1023" s="286"/>
      <c r="L1023" s="286"/>
      <c r="M1023" s="286"/>
      <c r="N1023" s="286"/>
      <c r="O1023" s="287"/>
      <c r="P1023" s="286"/>
      <c r="Q1023" s="259"/>
      <c r="R1023" s="259"/>
      <c r="S1023" s="288">
        <f>ROUNDDOWN(R1021/6*((2*K1021+O1021)*K1022+(2*O1021+K1021)*O1022),2)</f>
        <v>1.03</v>
      </c>
      <c r="T1023" s="289" t="s">
        <v>178</v>
      </c>
    </row>
    <row r="1024" spans="2:20" ht="15" hidden="1" customHeight="1">
      <c r="B1024" s="255"/>
      <c r="C1024" s="290"/>
      <c r="D1024" s="291"/>
      <c r="E1024" s="291"/>
      <c r="F1024" s="281"/>
      <c r="G1024" s="268"/>
      <c r="H1024" s="269"/>
      <c r="I1024" s="282"/>
      <c r="J1024" s="476" t="s">
        <v>614</v>
      </c>
      <c r="K1024" s="292"/>
      <c r="L1024" s="292" t="s">
        <v>54</v>
      </c>
      <c r="M1024" s="293"/>
      <c r="N1024" s="293"/>
      <c r="O1024" s="293"/>
      <c r="P1024" s="292"/>
      <c r="Q1024" s="263"/>
      <c r="R1024" s="263"/>
      <c r="S1024" s="266"/>
      <c r="T1024" s="294"/>
    </row>
    <row r="1025" spans="2:20" ht="15" hidden="1" customHeight="1">
      <c r="B1025" s="255"/>
      <c r="C1025" s="295"/>
      <c r="D1025" s="1386">
        <v>500</v>
      </c>
      <c r="E1025" s="1387"/>
      <c r="F1025" s="296"/>
      <c r="G1025" s="268"/>
      <c r="H1025" s="269"/>
      <c r="I1025" s="282"/>
      <c r="J1025" s="270" t="s">
        <v>47</v>
      </c>
      <c r="K1025" s="271">
        <f>D1025/1000</f>
        <v>0.5</v>
      </c>
      <c r="L1025" s="271"/>
      <c r="M1025" s="271"/>
      <c r="N1025" s="272" t="s">
        <v>48</v>
      </c>
      <c r="O1025" s="271">
        <f>D1040/1000</f>
        <v>0.8</v>
      </c>
      <c r="P1025" s="274"/>
      <c r="Q1025" s="275" t="s">
        <v>49</v>
      </c>
      <c r="R1025" s="276">
        <f>H1032/1000</f>
        <v>0.7</v>
      </c>
      <c r="S1025" s="297">
        <f>ROUNDDOWN(K1025*O1025*R1025,2)</f>
        <v>0.28000000000000003</v>
      </c>
      <c r="T1025" s="298" t="s">
        <v>55</v>
      </c>
    </row>
    <row r="1026" spans="2:20" ht="15" hidden="1" customHeight="1">
      <c r="B1026" s="255"/>
      <c r="C1026" s="299"/>
      <c r="D1026" s="300"/>
      <c r="E1026" s="301"/>
      <c r="F1026" s="302"/>
      <c r="G1026" s="456"/>
      <c r="H1026" s="269"/>
      <c r="I1026" s="282"/>
      <c r="J1026" s="270"/>
      <c r="K1026" s="271"/>
      <c r="L1026" s="271"/>
      <c r="M1026" s="271"/>
      <c r="N1026" s="272"/>
      <c r="O1026" s="271"/>
      <c r="P1026" s="274"/>
      <c r="Q1026" s="275"/>
      <c r="R1026" s="276"/>
      <c r="S1026" s="297">
        <f>ROUNDDOWN(K1026*O1026*R1026,2)</f>
        <v>0</v>
      </c>
      <c r="T1026" s="298" t="s">
        <v>56</v>
      </c>
    </row>
    <row r="1027" spans="2:20" ht="15" hidden="1" customHeight="1">
      <c r="B1027" s="255"/>
      <c r="C1027" s="299"/>
      <c r="D1027" s="303"/>
      <c r="E1027" s="302"/>
      <c r="F1027" s="302"/>
      <c r="G1027" s="456"/>
      <c r="H1027" s="269"/>
      <c r="I1027" s="282"/>
      <c r="J1027" s="270"/>
      <c r="K1027" s="271"/>
      <c r="L1027" s="271"/>
      <c r="M1027" s="271"/>
      <c r="N1027" s="304"/>
      <c r="O1027" s="271"/>
      <c r="P1027" s="274"/>
      <c r="Q1027" s="275"/>
      <c r="R1027" s="276"/>
      <c r="S1027" s="297"/>
      <c r="T1027" s="298"/>
    </row>
    <row r="1028" spans="2:20" ht="15" hidden="1" customHeight="1">
      <c r="B1028" s="255"/>
      <c r="C1028" s="299"/>
      <c r="D1028" s="303"/>
      <c r="E1028" s="302"/>
      <c r="F1028" s="302"/>
      <c r="G1028" s="456"/>
      <c r="H1028" s="269"/>
      <c r="I1028" s="282"/>
      <c r="J1028" s="270"/>
      <c r="K1028" s="271"/>
      <c r="L1028" s="271"/>
      <c r="M1028" s="271"/>
      <c r="N1028" s="304"/>
      <c r="O1028" s="271"/>
      <c r="P1028" s="274"/>
      <c r="Q1028" s="275"/>
      <c r="R1028" s="276"/>
      <c r="S1028" s="297"/>
      <c r="T1028" s="298"/>
    </row>
    <row r="1029" spans="2:20" ht="15" hidden="1" customHeight="1">
      <c r="B1029" s="255"/>
      <c r="C1029" s="299"/>
      <c r="D1029" s="303"/>
      <c r="E1029" s="302"/>
      <c r="F1029" s="302"/>
      <c r="G1029" s="456"/>
      <c r="H1029" s="305"/>
      <c r="I1029" s="282"/>
      <c r="J1029" s="285" t="s">
        <v>57</v>
      </c>
      <c r="K1029" s="286"/>
      <c r="L1029" s="286"/>
      <c r="M1029" s="286"/>
      <c r="N1029" s="286"/>
      <c r="O1029" s="287"/>
      <c r="P1029" s="286"/>
      <c r="Q1029" s="306"/>
      <c r="R1029" s="307"/>
      <c r="S1029" s="288">
        <f>SUM(S1025:S1028)</f>
        <v>0.28000000000000003</v>
      </c>
      <c r="T1029" s="289" t="s">
        <v>178</v>
      </c>
    </row>
    <row r="1030" spans="2:20" ht="15" hidden="1" customHeight="1">
      <c r="B1030" s="255"/>
      <c r="C1030" s="299"/>
      <c r="D1030" s="303"/>
      <c r="E1030" s="302"/>
      <c r="F1030" s="302"/>
      <c r="G1030" s="456"/>
      <c r="H1030" s="269"/>
      <c r="I1030" s="308"/>
      <c r="J1030" s="262" t="s">
        <v>58</v>
      </c>
      <c r="K1030" s="293"/>
      <c r="L1030" s="309" t="s">
        <v>334</v>
      </c>
      <c r="M1030" s="309" t="s">
        <v>335</v>
      </c>
      <c r="N1030" s="310" t="s">
        <v>336</v>
      </c>
      <c r="O1030" s="311"/>
      <c r="P1030" s="309"/>
      <c r="Q1030" s="312"/>
      <c r="R1030" s="312"/>
      <c r="S1030" s="313"/>
      <c r="T1030" s="294"/>
    </row>
    <row r="1031" spans="2:20" ht="15" hidden="1" customHeight="1" thickBot="1">
      <c r="B1031" s="314"/>
      <c r="C1031" s="1388"/>
      <c r="D1031" s="1388"/>
      <c r="E1031" s="1388"/>
      <c r="F1031" s="1388"/>
      <c r="G1031" s="315"/>
      <c r="H1031" s="315"/>
      <c r="I1031" s="316"/>
      <c r="J1031" s="317"/>
      <c r="K1031" s="318"/>
      <c r="L1031" s="318" t="s">
        <v>334</v>
      </c>
      <c r="M1031" s="318">
        <f>S1023</f>
        <v>1.03</v>
      </c>
      <c r="N1031" s="318" t="s">
        <v>337</v>
      </c>
      <c r="O1031" s="319">
        <f>S1033</f>
        <v>0.28000000000000003</v>
      </c>
      <c r="P1031" s="320"/>
      <c r="Q1031" s="321"/>
      <c r="R1031" s="322"/>
      <c r="S1031" s="323">
        <f>ROUNDDOWN(M1031-O1031,2)</f>
        <v>0.75</v>
      </c>
      <c r="T1031" s="289" t="s">
        <v>178</v>
      </c>
    </row>
    <row r="1032" spans="2:20" ht="15" hidden="1" customHeight="1">
      <c r="B1032" s="255"/>
      <c r="C1032" s="324"/>
      <c r="D1032" s="457"/>
      <c r="E1032" s="325"/>
      <c r="F1032" s="326"/>
      <c r="G1032" s="327"/>
      <c r="H1032" s="1389">
        <v>700</v>
      </c>
      <c r="I1032" s="1392">
        <f>H1029+H1031+H1032</f>
        <v>700</v>
      </c>
      <c r="J1032" s="262" t="s">
        <v>338</v>
      </c>
      <c r="K1032" s="293"/>
      <c r="L1032" s="293" t="s">
        <v>339</v>
      </c>
      <c r="M1032" s="309"/>
      <c r="N1032" s="310" t="s">
        <v>340</v>
      </c>
      <c r="O1032" s="293"/>
      <c r="P1032" s="293"/>
      <c r="Q1032" s="328"/>
      <c r="R1032" s="329"/>
      <c r="S1032" s="266"/>
      <c r="T1032" s="294"/>
    </row>
    <row r="1033" spans="2:20" ht="15" hidden="1" customHeight="1">
      <c r="B1033" s="330"/>
      <c r="C1033" s="324"/>
      <c r="D1033" s="331"/>
      <c r="E1033" s="332"/>
      <c r="F1033" s="326"/>
      <c r="G1033" s="333"/>
      <c r="H1033" s="1390"/>
      <c r="I1033" s="1387"/>
      <c r="J1033" s="334"/>
      <c r="K1033" s="335"/>
      <c r="L1033" s="336" t="s">
        <v>339</v>
      </c>
      <c r="M1033" s="335"/>
      <c r="N1033" s="335"/>
      <c r="O1033" s="286">
        <f>S1025</f>
        <v>0.28000000000000003</v>
      </c>
      <c r="P1033" s="286"/>
      <c r="Q1033" s="286"/>
      <c r="R1033" s="259"/>
      <c r="S1033" s="323">
        <f>ROUNDDOWN(O1033+Q1033,2)</f>
        <v>0.28000000000000003</v>
      </c>
      <c r="T1033" s="337" t="s">
        <v>178</v>
      </c>
    </row>
    <row r="1034" spans="2:20" ht="15" hidden="1" customHeight="1">
      <c r="B1034" s="255"/>
      <c r="C1034" s="324"/>
      <c r="D1034" s="331"/>
      <c r="E1034" s="332"/>
      <c r="F1034" s="326"/>
      <c r="G1034" s="333"/>
      <c r="H1034" s="1390"/>
      <c r="I1034" s="1387"/>
      <c r="J1034" s="467"/>
      <c r="K1034" s="293"/>
      <c r="L1034" s="293"/>
      <c r="M1034" s="293"/>
      <c r="N1034" s="293"/>
      <c r="O1034" s="339"/>
      <c r="P1034" s="340"/>
      <c r="Q1034" s="329"/>
      <c r="R1034" s="341"/>
      <c r="S1034" s="266"/>
      <c r="T1034" s="294"/>
    </row>
    <row r="1035" spans="2:20" ht="15" hidden="1" customHeight="1">
      <c r="B1035" s="255"/>
      <c r="C1035" s="324"/>
      <c r="D1035" s="331"/>
      <c r="E1035" s="332"/>
      <c r="F1035" s="326"/>
      <c r="G1035" s="333"/>
      <c r="H1035" s="1390"/>
      <c r="I1035" s="1387"/>
      <c r="J1035" s="342"/>
      <c r="K1035" s="343"/>
      <c r="L1035" s="344"/>
      <c r="M1035" s="345"/>
      <c r="N1035" s="346"/>
      <c r="O1035" s="347"/>
      <c r="P1035" s="348"/>
      <c r="Q1035" s="349"/>
      <c r="R1035" s="350"/>
      <c r="S1035" s="351"/>
      <c r="T1035" s="289"/>
    </row>
    <row r="1036" spans="2:20" ht="15" hidden="1" customHeight="1" thickBot="1">
      <c r="B1036" s="255"/>
      <c r="C1036" s="352"/>
      <c r="D1036" s="353"/>
      <c r="E1036" s="354"/>
      <c r="F1036" s="355"/>
      <c r="G1036" s="356"/>
      <c r="H1036" s="1391"/>
      <c r="I1036" s="1387"/>
      <c r="J1036" s="357"/>
      <c r="K1036" s="358"/>
      <c r="L1036" s="358"/>
      <c r="M1036" s="358"/>
      <c r="N1036" s="358"/>
      <c r="O1036" s="359"/>
      <c r="P1036" s="329"/>
      <c r="Q1036" s="329"/>
      <c r="R1036" s="329"/>
      <c r="S1036" s="360"/>
      <c r="T1036" s="361"/>
    </row>
    <row r="1037" spans="2:20" ht="15" hidden="1" customHeight="1">
      <c r="B1037" s="255"/>
      <c r="C1037" s="362"/>
      <c r="D1037" s="363"/>
      <c r="E1037" s="364"/>
      <c r="F1037" s="365"/>
      <c r="G1037" s="456"/>
      <c r="H1037" s="269"/>
      <c r="I1037" s="282"/>
      <c r="J1037" s="366"/>
      <c r="K1037" s="367"/>
      <c r="L1037" s="320"/>
      <c r="M1037" s="368"/>
      <c r="N1037" s="369"/>
      <c r="P1037" s="370"/>
      <c r="Q1037" s="350"/>
      <c r="R1037" s="350"/>
      <c r="S1037" s="323"/>
      <c r="T1037" s="298"/>
    </row>
    <row r="1038" spans="2:20" ht="15" hidden="1" customHeight="1">
      <c r="B1038" s="255"/>
      <c r="C1038" s="371">
        <v>100</v>
      </c>
      <c r="D1038" s="1379">
        <v>800</v>
      </c>
      <c r="E1038" s="1381"/>
      <c r="F1038" s="372">
        <v>100</v>
      </c>
      <c r="G1038" s="268"/>
      <c r="H1038" s="373"/>
      <c r="I1038" s="282"/>
      <c r="J1038" s="357"/>
      <c r="K1038" s="358"/>
      <c r="L1038" s="358"/>
      <c r="M1038" s="358"/>
      <c r="N1038" s="358"/>
      <c r="O1038" s="374"/>
      <c r="P1038" s="375"/>
      <c r="Q1038" s="374"/>
      <c r="R1038" s="265"/>
      <c r="S1038" s="266"/>
      <c r="T1038" s="294"/>
    </row>
    <row r="1039" spans="2:20" ht="15" hidden="1" customHeight="1">
      <c r="B1039" s="376"/>
      <c r="C1039" s="377"/>
      <c r="D1039" s="303"/>
      <c r="E1039" s="302"/>
      <c r="F1039" s="378"/>
      <c r="G1039" s="379"/>
      <c r="H1039" s="373"/>
      <c r="I1039" s="282"/>
      <c r="J1039" s="380"/>
      <c r="K1039" s="306"/>
      <c r="L1039" s="306"/>
      <c r="M1039" s="306"/>
      <c r="N1039" s="306"/>
      <c r="O1039" s="381"/>
      <c r="P1039" s="381"/>
      <c r="Q1039" s="381"/>
      <c r="R1039" s="381"/>
      <c r="S1039" s="382"/>
      <c r="T1039" s="383"/>
    </row>
    <row r="1040" spans="2:20" ht="15" hidden="1" customHeight="1">
      <c r="B1040" s="255"/>
      <c r="C1040" s="371">
        <v>100</v>
      </c>
      <c r="D1040" s="1379">
        <v>800</v>
      </c>
      <c r="E1040" s="1381"/>
      <c r="F1040" s="372">
        <v>100</v>
      </c>
      <c r="G1040" s="268"/>
      <c r="H1040" s="373"/>
      <c r="I1040" s="282"/>
      <c r="J1040" s="357"/>
      <c r="K1040" s="384"/>
      <c r="L1040" s="470"/>
      <c r="M1040" s="384"/>
      <c r="N1040" s="384"/>
      <c r="O1040" s="283"/>
      <c r="P1040" s="385"/>
      <c r="Q1040" s="385"/>
      <c r="R1040" s="385"/>
      <c r="S1040" s="386"/>
      <c r="T1040" s="387"/>
    </row>
    <row r="1041" spans="2:20" ht="15" hidden="1" customHeight="1">
      <c r="B1041" s="255"/>
      <c r="C1041" s="290"/>
      <c r="D1041" s="388"/>
      <c r="E1041" s="388"/>
      <c r="F1041" s="389"/>
      <c r="G1041" s="379"/>
      <c r="H1041" s="373"/>
      <c r="I1041" s="282"/>
      <c r="J1041" s="390"/>
      <c r="K1041" s="391"/>
      <c r="L1041" s="391"/>
      <c r="M1041" s="391"/>
      <c r="N1041" s="391"/>
      <c r="O1041" s="392"/>
      <c r="P1041" s="393"/>
      <c r="Q1041" s="381"/>
      <c r="R1041" s="259"/>
      <c r="S1041" s="394"/>
      <c r="T1041" s="383"/>
    </row>
    <row r="1042" spans="2:20" ht="15" hidden="1" customHeight="1">
      <c r="B1042" s="255"/>
      <c r="C1042" s="1376"/>
      <c r="D1042" s="1377"/>
      <c r="E1042" s="1377"/>
      <c r="F1042" s="1378"/>
      <c r="G1042" s="268"/>
      <c r="H1042" s="269"/>
      <c r="I1042" s="282"/>
      <c r="J1042" s="262"/>
      <c r="K1042" s="384"/>
      <c r="L1042" s="384"/>
      <c r="M1042" s="264"/>
      <c r="N1042" s="264"/>
      <c r="O1042" s="265"/>
      <c r="P1042" s="265"/>
      <c r="Q1042" s="329"/>
      <c r="R1042" s="329"/>
      <c r="S1042" s="266"/>
      <c r="T1042" s="267"/>
    </row>
    <row r="1043" spans="2:20" ht="15" hidden="1" customHeight="1">
      <c r="B1043" s="255"/>
      <c r="C1043" s="1379">
        <f>C1038+D1038+F1038</f>
        <v>1000</v>
      </c>
      <c r="D1043" s="1380"/>
      <c r="E1043" s="1380"/>
      <c r="F1043" s="1381"/>
      <c r="G1043" s="268"/>
      <c r="H1043" s="456"/>
      <c r="I1043" s="257"/>
      <c r="J1043" s="334"/>
      <c r="K1043" s="258"/>
      <c r="L1043" s="258"/>
      <c r="M1043" s="258"/>
      <c r="N1043" s="258"/>
      <c r="O1043" s="259"/>
      <c r="P1043" s="381"/>
      <c r="Q1043" s="259"/>
      <c r="R1043" s="259"/>
      <c r="S1043" s="395"/>
      <c r="T1043" s="261"/>
    </row>
    <row r="1044" spans="2:20" ht="15" hidden="1" customHeight="1">
      <c r="B1044" s="255"/>
      <c r="C1044" s="396"/>
      <c r="D1044" s="388"/>
      <c r="E1044" s="388"/>
      <c r="F1044" s="397"/>
      <c r="G1044" s="268"/>
      <c r="H1044" s="269"/>
      <c r="I1044" s="257"/>
      <c r="J1044" s="476"/>
      <c r="K1044" s="398"/>
      <c r="L1044" s="398"/>
      <c r="M1044" s="398"/>
      <c r="N1044" s="398"/>
      <c r="O1044" s="399"/>
      <c r="P1044" s="400"/>
      <c r="Q1044" s="399"/>
      <c r="R1044" s="399"/>
      <c r="S1044" s="401"/>
      <c r="T1044" s="402"/>
    </row>
    <row r="1045" spans="2:20" ht="15" hidden="1" customHeight="1">
      <c r="B1045" s="255"/>
      <c r="C1045" s="1379">
        <f>C1040+D1040+F1040</f>
        <v>1000</v>
      </c>
      <c r="D1045" s="1380"/>
      <c r="E1045" s="1380"/>
      <c r="F1045" s="1381"/>
      <c r="G1045" s="268"/>
      <c r="H1045" s="456"/>
      <c r="I1045" s="257"/>
      <c r="J1045" s="403"/>
      <c r="K1045" s="404"/>
      <c r="L1045" s="404"/>
      <c r="M1045" s="404"/>
      <c r="N1045" s="404"/>
      <c r="O1045" s="259"/>
      <c r="P1045" s="405"/>
      <c r="Q1045" s="405"/>
      <c r="R1045" s="405"/>
      <c r="S1045" s="395"/>
      <c r="T1045" s="261"/>
    </row>
    <row r="1046" spans="2:20" ht="15" hidden="1" customHeight="1">
      <c r="B1046" s="255"/>
      <c r="C1046" s="256"/>
      <c r="D1046" s="456"/>
      <c r="E1046" s="456"/>
      <c r="F1046" s="456"/>
      <c r="G1046" s="456"/>
      <c r="H1046" s="456"/>
      <c r="I1046" s="257"/>
      <c r="J1046" s="485"/>
      <c r="K1046" s="264"/>
      <c r="L1046" s="264"/>
      <c r="M1046" s="264"/>
      <c r="N1046" s="264"/>
      <c r="O1046" s="265"/>
      <c r="P1046" s="265"/>
      <c r="Q1046" s="329"/>
      <c r="R1046" s="329"/>
      <c r="S1046" s="266"/>
      <c r="T1046" s="267"/>
    </row>
    <row r="1047" spans="2:20" ht="15" hidden="1" customHeight="1">
      <c r="B1047" s="255"/>
      <c r="C1047" s="256"/>
      <c r="D1047" s="456"/>
      <c r="E1047" s="456"/>
      <c r="F1047" s="456"/>
      <c r="G1047" s="456"/>
      <c r="H1047" s="456"/>
      <c r="I1047" s="269"/>
      <c r="J1047" s="334"/>
      <c r="K1047" s="258"/>
      <c r="L1047" s="258"/>
      <c r="M1047" s="258"/>
      <c r="N1047" s="258"/>
      <c r="O1047" s="259"/>
      <c r="P1047" s="381"/>
      <c r="Q1047" s="259"/>
      <c r="R1047" s="259"/>
      <c r="S1047" s="395"/>
      <c r="T1047" s="261"/>
    </row>
    <row r="1048" spans="2:20" ht="15" hidden="1" customHeight="1">
      <c r="B1048" s="255"/>
      <c r="C1048" s="256"/>
      <c r="D1048" s="456"/>
      <c r="E1048" s="456"/>
      <c r="F1048" s="456"/>
      <c r="G1048" s="456"/>
      <c r="H1048" s="456"/>
      <c r="I1048" s="257"/>
      <c r="J1048" s="262"/>
      <c r="K1048" s="407"/>
      <c r="L1048" s="407"/>
      <c r="M1048" s="407"/>
      <c r="N1048" s="407"/>
      <c r="O1048" s="265"/>
      <c r="P1048" s="265"/>
      <c r="Q1048" s="265"/>
      <c r="R1048" s="265"/>
      <c r="S1048" s="266"/>
      <c r="T1048" s="267"/>
    </row>
    <row r="1049" spans="2:20" ht="15" hidden="1" customHeight="1">
      <c r="B1049" s="408"/>
      <c r="C1049" s="409"/>
      <c r="D1049" s="350"/>
      <c r="E1049" s="350"/>
      <c r="F1049" s="350"/>
      <c r="G1049" s="350"/>
      <c r="H1049" s="350"/>
      <c r="I1049" s="410"/>
      <c r="J1049" s="334"/>
      <c r="K1049" s="258"/>
      <c r="L1049" s="258"/>
      <c r="M1049" s="258"/>
      <c r="N1049" s="258"/>
      <c r="O1049" s="259"/>
      <c r="P1049" s="259"/>
      <c r="Q1049" s="259"/>
      <c r="R1049" s="411"/>
      <c r="S1049" s="395"/>
      <c r="T1049" s="261"/>
    </row>
  </sheetData>
  <mergeCells count="450">
    <mergeCell ref="J397:R397"/>
    <mergeCell ref="J335:R335"/>
    <mergeCell ref="I1:T1"/>
    <mergeCell ref="C1:H1"/>
    <mergeCell ref="C4:F4"/>
    <mergeCell ref="C6:F6"/>
    <mergeCell ref="D8:E8"/>
    <mergeCell ref="C14:F14"/>
    <mergeCell ref="H15:H19"/>
    <mergeCell ref="I15:I19"/>
    <mergeCell ref="I242:I243"/>
    <mergeCell ref="I238:I239"/>
    <mergeCell ref="H238:H239"/>
    <mergeCell ref="D238:E239"/>
    <mergeCell ref="C237:F237"/>
    <mergeCell ref="C224:H224"/>
    <mergeCell ref="J241:R241"/>
    <mergeCell ref="I224:T224"/>
    <mergeCell ref="D231:E231"/>
    <mergeCell ref="C229:F229"/>
    <mergeCell ref="C227:F227"/>
    <mergeCell ref="D240:E241"/>
    <mergeCell ref="C26:F26"/>
    <mergeCell ref="I240:I241"/>
    <mergeCell ref="C634:H634"/>
    <mergeCell ref="H648:H652"/>
    <mergeCell ref="C658:F658"/>
    <mergeCell ref="I634:T634"/>
    <mergeCell ref="I680:I684"/>
    <mergeCell ref="D686:E686"/>
    <mergeCell ref="D654:E654"/>
    <mergeCell ref="D656:E656"/>
    <mergeCell ref="C661:F661"/>
    <mergeCell ref="D673:E673"/>
    <mergeCell ref="C679:F679"/>
    <mergeCell ref="H680:H684"/>
    <mergeCell ref="C659:F659"/>
    <mergeCell ref="C666:H666"/>
    <mergeCell ref="C669:F669"/>
    <mergeCell ref="D244:E244"/>
    <mergeCell ref="D528:E528"/>
    <mergeCell ref="C530:F530"/>
    <mergeCell ref="C531:F531"/>
    <mergeCell ref="C533:F533"/>
    <mergeCell ref="D592:E592"/>
    <mergeCell ref="J366:R366"/>
    <mergeCell ref="C863:F863"/>
    <mergeCell ref="D865:E865"/>
    <mergeCell ref="C831:F831"/>
    <mergeCell ref="I840:I844"/>
    <mergeCell ref="C850:F850"/>
    <mergeCell ref="H808:H812"/>
    <mergeCell ref="I808:I812"/>
    <mergeCell ref="I794:T794"/>
    <mergeCell ref="D846:E846"/>
    <mergeCell ref="D848:E848"/>
    <mergeCell ref="H840:H844"/>
    <mergeCell ref="C851:F851"/>
    <mergeCell ref="C853:F853"/>
    <mergeCell ref="I730:T730"/>
    <mergeCell ref="I744:I748"/>
    <mergeCell ref="D750:E750"/>
    <mergeCell ref="C829:F829"/>
    <mergeCell ref="C893:F893"/>
    <mergeCell ref="C895:F895"/>
    <mergeCell ref="C871:F871"/>
    <mergeCell ref="H872:H876"/>
    <mergeCell ref="I872:I876"/>
    <mergeCell ref="D878:E878"/>
    <mergeCell ref="D880:E880"/>
    <mergeCell ref="C882:F882"/>
    <mergeCell ref="C858:H858"/>
    <mergeCell ref="I858:K858"/>
    <mergeCell ref="C861:F861"/>
    <mergeCell ref="C826:H826"/>
    <mergeCell ref="C701:F701"/>
    <mergeCell ref="C703:F703"/>
    <mergeCell ref="D705:E705"/>
    <mergeCell ref="C711:F711"/>
    <mergeCell ref="C435:F435"/>
    <mergeCell ref="C436:F436"/>
    <mergeCell ref="C438:F438"/>
    <mergeCell ref="C383:F383"/>
    <mergeCell ref="C424:F424"/>
    <mergeCell ref="C404:F404"/>
    <mergeCell ref="C405:F405"/>
    <mergeCell ref="C411:H411"/>
    <mergeCell ref="C594:F594"/>
    <mergeCell ref="C735:F735"/>
    <mergeCell ref="H712:H716"/>
    <mergeCell ref="C723:F723"/>
    <mergeCell ref="C789:F789"/>
    <mergeCell ref="C819:F819"/>
    <mergeCell ref="C821:F821"/>
    <mergeCell ref="D816:E816"/>
    <mergeCell ref="C818:F818"/>
    <mergeCell ref="C797:F797"/>
    <mergeCell ref="C799:F799"/>
    <mergeCell ref="D338:E338"/>
    <mergeCell ref="D340:E340"/>
    <mergeCell ref="C342:F342"/>
    <mergeCell ref="C345:F345"/>
    <mergeCell ref="C349:H349"/>
    <mergeCell ref="C352:F352"/>
    <mergeCell ref="D371:E371"/>
    <mergeCell ref="H425:H429"/>
    <mergeCell ref="C376:F376"/>
    <mergeCell ref="C362:F362"/>
    <mergeCell ref="H363:H367"/>
    <mergeCell ref="D369:E369"/>
    <mergeCell ref="D356:E356"/>
    <mergeCell ref="C373:F373"/>
    <mergeCell ref="C374:F374"/>
    <mergeCell ref="C380:H380"/>
    <mergeCell ref="C1043:F1043"/>
    <mergeCell ref="C629:F629"/>
    <mergeCell ref="L1018:T1018"/>
    <mergeCell ref="C1023:F1023"/>
    <mergeCell ref="D1025:E1025"/>
    <mergeCell ref="C1018:H1018"/>
    <mergeCell ref="I1018:K1018"/>
    <mergeCell ref="C1010:F1010"/>
    <mergeCell ref="D1006:E1006"/>
    <mergeCell ref="C989:F989"/>
    <mergeCell ref="C1011:F1011"/>
    <mergeCell ref="C1013:F1013"/>
    <mergeCell ref="D1008:E1008"/>
    <mergeCell ref="L826:T826"/>
    <mergeCell ref="L858:T858"/>
    <mergeCell ref="D993:E993"/>
    <mergeCell ref="I776:I780"/>
    <mergeCell ref="I698:T698"/>
    <mergeCell ref="C794:H794"/>
    <mergeCell ref="C757:F757"/>
    <mergeCell ref="D833:E833"/>
    <mergeCell ref="C839:F839"/>
    <mergeCell ref="I826:K826"/>
    <mergeCell ref="C986:H986"/>
    <mergeCell ref="C1045:F1045"/>
    <mergeCell ref="C922:H922"/>
    <mergeCell ref="I936:I940"/>
    <mergeCell ref="D942:E942"/>
    <mergeCell ref="D944:E944"/>
    <mergeCell ref="C946:F946"/>
    <mergeCell ref="C991:F991"/>
    <mergeCell ref="D1038:E1038"/>
    <mergeCell ref="D1040:E1040"/>
    <mergeCell ref="I1032:I1036"/>
    <mergeCell ref="H1032:H1036"/>
    <mergeCell ref="C1031:F1031"/>
    <mergeCell ref="I1000:I1004"/>
    <mergeCell ref="C999:F999"/>
    <mergeCell ref="H1000:H1004"/>
    <mergeCell ref="C1042:F1042"/>
    <mergeCell ref="H968:H972"/>
    <mergeCell ref="I968:I972"/>
    <mergeCell ref="C954:H954"/>
    <mergeCell ref="C947:F947"/>
    <mergeCell ref="C949:F949"/>
    <mergeCell ref="C959:F959"/>
    <mergeCell ref="D961:E961"/>
    <mergeCell ref="C1021:F1021"/>
    <mergeCell ref="L890:T890"/>
    <mergeCell ref="C885:F885"/>
    <mergeCell ref="C979:F979"/>
    <mergeCell ref="D976:E976"/>
    <mergeCell ref="C957:F957"/>
    <mergeCell ref="L986:T986"/>
    <mergeCell ref="L954:T954"/>
    <mergeCell ref="L922:T922"/>
    <mergeCell ref="C925:F925"/>
    <mergeCell ref="I986:K986"/>
    <mergeCell ref="I954:K954"/>
    <mergeCell ref="I890:K890"/>
    <mergeCell ref="H904:H908"/>
    <mergeCell ref="D929:E929"/>
    <mergeCell ref="C935:F935"/>
    <mergeCell ref="H936:H940"/>
    <mergeCell ref="I922:K922"/>
    <mergeCell ref="C927:F927"/>
    <mergeCell ref="C890:H890"/>
    <mergeCell ref="I904:I908"/>
    <mergeCell ref="D910:E910"/>
    <mergeCell ref="D912:E912"/>
    <mergeCell ref="C914:F914"/>
    <mergeCell ref="C915:F915"/>
    <mergeCell ref="C917:F917"/>
    <mergeCell ref="C883:F883"/>
    <mergeCell ref="C981:F981"/>
    <mergeCell ref="C978:F978"/>
    <mergeCell ref="D974:E974"/>
    <mergeCell ref="D897:E897"/>
    <mergeCell ref="C967:F967"/>
    <mergeCell ref="C903:F903"/>
    <mergeCell ref="I666:T666"/>
    <mergeCell ref="D814:E814"/>
    <mergeCell ref="D784:E784"/>
    <mergeCell ref="C786:F786"/>
    <mergeCell ref="C787:F787"/>
    <mergeCell ref="H773:H775"/>
    <mergeCell ref="C762:H762"/>
    <mergeCell ref="I762:T762"/>
    <mergeCell ref="H776:H780"/>
    <mergeCell ref="H805:H807"/>
    <mergeCell ref="C743:F743"/>
    <mergeCell ref="D752:E752"/>
    <mergeCell ref="C754:F754"/>
    <mergeCell ref="C733:F733"/>
    <mergeCell ref="C725:F725"/>
    <mergeCell ref="C730:H730"/>
    <mergeCell ref="I712:I716"/>
    <mergeCell ref="D688:E688"/>
    <mergeCell ref="H744:H748"/>
    <mergeCell ref="C690:F690"/>
    <mergeCell ref="C691:F691"/>
    <mergeCell ref="C637:F637"/>
    <mergeCell ref="C639:F639"/>
    <mergeCell ref="D641:E641"/>
    <mergeCell ref="C647:F647"/>
    <mergeCell ref="C671:F671"/>
    <mergeCell ref="C693:F693"/>
    <mergeCell ref="C698:H698"/>
    <mergeCell ref="I648:I652"/>
    <mergeCell ref="D801:E801"/>
    <mergeCell ref="C755:F755"/>
    <mergeCell ref="D718:E718"/>
    <mergeCell ref="D720:E720"/>
    <mergeCell ref="C722:F722"/>
    <mergeCell ref="D737:E737"/>
    <mergeCell ref="C765:F765"/>
    <mergeCell ref="C767:F767"/>
    <mergeCell ref="D769:E769"/>
    <mergeCell ref="D782:E782"/>
    <mergeCell ref="H240:H241"/>
    <mergeCell ref="C573:F573"/>
    <mergeCell ref="C595:F595"/>
    <mergeCell ref="D242:E243"/>
    <mergeCell ref="H242:H243"/>
    <mergeCell ref="C479:F479"/>
    <mergeCell ref="D481:E481"/>
    <mergeCell ref="D577:E577"/>
    <mergeCell ref="C575:F575"/>
    <mergeCell ref="C583:F583"/>
    <mergeCell ref="C570:H570"/>
    <mergeCell ref="C477:F477"/>
    <mergeCell ref="D560:E560"/>
    <mergeCell ref="D431:E431"/>
    <mergeCell ref="C414:F414"/>
    <mergeCell ref="C416:F416"/>
    <mergeCell ref="D418:E418"/>
    <mergeCell ref="C311:F311"/>
    <mergeCell ref="D309:E309"/>
    <mergeCell ref="C314:F314"/>
    <mergeCell ref="C385:F385"/>
    <mergeCell ref="D387:E387"/>
    <mergeCell ref="C393:F393"/>
    <mergeCell ref="H394:H398"/>
    <mergeCell ref="I616:I620"/>
    <mergeCell ref="C626:F626"/>
    <mergeCell ref="C627:F627"/>
    <mergeCell ref="C248:F248"/>
    <mergeCell ref="C249:F249"/>
    <mergeCell ref="C251:F251"/>
    <mergeCell ref="C312:F312"/>
    <mergeCell ref="H616:H620"/>
    <mergeCell ref="D622:E622"/>
    <mergeCell ref="C602:H602"/>
    <mergeCell ref="C605:F605"/>
    <mergeCell ref="C607:F607"/>
    <mergeCell ref="D609:E609"/>
    <mergeCell ref="I474:T474"/>
    <mergeCell ref="C597:F597"/>
    <mergeCell ref="I425:I429"/>
    <mergeCell ref="J428:R428"/>
    <mergeCell ref="I411:T411"/>
    <mergeCell ref="I380:T380"/>
    <mergeCell ref="I394:I398"/>
    <mergeCell ref="C287:H287"/>
    <mergeCell ref="C445:F445"/>
    <mergeCell ref="C300:F300"/>
    <mergeCell ref="C447:F447"/>
    <mergeCell ref="D496:E496"/>
    <mergeCell ref="C498:F498"/>
    <mergeCell ref="C499:F499"/>
    <mergeCell ref="C501:F501"/>
    <mergeCell ref="C506:H506"/>
    <mergeCell ref="I506:T506"/>
    <mergeCell ref="C509:F509"/>
    <mergeCell ref="D526:E526"/>
    <mergeCell ref="J587:R587"/>
    <mergeCell ref="H552:H556"/>
    <mergeCell ref="I552:I556"/>
    <mergeCell ref="D558:E558"/>
    <mergeCell ref="I570:T570"/>
    <mergeCell ref="C519:F519"/>
    <mergeCell ref="C562:F562"/>
    <mergeCell ref="C563:F563"/>
    <mergeCell ref="C543:F543"/>
    <mergeCell ref="C466:F466"/>
    <mergeCell ref="I538:T538"/>
    <mergeCell ref="C541:F541"/>
    <mergeCell ref="I520:I524"/>
    <mergeCell ref="I584:I588"/>
    <mergeCell ref="D624:E624"/>
    <mergeCell ref="C487:F487"/>
    <mergeCell ref="H488:H492"/>
    <mergeCell ref="C511:F511"/>
    <mergeCell ref="D513:E513"/>
    <mergeCell ref="C615:F615"/>
    <mergeCell ref="C474:H474"/>
    <mergeCell ref="C467:F467"/>
    <mergeCell ref="C469:F469"/>
    <mergeCell ref="H520:H524"/>
    <mergeCell ref="C538:H538"/>
    <mergeCell ref="D545:E545"/>
    <mergeCell ref="C551:F551"/>
    <mergeCell ref="I602:T602"/>
    <mergeCell ref="H584:H588"/>
    <mergeCell ref="D590:E590"/>
    <mergeCell ref="C565:F565"/>
    <mergeCell ref="I488:I492"/>
    <mergeCell ref="D494:E494"/>
    <mergeCell ref="I287:T287"/>
    <mergeCell ref="J304:R304"/>
    <mergeCell ref="I301:I305"/>
    <mergeCell ref="H301:H305"/>
    <mergeCell ref="I256:T256"/>
    <mergeCell ref="C259:F259"/>
    <mergeCell ref="C261:F261"/>
    <mergeCell ref="D263:E263"/>
    <mergeCell ref="C269:F269"/>
    <mergeCell ref="H270:H274"/>
    <mergeCell ref="I270:I274"/>
    <mergeCell ref="D276:E276"/>
    <mergeCell ref="D278:E278"/>
    <mergeCell ref="C256:H256"/>
    <mergeCell ref="C280:F280"/>
    <mergeCell ref="C281:F281"/>
    <mergeCell ref="C283:F283"/>
    <mergeCell ref="D464:E464"/>
    <mergeCell ref="C407:F407"/>
    <mergeCell ref="C343:F343"/>
    <mergeCell ref="C354:F354"/>
    <mergeCell ref="H332:H336"/>
    <mergeCell ref="I332:I336"/>
    <mergeCell ref="D307:E307"/>
    <mergeCell ref="D325:E325"/>
    <mergeCell ref="C331:F331"/>
    <mergeCell ref="I349:T349"/>
    <mergeCell ref="I456:I460"/>
    <mergeCell ref="I442:T442"/>
    <mergeCell ref="I363:I367"/>
    <mergeCell ref="C442:H442"/>
    <mergeCell ref="H456:H460"/>
    <mergeCell ref="D433:E433"/>
    <mergeCell ref="I318:T318"/>
    <mergeCell ref="C321:F321"/>
    <mergeCell ref="C323:F323"/>
    <mergeCell ref="D400:E400"/>
    <mergeCell ref="D402:E402"/>
    <mergeCell ref="D462:E462"/>
    <mergeCell ref="D449:E449"/>
    <mergeCell ref="C455:F455"/>
    <mergeCell ref="C318:H318"/>
    <mergeCell ref="D294:E294"/>
    <mergeCell ref="C292:F292"/>
    <mergeCell ref="C290:F290"/>
    <mergeCell ref="H78:H82"/>
    <mergeCell ref="I78:I82"/>
    <mergeCell ref="D84:E84"/>
    <mergeCell ref="D86:E86"/>
    <mergeCell ref="C88:F88"/>
    <mergeCell ref="C89:F89"/>
    <mergeCell ref="C91:F91"/>
    <mergeCell ref="D246:E246"/>
    <mergeCell ref="C96:H96"/>
    <mergeCell ref="I96:T96"/>
    <mergeCell ref="C99:F99"/>
    <mergeCell ref="C101:F101"/>
    <mergeCell ref="D103:E103"/>
    <mergeCell ref="C109:F109"/>
    <mergeCell ref="H110:H114"/>
    <mergeCell ref="I110:I114"/>
    <mergeCell ref="D116:E116"/>
    <mergeCell ref="D118:E118"/>
    <mergeCell ref="C120:F120"/>
    <mergeCell ref="C121:F121"/>
    <mergeCell ref="D21:E21"/>
    <mergeCell ref="D23:E23"/>
    <mergeCell ref="C25:F25"/>
    <mergeCell ref="C64:H64"/>
    <mergeCell ref="I64:T64"/>
    <mergeCell ref="C67:F67"/>
    <mergeCell ref="C69:F69"/>
    <mergeCell ref="D71:E71"/>
    <mergeCell ref="C77:F77"/>
    <mergeCell ref="D55:E55"/>
    <mergeCell ref="C57:F57"/>
    <mergeCell ref="C58:F58"/>
    <mergeCell ref="C60:F60"/>
    <mergeCell ref="C33:H33"/>
    <mergeCell ref="I33:T33"/>
    <mergeCell ref="C36:F36"/>
    <mergeCell ref="C38:F38"/>
    <mergeCell ref="D40:E40"/>
    <mergeCell ref="C46:F46"/>
    <mergeCell ref="H47:H51"/>
    <mergeCell ref="I47:I51"/>
    <mergeCell ref="D53:E53"/>
    <mergeCell ref="C28:F28"/>
    <mergeCell ref="C123:F123"/>
    <mergeCell ref="C128:H128"/>
    <mergeCell ref="I128:T128"/>
    <mergeCell ref="C131:F131"/>
    <mergeCell ref="C133:F133"/>
    <mergeCell ref="D135:E135"/>
    <mergeCell ref="C141:F141"/>
    <mergeCell ref="H142:H146"/>
    <mergeCell ref="I142:I146"/>
    <mergeCell ref="D148:E148"/>
    <mergeCell ref="D150:E150"/>
    <mergeCell ref="C152:F152"/>
    <mergeCell ref="C153:F153"/>
    <mergeCell ref="C155:F155"/>
    <mergeCell ref="C160:H160"/>
    <mergeCell ref="I160:T160"/>
    <mergeCell ref="C163:F163"/>
    <mergeCell ref="C165:F165"/>
    <mergeCell ref="D167:E167"/>
    <mergeCell ref="C173:F173"/>
    <mergeCell ref="H174:H178"/>
    <mergeCell ref="I174:I178"/>
    <mergeCell ref="D180:E180"/>
    <mergeCell ref="D182:E182"/>
    <mergeCell ref="C184:F184"/>
    <mergeCell ref="D212:E212"/>
    <mergeCell ref="D214:E214"/>
    <mergeCell ref="C216:F216"/>
    <mergeCell ref="C217:F217"/>
    <mergeCell ref="C219:F219"/>
    <mergeCell ref="C185:F185"/>
    <mergeCell ref="C187:F187"/>
    <mergeCell ref="C192:H192"/>
    <mergeCell ref="I192:T192"/>
    <mergeCell ref="C195:F195"/>
    <mergeCell ref="C197:F197"/>
    <mergeCell ref="D199:E199"/>
    <mergeCell ref="C205:F205"/>
    <mergeCell ref="H206:H210"/>
    <mergeCell ref="I206:I210"/>
  </mergeCells>
  <phoneticPr fontId="4" type="noConversion"/>
  <printOptions horizontalCentered="1" verticalCentered="1"/>
  <pageMargins left="0.59055118110236227" right="0.39370078740157483" top="0.78740157480314965" bottom="0.59055118110236227" header="0.39370078740157483" footer="0.55118110236220474"/>
  <pageSetup paperSize="9" orientation="landscape" r:id="rId1"/>
  <headerFooter alignWithMargins="0">
    <oddHeader>&amp;C&amp;"+,굵게"&amp;20&amp;U기 초 산 출 서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1"/>
  <dimension ref="A1:Q38"/>
  <sheetViews>
    <sheetView view="pageBreakPreview" workbookViewId="0">
      <selection activeCell="E27" sqref="E27"/>
    </sheetView>
  </sheetViews>
  <sheetFormatPr defaultColWidth="8.88671875" defaultRowHeight="13.5"/>
  <cols>
    <col min="1" max="15" width="7.44140625" style="2" customWidth="1"/>
    <col min="16" max="16" width="2.88671875" style="2" customWidth="1"/>
    <col min="17" max="17" width="13.6640625" style="2" customWidth="1"/>
    <col min="18" max="18" width="10.5546875" style="2" bestFit="1" customWidth="1"/>
    <col min="19" max="16384" width="8.88671875" style="2"/>
  </cols>
  <sheetData>
    <row r="1" spans="1:17" s="9" customFormat="1" ht="27" customHeight="1"/>
    <row r="2" spans="1:17" s="9" customFormat="1" ht="27" customHeight="1"/>
    <row r="3" spans="1:17" s="9" customFormat="1" ht="27" customHeight="1"/>
    <row r="4" spans="1:17" s="9" customFormat="1" ht="27" customHeight="1">
      <c r="B4" s="10"/>
    </row>
    <row r="5" spans="1:17" s="9" customFormat="1" ht="21.75" customHeight="1"/>
    <row r="6" spans="1:17" s="9" customFormat="1" ht="22.5" customHeight="1"/>
    <row r="7" spans="1:17" s="13" customFormat="1" ht="40.5" customHeight="1">
      <c r="A7" s="1320" t="s">
        <v>285</v>
      </c>
      <c r="B7" s="1320"/>
      <c r="C7" s="1320"/>
      <c r="D7" s="1320"/>
      <c r="E7" s="1320"/>
      <c r="F7" s="1320"/>
      <c r="G7" s="1320"/>
      <c r="H7" s="1320"/>
      <c r="I7" s="1320"/>
      <c r="J7" s="1320"/>
      <c r="K7" s="1320"/>
      <c r="L7" s="1320"/>
      <c r="M7" s="1320"/>
      <c r="N7" s="1320"/>
      <c r="O7" s="1320"/>
    </row>
    <row r="8" spans="1:17" ht="20.25" customHeight="1">
      <c r="B8" s="4"/>
    </row>
    <row r="9" spans="1:17" ht="27" customHeight="1"/>
    <row r="10" spans="1:17" ht="27" customHeight="1">
      <c r="B10" s="5"/>
      <c r="H10" s="4"/>
      <c r="Q10" s="7"/>
    </row>
    <row r="11" spans="1:17" ht="27" customHeight="1">
      <c r="Q11" s="8"/>
    </row>
    <row r="12" spans="1:17" ht="27" customHeight="1">
      <c r="Q12" s="8"/>
    </row>
    <row r="13" spans="1:17" ht="27" customHeight="1">
      <c r="Q13" s="8"/>
    </row>
    <row r="14" spans="1:17" ht="27" customHeight="1">
      <c r="Q14" s="8"/>
    </row>
    <row r="15" spans="1:17" ht="27" customHeight="1"/>
    <row r="16" spans="1:17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  <row r="31" ht="27" customHeight="1"/>
    <row r="32" ht="27" customHeight="1"/>
    <row r="33" ht="27" customHeight="1"/>
    <row r="34" ht="27" customHeight="1"/>
    <row r="35" ht="27" customHeight="1"/>
    <row r="36" ht="27" customHeight="1"/>
    <row r="37" ht="27" customHeight="1"/>
    <row r="38" ht="27" customHeight="1"/>
  </sheetData>
  <mergeCells count="1">
    <mergeCell ref="A7:O7"/>
  </mergeCells>
  <phoneticPr fontId="4" type="noConversion"/>
  <pageMargins left="0.9" right="0.64" top="1" bottom="1" header="0.5" footer="0.5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47"/>
  <dimension ref="A1:Q31"/>
  <sheetViews>
    <sheetView view="pageBreakPreview" zoomScale="130" zoomScaleSheetLayoutView="130" workbookViewId="0">
      <selection activeCell="F8" sqref="F8:N8"/>
    </sheetView>
  </sheetViews>
  <sheetFormatPr defaultColWidth="8.88671875" defaultRowHeight="13.5"/>
  <cols>
    <col min="1" max="15" width="7.44140625" style="2" customWidth="1"/>
    <col min="16" max="16" width="2.88671875" style="2" customWidth="1"/>
    <col min="17" max="17" width="13.6640625" style="2" customWidth="1"/>
    <col min="18" max="18" width="10.5546875" style="2" bestFit="1" customWidth="1"/>
    <col min="19" max="16384" width="8.88671875" style="2"/>
  </cols>
  <sheetData>
    <row r="1" spans="1:17" s="9" customFormat="1" ht="27" customHeight="1"/>
    <row r="2" spans="1:17" s="9" customFormat="1" ht="27" customHeight="1"/>
    <row r="3" spans="1:17" s="9" customFormat="1" ht="27" customHeight="1"/>
    <row r="4" spans="1:17" s="9" customFormat="1" ht="27" customHeight="1">
      <c r="B4" s="10"/>
    </row>
    <row r="5" spans="1:17" s="9" customFormat="1" ht="21.75" customHeight="1"/>
    <row r="6" spans="1:17" s="9" customFormat="1" ht="22.5" customHeight="1"/>
    <row r="7" spans="1:17" s="13" customFormat="1" ht="40.5" customHeight="1">
      <c r="A7" s="1320" t="s">
        <v>284</v>
      </c>
      <c r="B7" s="1320"/>
      <c r="C7" s="1320"/>
      <c r="D7" s="1320"/>
      <c r="E7" s="1320"/>
      <c r="F7" s="1320"/>
      <c r="G7" s="1320"/>
      <c r="H7" s="1320"/>
      <c r="I7" s="1320"/>
      <c r="J7" s="1320"/>
      <c r="K7" s="1320"/>
      <c r="L7" s="1320"/>
      <c r="M7" s="1320"/>
      <c r="N7" s="1320"/>
      <c r="O7" s="1320"/>
    </row>
    <row r="8" spans="1:17" s="9" customFormat="1" ht="20.25" customHeight="1">
      <c r="B8" s="11"/>
    </row>
    <row r="9" spans="1:17" s="9" customFormat="1" ht="27" customHeight="1"/>
    <row r="10" spans="1:17" s="9" customFormat="1" ht="27" customHeight="1">
      <c r="B10" s="12"/>
      <c r="H10" s="11"/>
      <c r="Q10" s="14"/>
    </row>
    <row r="11" spans="1:17" s="9" customFormat="1" ht="27" customHeight="1">
      <c r="Q11" s="15"/>
    </row>
    <row r="12" spans="1:17" s="9" customFormat="1" ht="27" customHeight="1">
      <c r="Q12" s="15"/>
    </row>
    <row r="13" spans="1:17" s="9" customFormat="1" ht="27" customHeight="1">
      <c r="Q13" s="15"/>
    </row>
    <row r="14" spans="1:17" s="9" customFormat="1" ht="27" customHeight="1">
      <c r="Q14" s="15"/>
    </row>
    <row r="15" spans="1:17" s="9" customFormat="1" ht="27" customHeight="1"/>
    <row r="16" spans="1:17" s="9" customFormat="1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  <row r="31" ht="27" customHeight="1"/>
  </sheetData>
  <mergeCells count="1">
    <mergeCell ref="A7:O7"/>
  </mergeCells>
  <phoneticPr fontId="4" type="noConversion"/>
  <pageMargins left="0.9" right="0.64" top="1" bottom="1" header="0.5" footer="0.5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CB626-D746-4B54-A04E-CB3CC8E860F2}">
  <dimension ref="B1:AD30"/>
  <sheetViews>
    <sheetView view="pageBreakPreview" zoomScaleNormal="100" zoomScaleSheetLayoutView="100" workbookViewId="0">
      <pane ySplit="3" topLeftCell="A4" activePane="bottomLeft" state="frozen"/>
      <selection activeCell="I19" sqref="I19:AG19"/>
      <selection pane="bottomLeft" activeCell="J24" sqref="J24:M24"/>
    </sheetView>
  </sheetViews>
  <sheetFormatPr defaultRowHeight="12.75"/>
  <cols>
    <col min="1" max="1" width="0.5546875" style="1074" customWidth="1"/>
    <col min="2" max="2" width="23.77734375" style="1074" customWidth="1"/>
    <col min="3" max="3" width="19.44140625" style="1074" customWidth="1"/>
    <col min="4" max="25" width="1.5546875" style="1074" customWidth="1"/>
    <col min="26" max="26" width="8.6640625" style="1074" customWidth="1"/>
    <col min="27" max="29" width="8.109375" style="1074" customWidth="1"/>
    <col min="30" max="30" width="9.44140625" style="1074" customWidth="1"/>
    <col min="31" max="256" width="8.88671875" style="1074"/>
    <col min="257" max="257" width="0.5546875" style="1074" customWidth="1"/>
    <col min="258" max="258" width="23.77734375" style="1074" customWidth="1"/>
    <col min="259" max="259" width="19.44140625" style="1074" customWidth="1"/>
    <col min="260" max="281" width="1.5546875" style="1074" customWidth="1"/>
    <col min="282" max="282" width="8.6640625" style="1074" customWidth="1"/>
    <col min="283" max="285" width="8.109375" style="1074" customWidth="1"/>
    <col min="286" max="286" width="9.44140625" style="1074" customWidth="1"/>
    <col min="287" max="512" width="8.88671875" style="1074"/>
    <col min="513" max="513" width="0.5546875" style="1074" customWidth="1"/>
    <col min="514" max="514" width="23.77734375" style="1074" customWidth="1"/>
    <col min="515" max="515" width="19.44140625" style="1074" customWidth="1"/>
    <col min="516" max="537" width="1.5546875" style="1074" customWidth="1"/>
    <col min="538" max="538" width="8.6640625" style="1074" customWidth="1"/>
    <col min="539" max="541" width="8.109375" style="1074" customWidth="1"/>
    <col min="542" max="542" width="9.44140625" style="1074" customWidth="1"/>
    <col min="543" max="768" width="8.88671875" style="1074"/>
    <col min="769" max="769" width="0.5546875" style="1074" customWidth="1"/>
    <col min="770" max="770" width="23.77734375" style="1074" customWidth="1"/>
    <col min="771" max="771" width="19.44140625" style="1074" customWidth="1"/>
    <col min="772" max="793" width="1.5546875" style="1074" customWidth="1"/>
    <col min="794" max="794" width="8.6640625" style="1074" customWidth="1"/>
    <col min="795" max="797" width="8.109375" style="1074" customWidth="1"/>
    <col min="798" max="798" width="9.44140625" style="1074" customWidth="1"/>
    <col min="799" max="1024" width="8.88671875" style="1074"/>
    <col min="1025" max="1025" width="0.5546875" style="1074" customWidth="1"/>
    <col min="1026" max="1026" width="23.77734375" style="1074" customWidth="1"/>
    <col min="1027" max="1027" width="19.44140625" style="1074" customWidth="1"/>
    <col min="1028" max="1049" width="1.5546875" style="1074" customWidth="1"/>
    <col min="1050" max="1050" width="8.6640625" style="1074" customWidth="1"/>
    <col min="1051" max="1053" width="8.109375" style="1074" customWidth="1"/>
    <col min="1054" max="1054" width="9.44140625" style="1074" customWidth="1"/>
    <col min="1055" max="1280" width="8.88671875" style="1074"/>
    <col min="1281" max="1281" width="0.5546875" style="1074" customWidth="1"/>
    <col min="1282" max="1282" width="23.77734375" style="1074" customWidth="1"/>
    <col min="1283" max="1283" width="19.44140625" style="1074" customWidth="1"/>
    <col min="1284" max="1305" width="1.5546875" style="1074" customWidth="1"/>
    <col min="1306" max="1306" width="8.6640625" style="1074" customWidth="1"/>
    <col min="1307" max="1309" width="8.109375" style="1074" customWidth="1"/>
    <col min="1310" max="1310" width="9.44140625" style="1074" customWidth="1"/>
    <col min="1311" max="1536" width="8.88671875" style="1074"/>
    <col min="1537" max="1537" width="0.5546875" style="1074" customWidth="1"/>
    <col min="1538" max="1538" width="23.77734375" style="1074" customWidth="1"/>
    <col min="1539" max="1539" width="19.44140625" style="1074" customWidth="1"/>
    <col min="1540" max="1561" width="1.5546875" style="1074" customWidth="1"/>
    <col min="1562" max="1562" width="8.6640625" style="1074" customWidth="1"/>
    <col min="1563" max="1565" width="8.109375" style="1074" customWidth="1"/>
    <col min="1566" max="1566" width="9.44140625" style="1074" customWidth="1"/>
    <col min="1567" max="1792" width="8.88671875" style="1074"/>
    <col min="1793" max="1793" width="0.5546875" style="1074" customWidth="1"/>
    <col min="1794" max="1794" width="23.77734375" style="1074" customWidth="1"/>
    <col min="1795" max="1795" width="19.44140625" style="1074" customWidth="1"/>
    <col min="1796" max="1817" width="1.5546875" style="1074" customWidth="1"/>
    <col min="1818" max="1818" width="8.6640625" style="1074" customWidth="1"/>
    <col min="1819" max="1821" width="8.109375" style="1074" customWidth="1"/>
    <col min="1822" max="1822" width="9.44140625" style="1074" customWidth="1"/>
    <col min="1823" max="2048" width="8.88671875" style="1074"/>
    <col min="2049" max="2049" width="0.5546875" style="1074" customWidth="1"/>
    <col min="2050" max="2050" width="23.77734375" style="1074" customWidth="1"/>
    <col min="2051" max="2051" width="19.44140625" style="1074" customWidth="1"/>
    <col min="2052" max="2073" width="1.5546875" style="1074" customWidth="1"/>
    <col min="2074" max="2074" width="8.6640625" style="1074" customWidth="1"/>
    <col min="2075" max="2077" width="8.109375" style="1074" customWidth="1"/>
    <col min="2078" max="2078" width="9.44140625" style="1074" customWidth="1"/>
    <col min="2079" max="2304" width="8.88671875" style="1074"/>
    <col min="2305" max="2305" width="0.5546875" style="1074" customWidth="1"/>
    <col min="2306" max="2306" width="23.77734375" style="1074" customWidth="1"/>
    <col min="2307" max="2307" width="19.44140625" style="1074" customWidth="1"/>
    <col min="2308" max="2329" width="1.5546875" style="1074" customWidth="1"/>
    <col min="2330" max="2330" width="8.6640625" style="1074" customWidth="1"/>
    <col min="2331" max="2333" width="8.109375" style="1074" customWidth="1"/>
    <col min="2334" max="2334" width="9.44140625" style="1074" customWidth="1"/>
    <col min="2335" max="2560" width="8.88671875" style="1074"/>
    <col min="2561" max="2561" width="0.5546875" style="1074" customWidth="1"/>
    <col min="2562" max="2562" width="23.77734375" style="1074" customWidth="1"/>
    <col min="2563" max="2563" width="19.44140625" style="1074" customWidth="1"/>
    <col min="2564" max="2585" width="1.5546875" style="1074" customWidth="1"/>
    <col min="2586" max="2586" width="8.6640625" style="1074" customWidth="1"/>
    <col min="2587" max="2589" width="8.109375" style="1074" customWidth="1"/>
    <col min="2590" max="2590" width="9.44140625" style="1074" customWidth="1"/>
    <col min="2591" max="2816" width="8.88671875" style="1074"/>
    <col min="2817" max="2817" width="0.5546875" style="1074" customWidth="1"/>
    <col min="2818" max="2818" width="23.77734375" style="1074" customWidth="1"/>
    <col min="2819" max="2819" width="19.44140625" style="1074" customWidth="1"/>
    <col min="2820" max="2841" width="1.5546875" style="1074" customWidth="1"/>
    <col min="2842" max="2842" width="8.6640625" style="1074" customWidth="1"/>
    <col min="2843" max="2845" width="8.109375" style="1074" customWidth="1"/>
    <col min="2846" max="2846" width="9.44140625" style="1074" customWidth="1"/>
    <col min="2847" max="3072" width="8.88671875" style="1074"/>
    <col min="3073" max="3073" width="0.5546875" style="1074" customWidth="1"/>
    <col min="3074" max="3074" width="23.77734375" style="1074" customWidth="1"/>
    <col min="3075" max="3075" width="19.44140625" style="1074" customWidth="1"/>
    <col min="3076" max="3097" width="1.5546875" style="1074" customWidth="1"/>
    <col min="3098" max="3098" width="8.6640625" style="1074" customWidth="1"/>
    <col min="3099" max="3101" width="8.109375" style="1074" customWidth="1"/>
    <col min="3102" max="3102" width="9.44140625" style="1074" customWidth="1"/>
    <col min="3103" max="3328" width="8.88671875" style="1074"/>
    <col min="3329" max="3329" width="0.5546875" style="1074" customWidth="1"/>
    <col min="3330" max="3330" width="23.77734375" style="1074" customWidth="1"/>
    <col min="3331" max="3331" width="19.44140625" style="1074" customWidth="1"/>
    <col min="3332" max="3353" width="1.5546875" style="1074" customWidth="1"/>
    <col min="3354" max="3354" width="8.6640625" style="1074" customWidth="1"/>
    <col min="3355" max="3357" width="8.109375" style="1074" customWidth="1"/>
    <col min="3358" max="3358" width="9.44140625" style="1074" customWidth="1"/>
    <col min="3359" max="3584" width="8.88671875" style="1074"/>
    <col min="3585" max="3585" width="0.5546875" style="1074" customWidth="1"/>
    <col min="3586" max="3586" width="23.77734375" style="1074" customWidth="1"/>
    <col min="3587" max="3587" width="19.44140625" style="1074" customWidth="1"/>
    <col min="3588" max="3609" width="1.5546875" style="1074" customWidth="1"/>
    <col min="3610" max="3610" width="8.6640625" style="1074" customWidth="1"/>
    <col min="3611" max="3613" width="8.109375" style="1074" customWidth="1"/>
    <col min="3614" max="3614" width="9.44140625" style="1074" customWidth="1"/>
    <col min="3615" max="3840" width="8.88671875" style="1074"/>
    <col min="3841" max="3841" width="0.5546875" style="1074" customWidth="1"/>
    <col min="3842" max="3842" width="23.77734375" style="1074" customWidth="1"/>
    <col min="3843" max="3843" width="19.44140625" style="1074" customWidth="1"/>
    <col min="3844" max="3865" width="1.5546875" style="1074" customWidth="1"/>
    <col min="3866" max="3866" width="8.6640625" style="1074" customWidth="1"/>
    <col min="3867" max="3869" width="8.109375" style="1074" customWidth="1"/>
    <col min="3870" max="3870" width="9.44140625" style="1074" customWidth="1"/>
    <col min="3871" max="4096" width="8.88671875" style="1074"/>
    <col min="4097" max="4097" width="0.5546875" style="1074" customWidth="1"/>
    <col min="4098" max="4098" width="23.77734375" style="1074" customWidth="1"/>
    <col min="4099" max="4099" width="19.44140625" style="1074" customWidth="1"/>
    <col min="4100" max="4121" width="1.5546875" style="1074" customWidth="1"/>
    <col min="4122" max="4122" width="8.6640625" style="1074" customWidth="1"/>
    <col min="4123" max="4125" width="8.109375" style="1074" customWidth="1"/>
    <col min="4126" max="4126" width="9.44140625" style="1074" customWidth="1"/>
    <col min="4127" max="4352" width="8.88671875" style="1074"/>
    <col min="4353" max="4353" width="0.5546875" style="1074" customWidth="1"/>
    <col min="4354" max="4354" width="23.77734375" style="1074" customWidth="1"/>
    <col min="4355" max="4355" width="19.44140625" style="1074" customWidth="1"/>
    <col min="4356" max="4377" width="1.5546875" style="1074" customWidth="1"/>
    <col min="4378" max="4378" width="8.6640625" style="1074" customWidth="1"/>
    <col min="4379" max="4381" width="8.109375" style="1074" customWidth="1"/>
    <col min="4382" max="4382" width="9.44140625" style="1074" customWidth="1"/>
    <col min="4383" max="4608" width="8.88671875" style="1074"/>
    <col min="4609" max="4609" width="0.5546875" style="1074" customWidth="1"/>
    <col min="4610" max="4610" width="23.77734375" style="1074" customWidth="1"/>
    <col min="4611" max="4611" width="19.44140625" style="1074" customWidth="1"/>
    <col min="4612" max="4633" width="1.5546875" style="1074" customWidth="1"/>
    <col min="4634" max="4634" width="8.6640625" style="1074" customWidth="1"/>
    <col min="4635" max="4637" width="8.109375" style="1074" customWidth="1"/>
    <col min="4638" max="4638" width="9.44140625" style="1074" customWidth="1"/>
    <col min="4639" max="4864" width="8.88671875" style="1074"/>
    <col min="4865" max="4865" width="0.5546875" style="1074" customWidth="1"/>
    <col min="4866" max="4866" width="23.77734375" style="1074" customWidth="1"/>
    <col min="4867" max="4867" width="19.44140625" style="1074" customWidth="1"/>
    <col min="4868" max="4889" width="1.5546875" style="1074" customWidth="1"/>
    <col min="4890" max="4890" width="8.6640625" style="1074" customWidth="1"/>
    <col min="4891" max="4893" width="8.109375" style="1074" customWidth="1"/>
    <col min="4894" max="4894" width="9.44140625" style="1074" customWidth="1"/>
    <col min="4895" max="5120" width="8.88671875" style="1074"/>
    <col min="5121" max="5121" width="0.5546875" style="1074" customWidth="1"/>
    <col min="5122" max="5122" width="23.77734375" style="1074" customWidth="1"/>
    <col min="5123" max="5123" width="19.44140625" style="1074" customWidth="1"/>
    <col min="5124" max="5145" width="1.5546875" style="1074" customWidth="1"/>
    <col min="5146" max="5146" width="8.6640625" style="1074" customWidth="1"/>
    <col min="5147" max="5149" width="8.109375" style="1074" customWidth="1"/>
    <col min="5150" max="5150" width="9.44140625" style="1074" customWidth="1"/>
    <col min="5151" max="5376" width="8.88671875" style="1074"/>
    <col min="5377" max="5377" width="0.5546875" style="1074" customWidth="1"/>
    <col min="5378" max="5378" width="23.77734375" style="1074" customWidth="1"/>
    <col min="5379" max="5379" width="19.44140625" style="1074" customWidth="1"/>
    <col min="5380" max="5401" width="1.5546875" style="1074" customWidth="1"/>
    <col min="5402" max="5402" width="8.6640625" style="1074" customWidth="1"/>
    <col min="5403" max="5405" width="8.109375" style="1074" customWidth="1"/>
    <col min="5406" max="5406" width="9.44140625" style="1074" customWidth="1"/>
    <col min="5407" max="5632" width="8.88671875" style="1074"/>
    <col min="5633" max="5633" width="0.5546875" style="1074" customWidth="1"/>
    <col min="5634" max="5634" width="23.77734375" style="1074" customWidth="1"/>
    <col min="5635" max="5635" width="19.44140625" style="1074" customWidth="1"/>
    <col min="5636" max="5657" width="1.5546875" style="1074" customWidth="1"/>
    <col min="5658" max="5658" width="8.6640625" style="1074" customWidth="1"/>
    <col min="5659" max="5661" width="8.109375" style="1074" customWidth="1"/>
    <col min="5662" max="5662" width="9.44140625" style="1074" customWidth="1"/>
    <col min="5663" max="5888" width="8.88671875" style="1074"/>
    <col min="5889" max="5889" width="0.5546875" style="1074" customWidth="1"/>
    <col min="5890" max="5890" width="23.77734375" style="1074" customWidth="1"/>
    <col min="5891" max="5891" width="19.44140625" style="1074" customWidth="1"/>
    <col min="5892" max="5913" width="1.5546875" style="1074" customWidth="1"/>
    <col min="5914" max="5914" width="8.6640625" style="1074" customWidth="1"/>
    <col min="5915" max="5917" width="8.109375" style="1074" customWidth="1"/>
    <col min="5918" max="5918" width="9.44140625" style="1074" customWidth="1"/>
    <col min="5919" max="6144" width="8.88671875" style="1074"/>
    <col min="6145" max="6145" width="0.5546875" style="1074" customWidth="1"/>
    <col min="6146" max="6146" width="23.77734375" style="1074" customWidth="1"/>
    <col min="6147" max="6147" width="19.44140625" style="1074" customWidth="1"/>
    <col min="6148" max="6169" width="1.5546875" style="1074" customWidth="1"/>
    <col min="6170" max="6170" width="8.6640625" style="1074" customWidth="1"/>
    <col min="6171" max="6173" width="8.109375" style="1074" customWidth="1"/>
    <col min="6174" max="6174" width="9.44140625" style="1074" customWidth="1"/>
    <col min="6175" max="6400" width="8.88671875" style="1074"/>
    <col min="6401" max="6401" width="0.5546875" style="1074" customWidth="1"/>
    <col min="6402" max="6402" width="23.77734375" style="1074" customWidth="1"/>
    <col min="6403" max="6403" width="19.44140625" style="1074" customWidth="1"/>
    <col min="6404" max="6425" width="1.5546875" style="1074" customWidth="1"/>
    <col min="6426" max="6426" width="8.6640625" style="1074" customWidth="1"/>
    <col min="6427" max="6429" width="8.109375" style="1074" customWidth="1"/>
    <col min="6430" max="6430" width="9.44140625" style="1074" customWidth="1"/>
    <col min="6431" max="6656" width="8.88671875" style="1074"/>
    <col min="6657" max="6657" width="0.5546875" style="1074" customWidth="1"/>
    <col min="6658" max="6658" width="23.77734375" style="1074" customWidth="1"/>
    <col min="6659" max="6659" width="19.44140625" style="1074" customWidth="1"/>
    <col min="6660" max="6681" width="1.5546875" style="1074" customWidth="1"/>
    <col min="6682" max="6682" width="8.6640625" style="1074" customWidth="1"/>
    <col min="6683" max="6685" width="8.109375" style="1074" customWidth="1"/>
    <col min="6686" max="6686" width="9.44140625" style="1074" customWidth="1"/>
    <col min="6687" max="6912" width="8.88671875" style="1074"/>
    <col min="6913" max="6913" width="0.5546875" style="1074" customWidth="1"/>
    <col min="6914" max="6914" width="23.77734375" style="1074" customWidth="1"/>
    <col min="6915" max="6915" width="19.44140625" style="1074" customWidth="1"/>
    <col min="6916" max="6937" width="1.5546875" style="1074" customWidth="1"/>
    <col min="6938" max="6938" width="8.6640625" style="1074" customWidth="1"/>
    <col min="6939" max="6941" width="8.109375" style="1074" customWidth="1"/>
    <col min="6942" max="6942" width="9.44140625" style="1074" customWidth="1"/>
    <col min="6943" max="7168" width="8.88671875" style="1074"/>
    <col min="7169" max="7169" width="0.5546875" style="1074" customWidth="1"/>
    <col min="7170" max="7170" width="23.77734375" style="1074" customWidth="1"/>
    <col min="7171" max="7171" width="19.44140625" style="1074" customWidth="1"/>
    <col min="7172" max="7193" width="1.5546875" style="1074" customWidth="1"/>
    <col min="7194" max="7194" width="8.6640625" style="1074" customWidth="1"/>
    <col min="7195" max="7197" width="8.109375" style="1074" customWidth="1"/>
    <col min="7198" max="7198" width="9.44140625" style="1074" customWidth="1"/>
    <col min="7199" max="7424" width="8.88671875" style="1074"/>
    <col min="7425" max="7425" width="0.5546875" style="1074" customWidth="1"/>
    <col min="7426" max="7426" width="23.77734375" style="1074" customWidth="1"/>
    <col min="7427" max="7427" width="19.44140625" style="1074" customWidth="1"/>
    <col min="7428" max="7449" width="1.5546875" style="1074" customWidth="1"/>
    <col min="7450" max="7450" width="8.6640625" style="1074" customWidth="1"/>
    <col min="7451" max="7453" width="8.109375" style="1074" customWidth="1"/>
    <col min="7454" max="7454" width="9.44140625" style="1074" customWidth="1"/>
    <col min="7455" max="7680" width="8.88671875" style="1074"/>
    <col min="7681" max="7681" width="0.5546875" style="1074" customWidth="1"/>
    <col min="7682" max="7682" width="23.77734375" style="1074" customWidth="1"/>
    <col min="7683" max="7683" width="19.44140625" style="1074" customWidth="1"/>
    <col min="7684" max="7705" width="1.5546875" style="1074" customWidth="1"/>
    <col min="7706" max="7706" width="8.6640625" style="1074" customWidth="1"/>
    <col min="7707" max="7709" width="8.109375" style="1074" customWidth="1"/>
    <col min="7710" max="7710" width="9.44140625" style="1074" customWidth="1"/>
    <col min="7711" max="7936" width="8.88671875" style="1074"/>
    <col min="7937" max="7937" width="0.5546875" style="1074" customWidth="1"/>
    <col min="7938" max="7938" width="23.77734375" style="1074" customWidth="1"/>
    <col min="7939" max="7939" width="19.44140625" style="1074" customWidth="1"/>
    <col min="7940" max="7961" width="1.5546875" style="1074" customWidth="1"/>
    <col min="7962" max="7962" width="8.6640625" style="1074" customWidth="1"/>
    <col min="7963" max="7965" width="8.109375" style="1074" customWidth="1"/>
    <col min="7966" max="7966" width="9.44140625" style="1074" customWidth="1"/>
    <col min="7967" max="8192" width="8.88671875" style="1074"/>
    <col min="8193" max="8193" width="0.5546875" style="1074" customWidth="1"/>
    <col min="8194" max="8194" width="23.77734375" style="1074" customWidth="1"/>
    <col min="8195" max="8195" width="19.44140625" style="1074" customWidth="1"/>
    <col min="8196" max="8217" width="1.5546875" style="1074" customWidth="1"/>
    <col min="8218" max="8218" width="8.6640625" style="1074" customWidth="1"/>
    <col min="8219" max="8221" width="8.109375" style="1074" customWidth="1"/>
    <col min="8222" max="8222" width="9.44140625" style="1074" customWidth="1"/>
    <col min="8223" max="8448" width="8.88671875" style="1074"/>
    <col min="8449" max="8449" width="0.5546875" style="1074" customWidth="1"/>
    <col min="8450" max="8450" width="23.77734375" style="1074" customWidth="1"/>
    <col min="8451" max="8451" width="19.44140625" style="1074" customWidth="1"/>
    <col min="8452" max="8473" width="1.5546875" style="1074" customWidth="1"/>
    <col min="8474" max="8474" width="8.6640625" style="1074" customWidth="1"/>
    <col min="8475" max="8477" width="8.109375" style="1074" customWidth="1"/>
    <col min="8478" max="8478" width="9.44140625" style="1074" customWidth="1"/>
    <col min="8479" max="8704" width="8.88671875" style="1074"/>
    <col min="8705" max="8705" width="0.5546875" style="1074" customWidth="1"/>
    <col min="8706" max="8706" width="23.77734375" style="1074" customWidth="1"/>
    <col min="8707" max="8707" width="19.44140625" style="1074" customWidth="1"/>
    <col min="8708" max="8729" width="1.5546875" style="1074" customWidth="1"/>
    <col min="8730" max="8730" width="8.6640625" style="1074" customWidth="1"/>
    <col min="8731" max="8733" width="8.109375" style="1074" customWidth="1"/>
    <col min="8734" max="8734" width="9.44140625" style="1074" customWidth="1"/>
    <col min="8735" max="8960" width="8.88671875" style="1074"/>
    <col min="8961" max="8961" width="0.5546875" style="1074" customWidth="1"/>
    <col min="8962" max="8962" width="23.77734375" style="1074" customWidth="1"/>
    <col min="8963" max="8963" width="19.44140625" style="1074" customWidth="1"/>
    <col min="8964" max="8985" width="1.5546875" style="1074" customWidth="1"/>
    <col min="8986" max="8986" width="8.6640625" style="1074" customWidth="1"/>
    <col min="8987" max="8989" width="8.109375" style="1074" customWidth="1"/>
    <col min="8990" max="8990" width="9.44140625" style="1074" customWidth="1"/>
    <col min="8991" max="9216" width="8.88671875" style="1074"/>
    <col min="9217" max="9217" width="0.5546875" style="1074" customWidth="1"/>
    <col min="9218" max="9218" width="23.77734375" style="1074" customWidth="1"/>
    <col min="9219" max="9219" width="19.44140625" style="1074" customWidth="1"/>
    <col min="9220" max="9241" width="1.5546875" style="1074" customWidth="1"/>
    <col min="9242" max="9242" width="8.6640625" style="1074" customWidth="1"/>
    <col min="9243" max="9245" width="8.109375" style="1074" customWidth="1"/>
    <col min="9246" max="9246" width="9.44140625" style="1074" customWidth="1"/>
    <col min="9247" max="9472" width="8.88671875" style="1074"/>
    <col min="9473" max="9473" width="0.5546875" style="1074" customWidth="1"/>
    <col min="9474" max="9474" width="23.77734375" style="1074" customWidth="1"/>
    <col min="9475" max="9475" width="19.44140625" style="1074" customWidth="1"/>
    <col min="9476" max="9497" width="1.5546875" style="1074" customWidth="1"/>
    <col min="9498" max="9498" width="8.6640625" style="1074" customWidth="1"/>
    <col min="9499" max="9501" width="8.109375" style="1074" customWidth="1"/>
    <col min="9502" max="9502" width="9.44140625" style="1074" customWidth="1"/>
    <col min="9503" max="9728" width="8.88671875" style="1074"/>
    <col min="9729" max="9729" width="0.5546875" style="1074" customWidth="1"/>
    <col min="9730" max="9730" width="23.77734375" style="1074" customWidth="1"/>
    <col min="9731" max="9731" width="19.44140625" style="1074" customWidth="1"/>
    <col min="9732" max="9753" width="1.5546875" style="1074" customWidth="1"/>
    <col min="9754" max="9754" width="8.6640625" style="1074" customWidth="1"/>
    <col min="9755" max="9757" width="8.109375" style="1074" customWidth="1"/>
    <col min="9758" max="9758" width="9.44140625" style="1074" customWidth="1"/>
    <col min="9759" max="9984" width="8.88671875" style="1074"/>
    <col min="9985" max="9985" width="0.5546875" style="1074" customWidth="1"/>
    <col min="9986" max="9986" width="23.77734375" style="1074" customWidth="1"/>
    <col min="9987" max="9987" width="19.44140625" style="1074" customWidth="1"/>
    <col min="9988" max="10009" width="1.5546875" style="1074" customWidth="1"/>
    <col min="10010" max="10010" width="8.6640625" style="1074" customWidth="1"/>
    <col min="10011" max="10013" width="8.109375" style="1074" customWidth="1"/>
    <col min="10014" max="10014" width="9.44140625" style="1074" customWidth="1"/>
    <col min="10015" max="10240" width="8.88671875" style="1074"/>
    <col min="10241" max="10241" width="0.5546875" style="1074" customWidth="1"/>
    <col min="10242" max="10242" width="23.77734375" style="1074" customWidth="1"/>
    <col min="10243" max="10243" width="19.44140625" style="1074" customWidth="1"/>
    <col min="10244" max="10265" width="1.5546875" style="1074" customWidth="1"/>
    <col min="10266" max="10266" width="8.6640625" style="1074" customWidth="1"/>
    <col min="10267" max="10269" width="8.109375" style="1074" customWidth="1"/>
    <col min="10270" max="10270" width="9.44140625" style="1074" customWidth="1"/>
    <col min="10271" max="10496" width="8.88671875" style="1074"/>
    <col min="10497" max="10497" width="0.5546875" style="1074" customWidth="1"/>
    <col min="10498" max="10498" width="23.77734375" style="1074" customWidth="1"/>
    <col min="10499" max="10499" width="19.44140625" style="1074" customWidth="1"/>
    <col min="10500" max="10521" width="1.5546875" style="1074" customWidth="1"/>
    <col min="10522" max="10522" width="8.6640625" style="1074" customWidth="1"/>
    <col min="10523" max="10525" width="8.109375" style="1074" customWidth="1"/>
    <col min="10526" max="10526" width="9.44140625" style="1074" customWidth="1"/>
    <col min="10527" max="10752" width="8.88671875" style="1074"/>
    <col min="10753" max="10753" width="0.5546875" style="1074" customWidth="1"/>
    <col min="10754" max="10754" width="23.77734375" style="1074" customWidth="1"/>
    <col min="10755" max="10755" width="19.44140625" style="1074" customWidth="1"/>
    <col min="10756" max="10777" width="1.5546875" style="1074" customWidth="1"/>
    <col min="10778" max="10778" width="8.6640625" style="1074" customWidth="1"/>
    <col min="10779" max="10781" width="8.109375" style="1074" customWidth="1"/>
    <col min="10782" max="10782" width="9.44140625" style="1074" customWidth="1"/>
    <col min="10783" max="11008" width="8.88671875" style="1074"/>
    <col min="11009" max="11009" width="0.5546875" style="1074" customWidth="1"/>
    <col min="11010" max="11010" width="23.77734375" style="1074" customWidth="1"/>
    <col min="11011" max="11011" width="19.44140625" style="1074" customWidth="1"/>
    <col min="11012" max="11033" width="1.5546875" style="1074" customWidth="1"/>
    <col min="11034" max="11034" width="8.6640625" style="1074" customWidth="1"/>
    <col min="11035" max="11037" width="8.109375" style="1074" customWidth="1"/>
    <col min="11038" max="11038" width="9.44140625" style="1074" customWidth="1"/>
    <col min="11039" max="11264" width="8.88671875" style="1074"/>
    <col min="11265" max="11265" width="0.5546875" style="1074" customWidth="1"/>
    <col min="11266" max="11266" width="23.77734375" style="1074" customWidth="1"/>
    <col min="11267" max="11267" width="19.44140625" style="1074" customWidth="1"/>
    <col min="11268" max="11289" width="1.5546875" style="1074" customWidth="1"/>
    <col min="11290" max="11290" width="8.6640625" style="1074" customWidth="1"/>
    <col min="11291" max="11293" width="8.109375" style="1074" customWidth="1"/>
    <col min="11294" max="11294" width="9.44140625" style="1074" customWidth="1"/>
    <col min="11295" max="11520" width="8.88671875" style="1074"/>
    <col min="11521" max="11521" width="0.5546875" style="1074" customWidth="1"/>
    <col min="11522" max="11522" width="23.77734375" style="1074" customWidth="1"/>
    <col min="11523" max="11523" width="19.44140625" style="1074" customWidth="1"/>
    <col min="11524" max="11545" width="1.5546875" style="1074" customWidth="1"/>
    <col min="11546" max="11546" width="8.6640625" style="1074" customWidth="1"/>
    <col min="11547" max="11549" width="8.109375" style="1074" customWidth="1"/>
    <col min="11550" max="11550" width="9.44140625" style="1074" customWidth="1"/>
    <col min="11551" max="11776" width="8.88671875" style="1074"/>
    <col min="11777" max="11777" width="0.5546875" style="1074" customWidth="1"/>
    <col min="11778" max="11778" width="23.77734375" style="1074" customWidth="1"/>
    <col min="11779" max="11779" width="19.44140625" style="1074" customWidth="1"/>
    <col min="11780" max="11801" width="1.5546875" style="1074" customWidth="1"/>
    <col min="11802" max="11802" width="8.6640625" style="1074" customWidth="1"/>
    <col min="11803" max="11805" width="8.109375" style="1074" customWidth="1"/>
    <col min="11806" max="11806" width="9.44140625" style="1074" customWidth="1"/>
    <col min="11807" max="12032" width="8.88671875" style="1074"/>
    <col min="12033" max="12033" width="0.5546875" style="1074" customWidth="1"/>
    <col min="12034" max="12034" width="23.77734375" style="1074" customWidth="1"/>
    <col min="12035" max="12035" width="19.44140625" style="1074" customWidth="1"/>
    <col min="12036" max="12057" width="1.5546875" style="1074" customWidth="1"/>
    <col min="12058" max="12058" width="8.6640625" style="1074" customWidth="1"/>
    <col min="12059" max="12061" width="8.109375" style="1074" customWidth="1"/>
    <col min="12062" max="12062" width="9.44140625" style="1074" customWidth="1"/>
    <col min="12063" max="12288" width="8.88671875" style="1074"/>
    <col min="12289" max="12289" width="0.5546875" style="1074" customWidth="1"/>
    <col min="12290" max="12290" width="23.77734375" style="1074" customWidth="1"/>
    <col min="12291" max="12291" width="19.44140625" style="1074" customWidth="1"/>
    <col min="12292" max="12313" width="1.5546875" style="1074" customWidth="1"/>
    <col min="12314" max="12314" width="8.6640625" style="1074" customWidth="1"/>
    <col min="12315" max="12317" width="8.109375" style="1074" customWidth="1"/>
    <col min="12318" max="12318" width="9.44140625" style="1074" customWidth="1"/>
    <col min="12319" max="12544" width="8.88671875" style="1074"/>
    <col min="12545" max="12545" width="0.5546875" style="1074" customWidth="1"/>
    <col min="12546" max="12546" width="23.77734375" style="1074" customWidth="1"/>
    <col min="12547" max="12547" width="19.44140625" style="1074" customWidth="1"/>
    <col min="12548" max="12569" width="1.5546875" style="1074" customWidth="1"/>
    <col min="12570" max="12570" width="8.6640625" style="1074" customWidth="1"/>
    <col min="12571" max="12573" width="8.109375" style="1074" customWidth="1"/>
    <col min="12574" max="12574" width="9.44140625" style="1074" customWidth="1"/>
    <col min="12575" max="12800" width="8.88671875" style="1074"/>
    <col min="12801" max="12801" width="0.5546875" style="1074" customWidth="1"/>
    <col min="12802" max="12802" width="23.77734375" style="1074" customWidth="1"/>
    <col min="12803" max="12803" width="19.44140625" style="1074" customWidth="1"/>
    <col min="12804" max="12825" width="1.5546875" style="1074" customWidth="1"/>
    <col min="12826" max="12826" width="8.6640625" style="1074" customWidth="1"/>
    <col min="12827" max="12829" width="8.109375" style="1074" customWidth="1"/>
    <col min="12830" max="12830" width="9.44140625" style="1074" customWidth="1"/>
    <col min="12831" max="13056" width="8.88671875" style="1074"/>
    <col min="13057" max="13057" width="0.5546875" style="1074" customWidth="1"/>
    <col min="13058" max="13058" width="23.77734375" style="1074" customWidth="1"/>
    <col min="13059" max="13059" width="19.44140625" style="1074" customWidth="1"/>
    <col min="13060" max="13081" width="1.5546875" style="1074" customWidth="1"/>
    <col min="13082" max="13082" width="8.6640625" style="1074" customWidth="1"/>
    <col min="13083" max="13085" width="8.109375" style="1074" customWidth="1"/>
    <col min="13086" max="13086" width="9.44140625" style="1074" customWidth="1"/>
    <col min="13087" max="13312" width="8.88671875" style="1074"/>
    <col min="13313" max="13313" width="0.5546875" style="1074" customWidth="1"/>
    <col min="13314" max="13314" width="23.77734375" style="1074" customWidth="1"/>
    <col min="13315" max="13315" width="19.44140625" style="1074" customWidth="1"/>
    <col min="13316" max="13337" width="1.5546875" style="1074" customWidth="1"/>
    <col min="13338" max="13338" width="8.6640625" style="1074" customWidth="1"/>
    <col min="13339" max="13341" width="8.109375" style="1074" customWidth="1"/>
    <col min="13342" max="13342" width="9.44140625" style="1074" customWidth="1"/>
    <col min="13343" max="13568" width="8.88671875" style="1074"/>
    <col min="13569" max="13569" width="0.5546875" style="1074" customWidth="1"/>
    <col min="13570" max="13570" width="23.77734375" style="1074" customWidth="1"/>
    <col min="13571" max="13571" width="19.44140625" style="1074" customWidth="1"/>
    <col min="13572" max="13593" width="1.5546875" style="1074" customWidth="1"/>
    <col min="13594" max="13594" width="8.6640625" style="1074" customWidth="1"/>
    <col min="13595" max="13597" width="8.109375" style="1074" customWidth="1"/>
    <col min="13598" max="13598" width="9.44140625" style="1074" customWidth="1"/>
    <col min="13599" max="13824" width="8.88671875" style="1074"/>
    <col min="13825" max="13825" width="0.5546875" style="1074" customWidth="1"/>
    <col min="13826" max="13826" width="23.77734375" style="1074" customWidth="1"/>
    <col min="13827" max="13827" width="19.44140625" style="1074" customWidth="1"/>
    <col min="13828" max="13849" width="1.5546875" style="1074" customWidth="1"/>
    <col min="13850" max="13850" width="8.6640625" style="1074" customWidth="1"/>
    <col min="13851" max="13853" width="8.109375" style="1074" customWidth="1"/>
    <col min="13854" max="13854" width="9.44140625" style="1074" customWidth="1"/>
    <col min="13855" max="14080" width="8.88671875" style="1074"/>
    <col min="14081" max="14081" width="0.5546875" style="1074" customWidth="1"/>
    <col min="14082" max="14082" width="23.77734375" style="1074" customWidth="1"/>
    <col min="14083" max="14083" width="19.44140625" style="1074" customWidth="1"/>
    <col min="14084" max="14105" width="1.5546875" style="1074" customWidth="1"/>
    <col min="14106" max="14106" width="8.6640625" style="1074" customWidth="1"/>
    <col min="14107" max="14109" width="8.109375" style="1074" customWidth="1"/>
    <col min="14110" max="14110" width="9.44140625" style="1074" customWidth="1"/>
    <col min="14111" max="14336" width="8.88671875" style="1074"/>
    <col min="14337" max="14337" width="0.5546875" style="1074" customWidth="1"/>
    <col min="14338" max="14338" width="23.77734375" style="1074" customWidth="1"/>
    <col min="14339" max="14339" width="19.44140625" style="1074" customWidth="1"/>
    <col min="14340" max="14361" width="1.5546875" style="1074" customWidth="1"/>
    <col min="14362" max="14362" width="8.6640625" style="1074" customWidth="1"/>
    <col min="14363" max="14365" width="8.109375" style="1074" customWidth="1"/>
    <col min="14366" max="14366" width="9.44140625" style="1074" customWidth="1"/>
    <col min="14367" max="14592" width="8.88671875" style="1074"/>
    <col min="14593" max="14593" width="0.5546875" style="1074" customWidth="1"/>
    <col min="14594" max="14594" width="23.77734375" style="1074" customWidth="1"/>
    <col min="14595" max="14595" width="19.44140625" style="1074" customWidth="1"/>
    <col min="14596" max="14617" width="1.5546875" style="1074" customWidth="1"/>
    <col min="14618" max="14618" width="8.6640625" style="1074" customWidth="1"/>
    <col min="14619" max="14621" width="8.109375" style="1074" customWidth="1"/>
    <col min="14622" max="14622" width="9.44140625" style="1074" customWidth="1"/>
    <col min="14623" max="14848" width="8.88671875" style="1074"/>
    <col min="14849" max="14849" width="0.5546875" style="1074" customWidth="1"/>
    <col min="14850" max="14850" width="23.77734375" style="1074" customWidth="1"/>
    <col min="14851" max="14851" width="19.44140625" style="1074" customWidth="1"/>
    <col min="14852" max="14873" width="1.5546875" style="1074" customWidth="1"/>
    <col min="14874" max="14874" width="8.6640625" style="1074" customWidth="1"/>
    <col min="14875" max="14877" width="8.109375" style="1074" customWidth="1"/>
    <col min="14878" max="14878" width="9.44140625" style="1074" customWidth="1"/>
    <col min="14879" max="15104" width="8.88671875" style="1074"/>
    <col min="15105" max="15105" width="0.5546875" style="1074" customWidth="1"/>
    <col min="15106" max="15106" width="23.77734375" style="1074" customWidth="1"/>
    <col min="15107" max="15107" width="19.44140625" style="1074" customWidth="1"/>
    <col min="15108" max="15129" width="1.5546875" style="1074" customWidth="1"/>
    <col min="15130" max="15130" width="8.6640625" style="1074" customWidth="1"/>
    <col min="15131" max="15133" width="8.109375" style="1074" customWidth="1"/>
    <col min="15134" max="15134" width="9.44140625" style="1074" customWidth="1"/>
    <col min="15135" max="15360" width="8.88671875" style="1074"/>
    <col min="15361" max="15361" width="0.5546875" style="1074" customWidth="1"/>
    <col min="15362" max="15362" width="23.77734375" style="1074" customWidth="1"/>
    <col min="15363" max="15363" width="19.44140625" style="1074" customWidth="1"/>
    <col min="15364" max="15385" width="1.5546875" style="1074" customWidth="1"/>
    <col min="15386" max="15386" width="8.6640625" style="1074" customWidth="1"/>
    <col min="15387" max="15389" width="8.109375" style="1074" customWidth="1"/>
    <col min="15390" max="15390" width="9.44140625" style="1074" customWidth="1"/>
    <col min="15391" max="15616" width="8.88671875" style="1074"/>
    <col min="15617" max="15617" width="0.5546875" style="1074" customWidth="1"/>
    <col min="15618" max="15618" width="23.77734375" style="1074" customWidth="1"/>
    <col min="15619" max="15619" width="19.44140625" style="1074" customWidth="1"/>
    <col min="15620" max="15641" width="1.5546875" style="1074" customWidth="1"/>
    <col min="15642" max="15642" width="8.6640625" style="1074" customWidth="1"/>
    <col min="15643" max="15645" width="8.109375" style="1074" customWidth="1"/>
    <col min="15646" max="15646" width="9.44140625" style="1074" customWidth="1"/>
    <col min="15647" max="15872" width="8.88671875" style="1074"/>
    <col min="15873" max="15873" width="0.5546875" style="1074" customWidth="1"/>
    <col min="15874" max="15874" width="23.77734375" style="1074" customWidth="1"/>
    <col min="15875" max="15875" width="19.44140625" style="1074" customWidth="1"/>
    <col min="15876" max="15897" width="1.5546875" style="1074" customWidth="1"/>
    <col min="15898" max="15898" width="8.6640625" style="1074" customWidth="1"/>
    <col min="15899" max="15901" width="8.109375" style="1074" customWidth="1"/>
    <col min="15902" max="15902" width="9.44140625" style="1074" customWidth="1"/>
    <col min="15903" max="16128" width="8.88671875" style="1074"/>
    <col min="16129" max="16129" width="0.5546875" style="1074" customWidth="1"/>
    <col min="16130" max="16130" width="23.77734375" style="1074" customWidth="1"/>
    <col min="16131" max="16131" width="19.44140625" style="1074" customWidth="1"/>
    <col min="16132" max="16153" width="1.5546875" style="1074" customWidth="1"/>
    <col min="16154" max="16154" width="8.6640625" style="1074" customWidth="1"/>
    <col min="16155" max="16157" width="8.109375" style="1074" customWidth="1"/>
    <col min="16158" max="16158" width="9.44140625" style="1074" customWidth="1"/>
    <col min="16159" max="16384" width="8.88671875" style="1074"/>
  </cols>
  <sheetData>
    <row r="1" spans="2:30" ht="24.95" customHeight="1">
      <c r="B1" s="1176" t="s">
        <v>905</v>
      </c>
      <c r="C1" s="1176"/>
      <c r="D1" s="1176"/>
      <c r="E1" s="1176"/>
      <c r="F1" s="1176"/>
      <c r="G1" s="1176"/>
      <c r="H1" s="1176"/>
      <c r="I1" s="1176"/>
      <c r="J1" s="1176"/>
      <c r="K1" s="1176"/>
      <c r="L1" s="1176"/>
      <c r="M1" s="1176"/>
      <c r="N1" s="1176"/>
      <c r="O1" s="1176"/>
      <c r="P1" s="1176"/>
      <c r="Q1" s="1176"/>
      <c r="R1" s="1176"/>
      <c r="S1" s="1176"/>
      <c r="T1" s="1176"/>
      <c r="U1" s="1176"/>
      <c r="V1" s="1176"/>
      <c r="W1" s="1176"/>
      <c r="X1" s="1176"/>
      <c r="Y1" s="1176"/>
      <c r="Z1" s="1176"/>
      <c r="AA1" s="1176"/>
      <c r="AB1" s="1176"/>
      <c r="AC1" s="1176"/>
      <c r="AD1" s="1176"/>
    </row>
    <row r="2" spans="2:30" ht="9.9499999999999993" customHeight="1"/>
    <row r="3" spans="2:30" ht="30.75" customHeight="1">
      <c r="B3" s="1075" t="s">
        <v>964</v>
      </c>
      <c r="C3" s="1076" t="s">
        <v>965</v>
      </c>
      <c r="D3" s="1455" t="s">
        <v>966</v>
      </c>
      <c r="E3" s="1455"/>
      <c r="F3" s="1455"/>
      <c r="G3" s="1455"/>
      <c r="H3" s="1455"/>
      <c r="I3" s="1455"/>
      <c r="J3" s="1455"/>
      <c r="K3" s="1455"/>
      <c r="L3" s="1455"/>
      <c r="M3" s="1455"/>
      <c r="N3" s="1455"/>
      <c r="O3" s="1455"/>
      <c r="P3" s="1455"/>
      <c r="Q3" s="1455"/>
      <c r="R3" s="1455"/>
      <c r="S3" s="1455"/>
      <c r="T3" s="1455"/>
      <c r="U3" s="1455"/>
      <c r="V3" s="1455"/>
      <c r="W3" s="1455"/>
      <c r="X3" s="1455"/>
      <c r="Y3" s="1455"/>
      <c r="Z3" s="1077" t="s">
        <v>967</v>
      </c>
      <c r="AA3" s="1076" t="s">
        <v>899</v>
      </c>
      <c r="AB3" s="1076" t="s">
        <v>892</v>
      </c>
      <c r="AC3" s="1076" t="s">
        <v>968</v>
      </c>
      <c r="AD3" s="1078" t="s">
        <v>969</v>
      </c>
    </row>
    <row r="4" spans="2:30" ht="19.7" customHeight="1">
      <c r="B4" s="1079" t="s">
        <v>970</v>
      </c>
      <c r="C4" s="1080" t="s">
        <v>971</v>
      </c>
      <c r="D4" s="1081"/>
      <c r="E4" s="1081"/>
      <c r="F4" s="1081"/>
      <c r="G4" s="1081"/>
      <c r="H4" s="1081"/>
      <c r="I4" s="1081"/>
      <c r="J4" s="1081"/>
      <c r="K4" s="1081"/>
      <c r="L4" s="1081"/>
      <c r="M4" s="1081"/>
      <c r="N4" s="1081"/>
      <c r="O4" s="1081"/>
      <c r="P4" s="1081"/>
      <c r="Q4" s="1081"/>
      <c r="R4" s="1081"/>
      <c r="S4" s="1081"/>
      <c r="T4" s="1081"/>
      <c r="U4" s="1081"/>
      <c r="V4" s="1081"/>
      <c r="W4" s="1081"/>
      <c r="X4" s="1081"/>
      <c r="Y4" s="1081"/>
      <c r="Z4" s="1082" t="e">
        <f>AA4+AB4+AC4</f>
        <v>#REF!</v>
      </c>
      <c r="AA4" s="1083">
        <f>TRUNC(AA5+AA6+AA7+AA8)</f>
        <v>59025</v>
      </c>
      <c r="AB4" s="1083" t="e">
        <f>TRUNC(AB5+AB6+AB7+AB8)</f>
        <v>#REF!</v>
      </c>
      <c r="AC4" s="1083">
        <f>TRUNC(AC5+AC6+AC7+AC8)</f>
        <v>13873</v>
      </c>
      <c r="AD4" s="1084"/>
    </row>
    <row r="5" spans="2:30" ht="19.7" customHeight="1">
      <c r="B5" s="1085" t="s">
        <v>972</v>
      </c>
      <c r="C5" s="1086" t="s">
        <v>973</v>
      </c>
      <c r="D5" s="1452">
        <v>66538000</v>
      </c>
      <c r="E5" s="1452"/>
      <c r="F5" s="1452"/>
      <c r="G5" s="1452"/>
      <c r="H5" s="1452"/>
      <c r="I5" s="1452" t="s">
        <v>974</v>
      </c>
      <c r="J5" s="1452"/>
      <c r="K5" s="1452">
        <v>2085</v>
      </c>
      <c r="L5" s="1452"/>
      <c r="M5" s="1452"/>
      <c r="N5" s="1081" t="s">
        <v>975</v>
      </c>
      <c r="O5" s="1452" t="s">
        <v>976</v>
      </c>
      <c r="P5" s="1452"/>
      <c r="Q5" s="1452"/>
      <c r="R5" s="1081"/>
      <c r="S5" s="1081"/>
      <c r="T5" s="1081"/>
      <c r="U5" s="1081"/>
      <c r="V5" s="1081"/>
      <c r="W5" s="1081"/>
      <c r="X5" s="1081"/>
      <c r="Y5" s="1081"/>
      <c r="Z5" s="1082">
        <f>AA5+AB5+AC5</f>
        <v>13873.1</v>
      </c>
      <c r="AA5" s="1087"/>
      <c r="AB5" s="1087"/>
      <c r="AC5" s="1087">
        <f>TRUNC(D5*K5*0.0000001,1)</f>
        <v>13873.1</v>
      </c>
      <c r="AD5" s="1088" t="s">
        <v>977</v>
      </c>
    </row>
    <row r="6" spans="2:30" ht="19.7" customHeight="1">
      <c r="B6" s="1085" t="s">
        <v>978</v>
      </c>
      <c r="C6" s="1086" t="s">
        <v>979</v>
      </c>
      <c r="D6" s="1453">
        <v>5</v>
      </c>
      <c r="E6" s="1452"/>
      <c r="F6" s="1452"/>
      <c r="G6" s="1452"/>
      <c r="H6" s="1081" t="s">
        <v>596</v>
      </c>
      <c r="I6" s="1081" t="s">
        <v>975</v>
      </c>
      <c r="J6" s="1452" t="e">
        <f>#REF!</f>
        <v>#REF!</v>
      </c>
      <c r="K6" s="1452"/>
      <c r="L6" s="1452"/>
      <c r="M6" s="1452"/>
      <c r="N6" s="1081"/>
      <c r="O6" s="1081"/>
      <c r="P6" s="1081"/>
      <c r="Q6" s="1081"/>
      <c r="R6" s="1081"/>
      <c r="S6" s="1081"/>
      <c r="T6" s="1081"/>
      <c r="U6" s="1081"/>
      <c r="V6" s="1081"/>
      <c r="W6" s="1081"/>
      <c r="X6" s="1081"/>
      <c r="Y6" s="1081"/>
      <c r="Z6" s="1082" t="e">
        <f>AA6+AB6+AC6</f>
        <v>#REF!</v>
      </c>
      <c r="AA6" s="1087"/>
      <c r="AB6" s="1087" t="e">
        <f>TRUNC(D6*J6,1)</f>
        <v>#REF!</v>
      </c>
      <c r="AC6" s="1087"/>
      <c r="AD6" s="1088" t="s">
        <v>973</v>
      </c>
    </row>
    <row r="7" spans="2:30" ht="19.7" customHeight="1">
      <c r="B7" s="1085" t="s">
        <v>980</v>
      </c>
      <c r="C7" s="1086" t="s">
        <v>981</v>
      </c>
      <c r="D7" s="1453">
        <v>21</v>
      </c>
      <c r="E7" s="1452"/>
      <c r="F7" s="1452"/>
      <c r="G7" s="1452"/>
      <c r="H7" s="1081" t="s">
        <v>954</v>
      </c>
      <c r="I7" s="1081" t="s">
        <v>975</v>
      </c>
      <c r="J7" s="1452" t="e">
        <f>AB6</f>
        <v>#REF!</v>
      </c>
      <c r="K7" s="1452"/>
      <c r="L7" s="1452"/>
      <c r="M7" s="1452"/>
      <c r="N7" s="1081"/>
      <c r="O7" s="1081"/>
      <c r="P7" s="1081"/>
      <c r="Q7" s="1081"/>
      <c r="R7" s="1081"/>
      <c r="S7" s="1081"/>
      <c r="T7" s="1081"/>
      <c r="U7" s="1081"/>
      <c r="V7" s="1081"/>
      <c r="W7" s="1081"/>
      <c r="X7" s="1081"/>
      <c r="Y7" s="1081"/>
      <c r="Z7" s="1082" t="e">
        <f>AA7+AB7+AC7</f>
        <v>#REF!</v>
      </c>
      <c r="AA7" s="1087"/>
      <c r="AB7" s="1087" t="e">
        <f>TRUNC(D7/100*J7,1)</f>
        <v>#REF!</v>
      </c>
      <c r="AC7" s="1087"/>
      <c r="AD7" s="1088" t="s">
        <v>973</v>
      </c>
    </row>
    <row r="8" spans="2:30" ht="19.7" customHeight="1">
      <c r="B8" s="1085" t="s">
        <v>97</v>
      </c>
      <c r="C8" s="1086" t="s">
        <v>973</v>
      </c>
      <c r="D8" s="1454">
        <v>1</v>
      </c>
      <c r="E8" s="1452"/>
      <c r="F8" s="1452"/>
      <c r="G8" s="1081" t="s">
        <v>181</v>
      </c>
      <c r="H8" s="1081" t="s">
        <v>975</v>
      </c>
      <c r="I8" s="1452">
        <f>VLOOKUP($B8,인건비!A:B,2,FALSE)</f>
        <v>283323</v>
      </c>
      <c r="J8" s="1452"/>
      <c r="K8" s="1452"/>
      <c r="L8" s="1452"/>
      <c r="M8" s="1081" t="s">
        <v>975</v>
      </c>
      <c r="N8" s="1452" t="s">
        <v>982</v>
      </c>
      <c r="O8" s="1452"/>
      <c r="P8" s="1452"/>
      <c r="Q8" s="1452"/>
      <c r="R8" s="1452"/>
      <c r="S8" s="1452"/>
      <c r="T8" s="1452"/>
      <c r="U8" s="1452"/>
      <c r="V8" s="1452"/>
      <c r="W8" s="1081"/>
      <c r="X8" s="1081"/>
      <c r="Y8" s="1081"/>
      <c r="Z8" s="1082">
        <f>AA8+AB8+AC8</f>
        <v>59025.599999999999</v>
      </c>
      <c r="AA8" s="1087">
        <f>TRUNC(D8*I8*기계경비적용기준!E21,1)</f>
        <v>59025.599999999999</v>
      </c>
      <c r="AB8" s="1087"/>
      <c r="AC8" s="1087"/>
      <c r="AD8" s="1088" t="s">
        <v>973</v>
      </c>
    </row>
    <row r="9" spans="2:30" ht="19.7" customHeight="1">
      <c r="B9" s="1085" t="s">
        <v>973</v>
      </c>
      <c r="C9" s="1086" t="s">
        <v>973</v>
      </c>
      <c r="D9" s="1081"/>
      <c r="E9" s="1081"/>
      <c r="F9" s="1081"/>
      <c r="G9" s="1081"/>
      <c r="H9" s="1081"/>
      <c r="I9" s="1081"/>
      <c r="J9" s="1081"/>
      <c r="K9" s="1081"/>
      <c r="L9" s="1081"/>
      <c r="M9" s="1081"/>
      <c r="N9" s="1081"/>
      <c r="O9" s="1081"/>
      <c r="P9" s="1081"/>
      <c r="Q9" s="1081"/>
      <c r="R9" s="1081"/>
      <c r="S9" s="1081"/>
      <c r="T9" s="1081"/>
      <c r="U9" s="1081"/>
      <c r="V9" s="1081"/>
      <c r="W9" s="1081"/>
      <c r="X9" s="1081"/>
      <c r="Y9" s="1081"/>
      <c r="Z9" s="1089"/>
      <c r="AA9" s="1090"/>
      <c r="AB9" s="1090"/>
      <c r="AC9" s="1090"/>
      <c r="AD9" s="1088" t="s">
        <v>973</v>
      </c>
    </row>
    <row r="10" spans="2:30" s="1152" customFormat="1" ht="19.7" customHeight="1">
      <c r="B10" s="1166" t="s">
        <v>1145</v>
      </c>
      <c r="C10" s="1167" t="s">
        <v>1146</v>
      </c>
      <c r="D10" s="1168"/>
      <c r="E10" s="1168"/>
      <c r="F10" s="1168"/>
      <c r="G10" s="1168"/>
      <c r="H10" s="1168"/>
      <c r="I10" s="1168"/>
      <c r="J10" s="1168"/>
      <c r="K10" s="1168"/>
      <c r="L10" s="1168"/>
      <c r="M10" s="1168"/>
      <c r="N10" s="1168"/>
      <c r="O10" s="1168"/>
      <c r="P10" s="1168"/>
      <c r="Q10" s="1168"/>
      <c r="R10" s="1168"/>
      <c r="S10" s="1168"/>
      <c r="T10" s="1168"/>
      <c r="U10" s="1168"/>
      <c r="V10" s="1168"/>
      <c r="W10" s="1168"/>
      <c r="X10" s="1168"/>
      <c r="Y10" s="1168"/>
      <c r="Z10" s="1169" t="e">
        <f>AA10+AB10+AC10</f>
        <v>#REF!</v>
      </c>
      <c r="AA10" s="1170">
        <f>TRUNC(AA11+AA12+AA13+AA14)</f>
        <v>50008</v>
      </c>
      <c r="AB10" s="1170" t="e">
        <f>TRUNC(AB11+AB12+AB13+AB14)</f>
        <v>#REF!</v>
      </c>
      <c r="AC10" s="1170">
        <f>TRUNC(AC11+AC12+AC13+AC14)</f>
        <v>6522</v>
      </c>
      <c r="AD10" s="1171"/>
    </row>
    <row r="11" spans="2:30" s="1152" customFormat="1" ht="19.7" customHeight="1">
      <c r="B11" s="1172" t="s">
        <v>1147</v>
      </c>
      <c r="C11" s="1173" t="s">
        <v>973</v>
      </c>
      <c r="D11" s="1450">
        <v>21982000</v>
      </c>
      <c r="E11" s="1450"/>
      <c r="F11" s="1450"/>
      <c r="G11" s="1450"/>
      <c r="H11" s="1450"/>
      <c r="I11" s="1450" t="s">
        <v>974</v>
      </c>
      <c r="J11" s="1450"/>
      <c r="K11" s="1450">
        <v>2967</v>
      </c>
      <c r="L11" s="1450"/>
      <c r="M11" s="1450"/>
      <c r="N11" s="1168" t="s">
        <v>975</v>
      </c>
      <c r="O11" s="1450" t="s">
        <v>976</v>
      </c>
      <c r="P11" s="1450"/>
      <c r="Q11" s="1450"/>
      <c r="R11" s="1168"/>
      <c r="S11" s="1168"/>
      <c r="T11" s="1168"/>
      <c r="U11" s="1168"/>
      <c r="V11" s="1168"/>
      <c r="W11" s="1168"/>
      <c r="X11" s="1168"/>
      <c r="Y11" s="1168"/>
      <c r="Z11" s="1169">
        <f>AA11+AB11+AC11</f>
        <v>6522</v>
      </c>
      <c r="AA11" s="1174"/>
      <c r="AB11" s="1174"/>
      <c r="AC11" s="1174">
        <f>TRUNC(D11*K11*0.0000001,1)</f>
        <v>6522</v>
      </c>
      <c r="AD11" s="1175" t="s">
        <v>977</v>
      </c>
    </row>
    <row r="12" spans="2:30" s="1152" customFormat="1" ht="19.7" customHeight="1">
      <c r="B12" s="1172" t="s">
        <v>978</v>
      </c>
      <c r="C12" s="1173" t="s">
        <v>1076</v>
      </c>
      <c r="D12" s="1449">
        <v>2.9</v>
      </c>
      <c r="E12" s="1450"/>
      <c r="F12" s="1450"/>
      <c r="G12" s="1450"/>
      <c r="H12" s="1168" t="s">
        <v>596</v>
      </c>
      <c r="I12" s="1168" t="s">
        <v>975</v>
      </c>
      <c r="J12" s="1452" t="e">
        <f>#REF!</f>
        <v>#REF!</v>
      </c>
      <c r="K12" s="1452"/>
      <c r="L12" s="1452"/>
      <c r="M12" s="1452"/>
      <c r="N12" s="1168"/>
      <c r="O12" s="1168"/>
      <c r="P12" s="1168"/>
      <c r="Q12" s="1168"/>
      <c r="R12" s="1168"/>
      <c r="S12" s="1168"/>
      <c r="T12" s="1168"/>
      <c r="U12" s="1168"/>
      <c r="V12" s="1168"/>
      <c r="W12" s="1168"/>
      <c r="X12" s="1168"/>
      <c r="Y12" s="1168"/>
      <c r="Z12" s="1169" t="e">
        <f>AA12+AB12+AC12</f>
        <v>#REF!</v>
      </c>
      <c r="AA12" s="1174"/>
      <c r="AB12" s="1174" t="e">
        <f>TRUNC(D12*J12,1)</f>
        <v>#REF!</v>
      </c>
      <c r="AC12" s="1174"/>
      <c r="AD12" s="1175" t="s">
        <v>973</v>
      </c>
    </row>
    <row r="13" spans="2:30" s="1152" customFormat="1" ht="19.7" customHeight="1">
      <c r="B13" s="1172" t="s">
        <v>1148</v>
      </c>
      <c r="C13" s="1173" t="s">
        <v>981</v>
      </c>
      <c r="D13" s="1449">
        <v>38</v>
      </c>
      <c r="E13" s="1450"/>
      <c r="F13" s="1450"/>
      <c r="G13" s="1450"/>
      <c r="H13" s="1168" t="s">
        <v>954</v>
      </c>
      <c r="I13" s="1168" t="s">
        <v>975</v>
      </c>
      <c r="J13" s="1450" t="e">
        <f>AB12</f>
        <v>#REF!</v>
      </c>
      <c r="K13" s="1450"/>
      <c r="L13" s="1450"/>
      <c r="M13" s="1450"/>
      <c r="N13" s="1168"/>
      <c r="O13" s="1168"/>
      <c r="P13" s="1168"/>
      <c r="Q13" s="1168"/>
      <c r="R13" s="1168"/>
      <c r="S13" s="1168"/>
      <c r="T13" s="1168"/>
      <c r="U13" s="1168"/>
      <c r="V13" s="1168"/>
      <c r="W13" s="1168"/>
      <c r="X13" s="1168"/>
      <c r="Y13" s="1168"/>
      <c r="Z13" s="1169" t="e">
        <f>AA13+AB13+AC13</f>
        <v>#REF!</v>
      </c>
      <c r="AA13" s="1174"/>
      <c r="AB13" s="1174" t="e">
        <f>TRUNC(D13/100*J13,1)</f>
        <v>#REF!</v>
      </c>
      <c r="AC13" s="1174"/>
      <c r="AD13" s="1175" t="s">
        <v>973</v>
      </c>
    </row>
    <row r="14" spans="2:30" s="1152" customFormat="1" ht="19.7" customHeight="1">
      <c r="B14" s="1172" t="s">
        <v>368</v>
      </c>
      <c r="C14" s="1173" t="s">
        <v>973</v>
      </c>
      <c r="D14" s="1451">
        <v>1</v>
      </c>
      <c r="E14" s="1450"/>
      <c r="F14" s="1450"/>
      <c r="G14" s="1168" t="s">
        <v>181</v>
      </c>
      <c r="H14" s="1168" t="s">
        <v>975</v>
      </c>
      <c r="I14" s="1452">
        <f>VLOOKUP($B14,인건비!A:B,2,FALSE)</f>
        <v>240042</v>
      </c>
      <c r="J14" s="1452"/>
      <c r="K14" s="1452"/>
      <c r="L14" s="1452"/>
      <c r="M14" s="1168" t="s">
        <v>975</v>
      </c>
      <c r="N14" s="1450" t="s">
        <v>982</v>
      </c>
      <c r="O14" s="1450"/>
      <c r="P14" s="1450"/>
      <c r="Q14" s="1450"/>
      <c r="R14" s="1450"/>
      <c r="S14" s="1450"/>
      <c r="T14" s="1450"/>
      <c r="U14" s="1450"/>
      <c r="V14" s="1450"/>
      <c r="W14" s="1168"/>
      <c r="X14" s="1168"/>
      <c r="Y14" s="1168"/>
      <c r="Z14" s="1169">
        <f>AA14+AB14+AC14</f>
        <v>50008.7</v>
      </c>
      <c r="AA14" s="1174">
        <f>TRUNC(D14*I14*기계경비적용기준!E21,1)</f>
        <v>50008.7</v>
      </c>
      <c r="AB14" s="1174"/>
      <c r="AC14" s="1174"/>
      <c r="AD14" s="1175" t="s">
        <v>973</v>
      </c>
    </row>
    <row r="15" spans="2:30" ht="19.7" customHeight="1">
      <c r="B15" s="1085" t="s">
        <v>973</v>
      </c>
      <c r="C15" s="1086" t="s">
        <v>973</v>
      </c>
      <c r="D15" s="1081"/>
      <c r="E15" s="1081"/>
      <c r="F15" s="1081"/>
      <c r="G15" s="1081"/>
      <c r="H15" s="1081"/>
      <c r="I15" s="1081"/>
      <c r="J15" s="1081"/>
      <c r="K15" s="1081"/>
      <c r="L15" s="1081"/>
      <c r="M15" s="1081"/>
      <c r="N15" s="1081"/>
      <c r="O15" s="1081"/>
      <c r="P15" s="1081"/>
      <c r="Q15" s="1081"/>
      <c r="R15" s="1081"/>
      <c r="S15" s="1081"/>
      <c r="T15" s="1081"/>
      <c r="U15" s="1081"/>
      <c r="V15" s="1081"/>
      <c r="W15" s="1081"/>
      <c r="X15" s="1081"/>
      <c r="Y15" s="1081"/>
      <c r="Z15" s="1089"/>
      <c r="AA15" s="1090"/>
      <c r="AB15" s="1090"/>
      <c r="AC15" s="1090"/>
      <c r="AD15" s="1088" t="s">
        <v>973</v>
      </c>
    </row>
    <row r="16" spans="2:30" s="1152" customFormat="1" ht="19.7" customHeight="1">
      <c r="B16" s="1166" t="s">
        <v>1149</v>
      </c>
      <c r="C16" s="1167" t="s">
        <v>1150</v>
      </c>
      <c r="D16" s="1168"/>
      <c r="E16" s="1168"/>
      <c r="F16" s="1168"/>
      <c r="G16" s="1168"/>
      <c r="H16" s="1168"/>
      <c r="I16" s="1168"/>
      <c r="J16" s="1168"/>
      <c r="K16" s="1168"/>
      <c r="L16" s="1168"/>
      <c r="M16" s="1168"/>
      <c r="N16" s="1168"/>
      <c r="O16" s="1168"/>
      <c r="P16" s="1168"/>
      <c r="Q16" s="1168"/>
      <c r="R16" s="1168"/>
      <c r="S16" s="1168"/>
      <c r="T16" s="1168"/>
      <c r="U16" s="1168"/>
      <c r="V16" s="1168"/>
      <c r="W16" s="1168"/>
      <c r="X16" s="1168"/>
      <c r="Y16" s="1168"/>
      <c r="Z16" s="1169" t="e">
        <f>AA16+AB16+AC16</f>
        <v>#REF!</v>
      </c>
      <c r="AA16" s="1170">
        <f>TRUNC(AA17+AA18+AA19+AA20)</f>
        <v>59025</v>
      </c>
      <c r="AB16" s="1170" t="e">
        <f>TRUNC(AB17+AB18+AB19+AB20)</f>
        <v>#REF!</v>
      </c>
      <c r="AC16" s="1170">
        <f>TRUNC(AC17+AC18+AC19+AC20)</f>
        <v>17514</v>
      </c>
      <c r="AD16" s="1171"/>
    </row>
    <row r="17" spans="2:30" s="1152" customFormat="1" ht="19.7" customHeight="1">
      <c r="B17" s="1172" t="s">
        <v>1151</v>
      </c>
      <c r="C17" s="1173" t="s">
        <v>973</v>
      </c>
      <c r="D17" s="1450">
        <v>84000000</v>
      </c>
      <c r="E17" s="1450"/>
      <c r="F17" s="1450"/>
      <c r="G17" s="1450"/>
      <c r="H17" s="1450"/>
      <c r="I17" s="1450" t="s">
        <v>974</v>
      </c>
      <c r="J17" s="1450"/>
      <c r="K17" s="1450">
        <v>2085</v>
      </c>
      <c r="L17" s="1450"/>
      <c r="M17" s="1450"/>
      <c r="N17" s="1168" t="s">
        <v>975</v>
      </c>
      <c r="O17" s="1450" t="s">
        <v>976</v>
      </c>
      <c r="P17" s="1450"/>
      <c r="Q17" s="1450"/>
      <c r="R17" s="1168"/>
      <c r="S17" s="1168"/>
      <c r="T17" s="1168"/>
      <c r="U17" s="1168"/>
      <c r="V17" s="1168"/>
      <c r="W17" s="1168"/>
      <c r="X17" s="1168"/>
      <c r="Y17" s="1168"/>
      <c r="Z17" s="1169">
        <f>AA17+AB17+AC17</f>
        <v>17514</v>
      </c>
      <c r="AA17" s="1174"/>
      <c r="AB17" s="1174"/>
      <c r="AC17" s="1174">
        <f>TRUNC(D17*K17*0.0000001,1)</f>
        <v>17514</v>
      </c>
      <c r="AD17" s="1175" t="s">
        <v>977</v>
      </c>
    </row>
    <row r="18" spans="2:30" s="1152" customFormat="1" ht="19.7" customHeight="1">
      <c r="B18" s="1172" t="s">
        <v>978</v>
      </c>
      <c r="C18" s="1173" t="s">
        <v>979</v>
      </c>
      <c r="D18" s="1449">
        <v>9.9</v>
      </c>
      <c r="E18" s="1450"/>
      <c r="F18" s="1450"/>
      <c r="G18" s="1450"/>
      <c r="H18" s="1168" t="s">
        <v>596</v>
      </c>
      <c r="I18" s="1168" t="s">
        <v>975</v>
      </c>
      <c r="J18" s="1452" t="e">
        <f>#REF!</f>
        <v>#REF!</v>
      </c>
      <c r="K18" s="1452"/>
      <c r="L18" s="1452"/>
      <c r="M18" s="1452"/>
      <c r="N18" s="1168"/>
      <c r="O18" s="1168"/>
      <c r="P18" s="1168"/>
      <c r="Q18" s="1168"/>
      <c r="R18" s="1168"/>
      <c r="S18" s="1168"/>
      <c r="T18" s="1168"/>
      <c r="U18" s="1168"/>
      <c r="V18" s="1168"/>
      <c r="W18" s="1168"/>
      <c r="X18" s="1168"/>
      <c r="Y18" s="1168"/>
      <c r="Z18" s="1169" t="e">
        <f>AA18+AB18+AC18</f>
        <v>#REF!</v>
      </c>
      <c r="AA18" s="1174"/>
      <c r="AB18" s="1174" t="e">
        <f>TRUNC(D18*J18,1)</f>
        <v>#REF!</v>
      </c>
      <c r="AC18" s="1174"/>
      <c r="AD18" s="1175" t="s">
        <v>973</v>
      </c>
    </row>
    <row r="19" spans="2:30" s="1152" customFormat="1" ht="19.7" customHeight="1">
      <c r="B19" s="1172" t="s">
        <v>980</v>
      </c>
      <c r="C19" s="1173" t="s">
        <v>981</v>
      </c>
      <c r="D19" s="1449">
        <v>22</v>
      </c>
      <c r="E19" s="1450"/>
      <c r="F19" s="1450"/>
      <c r="G19" s="1450"/>
      <c r="H19" s="1168" t="s">
        <v>954</v>
      </c>
      <c r="I19" s="1168" t="s">
        <v>975</v>
      </c>
      <c r="J19" s="1450" t="e">
        <f>AB18</f>
        <v>#REF!</v>
      </c>
      <c r="K19" s="1450"/>
      <c r="L19" s="1450"/>
      <c r="M19" s="1450"/>
      <c r="N19" s="1168"/>
      <c r="O19" s="1168"/>
      <c r="P19" s="1168"/>
      <c r="Q19" s="1168"/>
      <c r="R19" s="1168"/>
      <c r="S19" s="1168"/>
      <c r="T19" s="1168"/>
      <c r="U19" s="1168"/>
      <c r="V19" s="1168"/>
      <c r="W19" s="1168"/>
      <c r="X19" s="1168"/>
      <c r="Y19" s="1168"/>
      <c r="Z19" s="1169" t="e">
        <f>AA19+AB19+AC19</f>
        <v>#REF!</v>
      </c>
      <c r="AA19" s="1174"/>
      <c r="AB19" s="1174" t="e">
        <f>TRUNC(D19/100*J19,1)</f>
        <v>#REF!</v>
      </c>
      <c r="AC19" s="1174"/>
      <c r="AD19" s="1175" t="s">
        <v>973</v>
      </c>
    </row>
    <row r="20" spans="2:30" s="1152" customFormat="1" ht="19.7" customHeight="1">
      <c r="B20" s="1085" t="s">
        <v>97</v>
      </c>
      <c r="C20" s="1173" t="s">
        <v>973</v>
      </c>
      <c r="D20" s="1451">
        <v>1</v>
      </c>
      <c r="E20" s="1450"/>
      <c r="F20" s="1450"/>
      <c r="G20" s="1168" t="s">
        <v>181</v>
      </c>
      <c r="H20" s="1168" t="s">
        <v>975</v>
      </c>
      <c r="I20" s="1452">
        <f>VLOOKUP($B20,인건비!A:B,2,FALSE)</f>
        <v>283323</v>
      </c>
      <c r="J20" s="1452"/>
      <c r="K20" s="1452"/>
      <c r="L20" s="1452"/>
      <c r="M20" s="1168" t="s">
        <v>975</v>
      </c>
      <c r="N20" s="1450" t="s">
        <v>982</v>
      </c>
      <c r="O20" s="1450"/>
      <c r="P20" s="1450"/>
      <c r="Q20" s="1450"/>
      <c r="R20" s="1450"/>
      <c r="S20" s="1450"/>
      <c r="T20" s="1450"/>
      <c r="U20" s="1450"/>
      <c r="V20" s="1450"/>
      <c r="W20" s="1168"/>
      <c r="X20" s="1168"/>
      <c r="Y20" s="1168"/>
      <c r="Z20" s="1169">
        <f>AA20+AB20+AC20</f>
        <v>59025.599999999999</v>
      </c>
      <c r="AA20" s="1174">
        <f>TRUNC(D20*I20*기계경비적용기준!E21,1)</f>
        <v>59025.599999999999</v>
      </c>
      <c r="AB20" s="1174"/>
      <c r="AC20" s="1174"/>
      <c r="AD20" s="1175" t="s">
        <v>973</v>
      </c>
    </row>
    <row r="21" spans="2:30" s="1152" customFormat="1" ht="19.7" customHeight="1">
      <c r="B21" s="1172" t="s">
        <v>973</v>
      </c>
      <c r="C21" s="1173" t="s">
        <v>973</v>
      </c>
      <c r="D21" s="1168"/>
      <c r="E21" s="1168"/>
      <c r="F21" s="1168"/>
      <c r="G21" s="1168"/>
      <c r="H21" s="1168"/>
      <c r="I21" s="1168"/>
      <c r="J21" s="1168"/>
      <c r="K21" s="1168"/>
      <c r="L21" s="1168"/>
      <c r="M21" s="1168"/>
      <c r="N21" s="1168"/>
      <c r="O21" s="1168"/>
      <c r="P21" s="1168"/>
      <c r="Q21" s="1168"/>
      <c r="R21" s="1168"/>
      <c r="S21" s="1168"/>
      <c r="T21" s="1168"/>
      <c r="U21" s="1168"/>
      <c r="V21" s="1168"/>
      <c r="W21" s="1168"/>
      <c r="X21" s="1168"/>
      <c r="Y21" s="1168"/>
      <c r="Z21" s="1177"/>
      <c r="AA21" s="1178"/>
      <c r="AB21" s="1178"/>
      <c r="AC21" s="1178"/>
      <c r="AD21" s="1175" t="s">
        <v>973</v>
      </c>
    </row>
    <row r="22" spans="2:30" s="1152" customFormat="1" ht="19.7" customHeight="1">
      <c r="B22" s="1166" t="s">
        <v>1152</v>
      </c>
      <c r="C22" s="1167" t="s">
        <v>1153</v>
      </c>
      <c r="D22" s="1168"/>
      <c r="E22" s="1168"/>
      <c r="F22" s="1168"/>
      <c r="G22" s="1168"/>
      <c r="H22" s="1168"/>
      <c r="I22" s="1168"/>
      <c r="J22" s="1168"/>
      <c r="K22" s="1168"/>
      <c r="L22" s="1168"/>
      <c r="M22" s="1168"/>
      <c r="N22" s="1168"/>
      <c r="O22" s="1168"/>
      <c r="P22" s="1168"/>
      <c r="Q22" s="1168"/>
      <c r="R22" s="1168"/>
      <c r="S22" s="1168"/>
      <c r="T22" s="1168"/>
      <c r="U22" s="1168"/>
      <c r="V22" s="1168"/>
      <c r="W22" s="1168"/>
      <c r="X22" s="1168"/>
      <c r="Y22" s="1168"/>
      <c r="Z22" s="1169" t="e">
        <f>AA22+AB22+AC22</f>
        <v>#REF!</v>
      </c>
      <c r="AA22" s="1170">
        <f>TRUNC(AA23+AA24+AA25+AA26)</f>
        <v>36248</v>
      </c>
      <c r="AB22" s="1170" t="e">
        <f>TRUNC(AB23+AB24+AB25+AB26)</f>
        <v>#REF!</v>
      </c>
      <c r="AC22" s="1170">
        <f>TRUNC(AC23+AC24+AC25+AC26)</f>
        <v>620</v>
      </c>
      <c r="AD22" s="1171"/>
    </row>
    <row r="23" spans="2:30" s="1152" customFormat="1" ht="19.7" customHeight="1">
      <c r="B23" s="1172" t="s">
        <v>972</v>
      </c>
      <c r="C23" s="1173" t="s">
        <v>973</v>
      </c>
      <c r="D23" s="1450">
        <v>1673000</v>
      </c>
      <c r="E23" s="1450"/>
      <c r="F23" s="1450"/>
      <c r="G23" s="1450"/>
      <c r="H23" s="1450"/>
      <c r="I23" s="1450" t="s">
        <v>974</v>
      </c>
      <c r="J23" s="1450"/>
      <c r="K23" s="1450">
        <v>3708</v>
      </c>
      <c r="L23" s="1450"/>
      <c r="M23" s="1450"/>
      <c r="N23" s="1168" t="s">
        <v>975</v>
      </c>
      <c r="O23" s="1450" t="s">
        <v>976</v>
      </c>
      <c r="P23" s="1450"/>
      <c r="Q23" s="1450"/>
      <c r="R23" s="1168"/>
      <c r="S23" s="1168"/>
      <c r="T23" s="1168"/>
      <c r="U23" s="1168"/>
      <c r="V23" s="1168"/>
      <c r="W23" s="1168"/>
      <c r="X23" s="1168"/>
      <c r="Y23" s="1168"/>
      <c r="Z23" s="1169">
        <f>AA23+AB23+AC23</f>
        <v>620.29999999999995</v>
      </c>
      <c r="AA23" s="1174"/>
      <c r="AB23" s="1174"/>
      <c r="AC23" s="1174">
        <f>TRUNC(D23*K23*0.0000001,1)</f>
        <v>620.29999999999995</v>
      </c>
      <c r="AD23" s="1175" t="s">
        <v>977</v>
      </c>
    </row>
    <row r="24" spans="2:30" s="1152" customFormat="1" ht="19.7" customHeight="1">
      <c r="B24" s="1172" t="s">
        <v>978</v>
      </c>
      <c r="C24" s="1173" t="s">
        <v>1154</v>
      </c>
      <c r="D24" s="1449">
        <v>1</v>
      </c>
      <c r="E24" s="1450"/>
      <c r="F24" s="1450"/>
      <c r="G24" s="1450"/>
      <c r="H24" s="1168" t="s">
        <v>596</v>
      </c>
      <c r="I24" s="1168" t="s">
        <v>975</v>
      </c>
      <c r="J24" s="1452" t="e">
        <f>#REF!</f>
        <v>#REF!</v>
      </c>
      <c r="K24" s="1452"/>
      <c r="L24" s="1452"/>
      <c r="M24" s="1452"/>
      <c r="N24" s="1168"/>
      <c r="O24" s="1168"/>
      <c r="P24" s="1168"/>
      <c r="Q24" s="1168"/>
      <c r="R24" s="1168"/>
      <c r="S24" s="1168"/>
      <c r="T24" s="1168"/>
      <c r="U24" s="1168"/>
      <c r="V24" s="1168"/>
      <c r="W24" s="1168"/>
      <c r="X24" s="1168"/>
      <c r="Y24" s="1168"/>
      <c r="Z24" s="1169" t="e">
        <f>AA24+AB24+AC24</f>
        <v>#REF!</v>
      </c>
      <c r="AA24" s="1174"/>
      <c r="AB24" s="1174" t="e">
        <f>TRUNC(D24*J24,1)</f>
        <v>#REF!</v>
      </c>
      <c r="AC24" s="1174"/>
      <c r="AD24" s="1175" t="s">
        <v>973</v>
      </c>
    </row>
    <row r="25" spans="2:30" s="1152" customFormat="1" ht="19.7" customHeight="1">
      <c r="B25" s="1172" t="s">
        <v>980</v>
      </c>
      <c r="C25" s="1173" t="s">
        <v>981</v>
      </c>
      <c r="D25" s="1449">
        <v>20</v>
      </c>
      <c r="E25" s="1450"/>
      <c r="F25" s="1450"/>
      <c r="G25" s="1450"/>
      <c r="H25" s="1168" t="s">
        <v>954</v>
      </c>
      <c r="I25" s="1168" t="s">
        <v>975</v>
      </c>
      <c r="J25" s="1450" t="e">
        <f>AB24</f>
        <v>#REF!</v>
      </c>
      <c r="K25" s="1450"/>
      <c r="L25" s="1450"/>
      <c r="M25" s="1450"/>
      <c r="N25" s="1168"/>
      <c r="O25" s="1168"/>
      <c r="P25" s="1168"/>
      <c r="Q25" s="1168"/>
      <c r="R25" s="1168"/>
      <c r="S25" s="1168"/>
      <c r="T25" s="1168"/>
      <c r="U25" s="1168"/>
      <c r="V25" s="1168"/>
      <c r="W25" s="1168"/>
      <c r="X25" s="1168"/>
      <c r="Y25" s="1168"/>
      <c r="Z25" s="1169" t="e">
        <f>AA25+AB25+AC25</f>
        <v>#REF!</v>
      </c>
      <c r="AA25" s="1174"/>
      <c r="AB25" s="1174" t="e">
        <f>TRUNC(D25/100*J25,1)</f>
        <v>#REF!</v>
      </c>
      <c r="AC25" s="1174"/>
      <c r="AD25" s="1175" t="s">
        <v>973</v>
      </c>
    </row>
    <row r="26" spans="2:30" s="1152" customFormat="1" ht="19.7" customHeight="1">
      <c r="B26" s="1172" t="s">
        <v>369</v>
      </c>
      <c r="C26" s="1173" t="s">
        <v>973</v>
      </c>
      <c r="D26" s="1451">
        <v>1</v>
      </c>
      <c r="E26" s="1450"/>
      <c r="F26" s="1450"/>
      <c r="G26" s="1168" t="s">
        <v>181</v>
      </c>
      <c r="H26" s="1168" t="s">
        <v>975</v>
      </c>
      <c r="I26" s="1452">
        <f>VLOOKUP($B26,인건비!A:B,2,FALSE)</f>
        <v>173995</v>
      </c>
      <c r="J26" s="1452"/>
      <c r="K26" s="1452"/>
      <c r="L26" s="1452"/>
      <c r="M26" s="1168" t="s">
        <v>975</v>
      </c>
      <c r="N26" s="1450" t="s">
        <v>982</v>
      </c>
      <c r="O26" s="1450"/>
      <c r="P26" s="1450"/>
      <c r="Q26" s="1450"/>
      <c r="R26" s="1450"/>
      <c r="S26" s="1450"/>
      <c r="T26" s="1450"/>
      <c r="U26" s="1450"/>
      <c r="V26" s="1450"/>
      <c r="W26" s="1168"/>
      <c r="X26" s="1168"/>
      <c r="Y26" s="1168"/>
      <c r="Z26" s="1169">
        <f>AA26+AB26+AC26</f>
        <v>36248.9</v>
      </c>
      <c r="AA26" s="1174">
        <f>TRUNC(D26*I26*기계경비적용기준!E21,1)</f>
        <v>36248.9</v>
      </c>
      <c r="AB26" s="1174"/>
      <c r="AC26" s="1174"/>
      <c r="AD26" s="1175" t="s">
        <v>973</v>
      </c>
    </row>
    <row r="27" spans="2:30" ht="19.7" customHeight="1">
      <c r="B27" s="1085" t="s">
        <v>973</v>
      </c>
      <c r="C27" s="1086" t="s">
        <v>973</v>
      </c>
      <c r="D27" s="1081"/>
      <c r="E27" s="1081"/>
      <c r="F27" s="1081"/>
      <c r="G27" s="1081"/>
      <c r="H27" s="1081"/>
      <c r="I27" s="1081"/>
      <c r="J27" s="1081"/>
      <c r="K27" s="1081"/>
      <c r="L27" s="1081"/>
      <c r="M27" s="1081"/>
      <c r="N27" s="1081"/>
      <c r="O27" s="1081"/>
      <c r="P27" s="1081"/>
      <c r="Q27" s="1081"/>
      <c r="R27" s="1081"/>
      <c r="S27" s="1081"/>
      <c r="T27" s="1081"/>
      <c r="U27" s="1081"/>
      <c r="V27" s="1081"/>
      <c r="W27" s="1081"/>
      <c r="X27" s="1081"/>
      <c r="Y27" s="1081"/>
      <c r="Z27" s="1089"/>
      <c r="AA27" s="1090"/>
      <c r="AB27" s="1090"/>
      <c r="AC27" s="1090"/>
      <c r="AD27" s="1088" t="s">
        <v>973</v>
      </c>
    </row>
    <row r="28" spans="2:30" ht="19.7" customHeight="1">
      <c r="B28" s="1085" t="s">
        <v>973</v>
      </c>
      <c r="C28" s="1086" t="s">
        <v>973</v>
      </c>
      <c r="D28" s="1081"/>
      <c r="E28" s="1081"/>
      <c r="F28" s="1081"/>
      <c r="G28" s="1081"/>
      <c r="H28" s="1081"/>
      <c r="I28" s="1081"/>
      <c r="J28" s="1081"/>
      <c r="K28" s="1081"/>
      <c r="L28" s="1081"/>
      <c r="M28" s="1081"/>
      <c r="N28" s="1081"/>
      <c r="O28" s="1081"/>
      <c r="P28" s="1081"/>
      <c r="Q28" s="1081"/>
      <c r="R28" s="1081"/>
      <c r="S28" s="1081"/>
      <c r="T28" s="1081"/>
      <c r="U28" s="1081"/>
      <c r="V28" s="1081"/>
      <c r="W28" s="1081"/>
      <c r="X28" s="1081"/>
      <c r="Y28" s="1081"/>
      <c r="Z28" s="1089"/>
      <c r="AA28" s="1090"/>
      <c r="AB28" s="1090"/>
      <c r="AC28" s="1090"/>
      <c r="AD28" s="1088" t="s">
        <v>973</v>
      </c>
    </row>
    <row r="29" spans="2:30" ht="19.7" customHeight="1">
      <c r="B29" s="1091" t="s">
        <v>973</v>
      </c>
      <c r="C29" s="1092" t="s">
        <v>973</v>
      </c>
      <c r="D29" s="1093"/>
      <c r="E29" s="1093"/>
      <c r="F29" s="1093"/>
      <c r="G29" s="1093"/>
      <c r="H29" s="1093"/>
      <c r="I29" s="1093"/>
      <c r="J29" s="1093"/>
      <c r="K29" s="1093"/>
      <c r="L29" s="1093"/>
      <c r="M29" s="1093"/>
      <c r="N29" s="1093"/>
      <c r="O29" s="1093"/>
      <c r="P29" s="1093"/>
      <c r="Q29" s="1093"/>
      <c r="R29" s="1093"/>
      <c r="S29" s="1093"/>
      <c r="T29" s="1093"/>
      <c r="U29" s="1093"/>
      <c r="V29" s="1093"/>
      <c r="W29" s="1093"/>
      <c r="X29" s="1093"/>
      <c r="Y29" s="1093"/>
      <c r="Z29" s="1094"/>
      <c r="AA29" s="1095"/>
      <c r="AB29" s="1095"/>
      <c r="AC29" s="1095"/>
      <c r="AD29" s="1096" t="s">
        <v>973</v>
      </c>
    </row>
    <row r="30" spans="2:30">
      <c r="B30" s="1097"/>
      <c r="C30" s="1097"/>
      <c r="D30" s="1097"/>
      <c r="E30" s="1097"/>
      <c r="F30" s="1097"/>
      <c r="G30" s="1097"/>
      <c r="H30" s="1097"/>
      <c r="I30" s="1097"/>
      <c r="J30" s="1097"/>
      <c r="K30" s="1097"/>
      <c r="L30" s="1097"/>
      <c r="M30" s="1097"/>
      <c r="N30" s="1097"/>
      <c r="O30" s="1097"/>
      <c r="P30" s="1097"/>
      <c r="Q30" s="1097"/>
      <c r="R30" s="1097"/>
      <c r="S30" s="1097"/>
      <c r="T30" s="1097"/>
      <c r="U30" s="1097"/>
      <c r="V30" s="1097"/>
      <c r="W30" s="1097"/>
      <c r="X30" s="1097"/>
      <c r="Y30" s="1097"/>
      <c r="Z30" s="1097"/>
      <c r="AA30" s="1097"/>
      <c r="AB30" s="1097"/>
      <c r="AC30" s="1097"/>
      <c r="AD30" s="1097"/>
    </row>
  </sheetData>
  <mergeCells count="45">
    <mergeCell ref="D3:Y3"/>
    <mergeCell ref="D5:H5"/>
    <mergeCell ref="I5:J5"/>
    <mergeCell ref="K5:M5"/>
    <mergeCell ref="O5:Q5"/>
    <mergeCell ref="N8:V8"/>
    <mergeCell ref="D6:G6"/>
    <mergeCell ref="J6:M6"/>
    <mergeCell ref="D7:G7"/>
    <mergeCell ref="J7:M7"/>
    <mergeCell ref="D8:F8"/>
    <mergeCell ref="I8:L8"/>
    <mergeCell ref="D11:H11"/>
    <mergeCell ref="I11:J11"/>
    <mergeCell ref="K11:M11"/>
    <mergeCell ref="O11:Q11"/>
    <mergeCell ref="D12:G12"/>
    <mergeCell ref="J12:M12"/>
    <mergeCell ref="D13:G13"/>
    <mergeCell ref="J13:M13"/>
    <mergeCell ref="D14:F14"/>
    <mergeCell ref="I14:L14"/>
    <mergeCell ref="N14:V14"/>
    <mergeCell ref="D17:H17"/>
    <mergeCell ref="I17:J17"/>
    <mergeCell ref="K17:M17"/>
    <mergeCell ref="O17:Q17"/>
    <mergeCell ref="D18:G18"/>
    <mergeCell ref="J18:M18"/>
    <mergeCell ref="D19:G19"/>
    <mergeCell ref="J19:M19"/>
    <mergeCell ref="D20:F20"/>
    <mergeCell ref="I20:L20"/>
    <mergeCell ref="N20:V20"/>
    <mergeCell ref="D23:H23"/>
    <mergeCell ref="I23:J23"/>
    <mergeCell ref="K23:M23"/>
    <mergeCell ref="O23:Q23"/>
    <mergeCell ref="D24:G24"/>
    <mergeCell ref="J24:M24"/>
    <mergeCell ref="D25:G25"/>
    <mergeCell ref="J25:M25"/>
    <mergeCell ref="D26:F26"/>
    <mergeCell ref="I26:L26"/>
    <mergeCell ref="N26:V26"/>
  </mergeCells>
  <phoneticPr fontId="4" type="noConversion"/>
  <printOptions horizontalCentered="1" verticalCentered="1"/>
  <pageMargins left="0.98425196850393704" right="7.874015748031496E-2" top="0.6692913385826772" bottom="0.59055118110236227" header="0.51181102362204722" footer="0.51181102362204722"/>
  <pageSetup paperSize="9" scale="85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10"/>
  <dimension ref="A1:CS417"/>
  <sheetViews>
    <sheetView view="pageBreakPreview" topLeftCell="A28" zoomScale="115" zoomScaleNormal="100" zoomScaleSheetLayoutView="115" workbookViewId="0">
      <selection activeCell="AL37" sqref="AL36:AL37"/>
    </sheetView>
  </sheetViews>
  <sheetFormatPr defaultColWidth="4.109375" defaultRowHeight="18" customHeight="1"/>
  <cols>
    <col min="1" max="1" width="4.109375" style="1" customWidth="1"/>
    <col min="2" max="93" width="0.88671875" style="1" customWidth="1"/>
    <col min="94" max="94" width="4.109375" style="1" customWidth="1"/>
    <col min="95" max="95" width="15" style="1" bestFit="1" customWidth="1"/>
    <col min="96" max="96" width="11.33203125" style="248" bestFit="1" customWidth="1"/>
    <col min="97" max="97" width="7.6640625" style="1" bestFit="1" customWidth="1"/>
    <col min="98" max="16384" width="4.109375" style="1"/>
  </cols>
  <sheetData>
    <row r="1" spans="1:97" s="16" customFormat="1" ht="30.75" hidden="1" customHeight="1">
      <c r="A1" s="1467" t="s">
        <v>632</v>
      </c>
      <c r="B1" s="1468"/>
      <c r="C1" s="1468"/>
      <c r="D1" s="1468"/>
      <c r="E1" s="1468"/>
      <c r="F1" s="1468"/>
      <c r="G1" s="1468"/>
      <c r="H1" s="1468"/>
      <c r="I1" s="1468"/>
      <c r="J1" s="1468"/>
      <c r="K1" s="1468"/>
      <c r="L1" s="1468"/>
      <c r="M1" s="1468"/>
      <c r="N1" s="1468"/>
      <c r="O1" s="1468"/>
      <c r="P1" s="1468"/>
      <c r="Q1" s="1468"/>
      <c r="R1" s="1468"/>
      <c r="S1" s="1468"/>
      <c r="T1" s="1468"/>
      <c r="U1" s="1468"/>
      <c r="V1" s="1468"/>
      <c r="W1" s="1468"/>
      <c r="X1" s="1468"/>
      <c r="Y1" s="1468"/>
      <c r="Z1" s="1468"/>
      <c r="AA1" s="1468"/>
      <c r="AB1" s="1468"/>
      <c r="AC1" s="1468"/>
      <c r="AD1" s="1468"/>
      <c r="AE1" s="1468"/>
      <c r="AF1" s="1468"/>
      <c r="AG1" s="1468"/>
      <c r="AH1" s="1468"/>
      <c r="AI1" s="1468"/>
      <c r="AJ1" s="1468"/>
      <c r="AK1" s="1468"/>
      <c r="AL1" s="1468"/>
      <c r="AM1" s="1468"/>
      <c r="AN1" s="1468"/>
      <c r="AO1" s="1468"/>
      <c r="AP1" s="1468"/>
      <c r="AQ1" s="1468"/>
      <c r="AR1" s="1468"/>
      <c r="AS1" s="1468"/>
      <c r="AT1" s="1468"/>
      <c r="AU1" s="1468"/>
      <c r="AV1" s="1468"/>
      <c r="AW1" s="1468"/>
      <c r="AX1" s="1468"/>
      <c r="AY1" s="1468"/>
      <c r="AZ1" s="1468"/>
      <c r="BA1" s="1468"/>
      <c r="BB1" s="1468"/>
      <c r="BC1" s="1468"/>
      <c r="BD1" s="1468"/>
      <c r="BE1" s="1468"/>
      <c r="BF1" s="1468"/>
      <c r="BG1" s="1468"/>
      <c r="BH1" s="1468"/>
      <c r="BI1" s="1468"/>
      <c r="BJ1" s="1468"/>
      <c r="BK1" s="1468"/>
      <c r="BL1" s="1468"/>
      <c r="BM1" s="1468"/>
      <c r="BN1" s="1468"/>
      <c r="BO1" s="1468"/>
      <c r="BP1" s="1468"/>
      <c r="BQ1" s="1468"/>
      <c r="BR1" s="1468"/>
      <c r="BS1" s="1468"/>
      <c r="BT1" s="1468"/>
      <c r="BU1" s="1468"/>
      <c r="BV1" s="1468"/>
      <c r="BW1" s="1468"/>
      <c r="BX1" s="1468"/>
      <c r="BY1" s="1468"/>
      <c r="BZ1" s="1468"/>
      <c r="CA1" s="1468"/>
      <c r="CB1" s="1468"/>
      <c r="CC1" s="1468"/>
      <c r="CD1" s="1468"/>
      <c r="CE1" s="1468"/>
      <c r="CF1" s="1468"/>
      <c r="CG1" s="1468"/>
      <c r="CH1" s="1468"/>
      <c r="CI1" s="1468"/>
      <c r="CJ1" s="1468"/>
      <c r="CK1" s="1468"/>
      <c r="CL1" s="1468"/>
      <c r="CM1" s="1468"/>
      <c r="CN1" s="1468"/>
      <c r="CO1" s="1468"/>
      <c r="CP1" s="1469"/>
      <c r="CR1" s="243"/>
    </row>
    <row r="2" spans="1:97" s="16" customFormat="1" ht="9.9499999999999993" hidden="1" customHeight="1">
      <c r="A2" s="40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  <c r="CA2" s="41"/>
      <c r="CB2" s="41"/>
      <c r="CC2" s="41"/>
      <c r="CD2" s="41"/>
      <c r="CE2" s="41"/>
      <c r="CF2" s="41"/>
      <c r="CG2" s="41"/>
      <c r="CH2" s="41"/>
      <c r="CI2" s="41"/>
      <c r="CJ2" s="41"/>
      <c r="CK2" s="41"/>
      <c r="CL2" s="41"/>
      <c r="CM2" s="41"/>
      <c r="CN2" s="41"/>
      <c r="CO2" s="41"/>
      <c r="CP2" s="43"/>
      <c r="CR2" s="243"/>
    </row>
    <row r="3" spans="1:97" s="16" customFormat="1" ht="30.75" hidden="1" customHeight="1">
      <c r="A3" s="17"/>
      <c r="C3" s="19"/>
      <c r="D3" s="51" t="s">
        <v>556</v>
      </c>
      <c r="E3" s="21"/>
      <c r="F3" s="22"/>
      <c r="G3" s="22"/>
      <c r="H3" s="22"/>
      <c r="I3" s="22"/>
      <c r="J3" s="23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3"/>
      <c r="Z3" s="23"/>
      <c r="AA3" s="25"/>
      <c r="AB3" s="25"/>
      <c r="AC3" s="25"/>
      <c r="AD3" s="25"/>
      <c r="AE3" s="25"/>
      <c r="AF3" s="22"/>
      <c r="AG3" s="24"/>
      <c r="AH3" s="23"/>
      <c r="AI3" s="25"/>
      <c r="AJ3" s="25"/>
      <c r="AK3" s="25"/>
      <c r="AL3" s="25"/>
      <c r="AM3" s="25"/>
      <c r="AN3" s="23"/>
      <c r="AO3" s="24"/>
      <c r="AP3" s="26"/>
      <c r="AQ3" s="24"/>
      <c r="AR3" s="23">
        <v>1</v>
      </c>
      <c r="AS3" s="27"/>
      <c r="AT3" s="27"/>
      <c r="AU3" s="27"/>
      <c r="AV3" s="27"/>
      <c r="AW3" s="27"/>
      <c r="AX3" s="28"/>
      <c r="AY3" s="22" t="s">
        <v>206</v>
      </c>
      <c r="AZ3" s="24"/>
      <c r="BA3" s="28"/>
      <c r="BB3" s="28"/>
      <c r="BC3" s="28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18"/>
      <c r="CR3" s="662"/>
      <c r="CS3" s="663" t="s">
        <v>781</v>
      </c>
    </row>
    <row r="4" spans="1:97" s="16" customFormat="1" ht="18" hidden="1" customHeight="1">
      <c r="A4" s="17"/>
      <c r="D4" s="20"/>
      <c r="O4" s="20"/>
      <c r="BK4" s="16" t="s">
        <v>104</v>
      </c>
      <c r="BW4" s="1480">
        <v>100243</v>
      </c>
      <c r="BX4" s="1480"/>
      <c r="BY4" s="1480"/>
      <c r="BZ4" s="1480"/>
      <c r="CA4" s="1480"/>
      <c r="CB4" s="1480"/>
      <c r="CC4" s="1480"/>
      <c r="CD4" s="1480"/>
      <c r="CE4" s="1480"/>
      <c r="CF4" s="1480"/>
      <c r="CG4" s="16" t="s">
        <v>107</v>
      </c>
      <c r="CP4" s="18"/>
      <c r="CQ4" s="49"/>
      <c r="CR4" s="662"/>
      <c r="CS4" s="664"/>
    </row>
    <row r="5" spans="1:97" s="16" customFormat="1" ht="18" hidden="1" customHeight="1">
      <c r="A5" s="17"/>
      <c r="D5" s="1461" t="s">
        <v>635</v>
      </c>
      <c r="E5" s="1462"/>
      <c r="F5" s="1462"/>
      <c r="G5" s="1462"/>
      <c r="H5" s="1462"/>
      <c r="I5" s="1462"/>
      <c r="J5" s="1462"/>
      <c r="K5" s="1462"/>
      <c r="L5" s="1462"/>
      <c r="M5" s="1462"/>
      <c r="N5" s="1462"/>
      <c r="O5" s="1462"/>
      <c r="P5" s="1462"/>
      <c r="Q5" s="1462"/>
      <c r="R5" s="1462"/>
      <c r="S5" s="1462"/>
      <c r="T5" s="1462"/>
      <c r="U5" s="1462"/>
      <c r="V5" s="1462"/>
      <c r="W5" s="1462"/>
      <c r="X5" s="1462"/>
      <c r="Y5" s="1462"/>
      <c r="Z5" s="1462"/>
      <c r="AA5" s="1462"/>
      <c r="AB5" s="1462"/>
      <c r="AC5" s="1462"/>
      <c r="AD5" s="1462"/>
      <c r="AE5" s="1462"/>
      <c r="AF5" s="1462"/>
      <c r="AG5" s="1462"/>
      <c r="AH5" s="1462"/>
      <c r="AI5" s="1462"/>
      <c r="AJ5" s="1462"/>
      <c r="AK5" s="1462"/>
      <c r="AL5" s="1462"/>
      <c r="AM5" s="1462"/>
      <c r="AN5" s="1462"/>
      <c r="AO5" s="1462"/>
      <c r="AP5" s="1462"/>
      <c r="AQ5" s="1462"/>
      <c r="AR5" s="1462"/>
      <c r="AS5" s="1462"/>
      <c r="AT5" s="1462"/>
      <c r="AU5" s="1462"/>
      <c r="AV5" s="1462"/>
      <c r="AW5" s="1462"/>
      <c r="AX5" s="1462"/>
      <c r="AY5" s="1462"/>
      <c r="AZ5" s="1462"/>
      <c r="BA5" s="1462"/>
      <c r="BB5" s="1462"/>
      <c r="BC5" s="1462"/>
      <c r="BD5" s="1462"/>
      <c r="BE5" s="1462"/>
      <c r="BF5" s="1462"/>
      <c r="BG5" s="1462"/>
      <c r="BH5" s="1462"/>
      <c r="BI5" s="1462"/>
      <c r="BJ5" s="1462"/>
      <c r="BK5" s="1462"/>
      <c r="BL5" s="1462"/>
      <c r="BM5" s="1462"/>
      <c r="BN5" s="1462"/>
      <c r="BO5" s="1462"/>
      <c r="BP5" s="1462"/>
      <c r="BQ5" s="1462"/>
      <c r="BR5" s="1462"/>
      <c r="BS5" s="1462"/>
      <c r="BT5" s="1462"/>
      <c r="BU5" s="1462"/>
      <c r="BV5" s="1462"/>
      <c r="BW5" s="1462"/>
      <c r="BX5" s="1462"/>
      <c r="BY5" s="1462"/>
      <c r="BZ5" s="1462"/>
      <c r="CA5" s="1462"/>
      <c r="CB5" s="1462"/>
      <c r="CC5" s="1462"/>
      <c r="CD5" s="1462"/>
      <c r="CE5" s="1462"/>
      <c r="CF5" s="1462"/>
      <c r="CG5" s="1462"/>
      <c r="CH5" s="1462"/>
      <c r="CI5" s="1462"/>
      <c r="CJ5" s="1462"/>
      <c r="CK5" s="1462"/>
      <c r="CL5" s="1462"/>
      <c r="CM5" s="1462"/>
      <c r="CN5" s="1462"/>
      <c r="CO5" s="1462"/>
      <c r="CP5" s="18"/>
      <c r="CQ5" s="16" t="s">
        <v>97</v>
      </c>
      <c r="CR5" s="244">
        <f>VLOOKUP(CQ5,인건비!A:B,2,FALSE)</f>
        <v>283323</v>
      </c>
    </row>
    <row r="6" spans="1:97" s="16" customFormat="1" ht="18" hidden="1" customHeight="1" thickBot="1">
      <c r="A6" s="17"/>
      <c r="E6" s="16" t="s">
        <v>60</v>
      </c>
      <c r="U6" s="1466">
        <v>1</v>
      </c>
      <c r="V6" s="1474"/>
      <c r="W6" s="1474"/>
      <c r="X6" s="1474"/>
      <c r="Y6" s="1474"/>
      <c r="Z6" s="29" t="s">
        <v>105</v>
      </c>
      <c r="AA6" s="29"/>
      <c r="AB6" s="29"/>
      <c r="AC6" s="29"/>
      <c r="AD6" s="29"/>
      <c r="AE6" s="1479">
        <f>CR5</f>
        <v>283323</v>
      </c>
      <c r="AF6" s="1479"/>
      <c r="AG6" s="1479"/>
      <c r="AH6" s="1479"/>
      <c r="AI6" s="1479"/>
      <c r="AJ6" s="1479"/>
      <c r="AK6" s="1479"/>
      <c r="AL6" s="1479"/>
      <c r="AM6" s="16" t="s">
        <v>106</v>
      </c>
      <c r="AU6" s="1466">
        <v>8</v>
      </c>
      <c r="AV6" s="1466"/>
      <c r="AW6" s="1466"/>
      <c r="AX6" s="29" t="s">
        <v>100</v>
      </c>
      <c r="AY6" s="29"/>
      <c r="AZ6" s="1466">
        <v>25</v>
      </c>
      <c r="BA6" s="1466"/>
      <c r="BB6" s="1466"/>
      <c r="BC6" s="29" t="s">
        <v>99</v>
      </c>
      <c r="BD6" s="29"/>
      <c r="BE6" s="1466">
        <v>20</v>
      </c>
      <c r="BF6" s="1466"/>
      <c r="BG6" s="1466"/>
      <c r="BH6" s="29" t="s">
        <v>100</v>
      </c>
      <c r="BI6" s="29"/>
      <c r="BJ6" s="1466">
        <v>16</v>
      </c>
      <c r="BK6" s="1466"/>
      <c r="BL6" s="1466"/>
      <c r="BM6" s="29" t="s">
        <v>99</v>
      </c>
      <c r="BN6" s="29"/>
      <c r="BO6" s="1466">
        <v>12</v>
      </c>
      <c r="BP6" s="1466"/>
      <c r="BQ6" s="1466"/>
      <c r="BR6" s="1466"/>
      <c r="BS6" s="31" t="s">
        <v>103</v>
      </c>
      <c r="BT6" s="29"/>
      <c r="BU6" s="1458">
        <f>INT(U6*AE6*(1/AU6*(AZ6/BE6)*(BJ6/BO6)))</f>
        <v>59025</v>
      </c>
      <c r="BV6" s="1458"/>
      <c r="BW6" s="1458"/>
      <c r="BX6" s="1458"/>
      <c r="BY6" s="1458"/>
      <c r="BZ6" s="1458"/>
      <c r="CA6" s="1458"/>
      <c r="CB6" s="1458"/>
      <c r="CC6" s="16" t="s">
        <v>98</v>
      </c>
      <c r="CP6" s="18"/>
      <c r="CR6" s="244"/>
    </row>
    <row r="7" spans="1:97" s="16" customFormat="1" ht="18" hidden="1" customHeight="1" thickTop="1">
      <c r="A7" s="17"/>
      <c r="D7" s="33"/>
      <c r="E7" s="34" t="s">
        <v>44</v>
      </c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1459">
        <f>INT(SUM(BU6))</f>
        <v>59025</v>
      </c>
      <c r="BV7" s="1459"/>
      <c r="BW7" s="1459"/>
      <c r="BX7" s="1459"/>
      <c r="BY7" s="1459"/>
      <c r="BZ7" s="1459"/>
      <c r="CA7" s="1459"/>
      <c r="CB7" s="1459"/>
      <c r="CC7" s="33" t="s">
        <v>98</v>
      </c>
      <c r="CD7" s="33"/>
      <c r="CE7" s="33"/>
      <c r="CF7" s="33"/>
      <c r="CG7" s="33"/>
      <c r="CH7" s="33"/>
      <c r="CI7" s="33"/>
      <c r="CP7" s="18"/>
      <c r="CQ7" s="16" t="s">
        <v>176</v>
      </c>
      <c r="CR7" s="244">
        <f>VLOOKUP(CQ7,인건비!A:B,2,FALSE)</f>
        <v>210909</v>
      </c>
    </row>
    <row r="8" spans="1:97" s="16" customFormat="1" ht="18" hidden="1" customHeight="1">
      <c r="A8" s="17"/>
      <c r="U8" s="29"/>
      <c r="V8" s="29"/>
      <c r="W8" s="29"/>
      <c r="X8" s="29"/>
      <c r="Y8" s="29"/>
      <c r="Z8" s="29"/>
      <c r="AA8" s="29"/>
      <c r="AB8" s="29"/>
      <c r="AC8" s="29"/>
      <c r="AD8" s="29"/>
      <c r="AE8" s="30"/>
      <c r="AF8" s="29"/>
      <c r="AG8" s="29"/>
      <c r="AH8" s="29"/>
      <c r="AI8" s="29"/>
      <c r="AJ8" s="29"/>
      <c r="AK8" s="29"/>
      <c r="AL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S8" s="31"/>
      <c r="BT8" s="29"/>
      <c r="BU8" s="32"/>
      <c r="BV8" s="29"/>
      <c r="BW8" s="29"/>
      <c r="BX8" s="29"/>
      <c r="BY8" s="29"/>
      <c r="BZ8" s="29"/>
      <c r="CA8" s="29"/>
      <c r="CB8" s="29"/>
      <c r="CP8" s="18"/>
      <c r="CQ8" s="16" t="s">
        <v>96</v>
      </c>
      <c r="CR8" s="244">
        <f>VLOOKUP(CQ8,인건비!A:B,2,FALSE)</f>
        <v>173995</v>
      </c>
    </row>
    <row r="9" spans="1:97" s="16" customFormat="1" ht="18" hidden="1" customHeight="1">
      <c r="A9" s="17"/>
      <c r="CP9" s="18"/>
      <c r="CQ9" s="16" t="s">
        <v>95</v>
      </c>
      <c r="CR9" s="244">
        <f>VLOOKUP(CQ9,인건비!A:B,2,FALSE)</f>
        <v>240042</v>
      </c>
    </row>
    <row r="10" spans="1:97" s="16" customFormat="1" ht="18" hidden="1" customHeight="1">
      <c r="A10" s="17"/>
      <c r="BV10" s="32"/>
      <c r="BW10" s="29"/>
      <c r="BX10" s="29"/>
      <c r="BY10" s="29"/>
      <c r="BZ10" s="29"/>
      <c r="CA10" s="29"/>
      <c r="CB10" s="29"/>
      <c r="CC10" s="29"/>
      <c r="CD10" s="29"/>
      <c r="CP10" s="18"/>
      <c r="CQ10" s="16" t="s">
        <v>267</v>
      </c>
      <c r="CR10" s="245" t="e">
        <f>#REF!</f>
        <v>#REF!</v>
      </c>
    </row>
    <row r="11" spans="1:97" s="16" customFormat="1" ht="18" hidden="1" customHeight="1">
      <c r="A11" s="17"/>
      <c r="D11" s="1461" t="s">
        <v>633</v>
      </c>
      <c r="E11" s="1462"/>
      <c r="F11" s="1462"/>
      <c r="G11" s="1462"/>
      <c r="H11" s="1462"/>
      <c r="I11" s="1462"/>
      <c r="J11" s="1462"/>
      <c r="K11" s="1462"/>
      <c r="L11" s="1462"/>
      <c r="M11" s="1462"/>
      <c r="N11" s="1462"/>
      <c r="O11" s="1462"/>
      <c r="P11" s="1462"/>
      <c r="Q11" s="1462"/>
      <c r="R11" s="1462"/>
      <c r="S11" s="1462"/>
      <c r="T11" s="1462"/>
      <c r="U11" s="1462"/>
      <c r="V11" s="1462"/>
      <c r="W11" s="1462"/>
      <c r="X11" s="1462"/>
      <c r="Y11" s="1462"/>
      <c r="Z11" s="1462"/>
      <c r="AA11" s="1462"/>
      <c r="AB11" s="1462"/>
      <c r="AC11" s="1462"/>
      <c r="AD11" s="1462"/>
      <c r="AE11" s="1462"/>
      <c r="AF11" s="1462"/>
      <c r="AG11" s="1462"/>
      <c r="AH11" s="1462"/>
      <c r="AI11" s="1462"/>
      <c r="AJ11" s="1462"/>
      <c r="AK11" s="1462"/>
      <c r="AL11" s="1462"/>
      <c r="AM11" s="1462"/>
      <c r="AN11" s="1462"/>
      <c r="AO11" s="1462"/>
      <c r="AP11" s="1462"/>
      <c r="AQ11" s="1462"/>
      <c r="AR11" s="1462"/>
      <c r="AS11" s="1462"/>
      <c r="AT11" s="1462"/>
      <c r="AU11" s="1462"/>
      <c r="AV11" s="1462"/>
      <c r="AW11" s="1462"/>
      <c r="AX11" s="1462"/>
      <c r="AY11" s="1462"/>
      <c r="AZ11" s="1462"/>
      <c r="BA11" s="1462"/>
      <c r="BB11" s="1462"/>
      <c r="BC11" s="1462"/>
      <c r="BD11" s="1462"/>
      <c r="BE11" s="1462"/>
      <c r="BF11" s="1462"/>
      <c r="BG11" s="1462"/>
      <c r="BH11" s="1462"/>
      <c r="BI11" s="1462"/>
      <c r="BJ11" s="1462"/>
      <c r="BK11" s="1462"/>
      <c r="BL11" s="1462"/>
      <c r="BM11" s="1462"/>
      <c r="BN11" s="1462"/>
      <c r="BO11" s="1462"/>
      <c r="BP11" s="1462"/>
      <c r="BQ11" s="1462"/>
      <c r="BR11" s="1462"/>
      <c r="BS11" s="1462"/>
      <c r="BT11" s="1462"/>
      <c r="BU11" s="1462"/>
      <c r="BV11" s="1462"/>
      <c r="BW11" s="1462"/>
      <c r="BX11" s="1462"/>
      <c r="BY11" s="1462"/>
      <c r="BZ11" s="1462"/>
      <c r="CA11" s="1462"/>
      <c r="CB11" s="1462"/>
      <c r="CC11" s="1462"/>
      <c r="CD11" s="1462"/>
      <c r="CE11" s="1462"/>
      <c r="CF11" s="1462"/>
      <c r="CG11" s="1462"/>
      <c r="CH11" s="1462"/>
      <c r="CI11" s="1462"/>
      <c r="CJ11" s="1462"/>
      <c r="CK11" s="1462"/>
      <c r="CL11" s="1462"/>
      <c r="CM11" s="1462"/>
      <c r="CN11" s="1462"/>
      <c r="CO11" s="1462"/>
      <c r="CP11" s="18"/>
      <c r="CQ11" s="16" t="s">
        <v>268</v>
      </c>
      <c r="CR11" s="245" t="e">
        <f>#REF!</f>
        <v>#REF!</v>
      </c>
    </row>
    <row r="12" spans="1:97" s="16" customFormat="1" ht="18" hidden="1" customHeight="1">
      <c r="A12" s="17"/>
      <c r="E12" s="16" t="s">
        <v>108</v>
      </c>
      <c r="U12" s="1463">
        <v>10.199999999999999</v>
      </c>
      <c r="V12" s="1463"/>
      <c r="W12" s="1463"/>
      <c r="X12" s="1463"/>
      <c r="Y12" s="1463"/>
      <c r="Z12" s="16" t="s">
        <v>266</v>
      </c>
      <c r="AE12" s="1456" t="e">
        <f>CR11</f>
        <v>#REF!</v>
      </c>
      <c r="AF12" s="1456"/>
      <c r="AG12" s="1456"/>
      <c r="AH12" s="1456"/>
      <c r="AI12" s="1456"/>
      <c r="AJ12" s="1456"/>
      <c r="AK12" s="1456"/>
      <c r="AL12" s="1456"/>
      <c r="AM12" s="16" t="s">
        <v>286</v>
      </c>
      <c r="AT12" s="1465" t="e">
        <f>INT(U12*AE12)</f>
        <v>#REF!</v>
      </c>
      <c r="AU12" s="1465"/>
      <c r="AV12" s="1465"/>
      <c r="AW12" s="1465"/>
      <c r="AX12" s="1465"/>
      <c r="AY12" s="1465"/>
      <c r="AZ12" s="1465"/>
      <c r="BA12" s="1465"/>
      <c r="BB12" s="16" t="s">
        <v>98</v>
      </c>
      <c r="CP12" s="18"/>
      <c r="CR12" s="242"/>
      <c r="CS12" s="487"/>
    </row>
    <row r="13" spans="1:97" s="16" customFormat="1" ht="18" hidden="1" customHeight="1" thickBot="1">
      <c r="A13" s="17"/>
      <c r="E13" s="16" t="s">
        <v>288</v>
      </c>
      <c r="U13" s="16" t="s">
        <v>289</v>
      </c>
      <c r="AE13" s="1466">
        <v>22</v>
      </c>
      <c r="AF13" s="1466"/>
      <c r="AG13" s="1466"/>
      <c r="AH13" s="1466"/>
      <c r="AI13" s="1466"/>
      <c r="AJ13" s="1466"/>
      <c r="AK13" s="1466"/>
      <c r="AL13" s="1466"/>
      <c r="AM13" s="16" t="s">
        <v>290</v>
      </c>
      <c r="AT13" s="1458" t="e">
        <f>INT(AT12*AE13/100)</f>
        <v>#REF!</v>
      </c>
      <c r="AU13" s="1458"/>
      <c r="AV13" s="1458"/>
      <c r="AW13" s="1458"/>
      <c r="AX13" s="1458"/>
      <c r="AY13" s="1458"/>
      <c r="AZ13" s="1458"/>
      <c r="BA13" s="1458"/>
      <c r="BB13" s="16" t="s">
        <v>98</v>
      </c>
      <c r="CP13" s="18"/>
      <c r="CR13" s="246"/>
    </row>
    <row r="14" spans="1:97" s="16" customFormat="1" ht="18" hidden="1" customHeight="1" thickTop="1">
      <c r="A14" s="17"/>
      <c r="D14" s="33"/>
      <c r="E14" s="34" t="s">
        <v>44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1459" t="e">
        <f>INT(SUM(AT12+AT13))</f>
        <v>#REF!</v>
      </c>
      <c r="AU14" s="1459"/>
      <c r="AV14" s="1459"/>
      <c r="AW14" s="1459"/>
      <c r="AX14" s="1459"/>
      <c r="AY14" s="1459"/>
      <c r="AZ14" s="1459"/>
      <c r="BA14" s="1459"/>
      <c r="BB14" s="33" t="s">
        <v>98</v>
      </c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P14" s="18"/>
      <c r="CQ14" s="665" t="s">
        <v>828</v>
      </c>
      <c r="CR14" s="666" t="s">
        <v>631</v>
      </c>
    </row>
    <row r="15" spans="1:97" s="16" customFormat="1" ht="18" hidden="1" customHeight="1">
      <c r="A15" s="17"/>
      <c r="CP15" s="18"/>
      <c r="CQ15" s="664"/>
      <c r="CR15" s="667"/>
    </row>
    <row r="16" spans="1:97" s="16" customFormat="1" ht="18" hidden="1" customHeight="1">
      <c r="A16" s="17"/>
      <c r="D16" s="1461" t="s">
        <v>634</v>
      </c>
      <c r="E16" s="1462"/>
      <c r="F16" s="1462"/>
      <c r="G16" s="1462"/>
      <c r="H16" s="1462"/>
      <c r="I16" s="1462"/>
      <c r="J16" s="1462"/>
      <c r="K16" s="1462"/>
      <c r="L16" s="1462"/>
      <c r="M16" s="1462"/>
      <c r="N16" s="1462"/>
      <c r="O16" s="1462"/>
      <c r="P16" s="1462"/>
      <c r="Q16" s="1462"/>
      <c r="R16" s="1462"/>
      <c r="S16" s="1462"/>
      <c r="T16" s="1462"/>
      <c r="U16" s="1462"/>
      <c r="V16" s="1462"/>
      <c r="W16" s="1462"/>
      <c r="X16" s="1462"/>
      <c r="Y16" s="1462"/>
      <c r="Z16" s="1462"/>
      <c r="AA16" s="1462"/>
      <c r="AB16" s="1462"/>
      <c r="AC16" s="1462"/>
      <c r="AD16" s="1462"/>
      <c r="AE16" s="1462"/>
      <c r="AF16" s="1462"/>
      <c r="AG16" s="1462"/>
      <c r="AH16" s="1462"/>
      <c r="AI16" s="1462"/>
      <c r="AJ16" s="1462"/>
      <c r="AK16" s="1462"/>
      <c r="AL16" s="1462"/>
      <c r="AM16" s="1462"/>
      <c r="AN16" s="1462"/>
      <c r="AO16" s="1462"/>
      <c r="AP16" s="1462"/>
      <c r="AQ16" s="1462"/>
      <c r="AR16" s="1462"/>
      <c r="AS16" s="1462"/>
      <c r="AT16" s="1462"/>
      <c r="AU16" s="1462"/>
      <c r="AV16" s="1462"/>
      <c r="AW16" s="1462"/>
      <c r="AX16" s="1462"/>
      <c r="AY16" s="1462"/>
      <c r="AZ16" s="1462"/>
      <c r="BA16" s="1462"/>
      <c r="BB16" s="1462"/>
      <c r="BC16" s="1462"/>
      <c r="BD16" s="1462"/>
      <c r="BE16" s="1462"/>
      <c r="BF16" s="1462"/>
      <c r="BG16" s="1462"/>
      <c r="BH16" s="1462"/>
      <c r="BI16" s="1462"/>
      <c r="BJ16" s="1462"/>
      <c r="BK16" s="1462"/>
      <c r="BL16" s="1462"/>
      <c r="BM16" s="1462"/>
      <c r="BN16" s="1462"/>
      <c r="BO16" s="1462"/>
      <c r="BP16" s="1462"/>
      <c r="BQ16" s="1462"/>
      <c r="BR16" s="1462"/>
      <c r="BS16" s="1462"/>
      <c r="BT16" s="1462"/>
      <c r="BU16" s="1462"/>
      <c r="BV16" s="1462"/>
      <c r="BW16" s="1462"/>
      <c r="BX16" s="1462"/>
      <c r="BY16" s="1462"/>
      <c r="BZ16" s="1462"/>
      <c r="CA16" s="1462"/>
      <c r="CB16" s="1462"/>
      <c r="CC16" s="1462"/>
      <c r="CD16" s="1462"/>
      <c r="CE16" s="1462"/>
      <c r="CF16" s="1462"/>
      <c r="CG16" s="1462"/>
      <c r="CH16" s="1462"/>
      <c r="CI16" s="1462"/>
      <c r="CJ16" s="1462"/>
      <c r="CK16" s="1462"/>
      <c r="CL16" s="1462"/>
      <c r="CM16" s="1462"/>
      <c r="CN16" s="1462"/>
      <c r="CO16" s="1462"/>
      <c r="CP16" s="18"/>
      <c r="CQ16" s="664"/>
      <c r="CR16" s="667"/>
    </row>
    <row r="17" spans="1:97" s="16" customFormat="1" ht="18" hidden="1" customHeight="1" thickBot="1">
      <c r="A17" s="17"/>
      <c r="E17" s="16" t="s">
        <v>292</v>
      </c>
      <c r="AA17" s="1456">
        <v>2085</v>
      </c>
      <c r="AB17" s="1456"/>
      <c r="AC17" s="1456"/>
      <c r="AD17" s="1456"/>
      <c r="AE17" s="1456"/>
      <c r="AF17" s="1456"/>
      <c r="AG17" s="1456"/>
      <c r="AH17" s="1456"/>
      <c r="AI17" s="29" t="s">
        <v>99</v>
      </c>
      <c r="AJ17" s="29"/>
      <c r="AK17" s="1457">
        <v>10000000</v>
      </c>
      <c r="AL17" s="1475"/>
      <c r="AM17" s="1475"/>
      <c r="AN17" s="1475"/>
      <c r="AO17" s="1475"/>
      <c r="AP17" s="1475"/>
      <c r="AQ17" s="1475"/>
      <c r="AR17" s="1475"/>
      <c r="AS17" s="1475"/>
      <c r="AT17" s="1475"/>
      <c r="AU17" s="1475"/>
      <c r="AV17" s="29" t="s">
        <v>100</v>
      </c>
      <c r="AW17" s="29"/>
      <c r="AX17" s="1458">
        <f>BW4</f>
        <v>100243</v>
      </c>
      <c r="AY17" s="1458"/>
      <c r="AZ17" s="1458"/>
      <c r="BA17" s="1458"/>
      <c r="BB17" s="1458"/>
      <c r="BC17" s="1458"/>
      <c r="BD17" s="1458"/>
      <c r="BE17" s="1458"/>
      <c r="BF17" s="1458"/>
      <c r="BG17" s="16" t="s">
        <v>101</v>
      </c>
      <c r="BN17" s="1458">
        <f>INT(AA17/AK17*AX17*1000)</f>
        <v>20900</v>
      </c>
      <c r="BO17" s="1458"/>
      <c r="BP17" s="1458"/>
      <c r="BQ17" s="1458"/>
      <c r="BR17" s="1458"/>
      <c r="BS17" s="1458"/>
      <c r="BT17" s="1458"/>
      <c r="BU17" s="1458"/>
      <c r="BV17" s="16" t="s">
        <v>98</v>
      </c>
      <c r="CP17" s="18"/>
      <c r="CQ17" s="665" t="s">
        <v>829</v>
      </c>
      <c r="CR17" s="666" t="s">
        <v>630</v>
      </c>
    </row>
    <row r="18" spans="1:97" s="16" customFormat="1" ht="18" hidden="1" customHeight="1" thickTop="1">
      <c r="A18" s="17"/>
      <c r="D18" s="33"/>
      <c r="E18" s="34" t="s">
        <v>44</v>
      </c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1459">
        <f>SUM(BN17)</f>
        <v>20900</v>
      </c>
      <c r="BO18" s="1459"/>
      <c r="BP18" s="1459"/>
      <c r="BQ18" s="1459"/>
      <c r="BR18" s="1459"/>
      <c r="BS18" s="1459"/>
      <c r="BT18" s="1459"/>
      <c r="BU18" s="1459"/>
      <c r="BV18" s="33" t="s">
        <v>98</v>
      </c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P18" s="18"/>
      <c r="CR18" s="243"/>
    </row>
    <row r="19" spans="1:97" s="16" customFormat="1" ht="18" hidden="1" customHeight="1">
      <c r="A19" s="17"/>
      <c r="CP19" s="18"/>
      <c r="CR19" s="243"/>
    </row>
    <row r="20" spans="1:97" s="16" customFormat="1" ht="18" hidden="1" customHeight="1">
      <c r="A20" s="17"/>
      <c r="E20" s="16" t="s">
        <v>102</v>
      </c>
      <c r="O20" s="1460">
        <f>BU7</f>
        <v>59025</v>
      </c>
      <c r="P20" s="1460"/>
      <c r="Q20" s="1460"/>
      <c r="R20" s="1460"/>
      <c r="S20" s="1460"/>
      <c r="T20" s="1460"/>
      <c r="U20" s="1460"/>
      <c r="V20" s="1460"/>
      <c r="W20" s="1460"/>
      <c r="X20" s="1460"/>
      <c r="Y20" s="29" t="s">
        <v>59</v>
      </c>
      <c r="Z20" s="29"/>
      <c r="AA20" s="1460" t="e">
        <f>AT14</f>
        <v>#REF!</v>
      </c>
      <c r="AB20" s="1460"/>
      <c r="AC20" s="1460"/>
      <c r="AD20" s="1460"/>
      <c r="AE20" s="1460"/>
      <c r="AF20" s="1460"/>
      <c r="AG20" s="1460"/>
      <c r="AH20" s="1460"/>
      <c r="AI20" s="1460"/>
      <c r="AJ20" s="1460"/>
      <c r="AK20" s="29" t="s">
        <v>59</v>
      </c>
      <c r="AL20" s="29"/>
      <c r="AM20" s="1460">
        <f>BN18</f>
        <v>20900</v>
      </c>
      <c r="AN20" s="1460"/>
      <c r="AO20" s="1460"/>
      <c r="AP20" s="1460"/>
      <c r="AQ20" s="1460"/>
      <c r="AR20" s="1460"/>
      <c r="AS20" s="1460"/>
      <c r="AT20" s="1460"/>
      <c r="AU20" s="1460"/>
      <c r="AV20" s="1460"/>
      <c r="AW20" s="31" t="s">
        <v>103</v>
      </c>
      <c r="AX20" s="29"/>
      <c r="AY20" s="1460" t="e">
        <f>O20+AA20+AM20</f>
        <v>#REF!</v>
      </c>
      <c r="AZ20" s="1460"/>
      <c r="BA20" s="1460"/>
      <c r="BB20" s="1460"/>
      <c r="BC20" s="1460"/>
      <c r="BD20" s="1460"/>
      <c r="BE20" s="1460"/>
      <c r="BF20" s="1460"/>
      <c r="BG20" s="1460"/>
      <c r="BH20" s="1460"/>
      <c r="BI20" s="16" t="s">
        <v>98</v>
      </c>
      <c r="CP20" s="18"/>
      <c r="CR20" s="243"/>
    </row>
    <row r="21" spans="1:97" s="16" customFormat="1" ht="18" hidden="1" customHeight="1">
      <c r="A21" s="17"/>
      <c r="CP21" s="18"/>
      <c r="CR21" s="243"/>
    </row>
    <row r="22" spans="1:97" s="16" customFormat="1" ht="18" hidden="1" customHeight="1">
      <c r="A22" s="17"/>
      <c r="CP22" s="18"/>
      <c r="CR22" s="243"/>
    </row>
    <row r="23" spans="1:97" s="16" customFormat="1" ht="18" hidden="1" customHeight="1">
      <c r="A23" s="17"/>
      <c r="CP23" s="18"/>
      <c r="CR23" s="243"/>
    </row>
    <row r="24" spans="1:97" s="16" customFormat="1" ht="18" hidden="1" customHeight="1">
      <c r="A24" s="17"/>
      <c r="CP24" s="18"/>
      <c r="CR24" s="243"/>
    </row>
    <row r="25" spans="1:97" s="16" customFormat="1" ht="18" hidden="1" customHeight="1">
      <c r="A25" s="17"/>
      <c r="CP25" s="18"/>
      <c r="CR25" s="243"/>
    </row>
    <row r="26" spans="1:97" s="16" customFormat="1" ht="18" hidden="1" customHeight="1">
      <c r="A26" s="17"/>
      <c r="CP26" s="18"/>
      <c r="CR26" s="243"/>
    </row>
    <row r="27" spans="1:97" s="16" customFormat="1" ht="18.75" hidden="1" customHeight="1">
      <c r="A27" s="37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9"/>
      <c r="CR27" s="243"/>
    </row>
    <row r="28" spans="1:97" s="16" customFormat="1" ht="30.75" customHeight="1">
      <c r="A28" s="1467" t="s">
        <v>636</v>
      </c>
      <c r="B28" s="1468"/>
      <c r="C28" s="1468"/>
      <c r="D28" s="1468"/>
      <c r="E28" s="1468"/>
      <c r="F28" s="1468"/>
      <c r="G28" s="1468"/>
      <c r="H28" s="1468"/>
      <c r="I28" s="1468"/>
      <c r="J28" s="1468"/>
      <c r="K28" s="1468"/>
      <c r="L28" s="1468"/>
      <c r="M28" s="1468"/>
      <c r="N28" s="1468"/>
      <c r="O28" s="1468"/>
      <c r="P28" s="1468"/>
      <c r="Q28" s="1468"/>
      <c r="R28" s="1468"/>
      <c r="S28" s="1468"/>
      <c r="T28" s="1468"/>
      <c r="U28" s="1468"/>
      <c r="V28" s="1468"/>
      <c r="W28" s="1468"/>
      <c r="X28" s="1468"/>
      <c r="Y28" s="1468"/>
      <c r="Z28" s="1468"/>
      <c r="AA28" s="1468"/>
      <c r="AB28" s="1468"/>
      <c r="AC28" s="1468"/>
      <c r="AD28" s="1468"/>
      <c r="AE28" s="1468"/>
      <c r="AF28" s="1468"/>
      <c r="AG28" s="1468"/>
      <c r="AH28" s="1468"/>
      <c r="AI28" s="1468"/>
      <c r="AJ28" s="1468"/>
      <c r="AK28" s="1468"/>
      <c r="AL28" s="1468"/>
      <c r="AM28" s="1468"/>
      <c r="AN28" s="1468"/>
      <c r="AO28" s="1468"/>
      <c r="AP28" s="1468"/>
      <c r="AQ28" s="1468"/>
      <c r="AR28" s="1468"/>
      <c r="AS28" s="1468"/>
      <c r="AT28" s="1468"/>
      <c r="AU28" s="1468"/>
      <c r="AV28" s="1468"/>
      <c r="AW28" s="1468"/>
      <c r="AX28" s="1468"/>
      <c r="AY28" s="1468"/>
      <c r="AZ28" s="1468"/>
      <c r="BA28" s="1468"/>
      <c r="BB28" s="1468"/>
      <c r="BC28" s="1468"/>
      <c r="BD28" s="1468"/>
      <c r="BE28" s="1468"/>
      <c r="BF28" s="1468"/>
      <c r="BG28" s="1468"/>
      <c r="BH28" s="1468"/>
      <c r="BI28" s="1468"/>
      <c r="BJ28" s="1468"/>
      <c r="BK28" s="1468"/>
      <c r="BL28" s="1468"/>
      <c r="BM28" s="1468"/>
      <c r="BN28" s="1468"/>
      <c r="BO28" s="1468"/>
      <c r="BP28" s="1468"/>
      <c r="BQ28" s="1468"/>
      <c r="BR28" s="1468"/>
      <c r="BS28" s="1468"/>
      <c r="BT28" s="1468"/>
      <c r="BU28" s="1468"/>
      <c r="BV28" s="1468"/>
      <c r="BW28" s="1468"/>
      <c r="BX28" s="1468"/>
      <c r="BY28" s="1468"/>
      <c r="BZ28" s="1468"/>
      <c r="CA28" s="1468"/>
      <c r="CB28" s="1468"/>
      <c r="CC28" s="1468"/>
      <c r="CD28" s="1468"/>
      <c r="CE28" s="1468"/>
      <c r="CF28" s="1468"/>
      <c r="CG28" s="1468"/>
      <c r="CH28" s="1468"/>
      <c r="CI28" s="1468"/>
      <c r="CJ28" s="1468"/>
      <c r="CK28" s="1468"/>
      <c r="CL28" s="1468"/>
      <c r="CM28" s="1468"/>
      <c r="CN28" s="1468"/>
      <c r="CO28" s="1468"/>
      <c r="CP28" s="1469"/>
      <c r="CR28" s="243"/>
    </row>
    <row r="29" spans="1:97" s="16" customFormat="1" ht="9.9499999999999993" customHeight="1">
      <c r="A29" s="40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3"/>
      <c r="CR29" s="243"/>
    </row>
    <row r="30" spans="1:97" s="16" customFormat="1" ht="30.75" customHeight="1">
      <c r="A30" s="17"/>
      <c r="C30" s="19"/>
      <c r="D30" s="51" t="s">
        <v>713</v>
      </c>
      <c r="E30" s="21"/>
      <c r="F30" s="22"/>
      <c r="G30" s="22"/>
      <c r="H30" s="22"/>
      <c r="I30" s="22"/>
      <c r="J30" s="23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3"/>
      <c r="Z30" s="23"/>
      <c r="AA30" s="25"/>
      <c r="AB30" s="25"/>
      <c r="AC30" s="25"/>
      <c r="AD30" s="25"/>
      <c r="AE30" s="25"/>
      <c r="AF30" s="22"/>
      <c r="AG30" s="24"/>
      <c r="AH30" s="23"/>
      <c r="AI30" s="25"/>
      <c r="AJ30" s="25"/>
      <c r="AK30" s="25"/>
      <c r="AL30" s="25"/>
      <c r="AM30" s="25"/>
      <c r="AN30" s="23"/>
      <c r="AO30" s="24"/>
      <c r="AP30" s="26"/>
      <c r="AQ30" s="24"/>
      <c r="AR30" s="23">
        <v>1</v>
      </c>
      <c r="AS30" s="27"/>
      <c r="AT30" s="27"/>
      <c r="AU30" s="27"/>
      <c r="AV30" s="27"/>
      <c r="AW30" s="27"/>
      <c r="AX30" s="28"/>
      <c r="AY30" s="22" t="s">
        <v>206</v>
      </c>
      <c r="AZ30" s="24"/>
      <c r="BA30" s="28"/>
      <c r="BB30" s="28"/>
      <c r="BC30" s="28"/>
      <c r="BD30" s="29"/>
      <c r="BE30" s="29"/>
      <c r="BF30" s="29"/>
      <c r="BG30" s="29"/>
      <c r="BH30" s="29"/>
      <c r="BI30" s="29"/>
      <c r="BJ30" s="29"/>
      <c r="BK30" s="29"/>
      <c r="BL30" s="29"/>
      <c r="BM30" s="29"/>
      <c r="BN30" s="29"/>
      <c r="BO30" s="29"/>
      <c r="BP30" s="29"/>
      <c r="BQ30" s="29"/>
      <c r="BR30" s="29"/>
      <c r="BS30" s="29"/>
      <c r="BT30" s="29"/>
      <c r="BU30" s="29"/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18"/>
      <c r="CR30" s="662"/>
      <c r="CS30" s="663" t="s">
        <v>781</v>
      </c>
    </row>
    <row r="31" spans="1:97" s="16" customFormat="1" ht="18" customHeight="1">
      <c r="A31" s="17"/>
      <c r="D31" s="20"/>
      <c r="O31" s="20"/>
      <c r="BK31" s="16" t="s">
        <v>104</v>
      </c>
      <c r="BW31" s="1480">
        <v>66538</v>
      </c>
      <c r="BX31" s="1480"/>
      <c r="BY31" s="1480"/>
      <c r="BZ31" s="1480"/>
      <c r="CA31" s="1480"/>
      <c r="CB31" s="1480"/>
      <c r="CC31" s="1480"/>
      <c r="CD31" s="1480"/>
      <c r="CE31" s="1480"/>
      <c r="CF31" s="1480"/>
      <c r="CG31" s="16" t="s">
        <v>107</v>
      </c>
      <c r="CP31" s="18"/>
      <c r="CQ31" s="49"/>
      <c r="CR31" s="662"/>
      <c r="CS31" s="664"/>
    </row>
    <row r="32" spans="1:97" s="16" customFormat="1" ht="18" customHeight="1">
      <c r="A32" s="17"/>
      <c r="D32" s="1461" t="s">
        <v>635</v>
      </c>
      <c r="E32" s="1462"/>
      <c r="F32" s="1462"/>
      <c r="G32" s="1462"/>
      <c r="H32" s="1462"/>
      <c r="I32" s="1462"/>
      <c r="J32" s="1462"/>
      <c r="K32" s="1462"/>
      <c r="L32" s="1462"/>
      <c r="M32" s="1462"/>
      <c r="N32" s="1462"/>
      <c r="O32" s="1462"/>
      <c r="P32" s="1462"/>
      <c r="Q32" s="1462"/>
      <c r="R32" s="1462"/>
      <c r="S32" s="1462"/>
      <c r="T32" s="1462"/>
      <c r="U32" s="1462"/>
      <c r="V32" s="1462"/>
      <c r="W32" s="1462"/>
      <c r="X32" s="1462"/>
      <c r="Y32" s="1462"/>
      <c r="Z32" s="1462"/>
      <c r="AA32" s="1462"/>
      <c r="AB32" s="1462"/>
      <c r="AC32" s="1462"/>
      <c r="AD32" s="1462"/>
      <c r="AE32" s="1462"/>
      <c r="AF32" s="1462"/>
      <c r="AG32" s="1462"/>
      <c r="AH32" s="1462"/>
      <c r="AI32" s="1462"/>
      <c r="AJ32" s="1462"/>
      <c r="AK32" s="1462"/>
      <c r="AL32" s="1462"/>
      <c r="AM32" s="1462"/>
      <c r="AN32" s="1462"/>
      <c r="AO32" s="1462"/>
      <c r="AP32" s="1462"/>
      <c r="AQ32" s="1462"/>
      <c r="AR32" s="1462"/>
      <c r="AS32" s="1462"/>
      <c r="AT32" s="1462"/>
      <c r="AU32" s="1462"/>
      <c r="AV32" s="1462"/>
      <c r="AW32" s="1462"/>
      <c r="AX32" s="1462"/>
      <c r="AY32" s="1462"/>
      <c r="AZ32" s="1462"/>
      <c r="BA32" s="1462"/>
      <c r="BB32" s="1462"/>
      <c r="BC32" s="1462"/>
      <c r="BD32" s="1462"/>
      <c r="BE32" s="1462"/>
      <c r="BF32" s="1462"/>
      <c r="BG32" s="1462"/>
      <c r="BH32" s="1462"/>
      <c r="BI32" s="1462"/>
      <c r="BJ32" s="1462"/>
      <c r="BK32" s="1462"/>
      <c r="BL32" s="1462"/>
      <c r="BM32" s="1462"/>
      <c r="BN32" s="1462"/>
      <c r="BO32" s="1462"/>
      <c r="BP32" s="1462"/>
      <c r="BQ32" s="1462"/>
      <c r="BR32" s="1462"/>
      <c r="BS32" s="1462"/>
      <c r="BT32" s="1462"/>
      <c r="BU32" s="1462"/>
      <c r="BV32" s="1462"/>
      <c r="BW32" s="1462"/>
      <c r="BX32" s="1462"/>
      <c r="BY32" s="1462"/>
      <c r="BZ32" s="1462"/>
      <c r="CA32" s="1462"/>
      <c r="CB32" s="1462"/>
      <c r="CC32" s="1462"/>
      <c r="CD32" s="1462"/>
      <c r="CE32" s="1462"/>
      <c r="CF32" s="1462"/>
      <c r="CG32" s="1462"/>
      <c r="CH32" s="1462"/>
      <c r="CI32" s="1462"/>
      <c r="CJ32" s="1462"/>
      <c r="CK32" s="1462"/>
      <c r="CL32" s="1462"/>
      <c r="CM32" s="1462"/>
      <c r="CN32" s="1462"/>
      <c r="CO32" s="1462"/>
      <c r="CP32" s="18"/>
      <c r="CQ32" s="16" t="s">
        <v>97</v>
      </c>
      <c r="CR32" s="244">
        <f>VLOOKUP(CQ32,인건비!A:B,2,FALSE)</f>
        <v>283323</v>
      </c>
    </row>
    <row r="33" spans="1:96" s="16" customFormat="1" ht="18" customHeight="1" thickBot="1">
      <c r="A33" s="17"/>
      <c r="E33" s="16" t="s">
        <v>60</v>
      </c>
      <c r="U33" s="1466">
        <v>1</v>
      </c>
      <c r="V33" s="1466"/>
      <c r="W33" s="1466"/>
      <c r="X33" s="1466"/>
      <c r="Y33" s="1466"/>
      <c r="Z33" s="29" t="s">
        <v>105</v>
      </c>
      <c r="AA33" s="29"/>
      <c r="AB33" s="29"/>
      <c r="AC33" s="29"/>
      <c r="AD33" s="29"/>
      <c r="AE33" s="1479">
        <f>CR32</f>
        <v>283323</v>
      </c>
      <c r="AF33" s="1479"/>
      <c r="AG33" s="1479"/>
      <c r="AH33" s="1479"/>
      <c r="AI33" s="1479"/>
      <c r="AJ33" s="1479"/>
      <c r="AK33" s="1479"/>
      <c r="AL33" s="1479"/>
      <c r="AM33" s="16" t="s">
        <v>106</v>
      </c>
      <c r="AT33" s="1466">
        <v>8</v>
      </c>
      <c r="AU33" s="1466"/>
      <c r="AV33" s="1466"/>
      <c r="AW33" s="1466"/>
      <c r="AX33" s="29" t="s">
        <v>100</v>
      </c>
      <c r="AY33" s="29"/>
      <c r="AZ33" s="1466">
        <v>25</v>
      </c>
      <c r="BA33" s="1466"/>
      <c r="BB33" s="1466"/>
      <c r="BC33" s="29" t="s">
        <v>99</v>
      </c>
      <c r="BD33" s="29"/>
      <c r="BE33" s="1466">
        <v>20</v>
      </c>
      <c r="BF33" s="1466"/>
      <c r="BG33" s="1466"/>
      <c r="BH33" s="29" t="s">
        <v>100</v>
      </c>
      <c r="BI33" s="29"/>
      <c r="BJ33" s="1466">
        <v>16</v>
      </c>
      <c r="BK33" s="1466"/>
      <c r="BL33" s="1466"/>
      <c r="BM33" s="29" t="s">
        <v>99</v>
      </c>
      <c r="BN33" s="29"/>
      <c r="BO33" s="1466">
        <v>12</v>
      </c>
      <c r="BP33" s="1466"/>
      <c r="BQ33" s="1466"/>
      <c r="BR33" s="1466"/>
      <c r="BS33" s="31" t="s">
        <v>103</v>
      </c>
      <c r="BT33" s="29"/>
      <c r="BU33" s="1458">
        <f>INT(U33*AE33*(1/AT33*(AZ33/BE33)*(BJ33/BO33)))</f>
        <v>59025</v>
      </c>
      <c r="BV33" s="1458"/>
      <c r="BW33" s="1458"/>
      <c r="BX33" s="1458"/>
      <c r="BY33" s="1458"/>
      <c r="BZ33" s="1458"/>
      <c r="CA33" s="1458"/>
      <c r="CB33" s="1458"/>
      <c r="CC33" s="16" t="s">
        <v>98</v>
      </c>
      <c r="CP33" s="18"/>
      <c r="CR33" s="244"/>
    </row>
    <row r="34" spans="1:96" s="16" customFormat="1" ht="18" customHeight="1" thickTop="1">
      <c r="A34" s="17"/>
      <c r="D34" s="33"/>
      <c r="E34" s="34" t="s">
        <v>44</v>
      </c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/>
      <c r="BR34" s="33"/>
      <c r="BS34" s="33"/>
      <c r="BT34" s="33"/>
      <c r="BU34" s="1459">
        <f>INT(SUM(BU33))</f>
        <v>59025</v>
      </c>
      <c r="BV34" s="1459"/>
      <c r="BW34" s="1459"/>
      <c r="BX34" s="1459"/>
      <c r="BY34" s="1459"/>
      <c r="BZ34" s="1459"/>
      <c r="CA34" s="1459"/>
      <c r="CB34" s="1459"/>
      <c r="CC34" s="33" t="s">
        <v>98</v>
      </c>
      <c r="CD34" s="33"/>
      <c r="CE34" s="33"/>
      <c r="CF34" s="33"/>
      <c r="CG34" s="33"/>
      <c r="CH34" s="33"/>
      <c r="CI34" s="33"/>
      <c r="CP34" s="18"/>
      <c r="CQ34" s="16" t="s">
        <v>176</v>
      </c>
      <c r="CR34" s="244">
        <f>VLOOKUP(CQ34,인건비!A:B,2,FALSE)</f>
        <v>210909</v>
      </c>
    </row>
    <row r="35" spans="1:96" s="16" customFormat="1" ht="18" customHeight="1">
      <c r="A35" s="17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30"/>
      <c r="AF35" s="29"/>
      <c r="AG35" s="29"/>
      <c r="AH35" s="29"/>
      <c r="AI35" s="29"/>
      <c r="AJ35" s="29"/>
      <c r="AK35" s="29"/>
      <c r="AL35" s="29"/>
      <c r="AU35" s="29"/>
      <c r="AV35" s="29"/>
      <c r="AW35" s="29"/>
      <c r="AX35" s="29"/>
      <c r="AY35" s="29"/>
      <c r="AZ35" s="29"/>
      <c r="BA35" s="29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  <c r="BN35" s="29"/>
      <c r="BO35" s="29"/>
      <c r="BP35" s="29"/>
      <c r="BQ35" s="29"/>
      <c r="BS35" s="31"/>
      <c r="BT35" s="29"/>
      <c r="BU35" s="32"/>
      <c r="BV35" s="29"/>
      <c r="BW35" s="29"/>
      <c r="BX35" s="29"/>
      <c r="BY35" s="29"/>
      <c r="BZ35" s="29"/>
      <c r="CA35" s="29"/>
      <c r="CB35" s="29"/>
      <c r="CP35" s="18"/>
      <c r="CQ35" s="16" t="s">
        <v>96</v>
      </c>
      <c r="CR35" s="244">
        <f>VLOOKUP(CQ35,인건비!A:B,2,FALSE)</f>
        <v>173995</v>
      </c>
    </row>
    <row r="36" spans="1:96" s="16" customFormat="1" ht="18" customHeight="1">
      <c r="A36" s="17"/>
      <c r="CP36" s="18"/>
      <c r="CQ36" s="16" t="s">
        <v>95</v>
      </c>
      <c r="CR36" s="244">
        <f>VLOOKUP(CQ36,인건비!A:B,2,FALSE)</f>
        <v>240042</v>
      </c>
    </row>
    <row r="37" spans="1:96" s="16" customFormat="1" ht="18" customHeight="1">
      <c r="A37" s="17"/>
      <c r="BV37" s="32"/>
      <c r="BW37" s="29"/>
      <c r="BX37" s="29"/>
      <c r="BY37" s="29"/>
      <c r="BZ37" s="29"/>
      <c r="CA37" s="29"/>
      <c r="CB37" s="29"/>
      <c r="CC37" s="29"/>
      <c r="CD37" s="29"/>
      <c r="CP37" s="18"/>
      <c r="CQ37" s="16" t="s">
        <v>267</v>
      </c>
      <c r="CR37" s="245" t="e">
        <f>#REF!</f>
        <v>#REF!</v>
      </c>
    </row>
    <row r="38" spans="1:96" s="16" customFormat="1" ht="18" customHeight="1">
      <c r="A38" s="17"/>
      <c r="D38" s="1461" t="s">
        <v>633</v>
      </c>
      <c r="E38" s="1462"/>
      <c r="F38" s="1462"/>
      <c r="G38" s="1462"/>
      <c r="H38" s="1462"/>
      <c r="I38" s="1462"/>
      <c r="J38" s="1462"/>
      <c r="K38" s="1462"/>
      <c r="L38" s="1462"/>
      <c r="M38" s="1462"/>
      <c r="N38" s="1462"/>
      <c r="O38" s="1462"/>
      <c r="P38" s="1462"/>
      <c r="Q38" s="1462"/>
      <c r="R38" s="1462"/>
      <c r="S38" s="1462"/>
      <c r="T38" s="1462"/>
      <c r="U38" s="1462"/>
      <c r="V38" s="1462"/>
      <c r="W38" s="1462"/>
      <c r="X38" s="1462"/>
      <c r="Y38" s="1462"/>
      <c r="Z38" s="1462"/>
      <c r="AA38" s="1462"/>
      <c r="AB38" s="1462"/>
      <c r="AC38" s="1462"/>
      <c r="AD38" s="1462"/>
      <c r="AE38" s="1462"/>
      <c r="AF38" s="1462"/>
      <c r="AG38" s="1462"/>
      <c r="AH38" s="1462"/>
      <c r="AI38" s="1462"/>
      <c r="AJ38" s="1462"/>
      <c r="AK38" s="1462"/>
      <c r="AL38" s="1462"/>
      <c r="AM38" s="1462"/>
      <c r="AN38" s="1462"/>
      <c r="AO38" s="1462"/>
      <c r="AP38" s="1462"/>
      <c r="AQ38" s="1462"/>
      <c r="AR38" s="1462"/>
      <c r="AS38" s="1462"/>
      <c r="AT38" s="1462"/>
      <c r="AU38" s="1462"/>
      <c r="AV38" s="1462"/>
      <c r="AW38" s="1462"/>
      <c r="AX38" s="1462"/>
      <c r="AY38" s="1462"/>
      <c r="AZ38" s="1462"/>
      <c r="BA38" s="1462"/>
      <c r="BB38" s="1462"/>
      <c r="BC38" s="1462"/>
      <c r="BD38" s="1462"/>
      <c r="BE38" s="1462"/>
      <c r="BF38" s="1462"/>
      <c r="BG38" s="1462"/>
      <c r="BH38" s="1462"/>
      <c r="BI38" s="1462"/>
      <c r="BJ38" s="1462"/>
      <c r="BK38" s="1462"/>
      <c r="BL38" s="1462"/>
      <c r="BM38" s="1462"/>
      <c r="BN38" s="1462"/>
      <c r="BO38" s="1462"/>
      <c r="BP38" s="1462"/>
      <c r="BQ38" s="1462"/>
      <c r="BR38" s="1462"/>
      <c r="BS38" s="1462"/>
      <c r="BT38" s="1462"/>
      <c r="BU38" s="1462"/>
      <c r="BV38" s="1462"/>
      <c r="BW38" s="1462"/>
      <c r="BX38" s="1462"/>
      <c r="BY38" s="1462"/>
      <c r="BZ38" s="1462"/>
      <c r="CA38" s="1462"/>
      <c r="CB38" s="1462"/>
      <c r="CC38" s="1462"/>
      <c r="CD38" s="1462"/>
      <c r="CE38" s="1462"/>
      <c r="CF38" s="1462"/>
      <c r="CG38" s="1462"/>
      <c r="CH38" s="1462"/>
      <c r="CI38" s="1462"/>
      <c r="CJ38" s="1462"/>
      <c r="CK38" s="1462"/>
      <c r="CL38" s="1462"/>
      <c r="CM38" s="1462"/>
      <c r="CN38" s="1462"/>
      <c r="CO38" s="1462"/>
      <c r="CP38" s="18"/>
      <c r="CQ38" s="16" t="s">
        <v>268</v>
      </c>
      <c r="CR38" s="245" t="e">
        <f>#REF!</f>
        <v>#REF!</v>
      </c>
    </row>
    <row r="39" spans="1:96" s="16" customFormat="1" ht="18" customHeight="1">
      <c r="A39" s="17"/>
      <c r="E39" s="16" t="s">
        <v>108</v>
      </c>
      <c r="U39" s="1463">
        <v>5</v>
      </c>
      <c r="V39" s="1463"/>
      <c r="W39" s="1463"/>
      <c r="X39" s="1463"/>
      <c r="Y39" s="1463"/>
      <c r="Z39" s="16" t="s">
        <v>266</v>
      </c>
      <c r="AE39" s="1456" t="e">
        <f>CR38</f>
        <v>#REF!</v>
      </c>
      <c r="AF39" s="1456"/>
      <c r="AG39" s="1456"/>
      <c r="AH39" s="1456"/>
      <c r="AI39" s="1456"/>
      <c r="AJ39" s="1456"/>
      <c r="AK39" s="1456"/>
      <c r="AL39" s="1456"/>
      <c r="AM39" s="16" t="s">
        <v>286</v>
      </c>
      <c r="AT39" s="1465" t="e">
        <f>INT(U39*AE39)</f>
        <v>#REF!</v>
      </c>
      <c r="AU39" s="1465"/>
      <c r="AV39" s="1465"/>
      <c r="AW39" s="1465"/>
      <c r="AX39" s="1465"/>
      <c r="AY39" s="1465"/>
      <c r="AZ39" s="1465"/>
      <c r="BA39" s="1465"/>
      <c r="BB39" s="16" t="s">
        <v>287</v>
      </c>
      <c r="CP39" s="18"/>
      <c r="CR39" s="246"/>
    </row>
    <row r="40" spans="1:96" s="16" customFormat="1" ht="18" customHeight="1" thickBot="1">
      <c r="A40" s="17"/>
      <c r="E40" s="16" t="s">
        <v>288</v>
      </c>
      <c r="U40" s="16" t="s">
        <v>289</v>
      </c>
      <c r="AE40" s="1466">
        <v>21</v>
      </c>
      <c r="AF40" s="1466"/>
      <c r="AG40" s="1466"/>
      <c r="AH40" s="1466"/>
      <c r="AI40" s="1466"/>
      <c r="AJ40" s="1466"/>
      <c r="AK40" s="1466"/>
      <c r="AL40" s="1466"/>
      <c r="AM40" s="16" t="s">
        <v>290</v>
      </c>
      <c r="AT40" s="1458" t="e">
        <f>INT(AT39*AE40/100)</f>
        <v>#REF!</v>
      </c>
      <c r="AU40" s="1458"/>
      <c r="AV40" s="1458"/>
      <c r="AW40" s="1458"/>
      <c r="AX40" s="1458"/>
      <c r="AY40" s="1458"/>
      <c r="AZ40" s="1458"/>
      <c r="BA40" s="1458"/>
      <c r="BB40" s="16" t="s">
        <v>287</v>
      </c>
      <c r="CP40" s="18"/>
      <c r="CR40" s="246"/>
    </row>
    <row r="41" spans="1:96" s="16" customFormat="1" ht="18" customHeight="1" thickTop="1">
      <c r="A41" s="17"/>
      <c r="D41" s="33"/>
      <c r="E41" s="34" t="s">
        <v>291</v>
      </c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33"/>
      <c r="AR41" s="33"/>
      <c r="AS41" s="33"/>
      <c r="AT41" s="1459" t="e">
        <f>INT(SUM(AT39+AT40))</f>
        <v>#REF!</v>
      </c>
      <c r="AU41" s="1459"/>
      <c r="AV41" s="1459"/>
      <c r="AW41" s="1459"/>
      <c r="AX41" s="1459"/>
      <c r="AY41" s="1459"/>
      <c r="AZ41" s="1459"/>
      <c r="BA41" s="1459"/>
      <c r="BB41" s="33" t="s">
        <v>287</v>
      </c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/>
      <c r="BO41" s="33"/>
      <c r="BP41" s="33"/>
      <c r="BQ41" s="33"/>
      <c r="BR41" s="33"/>
      <c r="BS41" s="33"/>
      <c r="BT41" s="33"/>
      <c r="BU41" s="33"/>
      <c r="BV41" s="33"/>
      <c r="BW41" s="33"/>
      <c r="BX41" s="33"/>
      <c r="BY41" s="33"/>
      <c r="BZ41" s="33"/>
      <c r="CA41" s="33"/>
      <c r="CB41" s="33"/>
      <c r="CC41" s="33"/>
      <c r="CD41" s="33"/>
      <c r="CE41" s="33"/>
      <c r="CF41" s="33"/>
      <c r="CG41" s="33"/>
      <c r="CH41" s="33"/>
      <c r="CI41" s="33"/>
      <c r="CP41" s="18"/>
      <c r="CQ41" s="665" t="s">
        <v>828</v>
      </c>
      <c r="CR41" s="666" t="s">
        <v>631</v>
      </c>
    </row>
    <row r="42" spans="1:96" s="16" customFormat="1" ht="18" customHeight="1">
      <c r="A42" s="17"/>
      <c r="CP42" s="18"/>
      <c r="CQ42" s="664"/>
      <c r="CR42" s="667"/>
    </row>
    <row r="43" spans="1:96" s="16" customFormat="1" ht="18" customHeight="1">
      <c r="A43" s="17"/>
      <c r="D43" s="1461" t="s">
        <v>634</v>
      </c>
      <c r="E43" s="1462"/>
      <c r="F43" s="1462"/>
      <c r="G43" s="1462"/>
      <c r="H43" s="1462"/>
      <c r="I43" s="1462"/>
      <c r="J43" s="1462"/>
      <c r="K43" s="1462"/>
      <c r="L43" s="1462"/>
      <c r="M43" s="1462"/>
      <c r="N43" s="1462"/>
      <c r="O43" s="1462"/>
      <c r="P43" s="1462"/>
      <c r="Q43" s="1462"/>
      <c r="R43" s="1462"/>
      <c r="S43" s="1462"/>
      <c r="T43" s="1462"/>
      <c r="U43" s="1462"/>
      <c r="V43" s="1462"/>
      <c r="W43" s="1462"/>
      <c r="X43" s="1462"/>
      <c r="Y43" s="1462"/>
      <c r="Z43" s="1462"/>
      <c r="AA43" s="1462"/>
      <c r="AB43" s="1462"/>
      <c r="AC43" s="1462"/>
      <c r="AD43" s="1462"/>
      <c r="AE43" s="1462"/>
      <c r="AF43" s="1462"/>
      <c r="AG43" s="1462"/>
      <c r="AH43" s="1462"/>
      <c r="AI43" s="1462"/>
      <c r="AJ43" s="1462"/>
      <c r="AK43" s="1462"/>
      <c r="AL43" s="1462"/>
      <c r="AM43" s="1462"/>
      <c r="AN43" s="1462"/>
      <c r="AO43" s="1462"/>
      <c r="AP43" s="1462"/>
      <c r="AQ43" s="1462"/>
      <c r="AR43" s="1462"/>
      <c r="AS43" s="1462"/>
      <c r="AT43" s="1462"/>
      <c r="AU43" s="1462"/>
      <c r="AV43" s="1462"/>
      <c r="AW43" s="1462"/>
      <c r="AX43" s="1462"/>
      <c r="AY43" s="1462"/>
      <c r="AZ43" s="1462"/>
      <c r="BA43" s="1462"/>
      <c r="BB43" s="1462"/>
      <c r="BC43" s="1462"/>
      <c r="BD43" s="1462"/>
      <c r="BE43" s="1462"/>
      <c r="BF43" s="1462"/>
      <c r="BG43" s="1462"/>
      <c r="BH43" s="1462"/>
      <c r="BI43" s="1462"/>
      <c r="BJ43" s="1462"/>
      <c r="BK43" s="1462"/>
      <c r="BL43" s="1462"/>
      <c r="BM43" s="1462"/>
      <c r="BN43" s="1462"/>
      <c r="BO43" s="1462"/>
      <c r="BP43" s="1462"/>
      <c r="BQ43" s="1462"/>
      <c r="BR43" s="1462"/>
      <c r="BS43" s="1462"/>
      <c r="BT43" s="1462"/>
      <c r="BU43" s="1462"/>
      <c r="BV43" s="1462"/>
      <c r="BW43" s="1462"/>
      <c r="BX43" s="1462"/>
      <c r="BY43" s="1462"/>
      <c r="BZ43" s="1462"/>
      <c r="CA43" s="1462"/>
      <c r="CB43" s="1462"/>
      <c r="CC43" s="1462"/>
      <c r="CD43" s="1462"/>
      <c r="CE43" s="1462"/>
      <c r="CF43" s="1462"/>
      <c r="CG43" s="1462"/>
      <c r="CH43" s="1462"/>
      <c r="CI43" s="1462"/>
      <c r="CJ43" s="1462"/>
      <c r="CK43" s="1462"/>
      <c r="CL43" s="1462"/>
      <c r="CM43" s="1462"/>
      <c r="CN43" s="1462"/>
      <c r="CO43" s="1462"/>
      <c r="CP43" s="18"/>
      <c r="CQ43" s="664"/>
      <c r="CR43" s="667"/>
    </row>
    <row r="44" spans="1:96" s="16" customFormat="1" ht="18" customHeight="1" thickBot="1">
      <c r="A44" s="17"/>
      <c r="E44" s="16" t="s">
        <v>292</v>
      </c>
      <c r="AA44" s="1456">
        <v>2085</v>
      </c>
      <c r="AB44" s="1456"/>
      <c r="AC44" s="1456"/>
      <c r="AD44" s="1456"/>
      <c r="AE44" s="1456"/>
      <c r="AF44" s="1456"/>
      <c r="AG44" s="1456"/>
      <c r="AH44" s="1456"/>
      <c r="AI44" s="29" t="s">
        <v>293</v>
      </c>
      <c r="AJ44" s="29"/>
      <c r="AK44" s="1457">
        <v>10000000</v>
      </c>
      <c r="AL44" s="1475"/>
      <c r="AM44" s="1475"/>
      <c r="AN44" s="1475"/>
      <c r="AO44" s="1475"/>
      <c r="AP44" s="1475"/>
      <c r="AQ44" s="1475"/>
      <c r="AR44" s="1475"/>
      <c r="AS44" s="1475"/>
      <c r="AT44" s="1475"/>
      <c r="AU44" s="1475"/>
      <c r="AV44" s="29" t="s">
        <v>294</v>
      </c>
      <c r="AW44" s="29"/>
      <c r="AX44" s="1458">
        <f>BW31</f>
        <v>66538</v>
      </c>
      <c r="AY44" s="1458"/>
      <c r="AZ44" s="1458"/>
      <c r="BA44" s="1458"/>
      <c r="BB44" s="1458"/>
      <c r="BC44" s="1458"/>
      <c r="BD44" s="1458"/>
      <c r="BE44" s="1458"/>
      <c r="BF44" s="1458"/>
      <c r="BG44" s="16" t="s">
        <v>295</v>
      </c>
      <c r="BN44" s="1458">
        <f>INT(AA44/AK44*AX44*1000)</f>
        <v>13873</v>
      </c>
      <c r="BO44" s="1458"/>
      <c r="BP44" s="1458"/>
      <c r="BQ44" s="1458"/>
      <c r="BR44" s="1458"/>
      <c r="BS44" s="1458"/>
      <c r="BT44" s="1458"/>
      <c r="BU44" s="1458"/>
      <c r="BV44" s="16" t="s">
        <v>287</v>
      </c>
      <c r="CP44" s="18"/>
      <c r="CQ44" s="665" t="s">
        <v>829</v>
      </c>
      <c r="CR44" s="666" t="s">
        <v>630</v>
      </c>
    </row>
    <row r="45" spans="1:96" s="16" customFormat="1" ht="18" customHeight="1" thickTop="1">
      <c r="A45" s="17"/>
      <c r="D45" s="33"/>
      <c r="E45" s="34" t="s">
        <v>291</v>
      </c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1459">
        <f>SUM(BN44)</f>
        <v>13873</v>
      </c>
      <c r="BO45" s="1459"/>
      <c r="BP45" s="1459"/>
      <c r="BQ45" s="1459"/>
      <c r="BR45" s="1459"/>
      <c r="BS45" s="1459"/>
      <c r="BT45" s="1459"/>
      <c r="BU45" s="1459"/>
      <c r="BV45" s="33" t="s">
        <v>287</v>
      </c>
      <c r="BW45" s="33"/>
      <c r="BX45" s="33"/>
      <c r="BY45" s="33"/>
      <c r="BZ45" s="33"/>
      <c r="CA45" s="33"/>
      <c r="CB45" s="33"/>
      <c r="CC45" s="33"/>
      <c r="CD45" s="33"/>
      <c r="CE45" s="33"/>
      <c r="CF45" s="33"/>
      <c r="CG45" s="33"/>
      <c r="CH45" s="33"/>
      <c r="CI45" s="33"/>
      <c r="CP45" s="18"/>
      <c r="CR45" s="243"/>
    </row>
    <row r="46" spans="1:96" s="16" customFormat="1" ht="18" customHeight="1">
      <c r="A46" s="17"/>
      <c r="CP46" s="18"/>
      <c r="CR46" s="243"/>
    </row>
    <row r="47" spans="1:96" s="16" customFormat="1" ht="18" customHeight="1">
      <c r="A47" s="17"/>
      <c r="E47" s="16" t="s">
        <v>296</v>
      </c>
      <c r="O47" s="1460">
        <f>BU34</f>
        <v>59025</v>
      </c>
      <c r="P47" s="1460"/>
      <c r="Q47" s="1460"/>
      <c r="R47" s="1460"/>
      <c r="S47" s="1460"/>
      <c r="T47" s="1460"/>
      <c r="U47" s="1460"/>
      <c r="V47" s="1460"/>
      <c r="W47" s="1460"/>
      <c r="X47" s="1460"/>
      <c r="Y47" s="29" t="s">
        <v>297</v>
      </c>
      <c r="Z47" s="29"/>
      <c r="AA47" s="1460" t="e">
        <f>AT41</f>
        <v>#REF!</v>
      </c>
      <c r="AB47" s="1460"/>
      <c r="AC47" s="1460"/>
      <c r="AD47" s="1460"/>
      <c r="AE47" s="1460"/>
      <c r="AF47" s="1460"/>
      <c r="AG47" s="1460"/>
      <c r="AH47" s="1460"/>
      <c r="AI47" s="1460"/>
      <c r="AJ47" s="1460"/>
      <c r="AK47" s="29" t="s">
        <v>297</v>
      </c>
      <c r="AL47" s="29"/>
      <c r="AM47" s="1460">
        <f>BN45</f>
        <v>13873</v>
      </c>
      <c r="AN47" s="1460"/>
      <c r="AO47" s="1460"/>
      <c r="AP47" s="1460"/>
      <c r="AQ47" s="1460"/>
      <c r="AR47" s="1460"/>
      <c r="AS47" s="1460"/>
      <c r="AT47" s="1460"/>
      <c r="AU47" s="1460"/>
      <c r="AV47" s="1460"/>
      <c r="AW47" s="31" t="s">
        <v>298</v>
      </c>
      <c r="AX47" s="29"/>
      <c r="AY47" s="1460" t="e">
        <f>O47+AA47+AM47</f>
        <v>#REF!</v>
      </c>
      <c r="AZ47" s="1460"/>
      <c r="BA47" s="1460"/>
      <c r="BB47" s="1460"/>
      <c r="BC47" s="1460"/>
      <c r="BD47" s="1460"/>
      <c r="BE47" s="1460"/>
      <c r="BF47" s="1460"/>
      <c r="BG47" s="1460"/>
      <c r="BH47" s="1460"/>
      <c r="BI47" s="16" t="s">
        <v>287</v>
      </c>
      <c r="CP47" s="18"/>
      <c r="CR47" s="243"/>
    </row>
    <row r="48" spans="1:96" s="16" customFormat="1" ht="18" customHeight="1">
      <c r="A48" s="17"/>
      <c r="CP48" s="18"/>
      <c r="CR48" s="243"/>
    </row>
    <row r="49" spans="1:97" s="16" customFormat="1" ht="18" customHeight="1">
      <c r="A49" s="17"/>
      <c r="CP49" s="18"/>
      <c r="CR49" s="243"/>
    </row>
    <row r="50" spans="1:97" s="16" customFormat="1" ht="18" customHeight="1">
      <c r="A50" s="17"/>
      <c r="CP50" s="18"/>
      <c r="CR50" s="243"/>
    </row>
    <row r="51" spans="1:97" s="16" customFormat="1" ht="18" customHeight="1">
      <c r="A51" s="17"/>
      <c r="CP51" s="18"/>
      <c r="CR51" s="243"/>
    </row>
    <row r="52" spans="1:97" s="16" customFormat="1" ht="18" customHeight="1">
      <c r="A52" s="17"/>
      <c r="CP52" s="18"/>
      <c r="CR52" s="243"/>
    </row>
    <row r="53" spans="1:97" s="16" customFormat="1" ht="18" customHeight="1">
      <c r="A53" s="17"/>
      <c r="CP53" s="18"/>
      <c r="CR53" s="243"/>
    </row>
    <row r="54" spans="1:97" s="16" customFormat="1" ht="18" customHeight="1">
      <c r="A54" s="37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  <c r="R54" s="38"/>
      <c r="S54" s="38"/>
      <c r="T54" s="38"/>
      <c r="U54" s="38"/>
      <c r="V54" s="38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9"/>
      <c r="CR54" s="243"/>
    </row>
    <row r="55" spans="1:97" s="16" customFormat="1" ht="30.75" customHeight="1">
      <c r="A55" s="1467" t="s">
        <v>641</v>
      </c>
      <c r="B55" s="1468"/>
      <c r="C55" s="1468"/>
      <c r="D55" s="1468"/>
      <c r="E55" s="1468"/>
      <c r="F55" s="1468"/>
      <c r="G55" s="1468"/>
      <c r="H55" s="1468"/>
      <c r="I55" s="1468"/>
      <c r="J55" s="1468"/>
      <c r="K55" s="1468"/>
      <c r="L55" s="1468"/>
      <c r="M55" s="1468"/>
      <c r="N55" s="1468"/>
      <c r="O55" s="1468"/>
      <c r="P55" s="1468"/>
      <c r="Q55" s="1468"/>
      <c r="R55" s="1468"/>
      <c r="S55" s="1468"/>
      <c r="T55" s="1468"/>
      <c r="U55" s="1468"/>
      <c r="V55" s="1468"/>
      <c r="W55" s="1468"/>
      <c r="X55" s="1468"/>
      <c r="Y55" s="1468"/>
      <c r="Z55" s="1468"/>
      <c r="AA55" s="1468"/>
      <c r="AB55" s="1468"/>
      <c r="AC55" s="1468"/>
      <c r="AD55" s="1468"/>
      <c r="AE55" s="1468"/>
      <c r="AF55" s="1468"/>
      <c r="AG55" s="1468"/>
      <c r="AH55" s="1468"/>
      <c r="AI55" s="1468"/>
      <c r="AJ55" s="1468"/>
      <c r="AK55" s="1468"/>
      <c r="AL55" s="1468"/>
      <c r="AM55" s="1468"/>
      <c r="AN55" s="1468"/>
      <c r="AO55" s="1468"/>
      <c r="AP55" s="1468"/>
      <c r="AQ55" s="1468"/>
      <c r="AR55" s="1468"/>
      <c r="AS55" s="1468"/>
      <c r="AT55" s="1468"/>
      <c r="AU55" s="1468"/>
      <c r="AV55" s="1468"/>
      <c r="AW55" s="1468"/>
      <c r="AX55" s="1468"/>
      <c r="AY55" s="1468"/>
      <c r="AZ55" s="1468"/>
      <c r="BA55" s="1468"/>
      <c r="BB55" s="1468"/>
      <c r="BC55" s="1468"/>
      <c r="BD55" s="1468"/>
      <c r="BE55" s="1468"/>
      <c r="BF55" s="1468"/>
      <c r="BG55" s="1468"/>
      <c r="BH55" s="1468"/>
      <c r="BI55" s="1468"/>
      <c r="BJ55" s="1468"/>
      <c r="BK55" s="1468"/>
      <c r="BL55" s="1468"/>
      <c r="BM55" s="1468"/>
      <c r="BN55" s="1468"/>
      <c r="BO55" s="1468"/>
      <c r="BP55" s="1468"/>
      <c r="BQ55" s="1468"/>
      <c r="BR55" s="1468"/>
      <c r="BS55" s="1468"/>
      <c r="BT55" s="1468"/>
      <c r="BU55" s="1468"/>
      <c r="BV55" s="1468"/>
      <c r="BW55" s="1468"/>
      <c r="BX55" s="1468"/>
      <c r="BY55" s="1468"/>
      <c r="BZ55" s="1468"/>
      <c r="CA55" s="1468"/>
      <c r="CB55" s="1468"/>
      <c r="CC55" s="1468"/>
      <c r="CD55" s="1468"/>
      <c r="CE55" s="1468"/>
      <c r="CF55" s="1468"/>
      <c r="CG55" s="1468"/>
      <c r="CH55" s="1468"/>
      <c r="CI55" s="1468"/>
      <c r="CJ55" s="1468"/>
      <c r="CK55" s="1468"/>
      <c r="CL55" s="1468"/>
      <c r="CM55" s="1468"/>
      <c r="CN55" s="1468"/>
      <c r="CO55" s="1468"/>
      <c r="CP55" s="1469"/>
      <c r="CR55" s="243"/>
    </row>
    <row r="56" spans="1:97" s="16" customFormat="1" ht="18" customHeight="1">
      <c r="A56" s="40"/>
      <c r="B56" s="41"/>
      <c r="C56" s="41"/>
      <c r="D56" s="42" t="s">
        <v>299</v>
      </c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2" t="s">
        <v>300</v>
      </c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41"/>
      <c r="BD56" s="41"/>
      <c r="BE56" s="41"/>
      <c r="BF56" s="41"/>
      <c r="BG56" s="41"/>
      <c r="BH56" s="41"/>
      <c r="BI56" s="41"/>
      <c r="BJ56" s="41"/>
      <c r="BK56" s="41" t="s">
        <v>301</v>
      </c>
      <c r="BL56" s="41"/>
      <c r="BM56" s="41"/>
      <c r="BN56" s="41"/>
      <c r="BO56" s="41"/>
      <c r="BP56" s="41"/>
      <c r="BQ56" s="41"/>
      <c r="BR56" s="41"/>
      <c r="BS56" s="41"/>
      <c r="BT56" s="41"/>
      <c r="BU56" s="41"/>
      <c r="BV56" s="41"/>
      <c r="BW56" s="1470">
        <v>1673</v>
      </c>
      <c r="BX56" s="1470"/>
      <c r="BY56" s="1470"/>
      <c r="BZ56" s="1470"/>
      <c r="CA56" s="1470"/>
      <c r="CB56" s="1470"/>
      <c r="CC56" s="1470"/>
      <c r="CD56" s="1470"/>
      <c r="CE56" s="1470"/>
      <c r="CF56" s="1470"/>
      <c r="CG56" s="58" t="s">
        <v>720</v>
      </c>
      <c r="CH56" s="41"/>
      <c r="CI56" s="41"/>
      <c r="CJ56" s="41"/>
      <c r="CK56" s="41"/>
      <c r="CL56" s="41"/>
      <c r="CM56" s="41"/>
      <c r="CN56" s="41"/>
      <c r="CO56" s="41"/>
      <c r="CP56" s="43"/>
      <c r="CR56" s="247"/>
    </row>
    <row r="57" spans="1:97" s="16" customFormat="1" ht="18" customHeight="1">
      <c r="A57" s="17"/>
      <c r="CP57" s="18"/>
      <c r="CR57" s="662"/>
      <c r="CS57" s="663" t="s">
        <v>782</v>
      </c>
    </row>
    <row r="58" spans="1:97" s="16" customFormat="1" ht="18" customHeight="1">
      <c r="A58" s="17"/>
      <c r="D58" s="1461" t="s">
        <v>635</v>
      </c>
      <c r="E58" s="1462"/>
      <c r="F58" s="1462"/>
      <c r="G58" s="1462"/>
      <c r="H58" s="1462"/>
      <c r="I58" s="1462"/>
      <c r="J58" s="1462"/>
      <c r="K58" s="1462"/>
      <c r="L58" s="1462"/>
      <c r="M58" s="1462"/>
      <c r="N58" s="1462"/>
      <c r="O58" s="1462"/>
      <c r="P58" s="1462"/>
      <c r="Q58" s="1462"/>
      <c r="R58" s="1462"/>
      <c r="S58" s="1462"/>
      <c r="T58" s="1462"/>
      <c r="U58" s="1462"/>
      <c r="V58" s="1462"/>
      <c r="W58" s="1462"/>
      <c r="X58" s="1462"/>
      <c r="Y58" s="1462"/>
      <c r="Z58" s="1462"/>
      <c r="AA58" s="1462"/>
      <c r="AB58" s="1462"/>
      <c r="AC58" s="1462"/>
      <c r="AD58" s="1462"/>
      <c r="AE58" s="1462"/>
      <c r="AF58" s="1462"/>
      <c r="AG58" s="1462"/>
      <c r="AH58" s="1462"/>
      <c r="AI58" s="1462"/>
      <c r="AJ58" s="1462"/>
      <c r="AK58" s="1462"/>
      <c r="AL58" s="1462"/>
      <c r="AM58" s="1462"/>
      <c r="AN58" s="1462"/>
      <c r="AO58" s="1462"/>
      <c r="AP58" s="1462"/>
      <c r="AQ58" s="1462"/>
      <c r="AR58" s="1462"/>
      <c r="AS58" s="1462"/>
      <c r="AT58" s="1462"/>
      <c r="AU58" s="1462"/>
      <c r="AV58" s="1462"/>
      <c r="AW58" s="1462"/>
      <c r="AX58" s="1462"/>
      <c r="AY58" s="1462"/>
      <c r="AZ58" s="1462"/>
      <c r="BA58" s="1462"/>
      <c r="BB58" s="1462"/>
      <c r="BC58" s="1462"/>
      <c r="BD58" s="1462"/>
      <c r="BE58" s="1462"/>
      <c r="BF58" s="1462"/>
      <c r="BG58" s="1462"/>
      <c r="BH58" s="1462"/>
      <c r="BI58" s="1462"/>
      <c r="BJ58" s="1462"/>
      <c r="BK58" s="1462"/>
      <c r="BL58" s="1462"/>
      <c r="BM58" s="1462"/>
      <c r="BN58" s="1462"/>
      <c r="BO58" s="1462"/>
      <c r="BP58" s="1462"/>
      <c r="BQ58" s="1462"/>
      <c r="BR58" s="1462"/>
      <c r="BS58" s="1462"/>
      <c r="BT58" s="1462"/>
      <c r="BU58" s="1462"/>
      <c r="BV58" s="1462"/>
      <c r="BW58" s="1462"/>
      <c r="BX58" s="1462"/>
      <c r="BY58" s="1462"/>
      <c r="BZ58" s="1462"/>
      <c r="CA58" s="1462"/>
      <c r="CB58" s="1462"/>
      <c r="CC58" s="1462"/>
      <c r="CD58" s="1462"/>
      <c r="CE58" s="1462"/>
      <c r="CF58" s="1462"/>
      <c r="CG58" s="1462"/>
      <c r="CH58" s="1462"/>
      <c r="CI58" s="1462"/>
      <c r="CJ58" s="1462"/>
      <c r="CK58" s="1462"/>
      <c r="CL58" s="1462"/>
      <c r="CM58" s="1462"/>
      <c r="CN58" s="1462"/>
      <c r="CO58" s="1462"/>
      <c r="CP58" s="18"/>
      <c r="CQ58" s="49"/>
      <c r="CR58" s="662"/>
      <c r="CS58" s="664"/>
    </row>
    <row r="59" spans="1:97" s="16" customFormat="1" ht="18" customHeight="1" thickBot="1">
      <c r="A59" s="17"/>
      <c r="E59" s="49" t="s">
        <v>531</v>
      </c>
      <c r="U59" s="1466">
        <v>1</v>
      </c>
      <c r="V59" s="1466"/>
      <c r="W59" s="1466"/>
      <c r="X59" s="1466"/>
      <c r="Y59" s="1466"/>
      <c r="Z59" s="29" t="s">
        <v>303</v>
      </c>
      <c r="AA59" s="29"/>
      <c r="AB59" s="29"/>
      <c r="AC59" s="29"/>
      <c r="AD59" s="29"/>
      <c r="AE59" s="1471">
        <f>CR62</f>
        <v>173995</v>
      </c>
      <c r="AF59" s="1471"/>
      <c r="AG59" s="1471"/>
      <c r="AH59" s="1471"/>
      <c r="AI59" s="1471"/>
      <c r="AJ59" s="1471"/>
      <c r="AK59" s="1471"/>
      <c r="AL59" s="1471"/>
      <c r="AM59" s="16" t="s">
        <v>304</v>
      </c>
      <c r="AU59" s="1466">
        <v>8</v>
      </c>
      <c r="AV59" s="1466"/>
      <c r="AW59" s="1466"/>
      <c r="AX59" s="29" t="s">
        <v>294</v>
      </c>
      <c r="AY59" s="29"/>
      <c r="AZ59" s="29">
        <v>25</v>
      </c>
      <c r="BA59" s="29"/>
      <c r="BB59" s="29"/>
      <c r="BC59" s="29" t="s">
        <v>293</v>
      </c>
      <c r="BD59" s="29"/>
      <c r="BE59" s="1466">
        <v>20</v>
      </c>
      <c r="BF59" s="1466"/>
      <c r="BG59" s="1466"/>
      <c r="BH59" s="29" t="s">
        <v>294</v>
      </c>
      <c r="BI59" s="29"/>
      <c r="BJ59" s="1466">
        <v>16</v>
      </c>
      <c r="BK59" s="1466"/>
      <c r="BL59" s="1466"/>
      <c r="BM59" s="29" t="s">
        <v>293</v>
      </c>
      <c r="BN59" s="29"/>
      <c r="BO59" s="1466">
        <v>12</v>
      </c>
      <c r="BP59" s="1466"/>
      <c r="BQ59" s="1466"/>
      <c r="BR59" s="1466"/>
      <c r="BS59" s="31" t="s">
        <v>298</v>
      </c>
      <c r="BT59" s="29"/>
      <c r="BU59" s="1458">
        <f>INT(U59*AE59*(1/AU59*(AZ59/BE59)*(BJ59/BO59)))</f>
        <v>36248</v>
      </c>
      <c r="BV59" s="1458"/>
      <c r="BW59" s="1458"/>
      <c r="BX59" s="1458"/>
      <c r="BY59" s="1458"/>
      <c r="BZ59" s="1458"/>
      <c r="CA59" s="1458"/>
      <c r="CB59" s="1458"/>
      <c r="CC59" s="16" t="s">
        <v>287</v>
      </c>
      <c r="CP59" s="18"/>
      <c r="CQ59" s="16" t="s">
        <v>97</v>
      </c>
      <c r="CR59" s="244">
        <f>VLOOKUP(CQ59,인건비!A:B,2,FALSE)</f>
        <v>283323</v>
      </c>
    </row>
    <row r="60" spans="1:97" s="16" customFormat="1" ht="18" customHeight="1" thickTop="1">
      <c r="A60" s="17"/>
      <c r="D60" s="33"/>
      <c r="E60" s="34" t="s">
        <v>291</v>
      </c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1459">
        <f>INT(SUM(BU59:BU59))</f>
        <v>36248</v>
      </c>
      <c r="BV60" s="1459"/>
      <c r="BW60" s="1459"/>
      <c r="BX60" s="1459"/>
      <c r="BY60" s="1459"/>
      <c r="BZ60" s="1459"/>
      <c r="CA60" s="1459"/>
      <c r="CB60" s="1459"/>
      <c r="CC60" s="33" t="s">
        <v>287</v>
      </c>
      <c r="CD60" s="33"/>
      <c r="CE60" s="33"/>
      <c r="CF60" s="33"/>
      <c r="CG60" s="33"/>
      <c r="CH60" s="33"/>
      <c r="CI60" s="33"/>
      <c r="CP60" s="18"/>
      <c r="CR60" s="244"/>
    </row>
    <row r="61" spans="1:97" s="16" customFormat="1" ht="18" customHeight="1">
      <c r="A61" s="1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BU61" s="32"/>
      <c r="BV61" s="29"/>
      <c r="BW61" s="29"/>
      <c r="BX61" s="29"/>
      <c r="BY61" s="29"/>
      <c r="BZ61" s="29"/>
      <c r="CA61" s="29"/>
      <c r="CB61" s="29"/>
      <c r="CP61" s="18"/>
      <c r="CQ61" s="16" t="s">
        <v>176</v>
      </c>
      <c r="CR61" s="244">
        <f>VLOOKUP(CQ61,인건비!A:B,2,FALSE)</f>
        <v>210909</v>
      </c>
    </row>
    <row r="62" spans="1:97" s="16" customFormat="1" ht="18" customHeight="1">
      <c r="A62" s="17"/>
      <c r="BV62" s="32"/>
      <c r="BW62" s="29"/>
      <c r="BX62" s="29"/>
      <c r="BY62" s="29"/>
      <c r="BZ62" s="29"/>
      <c r="CA62" s="29"/>
      <c r="CB62" s="29"/>
      <c r="CC62" s="29"/>
      <c r="CD62" s="29"/>
      <c r="CP62" s="18"/>
      <c r="CQ62" s="16" t="s">
        <v>96</v>
      </c>
      <c r="CR62" s="244">
        <f>VLOOKUP(CQ62,인건비!A:B,2,FALSE)</f>
        <v>173995</v>
      </c>
    </row>
    <row r="63" spans="1:97" s="16" customFormat="1" ht="18" customHeight="1">
      <c r="A63" s="17"/>
      <c r="D63" s="1461" t="s">
        <v>640</v>
      </c>
      <c r="E63" s="1462"/>
      <c r="F63" s="1462"/>
      <c r="G63" s="1462"/>
      <c r="H63" s="1462"/>
      <c r="I63" s="1462"/>
      <c r="J63" s="1462"/>
      <c r="K63" s="1462"/>
      <c r="L63" s="1462"/>
      <c r="M63" s="1462"/>
      <c r="N63" s="1462"/>
      <c r="O63" s="1462"/>
      <c r="P63" s="1462"/>
      <c r="Q63" s="1462"/>
      <c r="R63" s="1462"/>
      <c r="S63" s="1462"/>
      <c r="T63" s="1462"/>
      <c r="U63" s="1462"/>
      <c r="V63" s="1462"/>
      <c r="W63" s="1462"/>
      <c r="X63" s="1462"/>
      <c r="Y63" s="1462"/>
      <c r="Z63" s="1462"/>
      <c r="AA63" s="1462"/>
      <c r="AB63" s="1462"/>
      <c r="AC63" s="1462"/>
      <c r="AD63" s="1462"/>
      <c r="AE63" s="1462"/>
      <c r="AF63" s="1462"/>
      <c r="AG63" s="1462"/>
      <c r="AH63" s="1462"/>
      <c r="AI63" s="1462"/>
      <c r="AJ63" s="1462"/>
      <c r="AK63" s="1462"/>
      <c r="AL63" s="1462"/>
      <c r="AM63" s="1462"/>
      <c r="AN63" s="1462"/>
      <c r="AO63" s="1462"/>
      <c r="AP63" s="1462"/>
      <c r="AQ63" s="1462"/>
      <c r="AR63" s="1462"/>
      <c r="AS63" s="1462"/>
      <c r="AT63" s="1462"/>
      <c r="AU63" s="1462"/>
      <c r="AV63" s="1462"/>
      <c r="AW63" s="1462"/>
      <c r="AX63" s="1462"/>
      <c r="AY63" s="1462"/>
      <c r="AZ63" s="1462"/>
      <c r="BA63" s="1462"/>
      <c r="BB63" s="1462"/>
      <c r="BC63" s="1462"/>
      <c r="BD63" s="1462"/>
      <c r="BE63" s="1462"/>
      <c r="BF63" s="1462"/>
      <c r="BG63" s="1462"/>
      <c r="BH63" s="1462"/>
      <c r="BI63" s="1462"/>
      <c r="BJ63" s="1462"/>
      <c r="BK63" s="1462"/>
      <c r="BL63" s="1462"/>
      <c r="BM63" s="1462"/>
      <c r="BN63" s="1462"/>
      <c r="BO63" s="1462"/>
      <c r="BP63" s="1462"/>
      <c r="BQ63" s="1462"/>
      <c r="BR63" s="1462"/>
      <c r="BS63" s="1462"/>
      <c r="BT63" s="1462"/>
      <c r="BU63" s="1462"/>
      <c r="BV63" s="1462"/>
      <c r="BW63" s="1462"/>
      <c r="BX63" s="1462"/>
      <c r="BY63" s="1462"/>
      <c r="BZ63" s="1462"/>
      <c r="CA63" s="1462"/>
      <c r="CB63" s="1462"/>
      <c r="CC63" s="1462"/>
      <c r="CD63" s="1462"/>
      <c r="CE63" s="1462"/>
      <c r="CF63" s="1462"/>
      <c r="CG63" s="1462"/>
      <c r="CH63" s="1462"/>
      <c r="CI63" s="1462"/>
      <c r="CJ63" s="1462"/>
      <c r="CK63" s="1462"/>
      <c r="CL63" s="1462"/>
      <c r="CM63" s="1462"/>
      <c r="CN63" s="1462"/>
      <c r="CO63" s="1462"/>
      <c r="CP63" s="18"/>
      <c r="CQ63" s="16" t="s">
        <v>95</v>
      </c>
      <c r="CR63" s="244">
        <f>VLOOKUP(CQ63,인건비!A:B,2,FALSE)</f>
        <v>240042</v>
      </c>
    </row>
    <row r="64" spans="1:97" s="16" customFormat="1" ht="18" customHeight="1">
      <c r="A64" s="17"/>
      <c r="E64" s="16" t="s">
        <v>305</v>
      </c>
      <c r="U64" s="1463">
        <v>1</v>
      </c>
      <c r="V64" s="1463"/>
      <c r="W64" s="1463"/>
      <c r="X64" s="1463"/>
      <c r="Y64" s="1463"/>
      <c r="Z64" s="16" t="s">
        <v>266</v>
      </c>
      <c r="AE64" s="1464" t="e">
        <f>CR64</f>
        <v>#REF!</v>
      </c>
      <c r="AF64" s="1464"/>
      <c r="AG64" s="1464"/>
      <c r="AH64" s="1464"/>
      <c r="AI64" s="1464"/>
      <c r="AJ64" s="1464"/>
      <c r="AK64" s="1464"/>
      <c r="AL64" s="1464"/>
      <c r="AM64" s="16" t="s">
        <v>286</v>
      </c>
      <c r="AT64" s="1465" t="e">
        <f>INT(U64*AE64)</f>
        <v>#REF!</v>
      </c>
      <c r="AU64" s="1465"/>
      <c r="AV64" s="1465"/>
      <c r="AW64" s="1465"/>
      <c r="AX64" s="1465"/>
      <c r="AY64" s="1465"/>
      <c r="AZ64" s="1465"/>
      <c r="BA64" s="1465"/>
      <c r="BB64" s="16" t="s">
        <v>287</v>
      </c>
      <c r="CP64" s="18"/>
      <c r="CQ64" s="16" t="s">
        <v>267</v>
      </c>
      <c r="CR64" s="245" t="e">
        <f>#REF!</f>
        <v>#REF!</v>
      </c>
    </row>
    <row r="65" spans="1:96" s="16" customFormat="1" ht="18" customHeight="1" thickBot="1">
      <c r="A65" s="17"/>
      <c r="E65" s="16" t="s">
        <v>288</v>
      </c>
      <c r="U65" s="16" t="s">
        <v>289</v>
      </c>
      <c r="AE65" s="1466">
        <v>20</v>
      </c>
      <c r="AF65" s="1466"/>
      <c r="AG65" s="1466"/>
      <c r="AH65" s="1466"/>
      <c r="AI65" s="1466"/>
      <c r="AJ65" s="1466"/>
      <c r="AK65" s="1466"/>
      <c r="AL65" s="1466"/>
      <c r="AM65" s="16" t="s">
        <v>290</v>
      </c>
      <c r="AT65" s="1458" t="e">
        <f>INT(AT64*AE65/100)</f>
        <v>#REF!</v>
      </c>
      <c r="AU65" s="1458"/>
      <c r="AV65" s="1458"/>
      <c r="AW65" s="1458"/>
      <c r="AX65" s="1458"/>
      <c r="AY65" s="1458"/>
      <c r="AZ65" s="1458"/>
      <c r="BA65" s="1458"/>
      <c r="BB65" s="16" t="s">
        <v>287</v>
      </c>
      <c r="CP65" s="18"/>
      <c r="CQ65" s="16" t="s">
        <v>268</v>
      </c>
      <c r="CR65" s="245" t="e">
        <f>#REF!</f>
        <v>#REF!</v>
      </c>
    </row>
    <row r="66" spans="1:96" s="16" customFormat="1" ht="18" customHeight="1" thickTop="1">
      <c r="A66" s="17"/>
      <c r="D66" s="33"/>
      <c r="E66" s="34" t="s">
        <v>291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  <c r="AS66" s="33"/>
      <c r="AT66" s="1459" t="e">
        <f>INT(SUM(AT64+AT65))</f>
        <v>#REF!</v>
      </c>
      <c r="AU66" s="1459"/>
      <c r="AV66" s="1459"/>
      <c r="AW66" s="1459"/>
      <c r="AX66" s="1459"/>
      <c r="AY66" s="1459"/>
      <c r="AZ66" s="1459"/>
      <c r="BA66" s="1459"/>
      <c r="BB66" s="33" t="s">
        <v>287</v>
      </c>
      <c r="BC66" s="33"/>
      <c r="BD66" s="33"/>
      <c r="BE66" s="33"/>
      <c r="BF66" s="33"/>
      <c r="BG66" s="33"/>
      <c r="BH66" s="33"/>
      <c r="BI66" s="33"/>
      <c r="BJ66" s="33"/>
      <c r="BK66" s="33"/>
      <c r="BL66" s="33"/>
      <c r="BM66" s="33"/>
      <c r="BN66" s="33"/>
      <c r="BO66" s="33"/>
      <c r="BP66" s="33"/>
      <c r="BQ66" s="33"/>
      <c r="BR66" s="33"/>
      <c r="BS66" s="33"/>
      <c r="BT66" s="33"/>
      <c r="BU66" s="33"/>
      <c r="BV66" s="33"/>
      <c r="BW66" s="33"/>
      <c r="BX66" s="33"/>
      <c r="BY66" s="33"/>
      <c r="BZ66" s="33"/>
      <c r="CA66" s="33"/>
      <c r="CB66" s="33"/>
      <c r="CC66" s="33"/>
      <c r="CD66" s="33"/>
      <c r="CE66" s="33"/>
      <c r="CF66" s="33"/>
      <c r="CG66" s="33"/>
      <c r="CH66" s="33"/>
      <c r="CI66" s="33"/>
      <c r="CP66" s="18"/>
      <c r="CQ66" s="665" t="s">
        <v>831</v>
      </c>
      <c r="CR66" s="666" t="s">
        <v>639</v>
      </c>
    </row>
    <row r="67" spans="1:96" s="16" customFormat="1" ht="18" customHeight="1">
      <c r="A67" s="17"/>
      <c r="CP67" s="18"/>
      <c r="CQ67" s="664"/>
      <c r="CR67" s="667"/>
    </row>
    <row r="68" spans="1:96" s="16" customFormat="1" ht="18" customHeight="1">
      <c r="A68" s="17"/>
      <c r="D68" s="1461" t="s">
        <v>637</v>
      </c>
      <c r="E68" s="1462"/>
      <c r="F68" s="1462"/>
      <c r="G68" s="1462"/>
      <c r="H68" s="1462"/>
      <c r="I68" s="1462"/>
      <c r="J68" s="1462"/>
      <c r="K68" s="1462"/>
      <c r="L68" s="1462"/>
      <c r="M68" s="1462"/>
      <c r="N68" s="1462"/>
      <c r="O68" s="1462"/>
      <c r="P68" s="1462"/>
      <c r="Q68" s="1462"/>
      <c r="R68" s="1462"/>
      <c r="S68" s="1462"/>
      <c r="T68" s="1462"/>
      <c r="U68" s="1462"/>
      <c r="V68" s="1462"/>
      <c r="W68" s="1462"/>
      <c r="X68" s="1462"/>
      <c r="Y68" s="1462"/>
      <c r="Z68" s="1462"/>
      <c r="AA68" s="1462"/>
      <c r="AB68" s="1462"/>
      <c r="AC68" s="1462"/>
      <c r="AD68" s="1462"/>
      <c r="AE68" s="1462"/>
      <c r="AF68" s="1462"/>
      <c r="AG68" s="1462"/>
      <c r="AH68" s="1462"/>
      <c r="AI68" s="1462"/>
      <c r="AJ68" s="1462"/>
      <c r="AK68" s="1462"/>
      <c r="AL68" s="1462"/>
      <c r="AM68" s="1462"/>
      <c r="AN68" s="1462"/>
      <c r="AO68" s="1462"/>
      <c r="AP68" s="1462"/>
      <c r="AQ68" s="1462"/>
      <c r="AR68" s="1462"/>
      <c r="AS68" s="1462"/>
      <c r="AT68" s="1462"/>
      <c r="AU68" s="1462"/>
      <c r="AV68" s="1462"/>
      <c r="AW68" s="1462"/>
      <c r="AX68" s="1462"/>
      <c r="AY68" s="1462"/>
      <c r="AZ68" s="1462"/>
      <c r="BA68" s="1462"/>
      <c r="BB68" s="1462"/>
      <c r="BC68" s="1462"/>
      <c r="BD68" s="1462"/>
      <c r="BE68" s="1462"/>
      <c r="BF68" s="1462"/>
      <c r="BG68" s="1462"/>
      <c r="BH68" s="1462"/>
      <c r="BI68" s="1462"/>
      <c r="BJ68" s="1462"/>
      <c r="BK68" s="1462"/>
      <c r="BL68" s="1462"/>
      <c r="BM68" s="1462"/>
      <c r="BN68" s="1462"/>
      <c r="BO68" s="1462"/>
      <c r="BP68" s="1462"/>
      <c r="BQ68" s="1462"/>
      <c r="BR68" s="1462"/>
      <c r="BS68" s="1462"/>
      <c r="BT68" s="1462"/>
      <c r="BU68" s="1462"/>
      <c r="BV68" s="1462"/>
      <c r="BW68" s="1462"/>
      <c r="BX68" s="1462"/>
      <c r="BY68" s="1462"/>
      <c r="BZ68" s="1462"/>
      <c r="CA68" s="1462"/>
      <c r="CB68" s="1462"/>
      <c r="CC68" s="1462"/>
      <c r="CD68" s="1462"/>
      <c r="CE68" s="1462"/>
      <c r="CF68" s="1462"/>
      <c r="CG68" s="1462"/>
      <c r="CH68" s="1462"/>
      <c r="CI68" s="1462"/>
      <c r="CJ68" s="1462"/>
      <c r="CK68" s="1462"/>
      <c r="CL68" s="1462"/>
      <c r="CM68" s="1462"/>
      <c r="CN68" s="1462"/>
      <c r="CO68" s="1462"/>
      <c r="CP68" s="18"/>
      <c r="CQ68" s="664"/>
      <c r="CR68" s="667"/>
    </row>
    <row r="69" spans="1:96" s="16" customFormat="1" ht="18" customHeight="1" thickBot="1">
      <c r="A69" s="17"/>
      <c r="E69" s="16" t="s">
        <v>306</v>
      </c>
      <c r="AA69" s="1456">
        <v>3708</v>
      </c>
      <c r="AB69" s="1456"/>
      <c r="AC69" s="1456"/>
      <c r="AD69" s="1456"/>
      <c r="AE69" s="1456"/>
      <c r="AF69" s="1456"/>
      <c r="AG69" s="1456"/>
      <c r="AH69" s="1456"/>
      <c r="AI69" s="29" t="s">
        <v>293</v>
      </c>
      <c r="AJ69" s="29"/>
      <c r="AK69" s="1457">
        <v>10000000</v>
      </c>
      <c r="AL69" s="1457"/>
      <c r="AM69" s="1457"/>
      <c r="AN69" s="1457"/>
      <c r="AO69" s="1457"/>
      <c r="AP69" s="1457"/>
      <c r="AQ69" s="1457"/>
      <c r="AR69" s="1457"/>
      <c r="AS69" s="1457"/>
      <c r="AT69" s="1457"/>
      <c r="AU69" s="1457"/>
      <c r="AV69" s="29" t="s">
        <v>294</v>
      </c>
      <c r="AW69" s="29"/>
      <c r="AX69" s="1458">
        <f>BW56</f>
        <v>1673</v>
      </c>
      <c r="AY69" s="1458"/>
      <c r="AZ69" s="1458"/>
      <c r="BA69" s="1458"/>
      <c r="BB69" s="1458"/>
      <c r="BC69" s="1458"/>
      <c r="BD69" s="1458"/>
      <c r="BE69" s="1458"/>
      <c r="BF69" s="1458"/>
      <c r="BG69" s="16" t="s">
        <v>295</v>
      </c>
      <c r="BN69" s="1458">
        <f>INT(AA69/AK69*AX69*1000)</f>
        <v>620</v>
      </c>
      <c r="BO69" s="1458"/>
      <c r="BP69" s="1458"/>
      <c r="BQ69" s="1458"/>
      <c r="BR69" s="1458"/>
      <c r="BS69" s="1458"/>
      <c r="BT69" s="1458"/>
      <c r="BU69" s="1458"/>
      <c r="BV69" s="16" t="s">
        <v>287</v>
      </c>
      <c r="CP69" s="18"/>
      <c r="CQ69" s="665" t="s">
        <v>830</v>
      </c>
      <c r="CR69" s="666" t="s">
        <v>638</v>
      </c>
    </row>
    <row r="70" spans="1:96" s="16" customFormat="1" ht="18" customHeight="1" thickTop="1">
      <c r="A70" s="17"/>
      <c r="D70" s="33"/>
      <c r="E70" s="34" t="s">
        <v>291</v>
      </c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3"/>
      <c r="BB70" s="33"/>
      <c r="BC70" s="33"/>
      <c r="BD70" s="33"/>
      <c r="BE70" s="33"/>
      <c r="BF70" s="33"/>
      <c r="BG70" s="33"/>
      <c r="BH70" s="33"/>
      <c r="BI70" s="33"/>
      <c r="BJ70" s="33"/>
      <c r="BK70" s="33"/>
      <c r="BL70" s="33"/>
      <c r="BM70" s="33"/>
      <c r="BN70" s="1459">
        <f>SUM(BN69)</f>
        <v>620</v>
      </c>
      <c r="BO70" s="1459"/>
      <c r="BP70" s="1459"/>
      <c r="BQ70" s="1459"/>
      <c r="BR70" s="1459"/>
      <c r="BS70" s="1459"/>
      <c r="BT70" s="1459"/>
      <c r="BU70" s="1459"/>
      <c r="BV70" s="33" t="s">
        <v>287</v>
      </c>
      <c r="BW70" s="33"/>
      <c r="BX70" s="33"/>
      <c r="BY70" s="33"/>
      <c r="BZ70" s="33"/>
      <c r="CA70" s="33"/>
      <c r="CB70" s="33"/>
      <c r="CC70" s="33"/>
      <c r="CD70" s="33"/>
      <c r="CE70" s="33"/>
      <c r="CF70" s="33"/>
      <c r="CG70" s="33"/>
      <c r="CH70" s="33"/>
      <c r="CI70" s="33"/>
      <c r="CP70" s="18"/>
      <c r="CR70" s="243"/>
    </row>
    <row r="71" spans="1:96" s="16" customFormat="1" ht="18" customHeight="1">
      <c r="A71" s="17"/>
      <c r="CP71" s="18"/>
      <c r="CR71" s="243"/>
    </row>
    <row r="72" spans="1:96" s="16" customFormat="1" ht="18" customHeight="1">
      <c r="A72" s="17"/>
      <c r="E72" s="16" t="s">
        <v>296</v>
      </c>
      <c r="O72" s="1460">
        <f>$BU$60</f>
        <v>36248</v>
      </c>
      <c r="P72" s="1460"/>
      <c r="Q72" s="1460"/>
      <c r="R72" s="1460"/>
      <c r="S72" s="1460"/>
      <c r="T72" s="1460"/>
      <c r="U72" s="1460"/>
      <c r="V72" s="1460"/>
      <c r="W72" s="1460"/>
      <c r="X72" s="1460"/>
      <c r="Y72" s="29" t="s">
        <v>297</v>
      </c>
      <c r="Z72" s="29"/>
      <c r="AA72" s="1460" t="e">
        <f>$AT$66</f>
        <v>#REF!</v>
      </c>
      <c r="AB72" s="1460"/>
      <c r="AC72" s="1460"/>
      <c r="AD72" s="1460"/>
      <c r="AE72" s="1460"/>
      <c r="AF72" s="1460"/>
      <c r="AG72" s="1460"/>
      <c r="AH72" s="1460"/>
      <c r="AI72" s="1460"/>
      <c r="AJ72" s="1460"/>
      <c r="AK72" s="29" t="s">
        <v>297</v>
      </c>
      <c r="AL72" s="29"/>
      <c r="AM72" s="1460">
        <f>$BN$70</f>
        <v>620</v>
      </c>
      <c r="AN72" s="1460"/>
      <c r="AO72" s="1460"/>
      <c r="AP72" s="1460"/>
      <c r="AQ72" s="1460"/>
      <c r="AR72" s="1460"/>
      <c r="AS72" s="1460"/>
      <c r="AT72" s="1460"/>
      <c r="AU72" s="1460"/>
      <c r="AV72" s="1460"/>
      <c r="AW72" s="31" t="s">
        <v>298</v>
      </c>
      <c r="AX72" s="29"/>
      <c r="AY72" s="1460" t="e">
        <f>O72+AA72+AM72</f>
        <v>#REF!</v>
      </c>
      <c r="AZ72" s="1460"/>
      <c r="BA72" s="1460"/>
      <c r="BB72" s="1460"/>
      <c r="BC72" s="1460"/>
      <c r="BD72" s="1460"/>
      <c r="BE72" s="1460"/>
      <c r="BF72" s="1460"/>
      <c r="BG72" s="1460"/>
      <c r="BH72" s="1460"/>
      <c r="BI72" s="16" t="s">
        <v>287</v>
      </c>
      <c r="CP72" s="18"/>
      <c r="CR72" s="243"/>
    </row>
    <row r="73" spans="1:96" s="16" customFormat="1" ht="18" customHeight="1">
      <c r="A73" s="17"/>
      <c r="CP73" s="18"/>
      <c r="CR73" s="243"/>
    </row>
    <row r="74" spans="1:96" s="16" customFormat="1" ht="9.9499999999999993" customHeight="1">
      <c r="A74" s="17"/>
      <c r="CP74" s="18"/>
      <c r="CR74" s="243"/>
    </row>
    <row r="75" spans="1:96" s="16" customFormat="1" ht="9.9499999999999993" customHeight="1">
      <c r="A75" s="17"/>
      <c r="CP75" s="18"/>
      <c r="CR75" s="243"/>
    </row>
    <row r="76" spans="1:96" s="16" customFormat="1" ht="9.9499999999999993" customHeight="1">
      <c r="A76" s="17"/>
      <c r="CP76" s="18"/>
      <c r="CR76" s="243"/>
    </row>
    <row r="77" spans="1:96" s="16" customFormat="1" ht="9.9499999999999993" customHeight="1">
      <c r="A77" s="17"/>
      <c r="CP77" s="18"/>
      <c r="CR77" s="243"/>
    </row>
    <row r="78" spans="1:96" s="16" customFormat="1" ht="9.9499999999999993" customHeight="1">
      <c r="A78" s="17"/>
      <c r="CP78" s="18"/>
      <c r="CR78" s="243"/>
    </row>
    <row r="79" spans="1:96" s="16" customFormat="1" ht="9.9499999999999993" customHeight="1">
      <c r="A79" s="17"/>
      <c r="CP79" s="18"/>
      <c r="CR79" s="243"/>
    </row>
    <row r="80" spans="1:96" s="16" customFormat="1" ht="9.9499999999999993" customHeight="1">
      <c r="A80" s="17"/>
      <c r="CP80" s="18"/>
      <c r="CR80" s="243"/>
    </row>
    <row r="81" spans="1:97" s="16" customFormat="1" ht="9.9499999999999993" customHeight="1">
      <c r="A81" s="17"/>
      <c r="CP81" s="18"/>
      <c r="CR81" s="243"/>
    </row>
    <row r="82" spans="1:97" s="16" customFormat="1" ht="9.9499999999999993" customHeight="1">
      <c r="A82" s="17"/>
      <c r="CP82" s="18"/>
      <c r="CR82" s="243"/>
    </row>
    <row r="83" spans="1:97" s="16" customFormat="1" ht="9.9499999999999993" customHeight="1">
      <c r="A83" s="17"/>
      <c r="CP83" s="18"/>
      <c r="CR83" s="243"/>
    </row>
    <row r="84" spans="1:97" s="16" customFormat="1" ht="9.9499999999999993" customHeight="1">
      <c r="A84" s="17"/>
      <c r="CP84" s="18"/>
      <c r="CR84" s="243"/>
    </row>
    <row r="85" spans="1:97" s="16" customFormat="1" ht="9.9499999999999993" customHeight="1">
      <c r="A85" s="17"/>
      <c r="CP85" s="18"/>
      <c r="CR85" s="243"/>
    </row>
    <row r="86" spans="1:97" s="16" customFormat="1" ht="9.9499999999999993" customHeight="1">
      <c r="A86" s="17"/>
      <c r="CP86" s="18"/>
      <c r="CR86" s="243"/>
    </row>
    <row r="87" spans="1:97" s="16" customFormat="1" ht="18" customHeight="1">
      <c r="A87" s="37"/>
      <c r="B87" s="38"/>
      <c r="C87" s="38"/>
      <c r="D87" s="38"/>
      <c r="E87" s="38"/>
      <c r="F87" s="38"/>
      <c r="G87" s="3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  <c r="BG87" s="38"/>
      <c r="BH87" s="38"/>
      <c r="BI87" s="38"/>
      <c r="BJ87" s="38"/>
      <c r="BK87" s="38"/>
      <c r="BL87" s="38"/>
      <c r="BM87" s="38"/>
      <c r="BN87" s="38"/>
      <c r="BO87" s="38"/>
      <c r="BP87" s="38"/>
      <c r="BQ87" s="38"/>
      <c r="BR87" s="38"/>
      <c r="BS87" s="38"/>
      <c r="BT87" s="38"/>
      <c r="BU87" s="38"/>
      <c r="BV87" s="38"/>
      <c r="BW87" s="38"/>
      <c r="BX87" s="38"/>
      <c r="BY87" s="38"/>
      <c r="BZ87" s="38"/>
      <c r="CA87" s="38"/>
      <c r="CB87" s="38"/>
      <c r="CC87" s="38"/>
      <c r="CD87" s="38"/>
      <c r="CE87" s="38"/>
      <c r="CF87" s="38"/>
      <c r="CG87" s="38"/>
      <c r="CH87" s="38"/>
      <c r="CI87" s="38"/>
      <c r="CJ87" s="38"/>
      <c r="CK87" s="38"/>
      <c r="CL87" s="38"/>
      <c r="CM87" s="38"/>
      <c r="CN87" s="38"/>
      <c r="CO87" s="38"/>
      <c r="CP87" s="39"/>
      <c r="CR87" s="243"/>
    </row>
    <row r="88" spans="1:97" s="16" customFormat="1" ht="30.75" customHeight="1">
      <c r="A88" s="1467" t="s">
        <v>644</v>
      </c>
      <c r="B88" s="1468"/>
      <c r="C88" s="1468"/>
      <c r="D88" s="1468"/>
      <c r="E88" s="1468"/>
      <c r="F88" s="1468"/>
      <c r="G88" s="1468"/>
      <c r="H88" s="1468"/>
      <c r="I88" s="1468"/>
      <c r="J88" s="1468"/>
      <c r="K88" s="1468"/>
      <c r="L88" s="1468"/>
      <c r="M88" s="1468"/>
      <c r="N88" s="1468"/>
      <c r="O88" s="1468"/>
      <c r="P88" s="1468"/>
      <c r="Q88" s="1468"/>
      <c r="R88" s="1468"/>
      <c r="S88" s="1468"/>
      <c r="T88" s="1468"/>
      <c r="U88" s="1468"/>
      <c r="V88" s="1468"/>
      <c r="W88" s="1468"/>
      <c r="X88" s="1468"/>
      <c r="Y88" s="1468"/>
      <c r="Z88" s="1468"/>
      <c r="AA88" s="1468"/>
      <c r="AB88" s="1468"/>
      <c r="AC88" s="1468"/>
      <c r="AD88" s="1468"/>
      <c r="AE88" s="1468"/>
      <c r="AF88" s="1468"/>
      <c r="AG88" s="1468"/>
      <c r="AH88" s="1468"/>
      <c r="AI88" s="1468"/>
      <c r="AJ88" s="1468"/>
      <c r="AK88" s="1468"/>
      <c r="AL88" s="1468"/>
      <c r="AM88" s="1468"/>
      <c r="AN88" s="1468"/>
      <c r="AO88" s="1468"/>
      <c r="AP88" s="1468"/>
      <c r="AQ88" s="1468"/>
      <c r="AR88" s="1468"/>
      <c r="AS88" s="1468"/>
      <c r="AT88" s="1468"/>
      <c r="AU88" s="1468"/>
      <c r="AV88" s="1468"/>
      <c r="AW88" s="1468"/>
      <c r="AX88" s="1468"/>
      <c r="AY88" s="1468"/>
      <c r="AZ88" s="1468"/>
      <c r="BA88" s="1468"/>
      <c r="BB88" s="1468"/>
      <c r="BC88" s="1468"/>
      <c r="BD88" s="1468"/>
      <c r="BE88" s="1468"/>
      <c r="BF88" s="1468"/>
      <c r="BG88" s="1468"/>
      <c r="BH88" s="1468"/>
      <c r="BI88" s="1468"/>
      <c r="BJ88" s="1468"/>
      <c r="BK88" s="1468"/>
      <c r="BL88" s="1468"/>
      <c r="BM88" s="1468"/>
      <c r="BN88" s="1468"/>
      <c r="BO88" s="1468"/>
      <c r="BP88" s="1468"/>
      <c r="BQ88" s="1468"/>
      <c r="BR88" s="1468"/>
      <c r="BS88" s="1468"/>
      <c r="BT88" s="1468"/>
      <c r="BU88" s="1468"/>
      <c r="BV88" s="1468"/>
      <c r="BW88" s="1468"/>
      <c r="BX88" s="1468"/>
      <c r="BY88" s="1468"/>
      <c r="BZ88" s="1468"/>
      <c r="CA88" s="1468"/>
      <c r="CB88" s="1468"/>
      <c r="CC88" s="1468"/>
      <c r="CD88" s="1468"/>
      <c r="CE88" s="1468"/>
      <c r="CF88" s="1468"/>
      <c r="CG88" s="1468"/>
      <c r="CH88" s="1468"/>
      <c r="CI88" s="1468"/>
      <c r="CJ88" s="1468"/>
      <c r="CK88" s="1468"/>
      <c r="CL88" s="1468"/>
      <c r="CM88" s="1468"/>
      <c r="CN88" s="1468"/>
      <c r="CO88" s="1468"/>
      <c r="CP88" s="1469"/>
      <c r="CR88" s="243"/>
    </row>
    <row r="89" spans="1:97" s="16" customFormat="1" ht="18" customHeight="1">
      <c r="A89" s="40"/>
      <c r="B89" s="41"/>
      <c r="C89" s="41"/>
      <c r="D89" s="42" t="s">
        <v>299</v>
      </c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2" t="s">
        <v>307</v>
      </c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  <c r="AA89" s="41"/>
      <c r="AB89" s="41"/>
      <c r="AC89" s="41"/>
      <c r="AD89" s="41"/>
      <c r="AE89" s="41"/>
      <c r="AF89" s="41"/>
      <c r="AG89" s="41"/>
      <c r="AH89" s="41"/>
      <c r="AI89" s="41"/>
      <c r="AJ89" s="41"/>
      <c r="AK89" s="41"/>
      <c r="AL89" s="41"/>
      <c r="AM89" s="41"/>
      <c r="AN89" s="41"/>
      <c r="AO89" s="41"/>
      <c r="AP89" s="41"/>
      <c r="AQ89" s="41"/>
      <c r="AR89" s="41"/>
      <c r="AS89" s="41"/>
      <c r="AT89" s="41"/>
      <c r="AU89" s="41"/>
      <c r="AV89" s="41"/>
      <c r="AW89" s="41"/>
      <c r="AX89" s="41"/>
      <c r="AY89" s="41"/>
      <c r="AZ89" s="41"/>
      <c r="BA89" s="41"/>
      <c r="BB89" s="41"/>
      <c r="BC89" s="41"/>
      <c r="BD89" s="41"/>
      <c r="BE89" s="41"/>
      <c r="BF89" s="41"/>
      <c r="BG89" s="41"/>
      <c r="BH89" s="41"/>
      <c r="BI89" s="41"/>
      <c r="BJ89" s="41"/>
      <c r="BK89" s="41" t="s">
        <v>301</v>
      </c>
      <c r="BL89" s="41"/>
      <c r="BM89" s="41"/>
      <c r="BN89" s="41"/>
      <c r="BO89" s="41"/>
      <c r="BP89" s="41"/>
      <c r="BQ89" s="41"/>
      <c r="BR89" s="41"/>
      <c r="BS89" s="41"/>
      <c r="BT89" s="41"/>
      <c r="BU89" s="41"/>
      <c r="BV89" s="41"/>
      <c r="BW89" s="1470">
        <v>3118</v>
      </c>
      <c r="BX89" s="1470"/>
      <c r="BY89" s="1470"/>
      <c r="BZ89" s="1470"/>
      <c r="CA89" s="1470"/>
      <c r="CB89" s="1470"/>
      <c r="CC89" s="1470"/>
      <c r="CD89" s="1470"/>
      <c r="CE89" s="1470"/>
      <c r="CF89" s="1470"/>
      <c r="CG89" s="41" t="s">
        <v>308</v>
      </c>
      <c r="CH89" s="41"/>
      <c r="CI89" s="41"/>
      <c r="CJ89" s="41"/>
      <c r="CK89" s="41"/>
      <c r="CL89" s="41"/>
      <c r="CM89" s="41"/>
      <c r="CN89" s="41"/>
      <c r="CO89" s="41"/>
      <c r="CP89" s="43"/>
      <c r="CR89" s="243"/>
    </row>
    <row r="90" spans="1:97" s="16" customFormat="1" ht="18" customHeight="1">
      <c r="A90" s="17"/>
      <c r="D90" s="1461" t="s">
        <v>635</v>
      </c>
      <c r="E90" s="1462"/>
      <c r="F90" s="1462"/>
      <c r="G90" s="1462"/>
      <c r="H90" s="1462"/>
      <c r="I90" s="1462"/>
      <c r="J90" s="1462"/>
      <c r="K90" s="1462"/>
      <c r="L90" s="1462"/>
      <c r="M90" s="1462"/>
      <c r="N90" s="1462"/>
      <c r="O90" s="1462"/>
      <c r="P90" s="1462"/>
      <c r="Q90" s="1462"/>
      <c r="R90" s="1462"/>
      <c r="S90" s="1462"/>
      <c r="T90" s="1462"/>
      <c r="U90" s="1462"/>
      <c r="V90" s="1462"/>
      <c r="W90" s="1462"/>
      <c r="X90" s="1462"/>
      <c r="Y90" s="1462"/>
      <c r="Z90" s="1462"/>
      <c r="AA90" s="1462"/>
      <c r="AB90" s="1462"/>
      <c r="AC90" s="1462"/>
      <c r="AD90" s="1462"/>
      <c r="AE90" s="1462"/>
      <c r="AF90" s="1462"/>
      <c r="AG90" s="1462"/>
      <c r="AH90" s="1462"/>
      <c r="AI90" s="1462"/>
      <c r="AJ90" s="1462"/>
      <c r="AK90" s="1462"/>
      <c r="AL90" s="1462"/>
      <c r="AM90" s="1462"/>
      <c r="AN90" s="1462"/>
      <c r="AO90" s="1462"/>
      <c r="AP90" s="1462"/>
      <c r="AQ90" s="1462"/>
      <c r="AR90" s="1462"/>
      <c r="AS90" s="1462"/>
      <c r="AT90" s="1462"/>
      <c r="AU90" s="1462"/>
      <c r="AV90" s="1462"/>
      <c r="AW90" s="1462"/>
      <c r="AX90" s="1462"/>
      <c r="AY90" s="1462"/>
      <c r="AZ90" s="1462"/>
      <c r="BA90" s="1462"/>
      <c r="BB90" s="1462"/>
      <c r="BC90" s="1462"/>
      <c r="BD90" s="1462"/>
      <c r="BE90" s="1462"/>
      <c r="BF90" s="1462"/>
      <c r="BG90" s="1462"/>
      <c r="BH90" s="1462"/>
      <c r="BI90" s="1462"/>
      <c r="BJ90" s="1462"/>
      <c r="BK90" s="1462"/>
      <c r="BL90" s="1462"/>
      <c r="BM90" s="1462"/>
      <c r="BN90" s="1462"/>
      <c r="BO90" s="1462"/>
      <c r="BP90" s="1462"/>
      <c r="BQ90" s="1462"/>
      <c r="BR90" s="1462"/>
      <c r="BS90" s="1462"/>
      <c r="BT90" s="1462"/>
      <c r="BU90" s="1462"/>
      <c r="BV90" s="1462"/>
      <c r="BW90" s="1462"/>
      <c r="BX90" s="1462"/>
      <c r="BY90" s="1462"/>
      <c r="BZ90" s="1462"/>
      <c r="CA90" s="1462"/>
      <c r="CB90" s="1462"/>
      <c r="CC90" s="1462"/>
      <c r="CD90" s="1462"/>
      <c r="CE90" s="1462"/>
      <c r="CF90" s="1462"/>
      <c r="CG90" s="1462"/>
      <c r="CH90" s="1462"/>
      <c r="CI90" s="1462"/>
      <c r="CJ90" s="1462"/>
      <c r="CK90" s="1462"/>
      <c r="CL90" s="1462"/>
      <c r="CM90" s="1462"/>
      <c r="CN90" s="1462"/>
      <c r="CO90" s="1462"/>
      <c r="CP90" s="18"/>
      <c r="CR90" s="662"/>
      <c r="CS90" s="663" t="s">
        <v>544</v>
      </c>
    </row>
    <row r="91" spans="1:97" s="16" customFormat="1" ht="18" customHeight="1" thickBot="1">
      <c r="A91" s="17"/>
      <c r="E91" s="49" t="s">
        <v>531</v>
      </c>
      <c r="U91" s="1466">
        <v>1</v>
      </c>
      <c r="V91" s="1466"/>
      <c r="W91" s="1466"/>
      <c r="X91" s="1466"/>
      <c r="Y91" s="1466"/>
      <c r="Z91" s="29" t="s">
        <v>303</v>
      </c>
      <c r="AA91" s="29"/>
      <c r="AB91" s="29"/>
      <c r="AC91" s="29"/>
      <c r="AD91" s="29"/>
      <c r="AE91" s="1476">
        <f>CR95</f>
        <v>173995</v>
      </c>
      <c r="AF91" s="1476"/>
      <c r="AG91" s="1476"/>
      <c r="AH91" s="1476"/>
      <c r="AI91" s="1476"/>
      <c r="AJ91" s="1476"/>
      <c r="AK91" s="1476"/>
      <c r="AL91" s="1476"/>
      <c r="AM91" s="16" t="s">
        <v>304</v>
      </c>
      <c r="AU91" s="1466">
        <v>8</v>
      </c>
      <c r="AV91" s="1466"/>
      <c r="AW91" s="1466"/>
      <c r="AX91" s="29" t="s">
        <v>294</v>
      </c>
      <c r="AY91" s="29"/>
      <c r="AZ91" s="1466">
        <v>25</v>
      </c>
      <c r="BA91" s="1466"/>
      <c r="BB91" s="1466"/>
      <c r="BC91" s="29" t="s">
        <v>293</v>
      </c>
      <c r="BD91" s="29"/>
      <c r="BE91" s="1466">
        <v>20</v>
      </c>
      <c r="BF91" s="1466"/>
      <c r="BG91" s="1466"/>
      <c r="BH91" s="29" t="s">
        <v>294</v>
      </c>
      <c r="BI91" s="29"/>
      <c r="BJ91" s="1466">
        <v>16</v>
      </c>
      <c r="BK91" s="1466"/>
      <c r="BL91" s="1466"/>
      <c r="BM91" s="29" t="s">
        <v>293</v>
      </c>
      <c r="BN91" s="29"/>
      <c r="BO91" s="1466">
        <v>12</v>
      </c>
      <c r="BP91" s="1466"/>
      <c r="BQ91" s="1466"/>
      <c r="BR91" s="1466"/>
      <c r="BS91" s="31" t="s">
        <v>298</v>
      </c>
      <c r="BT91" s="29"/>
      <c r="BU91" s="1458">
        <f>INT(U91*AE91*(1/AU91*(AZ91/BE91)*(BJ91/BO91)))</f>
        <v>36248</v>
      </c>
      <c r="BV91" s="1458"/>
      <c r="BW91" s="1458"/>
      <c r="BX91" s="1458"/>
      <c r="BY91" s="1458"/>
      <c r="BZ91" s="1458"/>
      <c r="CA91" s="1458"/>
      <c r="CB91" s="1458"/>
      <c r="CC91" s="16" t="s">
        <v>287</v>
      </c>
      <c r="CP91" s="18"/>
      <c r="CQ91" s="49"/>
      <c r="CR91" s="662"/>
      <c r="CS91" s="664"/>
    </row>
    <row r="92" spans="1:97" s="16" customFormat="1" ht="18" customHeight="1" thickTop="1">
      <c r="A92" s="17"/>
      <c r="D92" s="33"/>
      <c r="E92" s="34" t="s">
        <v>291</v>
      </c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3"/>
      <c r="BB92" s="33"/>
      <c r="BC92" s="33"/>
      <c r="BD92" s="33"/>
      <c r="BE92" s="33"/>
      <c r="BF92" s="33"/>
      <c r="BG92" s="33"/>
      <c r="BH92" s="33"/>
      <c r="BI92" s="33"/>
      <c r="BJ92" s="33"/>
      <c r="BK92" s="33"/>
      <c r="BL92" s="33"/>
      <c r="BM92" s="33"/>
      <c r="BN92" s="33"/>
      <c r="BO92" s="33"/>
      <c r="BP92" s="33"/>
      <c r="BQ92" s="33"/>
      <c r="BR92" s="33"/>
      <c r="BS92" s="33"/>
      <c r="BT92" s="33"/>
      <c r="BU92" s="1459">
        <f>INT(SUM(BU91:BU91))</f>
        <v>36248</v>
      </c>
      <c r="BV92" s="1459"/>
      <c r="BW92" s="1459"/>
      <c r="BX92" s="1459"/>
      <c r="BY92" s="1459"/>
      <c r="BZ92" s="1459"/>
      <c r="CA92" s="1459"/>
      <c r="CB92" s="1459"/>
      <c r="CC92" s="33" t="s">
        <v>287</v>
      </c>
      <c r="CD92" s="33"/>
      <c r="CE92" s="33"/>
      <c r="CF92" s="33"/>
      <c r="CG92" s="33"/>
      <c r="CH92" s="33"/>
      <c r="CI92" s="33"/>
      <c r="CP92" s="18"/>
      <c r="CQ92" s="16" t="s">
        <v>97</v>
      </c>
      <c r="CR92" s="244">
        <f>VLOOKUP(CQ92,인건비!A:B,2,FALSE)</f>
        <v>283323</v>
      </c>
    </row>
    <row r="93" spans="1:97" s="16" customFormat="1" ht="18" customHeight="1">
      <c r="A93" s="17"/>
      <c r="BV93" s="32"/>
      <c r="BW93" s="29"/>
      <c r="BX93" s="29"/>
      <c r="BY93" s="29"/>
      <c r="BZ93" s="29"/>
      <c r="CA93" s="29"/>
      <c r="CB93" s="29"/>
      <c r="CC93" s="29"/>
      <c r="CD93" s="29"/>
      <c r="CP93" s="18"/>
      <c r="CR93" s="244"/>
    </row>
    <row r="94" spans="1:97" s="16" customFormat="1" ht="18" customHeight="1">
      <c r="A94" s="17"/>
      <c r="D94" s="1461" t="s">
        <v>647</v>
      </c>
      <c r="E94" s="1462"/>
      <c r="F94" s="1462"/>
      <c r="G94" s="1462"/>
      <c r="H94" s="1462"/>
      <c r="I94" s="1462"/>
      <c r="J94" s="1462"/>
      <c r="K94" s="1462"/>
      <c r="L94" s="1462"/>
      <c r="M94" s="1462"/>
      <c r="N94" s="1462"/>
      <c r="O94" s="1462"/>
      <c r="P94" s="1462"/>
      <c r="Q94" s="1462"/>
      <c r="R94" s="1462"/>
      <c r="S94" s="1462"/>
      <c r="T94" s="1462"/>
      <c r="U94" s="1462"/>
      <c r="V94" s="1462"/>
      <c r="W94" s="1462"/>
      <c r="X94" s="1462"/>
      <c r="Y94" s="1462"/>
      <c r="Z94" s="1462"/>
      <c r="AA94" s="1462"/>
      <c r="AB94" s="1462"/>
      <c r="AC94" s="1462"/>
      <c r="AD94" s="1462"/>
      <c r="AE94" s="1462"/>
      <c r="AF94" s="1462"/>
      <c r="AG94" s="1462"/>
      <c r="AH94" s="1462"/>
      <c r="AI94" s="1462"/>
      <c r="AJ94" s="1462"/>
      <c r="AK94" s="1462"/>
      <c r="AL94" s="1462"/>
      <c r="AM94" s="1462"/>
      <c r="AN94" s="1462"/>
      <c r="AO94" s="1462"/>
      <c r="AP94" s="1462"/>
      <c r="AQ94" s="1462"/>
      <c r="AR94" s="1462"/>
      <c r="AS94" s="1462"/>
      <c r="AT94" s="1462"/>
      <c r="AU94" s="1462"/>
      <c r="AV94" s="1462"/>
      <c r="AW94" s="1462"/>
      <c r="AX94" s="1462"/>
      <c r="AY94" s="1462"/>
      <c r="AZ94" s="1462"/>
      <c r="BA94" s="1462"/>
      <c r="BB94" s="1462"/>
      <c r="BC94" s="1462"/>
      <c r="BD94" s="1462"/>
      <c r="BE94" s="1462"/>
      <c r="BF94" s="1462"/>
      <c r="BG94" s="1462"/>
      <c r="BH94" s="1462"/>
      <c r="BI94" s="1462"/>
      <c r="BJ94" s="1462"/>
      <c r="BK94" s="1462"/>
      <c r="BL94" s="1462"/>
      <c r="BM94" s="1462"/>
      <c r="BN94" s="1462"/>
      <c r="BO94" s="1462"/>
      <c r="BP94" s="1462"/>
      <c r="BQ94" s="1462"/>
      <c r="BR94" s="1462"/>
      <c r="BS94" s="1462"/>
      <c r="BT94" s="1462"/>
      <c r="BU94" s="1462"/>
      <c r="BV94" s="1462"/>
      <c r="BW94" s="1462"/>
      <c r="BX94" s="1462"/>
      <c r="BY94" s="1462"/>
      <c r="BZ94" s="1462"/>
      <c r="CA94" s="1462"/>
      <c r="CB94" s="1462"/>
      <c r="CC94" s="1462"/>
      <c r="CD94" s="1462"/>
      <c r="CE94" s="1462"/>
      <c r="CF94" s="1462"/>
      <c r="CG94" s="1462"/>
      <c r="CH94" s="1462"/>
      <c r="CI94" s="1462"/>
      <c r="CJ94" s="1462"/>
      <c r="CK94" s="1462"/>
      <c r="CL94" s="1462"/>
      <c r="CM94" s="1462"/>
      <c r="CN94" s="1462"/>
      <c r="CO94" s="1462"/>
      <c r="CP94" s="18"/>
      <c r="CQ94" s="16" t="s">
        <v>176</v>
      </c>
      <c r="CR94" s="244">
        <f>VLOOKUP(CQ94,인건비!A:B,2,FALSE)</f>
        <v>210909</v>
      </c>
    </row>
    <row r="95" spans="1:97" s="16" customFormat="1" ht="18" customHeight="1">
      <c r="A95" s="17"/>
      <c r="E95" s="16" t="s">
        <v>305</v>
      </c>
      <c r="U95" s="1463">
        <v>5.6</v>
      </c>
      <c r="V95" s="1463"/>
      <c r="W95" s="1463"/>
      <c r="X95" s="1463"/>
      <c r="Y95" s="1463"/>
      <c r="Z95" s="16" t="s">
        <v>266</v>
      </c>
      <c r="AE95" s="1464" t="e">
        <f>CR97</f>
        <v>#REF!</v>
      </c>
      <c r="AF95" s="1464"/>
      <c r="AG95" s="1464"/>
      <c r="AH95" s="1464"/>
      <c r="AI95" s="1464"/>
      <c r="AJ95" s="1464"/>
      <c r="AK95" s="1464"/>
      <c r="AL95" s="1464"/>
      <c r="AM95" s="16" t="s">
        <v>286</v>
      </c>
      <c r="AT95" s="1465" t="e">
        <f>INT(U95*AE95)</f>
        <v>#REF!</v>
      </c>
      <c r="AU95" s="1465"/>
      <c r="AV95" s="1465"/>
      <c r="AW95" s="1465"/>
      <c r="AX95" s="1465"/>
      <c r="AY95" s="1465"/>
      <c r="AZ95" s="1465"/>
      <c r="BA95" s="1465"/>
      <c r="BB95" s="16" t="s">
        <v>287</v>
      </c>
      <c r="CP95" s="18"/>
      <c r="CQ95" s="16" t="s">
        <v>96</v>
      </c>
      <c r="CR95" s="244">
        <f>VLOOKUP(CQ95,인건비!A:B,2,FALSE)</f>
        <v>173995</v>
      </c>
    </row>
    <row r="96" spans="1:97" s="16" customFormat="1" ht="18" customHeight="1" thickBot="1">
      <c r="A96" s="17"/>
      <c r="E96" s="16" t="s">
        <v>288</v>
      </c>
      <c r="U96" s="16" t="s">
        <v>289</v>
      </c>
      <c r="AE96" s="1466">
        <v>20</v>
      </c>
      <c r="AF96" s="1466"/>
      <c r="AG96" s="1466"/>
      <c r="AH96" s="1466"/>
      <c r="AI96" s="1466"/>
      <c r="AJ96" s="1466"/>
      <c r="AK96" s="1466"/>
      <c r="AL96" s="1466"/>
      <c r="AM96" s="16" t="s">
        <v>290</v>
      </c>
      <c r="AT96" s="1458" t="e">
        <f>INT(AT95*AE96/100)</f>
        <v>#REF!</v>
      </c>
      <c r="AU96" s="1458"/>
      <c r="AV96" s="1458"/>
      <c r="AW96" s="1458"/>
      <c r="AX96" s="1458"/>
      <c r="AY96" s="1458"/>
      <c r="AZ96" s="1458"/>
      <c r="BA96" s="1458"/>
      <c r="BB96" s="16" t="s">
        <v>287</v>
      </c>
      <c r="CP96" s="18"/>
      <c r="CQ96" s="16" t="s">
        <v>95</v>
      </c>
      <c r="CR96" s="244">
        <f>VLOOKUP(CQ96,인건비!A:B,2,FALSE)</f>
        <v>240042</v>
      </c>
    </row>
    <row r="97" spans="1:96" s="16" customFormat="1" ht="18" customHeight="1" thickTop="1">
      <c r="A97" s="17"/>
      <c r="D97" s="33"/>
      <c r="E97" s="34" t="s">
        <v>291</v>
      </c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1459" t="e">
        <f>INT(SUM(AT95+AT96))</f>
        <v>#REF!</v>
      </c>
      <c r="AU97" s="1459"/>
      <c r="AV97" s="1459"/>
      <c r="AW97" s="1459"/>
      <c r="AX97" s="1459"/>
      <c r="AY97" s="1459"/>
      <c r="AZ97" s="1459"/>
      <c r="BA97" s="1459"/>
      <c r="BB97" s="33" t="s">
        <v>287</v>
      </c>
      <c r="BC97" s="33"/>
      <c r="BD97" s="33"/>
      <c r="BE97" s="33"/>
      <c r="BF97" s="33"/>
      <c r="BG97" s="33"/>
      <c r="BH97" s="33"/>
      <c r="BI97" s="33"/>
      <c r="BJ97" s="33"/>
      <c r="BK97" s="33"/>
      <c r="BL97" s="33"/>
      <c r="BM97" s="33"/>
      <c r="BN97" s="33"/>
      <c r="BO97" s="33"/>
      <c r="BP97" s="33"/>
      <c r="BQ97" s="33"/>
      <c r="BR97" s="33"/>
      <c r="BS97" s="33"/>
      <c r="BT97" s="33"/>
      <c r="BU97" s="33"/>
      <c r="BV97" s="33"/>
      <c r="BW97" s="33"/>
      <c r="BX97" s="33"/>
      <c r="BY97" s="33"/>
      <c r="BZ97" s="33"/>
      <c r="CA97" s="33"/>
      <c r="CB97" s="33"/>
      <c r="CC97" s="33"/>
      <c r="CD97" s="33"/>
      <c r="CE97" s="33"/>
      <c r="CF97" s="33"/>
      <c r="CG97" s="33"/>
      <c r="CH97" s="33"/>
      <c r="CI97" s="33"/>
      <c r="CP97" s="18"/>
      <c r="CQ97" s="16" t="s">
        <v>267</v>
      </c>
      <c r="CR97" s="245" t="e">
        <f>#REF!</f>
        <v>#REF!</v>
      </c>
    </row>
    <row r="98" spans="1:96" s="16" customFormat="1" ht="18" customHeight="1">
      <c r="A98" s="17"/>
      <c r="CP98" s="18"/>
      <c r="CQ98" s="16" t="s">
        <v>268</v>
      </c>
      <c r="CR98" s="245" t="e">
        <f>#REF!</f>
        <v>#REF!</v>
      </c>
    </row>
    <row r="99" spans="1:96" s="16" customFormat="1" ht="18" customHeight="1">
      <c r="A99" s="17"/>
      <c r="D99" s="1461" t="s">
        <v>645</v>
      </c>
      <c r="E99" s="1462"/>
      <c r="F99" s="1462"/>
      <c r="G99" s="1462"/>
      <c r="H99" s="1462"/>
      <c r="I99" s="1462"/>
      <c r="J99" s="1462"/>
      <c r="K99" s="1462"/>
      <c r="L99" s="1462"/>
      <c r="M99" s="1462"/>
      <c r="N99" s="1462"/>
      <c r="O99" s="1462"/>
      <c r="P99" s="1462"/>
      <c r="Q99" s="1462"/>
      <c r="R99" s="1462"/>
      <c r="S99" s="1462"/>
      <c r="T99" s="1462"/>
      <c r="U99" s="1462"/>
      <c r="V99" s="1462"/>
      <c r="W99" s="1462"/>
      <c r="X99" s="1462"/>
      <c r="Y99" s="1462"/>
      <c r="Z99" s="1462"/>
      <c r="AA99" s="1462"/>
      <c r="AB99" s="1462"/>
      <c r="AC99" s="1462"/>
      <c r="AD99" s="1462"/>
      <c r="AE99" s="1462"/>
      <c r="AF99" s="1462"/>
      <c r="AG99" s="1462"/>
      <c r="AH99" s="1462"/>
      <c r="AI99" s="1462"/>
      <c r="AJ99" s="1462"/>
      <c r="AK99" s="1462"/>
      <c r="AL99" s="1462"/>
      <c r="AM99" s="1462"/>
      <c r="AN99" s="1462"/>
      <c r="AO99" s="1462"/>
      <c r="AP99" s="1462"/>
      <c r="AQ99" s="1462"/>
      <c r="AR99" s="1462"/>
      <c r="AS99" s="1462"/>
      <c r="AT99" s="1462"/>
      <c r="AU99" s="1462"/>
      <c r="AV99" s="1462"/>
      <c r="AW99" s="1462"/>
      <c r="AX99" s="1462"/>
      <c r="AY99" s="1462"/>
      <c r="AZ99" s="1462"/>
      <c r="BA99" s="1462"/>
      <c r="BB99" s="1462"/>
      <c r="BC99" s="1462"/>
      <c r="BD99" s="1462"/>
      <c r="BE99" s="1462"/>
      <c r="BF99" s="1462"/>
      <c r="BG99" s="1462"/>
      <c r="BH99" s="1462"/>
      <c r="BI99" s="1462"/>
      <c r="BJ99" s="1462"/>
      <c r="BK99" s="1462"/>
      <c r="BL99" s="1462"/>
      <c r="BM99" s="1462"/>
      <c r="BN99" s="1462"/>
      <c r="BO99" s="1462"/>
      <c r="BP99" s="1462"/>
      <c r="BQ99" s="1462"/>
      <c r="BR99" s="1462"/>
      <c r="BS99" s="1462"/>
      <c r="BT99" s="1462"/>
      <c r="BU99" s="1462"/>
      <c r="BV99" s="1462"/>
      <c r="BW99" s="1462"/>
      <c r="BX99" s="1462"/>
      <c r="BY99" s="1462"/>
      <c r="BZ99" s="1462"/>
      <c r="CA99" s="1462"/>
      <c r="CB99" s="1462"/>
      <c r="CC99" s="1462"/>
      <c r="CD99" s="1462"/>
      <c r="CE99" s="1462"/>
      <c r="CF99" s="1462"/>
      <c r="CG99" s="1462"/>
      <c r="CH99" s="1462"/>
      <c r="CI99" s="1462"/>
      <c r="CJ99" s="1462"/>
      <c r="CK99" s="1462"/>
      <c r="CL99" s="1462"/>
      <c r="CM99" s="1462"/>
      <c r="CN99" s="1462"/>
      <c r="CO99" s="1462"/>
      <c r="CP99" s="18"/>
      <c r="CQ99" s="665" t="s">
        <v>833</v>
      </c>
      <c r="CR99" s="666" t="s">
        <v>646</v>
      </c>
    </row>
    <row r="100" spans="1:96" s="16" customFormat="1" ht="18" customHeight="1" thickBot="1">
      <c r="A100" s="17"/>
      <c r="E100" s="16" t="s">
        <v>309</v>
      </c>
      <c r="AA100" s="1456">
        <v>6354</v>
      </c>
      <c r="AB100" s="1456"/>
      <c r="AC100" s="1456"/>
      <c r="AD100" s="1456"/>
      <c r="AE100" s="1456"/>
      <c r="AF100" s="1456"/>
      <c r="AG100" s="1456"/>
      <c r="AH100" s="1456"/>
      <c r="AI100" s="29" t="s">
        <v>293</v>
      </c>
      <c r="AJ100" s="29"/>
      <c r="AK100" s="1457">
        <v>10000000</v>
      </c>
      <c r="AL100" s="1475"/>
      <c r="AM100" s="1475"/>
      <c r="AN100" s="1475"/>
      <c r="AO100" s="1475"/>
      <c r="AP100" s="1475"/>
      <c r="AQ100" s="1475"/>
      <c r="AR100" s="1475"/>
      <c r="AS100" s="1475"/>
      <c r="AT100" s="1475"/>
      <c r="AU100" s="1475"/>
      <c r="AV100" s="29" t="s">
        <v>294</v>
      </c>
      <c r="AW100" s="29"/>
      <c r="AX100" s="1458">
        <f>BW89</f>
        <v>3118</v>
      </c>
      <c r="AY100" s="1474"/>
      <c r="AZ100" s="1474"/>
      <c r="BA100" s="1474"/>
      <c r="BB100" s="1474"/>
      <c r="BC100" s="1474"/>
      <c r="BD100" s="1474"/>
      <c r="BE100" s="1474"/>
      <c r="BF100" s="1474"/>
      <c r="BG100" s="16" t="s">
        <v>295</v>
      </c>
      <c r="BN100" s="1458">
        <f>INT(AA100/AK100*AX100*1000)</f>
        <v>1981</v>
      </c>
      <c r="BO100" s="1458"/>
      <c r="BP100" s="1458"/>
      <c r="BQ100" s="1458"/>
      <c r="BR100" s="1458"/>
      <c r="BS100" s="1458"/>
      <c r="BT100" s="1458"/>
      <c r="BU100" s="1458"/>
      <c r="BV100" s="16" t="s">
        <v>287</v>
      </c>
      <c r="CP100" s="18"/>
      <c r="CQ100" s="665" t="s">
        <v>832</v>
      </c>
      <c r="CR100" s="666" t="s">
        <v>643</v>
      </c>
    </row>
    <row r="101" spans="1:96" s="16" customFormat="1" ht="18" customHeight="1" thickTop="1">
      <c r="A101" s="17"/>
      <c r="D101" s="33"/>
      <c r="E101" s="34" t="s">
        <v>291</v>
      </c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  <c r="AS101" s="33"/>
      <c r="AT101" s="33"/>
      <c r="AU101" s="33"/>
      <c r="AV101" s="33"/>
      <c r="AW101" s="33"/>
      <c r="AX101" s="33"/>
      <c r="AY101" s="33"/>
      <c r="AZ101" s="33"/>
      <c r="BA101" s="33"/>
      <c r="BB101" s="33"/>
      <c r="BC101" s="33"/>
      <c r="BD101" s="33"/>
      <c r="BE101" s="33"/>
      <c r="BF101" s="33"/>
      <c r="BG101" s="33"/>
      <c r="BH101" s="33"/>
      <c r="BI101" s="33"/>
      <c r="BJ101" s="33"/>
      <c r="BK101" s="33"/>
      <c r="BL101" s="33"/>
      <c r="BM101" s="33"/>
      <c r="BN101" s="1459">
        <f>SUM(BN100)</f>
        <v>1981</v>
      </c>
      <c r="BO101" s="1472"/>
      <c r="BP101" s="1472"/>
      <c r="BQ101" s="1472"/>
      <c r="BR101" s="1472"/>
      <c r="BS101" s="1472"/>
      <c r="BT101" s="1472"/>
      <c r="BU101" s="1472"/>
      <c r="BV101" s="33" t="s">
        <v>287</v>
      </c>
      <c r="BW101" s="33"/>
      <c r="BX101" s="33"/>
      <c r="BY101" s="33"/>
      <c r="BZ101" s="33"/>
      <c r="CA101" s="33"/>
      <c r="CB101" s="33"/>
      <c r="CC101" s="33"/>
      <c r="CD101" s="33"/>
      <c r="CE101" s="33"/>
      <c r="CF101" s="33"/>
      <c r="CG101" s="33"/>
      <c r="CH101" s="33"/>
      <c r="CI101" s="33"/>
      <c r="CP101" s="18"/>
      <c r="CR101" s="243"/>
    </row>
    <row r="102" spans="1:96" s="16" customFormat="1" ht="18" customHeight="1">
      <c r="A102" s="17"/>
      <c r="CP102" s="18"/>
      <c r="CR102" s="243"/>
    </row>
    <row r="103" spans="1:96" s="16" customFormat="1" ht="18" customHeight="1">
      <c r="A103" s="17"/>
      <c r="E103" s="16" t="s">
        <v>296</v>
      </c>
      <c r="O103" s="1460">
        <f>BU92</f>
        <v>36248</v>
      </c>
      <c r="P103" s="1473"/>
      <c r="Q103" s="1473"/>
      <c r="R103" s="1473"/>
      <c r="S103" s="1473"/>
      <c r="T103" s="1473"/>
      <c r="U103" s="1473"/>
      <c r="V103" s="1473"/>
      <c r="W103" s="1473"/>
      <c r="X103" s="1473"/>
      <c r="Y103" s="29" t="s">
        <v>297</v>
      </c>
      <c r="Z103" s="29"/>
      <c r="AA103" s="1460" t="e">
        <f>AT97</f>
        <v>#REF!</v>
      </c>
      <c r="AB103" s="1473"/>
      <c r="AC103" s="1473"/>
      <c r="AD103" s="1473"/>
      <c r="AE103" s="1473"/>
      <c r="AF103" s="1473"/>
      <c r="AG103" s="1473"/>
      <c r="AH103" s="1473"/>
      <c r="AI103" s="1473"/>
      <c r="AJ103" s="1473"/>
      <c r="AK103" s="29" t="s">
        <v>297</v>
      </c>
      <c r="AL103" s="29"/>
      <c r="AM103" s="1460">
        <f>BN101</f>
        <v>1981</v>
      </c>
      <c r="AN103" s="1473"/>
      <c r="AO103" s="1473"/>
      <c r="AP103" s="1473"/>
      <c r="AQ103" s="1473"/>
      <c r="AR103" s="1473"/>
      <c r="AS103" s="1473"/>
      <c r="AT103" s="1473"/>
      <c r="AU103" s="1473"/>
      <c r="AV103" s="1473"/>
      <c r="AW103" s="31" t="s">
        <v>298</v>
      </c>
      <c r="AX103" s="29"/>
      <c r="AY103" s="1460" t="e">
        <f>O103+AA103+AM103</f>
        <v>#REF!</v>
      </c>
      <c r="AZ103" s="1473"/>
      <c r="BA103" s="1473"/>
      <c r="BB103" s="1473"/>
      <c r="BC103" s="1473"/>
      <c r="BD103" s="1473"/>
      <c r="BE103" s="1473"/>
      <c r="BF103" s="1473"/>
      <c r="BG103" s="1473"/>
      <c r="BH103" s="1473"/>
      <c r="BI103" s="16" t="s">
        <v>287</v>
      </c>
      <c r="CP103" s="18"/>
      <c r="CR103" s="243"/>
    </row>
    <row r="104" spans="1:96" s="16" customFormat="1" ht="18" customHeight="1">
      <c r="A104" s="17"/>
      <c r="O104" s="35"/>
      <c r="P104" s="36"/>
      <c r="Q104" s="36"/>
      <c r="R104" s="36"/>
      <c r="S104" s="36"/>
      <c r="T104" s="36"/>
      <c r="U104" s="36"/>
      <c r="V104" s="36"/>
      <c r="W104" s="36"/>
      <c r="X104" s="36"/>
      <c r="Y104" s="29"/>
      <c r="Z104" s="29"/>
      <c r="AA104" s="35"/>
      <c r="AB104" s="36"/>
      <c r="AC104" s="36"/>
      <c r="AD104" s="36"/>
      <c r="AE104" s="36"/>
      <c r="AF104" s="36"/>
      <c r="AG104" s="36"/>
      <c r="AH104" s="36"/>
      <c r="AI104" s="36"/>
      <c r="AJ104" s="36"/>
      <c r="AK104" s="29"/>
      <c r="AL104" s="29"/>
      <c r="AM104" s="35"/>
      <c r="AN104" s="36"/>
      <c r="AO104" s="36"/>
      <c r="AP104" s="36"/>
      <c r="AQ104" s="36"/>
      <c r="AR104" s="36"/>
      <c r="AS104" s="36"/>
      <c r="AT104" s="36"/>
      <c r="AU104" s="36"/>
      <c r="AV104" s="36"/>
      <c r="AW104" s="31"/>
      <c r="AX104" s="29"/>
      <c r="AY104" s="35"/>
      <c r="AZ104" s="36"/>
      <c r="BA104" s="36"/>
      <c r="BB104" s="36"/>
      <c r="BC104" s="36"/>
      <c r="BD104" s="36"/>
      <c r="BE104" s="36"/>
      <c r="BF104" s="36"/>
      <c r="BG104" s="36"/>
      <c r="BH104" s="36"/>
      <c r="CP104" s="18"/>
      <c r="CR104" s="243"/>
    </row>
    <row r="105" spans="1:96" s="16" customFormat="1" ht="18" customHeight="1">
      <c r="A105" s="17"/>
      <c r="O105" s="35"/>
      <c r="P105" s="36"/>
      <c r="Q105" s="36"/>
      <c r="R105" s="36"/>
      <c r="S105" s="36"/>
      <c r="T105" s="36"/>
      <c r="U105" s="36"/>
      <c r="V105" s="36"/>
      <c r="W105" s="36"/>
      <c r="X105" s="36"/>
      <c r="Y105" s="29"/>
      <c r="Z105" s="29"/>
      <c r="AA105" s="35"/>
      <c r="AB105" s="36"/>
      <c r="AC105" s="36"/>
      <c r="AD105" s="36"/>
      <c r="AE105" s="36"/>
      <c r="AF105" s="36"/>
      <c r="AG105" s="36"/>
      <c r="AH105" s="36"/>
      <c r="AI105" s="36"/>
      <c r="AJ105" s="36"/>
      <c r="AK105" s="29"/>
      <c r="AL105" s="29"/>
      <c r="AM105" s="35"/>
      <c r="AN105" s="36"/>
      <c r="AO105" s="36"/>
      <c r="AP105" s="36"/>
      <c r="AQ105" s="36"/>
      <c r="AR105" s="36"/>
      <c r="AS105" s="36"/>
      <c r="AT105" s="36"/>
      <c r="AU105" s="36"/>
      <c r="AV105" s="36"/>
      <c r="AW105" s="31"/>
      <c r="AX105" s="29"/>
      <c r="AY105" s="35"/>
      <c r="AZ105" s="36"/>
      <c r="BA105" s="36"/>
      <c r="BB105" s="36"/>
      <c r="BC105" s="36"/>
      <c r="BD105" s="36"/>
      <c r="BE105" s="36"/>
      <c r="BF105" s="36"/>
      <c r="BG105" s="36"/>
      <c r="BH105" s="36"/>
      <c r="CP105" s="18"/>
      <c r="CR105" s="243"/>
    </row>
    <row r="106" spans="1:96" s="16" customFormat="1" ht="18" customHeight="1">
      <c r="A106" s="17"/>
      <c r="O106" s="35"/>
      <c r="P106" s="36"/>
      <c r="Q106" s="36"/>
      <c r="R106" s="36"/>
      <c r="S106" s="36"/>
      <c r="T106" s="36"/>
      <c r="U106" s="36"/>
      <c r="V106" s="36"/>
      <c r="W106" s="36"/>
      <c r="X106" s="36"/>
      <c r="Y106" s="29"/>
      <c r="Z106" s="29"/>
      <c r="AA106" s="35"/>
      <c r="AB106" s="36"/>
      <c r="AC106" s="36"/>
      <c r="AD106" s="36"/>
      <c r="AE106" s="36"/>
      <c r="AF106" s="36"/>
      <c r="AG106" s="36"/>
      <c r="AH106" s="36"/>
      <c r="AI106" s="36"/>
      <c r="AJ106" s="36"/>
      <c r="AK106" s="29"/>
      <c r="AL106" s="29"/>
      <c r="AM106" s="35"/>
      <c r="AN106" s="36"/>
      <c r="AO106" s="36"/>
      <c r="AP106" s="36"/>
      <c r="AQ106" s="36"/>
      <c r="AR106" s="36"/>
      <c r="AS106" s="36"/>
      <c r="AT106" s="36"/>
      <c r="AU106" s="36"/>
      <c r="AV106" s="36"/>
      <c r="AW106" s="31"/>
      <c r="AX106" s="29"/>
      <c r="AY106" s="35"/>
      <c r="AZ106" s="36"/>
      <c r="BA106" s="36"/>
      <c r="BB106" s="36"/>
      <c r="BC106" s="36"/>
      <c r="BD106" s="36"/>
      <c r="BE106" s="36"/>
      <c r="BF106" s="36"/>
      <c r="BG106" s="36"/>
      <c r="BH106" s="36"/>
      <c r="CP106" s="18"/>
      <c r="CR106" s="243"/>
    </row>
    <row r="107" spans="1:96" s="16" customFormat="1" ht="18" customHeight="1">
      <c r="A107" s="17"/>
      <c r="O107" s="35"/>
      <c r="P107" s="36"/>
      <c r="Q107" s="36"/>
      <c r="R107" s="36"/>
      <c r="S107" s="36"/>
      <c r="T107" s="36"/>
      <c r="U107" s="36"/>
      <c r="V107" s="36"/>
      <c r="W107" s="36"/>
      <c r="X107" s="36"/>
      <c r="Y107" s="29"/>
      <c r="Z107" s="29"/>
      <c r="AA107" s="35"/>
      <c r="AB107" s="36"/>
      <c r="AC107" s="36"/>
      <c r="AD107" s="36"/>
      <c r="AE107" s="36"/>
      <c r="AF107" s="36"/>
      <c r="AG107" s="36"/>
      <c r="AH107" s="36"/>
      <c r="AI107" s="36"/>
      <c r="AJ107" s="36"/>
      <c r="AK107" s="29"/>
      <c r="AL107" s="29"/>
      <c r="AM107" s="35"/>
      <c r="AN107" s="36"/>
      <c r="AO107" s="36"/>
      <c r="AP107" s="36"/>
      <c r="AQ107" s="36"/>
      <c r="AR107" s="36"/>
      <c r="AS107" s="36"/>
      <c r="AT107" s="36"/>
      <c r="AU107" s="36"/>
      <c r="AV107" s="36"/>
      <c r="AW107" s="31"/>
      <c r="AX107" s="29"/>
      <c r="AY107" s="35"/>
      <c r="AZ107" s="36"/>
      <c r="BA107" s="36"/>
      <c r="BB107" s="36"/>
      <c r="BC107" s="36"/>
      <c r="BD107" s="36"/>
      <c r="BE107" s="36"/>
      <c r="BF107" s="36"/>
      <c r="BG107" s="36"/>
      <c r="BH107" s="36"/>
      <c r="CP107" s="18"/>
      <c r="CR107" s="243"/>
    </row>
    <row r="108" spans="1:96" s="16" customFormat="1" ht="18" customHeight="1">
      <c r="A108" s="17"/>
      <c r="O108" s="35"/>
      <c r="P108" s="36"/>
      <c r="Q108" s="36"/>
      <c r="R108" s="36"/>
      <c r="S108" s="36"/>
      <c r="T108" s="36"/>
      <c r="U108" s="36"/>
      <c r="V108" s="36"/>
      <c r="W108" s="36"/>
      <c r="X108" s="36"/>
      <c r="Y108" s="29"/>
      <c r="Z108" s="29"/>
      <c r="AA108" s="35"/>
      <c r="AB108" s="36"/>
      <c r="AC108" s="36"/>
      <c r="AD108" s="36"/>
      <c r="AE108" s="36"/>
      <c r="AF108" s="36"/>
      <c r="AG108" s="36"/>
      <c r="AH108" s="36"/>
      <c r="AI108" s="36"/>
      <c r="AJ108" s="36"/>
      <c r="AK108" s="29"/>
      <c r="AL108" s="29"/>
      <c r="AM108" s="35"/>
      <c r="AN108" s="36"/>
      <c r="AO108" s="36"/>
      <c r="AP108" s="36"/>
      <c r="AQ108" s="36"/>
      <c r="AR108" s="36"/>
      <c r="AS108" s="36"/>
      <c r="AT108" s="36"/>
      <c r="AU108" s="36"/>
      <c r="AV108" s="36"/>
      <c r="AW108" s="31"/>
      <c r="AX108" s="29"/>
      <c r="AY108" s="35"/>
      <c r="AZ108" s="36"/>
      <c r="BA108" s="36"/>
      <c r="BB108" s="36"/>
      <c r="BC108" s="36"/>
      <c r="BD108" s="36"/>
      <c r="BE108" s="36"/>
      <c r="BF108" s="36"/>
      <c r="BG108" s="36"/>
      <c r="BH108" s="36"/>
      <c r="CP108" s="18"/>
      <c r="CR108" s="243"/>
    </row>
    <row r="109" spans="1:96" s="16" customFormat="1" ht="18" customHeight="1">
      <c r="A109" s="17"/>
      <c r="O109" s="35"/>
      <c r="P109" s="36"/>
      <c r="Q109" s="36"/>
      <c r="R109" s="36"/>
      <c r="S109" s="36"/>
      <c r="T109" s="36"/>
      <c r="U109" s="36"/>
      <c r="V109" s="36"/>
      <c r="W109" s="36"/>
      <c r="X109" s="36"/>
      <c r="Y109" s="29"/>
      <c r="Z109" s="29"/>
      <c r="AA109" s="35"/>
      <c r="AB109" s="36"/>
      <c r="AC109" s="36"/>
      <c r="AD109" s="36"/>
      <c r="AE109" s="36"/>
      <c r="AF109" s="36"/>
      <c r="AG109" s="36"/>
      <c r="AH109" s="36"/>
      <c r="AI109" s="36"/>
      <c r="AJ109" s="36"/>
      <c r="AK109" s="29"/>
      <c r="AL109" s="29"/>
      <c r="AM109" s="35"/>
      <c r="AN109" s="36"/>
      <c r="AO109" s="36"/>
      <c r="AP109" s="36"/>
      <c r="AQ109" s="36"/>
      <c r="AR109" s="36"/>
      <c r="AS109" s="36"/>
      <c r="AT109" s="36"/>
      <c r="AU109" s="36"/>
      <c r="AV109" s="36"/>
      <c r="AW109" s="31"/>
      <c r="AX109" s="29"/>
      <c r="AY109" s="35"/>
      <c r="AZ109" s="36"/>
      <c r="BA109" s="36"/>
      <c r="BB109" s="36"/>
      <c r="BC109" s="36"/>
      <c r="BD109" s="36"/>
      <c r="BE109" s="36"/>
      <c r="BF109" s="36"/>
      <c r="BG109" s="36"/>
      <c r="BH109" s="36"/>
      <c r="CP109" s="18"/>
      <c r="CR109" s="243"/>
    </row>
    <row r="110" spans="1:96" s="16" customFormat="1" ht="18" customHeight="1">
      <c r="A110" s="17"/>
      <c r="O110" s="35"/>
      <c r="P110" s="36"/>
      <c r="Q110" s="36"/>
      <c r="R110" s="36"/>
      <c r="S110" s="36"/>
      <c r="T110" s="36"/>
      <c r="U110" s="36"/>
      <c r="V110" s="36"/>
      <c r="W110" s="36"/>
      <c r="X110" s="36"/>
      <c r="Y110" s="29"/>
      <c r="Z110" s="29"/>
      <c r="AA110" s="35"/>
      <c r="AB110" s="36"/>
      <c r="AC110" s="36"/>
      <c r="AD110" s="36"/>
      <c r="AE110" s="36"/>
      <c r="AF110" s="36"/>
      <c r="AG110" s="36"/>
      <c r="AH110" s="36"/>
      <c r="AI110" s="36"/>
      <c r="AJ110" s="36"/>
      <c r="AK110" s="29"/>
      <c r="AL110" s="29"/>
      <c r="AM110" s="35"/>
      <c r="AN110" s="36"/>
      <c r="AO110" s="36"/>
      <c r="AP110" s="36"/>
      <c r="AQ110" s="36"/>
      <c r="AR110" s="36"/>
      <c r="AS110" s="36"/>
      <c r="AT110" s="36"/>
      <c r="AU110" s="36"/>
      <c r="AV110" s="36"/>
      <c r="AW110" s="31"/>
      <c r="AX110" s="29"/>
      <c r="AY110" s="35"/>
      <c r="AZ110" s="36"/>
      <c r="BA110" s="36"/>
      <c r="BB110" s="36"/>
      <c r="BC110" s="36"/>
      <c r="BD110" s="36"/>
      <c r="BE110" s="36"/>
      <c r="BF110" s="36"/>
      <c r="BG110" s="36"/>
      <c r="BH110" s="36"/>
      <c r="CP110" s="18"/>
      <c r="CR110" s="243"/>
    </row>
    <row r="111" spans="1:96" s="16" customFormat="1" ht="18" customHeight="1">
      <c r="A111" s="17"/>
      <c r="O111" s="35"/>
      <c r="P111" s="36"/>
      <c r="Q111" s="36"/>
      <c r="R111" s="36"/>
      <c r="S111" s="36"/>
      <c r="T111" s="36"/>
      <c r="U111" s="36"/>
      <c r="V111" s="36"/>
      <c r="W111" s="36"/>
      <c r="X111" s="36"/>
      <c r="Y111" s="29"/>
      <c r="Z111" s="29"/>
      <c r="AA111" s="35"/>
      <c r="AB111" s="36"/>
      <c r="AC111" s="36"/>
      <c r="AD111" s="36"/>
      <c r="AE111" s="36"/>
      <c r="AF111" s="36"/>
      <c r="AG111" s="36"/>
      <c r="AH111" s="36"/>
      <c r="AI111" s="36"/>
      <c r="AJ111" s="36"/>
      <c r="AK111" s="29"/>
      <c r="AL111" s="29"/>
      <c r="AM111" s="35"/>
      <c r="AN111" s="36"/>
      <c r="AO111" s="36"/>
      <c r="AP111" s="36"/>
      <c r="AQ111" s="36"/>
      <c r="AR111" s="36"/>
      <c r="AS111" s="36"/>
      <c r="AT111" s="36"/>
      <c r="AU111" s="36"/>
      <c r="AV111" s="36"/>
      <c r="AW111" s="31"/>
      <c r="AX111" s="29"/>
      <c r="AY111" s="35"/>
      <c r="AZ111" s="36"/>
      <c r="BA111" s="36"/>
      <c r="BB111" s="36"/>
      <c r="BC111" s="36"/>
      <c r="BD111" s="36"/>
      <c r="BE111" s="36"/>
      <c r="BF111" s="36"/>
      <c r="BG111" s="36"/>
      <c r="BH111" s="36"/>
      <c r="CP111" s="18"/>
      <c r="CR111" s="243"/>
    </row>
    <row r="112" spans="1:96" s="16" customFormat="1" ht="18" customHeight="1">
      <c r="A112" s="17"/>
      <c r="O112" s="35"/>
      <c r="P112" s="36"/>
      <c r="Q112" s="36"/>
      <c r="R112" s="36"/>
      <c r="S112" s="36"/>
      <c r="T112" s="36"/>
      <c r="U112" s="36"/>
      <c r="V112" s="36"/>
      <c r="W112" s="36"/>
      <c r="X112" s="36"/>
      <c r="Y112" s="29"/>
      <c r="Z112" s="29"/>
      <c r="AA112" s="35"/>
      <c r="AB112" s="36"/>
      <c r="AC112" s="36"/>
      <c r="AD112" s="36"/>
      <c r="AE112" s="36"/>
      <c r="AF112" s="36"/>
      <c r="AG112" s="36"/>
      <c r="AH112" s="36"/>
      <c r="AI112" s="36"/>
      <c r="AJ112" s="36"/>
      <c r="AK112" s="29"/>
      <c r="AL112" s="29"/>
      <c r="AM112" s="35"/>
      <c r="AN112" s="36"/>
      <c r="AO112" s="36"/>
      <c r="AP112" s="36"/>
      <c r="AQ112" s="36"/>
      <c r="AR112" s="36"/>
      <c r="AS112" s="36"/>
      <c r="AT112" s="36"/>
      <c r="AU112" s="36"/>
      <c r="AV112" s="36"/>
      <c r="AW112" s="31"/>
      <c r="AX112" s="29"/>
      <c r="AY112" s="35"/>
      <c r="AZ112" s="36"/>
      <c r="BA112" s="36"/>
      <c r="BB112" s="36"/>
      <c r="BC112" s="36"/>
      <c r="BD112" s="36"/>
      <c r="BE112" s="36"/>
      <c r="BF112" s="36"/>
      <c r="BG112" s="36"/>
      <c r="BH112" s="36"/>
      <c r="CP112" s="18"/>
      <c r="CR112" s="243"/>
    </row>
    <row r="113" spans="1:97" s="16" customFormat="1" ht="18" customHeight="1">
      <c r="A113" s="17"/>
      <c r="CP113" s="18"/>
      <c r="CR113" s="243"/>
    </row>
    <row r="114" spans="1:97" s="16" customFormat="1" ht="18" customHeight="1">
      <c r="A114" s="37"/>
      <c r="B114" s="38"/>
      <c r="C114" s="38"/>
      <c r="D114" s="38"/>
      <c r="E114" s="38"/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  <c r="R114" s="38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  <c r="BG114" s="38"/>
      <c r="BH114" s="38"/>
      <c r="BI114" s="38"/>
      <c r="BJ114" s="38"/>
      <c r="BK114" s="38"/>
      <c r="BL114" s="38"/>
      <c r="BM114" s="38"/>
      <c r="BN114" s="38"/>
      <c r="BO114" s="38"/>
      <c r="BP114" s="38"/>
      <c r="BQ114" s="38"/>
      <c r="BR114" s="38"/>
      <c r="BS114" s="38"/>
      <c r="BT114" s="38"/>
      <c r="BU114" s="38"/>
      <c r="BV114" s="38"/>
      <c r="BW114" s="38"/>
      <c r="BX114" s="38"/>
      <c r="BY114" s="38"/>
      <c r="BZ114" s="38"/>
      <c r="CA114" s="38"/>
      <c r="CB114" s="38"/>
      <c r="CC114" s="38"/>
      <c r="CD114" s="38"/>
      <c r="CE114" s="38"/>
      <c r="CF114" s="38"/>
      <c r="CG114" s="38"/>
      <c r="CH114" s="38"/>
      <c r="CI114" s="38"/>
      <c r="CJ114" s="38"/>
      <c r="CK114" s="38"/>
      <c r="CL114" s="38"/>
      <c r="CM114" s="38"/>
      <c r="CN114" s="38"/>
      <c r="CO114" s="38"/>
      <c r="CP114" s="39"/>
      <c r="CR114" s="243"/>
    </row>
    <row r="115" spans="1:97" s="16" customFormat="1" ht="30.75" customHeight="1">
      <c r="A115" s="1467" t="s">
        <v>648</v>
      </c>
      <c r="B115" s="1468"/>
      <c r="C115" s="1468"/>
      <c r="D115" s="1468"/>
      <c r="E115" s="1468"/>
      <c r="F115" s="1468"/>
      <c r="G115" s="1468"/>
      <c r="H115" s="1468"/>
      <c r="I115" s="1468"/>
      <c r="J115" s="1468"/>
      <c r="K115" s="1468"/>
      <c r="L115" s="1468"/>
      <c r="M115" s="1468"/>
      <c r="N115" s="1468"/>
      <c r="O115" s="1468"/>
      <c r="P115" s="1468"/>
      <c r="Q115" s="1468"/>
      <c r="R115" s="1468"/>
      <c r="S115" s="1468"/>
      <c r="T115" s="1468"/>
      <c r="U115" s="1468"/>
      <c r="V115" s="1468"/>
      <c r="W115" s="1468"/>
      <c r="X115" s="1468"/>
      <c r="Y115" s="1468"/>
      <c r="Z115" s="1468"/>
      <c r="AA115" s="1468"/>
      <c r="AB115" s="1468"/>
      <c r="AC115" s="1468"/>
      <c r="AD115" s="1468"/>
      <c r="AE115" s="1468"/>
      <c r="AF115" s="1468"/>
      <c r="AG115" s="1468"/>
      <c r="AH115" s="1468"/>
      <c r="AI115" s="1468"/>
      <c r="AJ115" s="1468"/>
      <c r="AK115" s="1468"/>
      <c r="AL115" s="1468"/>
      <c r="AM115" s="1468"/>
      <c r="AN115" s="1468"/>
      <c r="AO115" s="1468"/>
      <c r="AP115" s="1468"/>
      <c r="AQ115" s="1468"/>
      <c r="AR115" s="1468"/>
      <c r="AS115" s="1468"/>
      <c r="AT115" s="1468"/>
      <c r="AU115" s="1468"/>
      <c r="AV115" s="1468"/>
      <c r="AW115" s="1468"/>
      <c r="AX115" s="1468"/>
      <c r="AY115" s="1468"/>
      <c r="AZ115" s="1468"/>
      <c r="BA115" s="1468"/>
      <c r="BB115" s="1468"/>
      <c r="BC115" s="1468"/>
      <c r="BD115" s="1468"/>
      <c r="BE115" s="1468"/>
      <c r="BF115" s="1468"/>
      <c r="BG115" s="1468"/>
      <c r="BH115" s="1468"/>
      <c r="BI115" s="1468"/>
      <c r="BJ115" s="1468"/>
      <c r="BK115" s="1468"/>
      <c r="BL115" s="1468"/>
      <c r="BM115" s="1468"/>
      <c r="BN115" s="1468"/>
      <c r="BO115" s="1468"/>
      <c r="BP115" s="1468"/>
      <c r="BQ115" s="1468"/>
      <c r="BR115" s="1468"/>
      <c r="BS115" s="1468"/>
      <c r="BT115" s="1468"/>
      <c r="BU115" s="1468"/>
      <c r="BV115" s="1468"/>
      <c r="BW115" s="1468"/>
      <c r="BX115" s="1468"/>
      <c r="BY115" s="1468"/>
      <c r="BZ115" s="1468"/>
      <c r="CA115" s="1468"/>
      <c r="CB115" s="1468"/>
      <c r="CC115" s="1468"/>
      <c r="CD115" s="1468"/>
      <c r="CE115" s="1468"/>
      <c r="CF115" s="1468"/>
      <c r="CG115" s="1468"/>
      <c r="CH115" s="1468"/>
      <c r="CI115" s="1468"/>
      <c r="CJ115" s="1468"/>
      <c r="CK115" s="1468"/>
      <c r="CL115" s="1468"/>
      <c r="CM115" s="1468"/>
      <c r="CN115" s="1468"/>
      <c r="CO115" s="1468"/>
      <c r="CP115" s="1469"/>
      <c r="CR115" s="243"/>
    </row>
    <row r="116" spans="1:97" s="16" customFormat="1" ht="18" customHeight="1">
      <c r="A116" s="40"/>
      <c r="B116" s="41"/>
      <c r="C116" s="41"/>
      <c r="D116" s="42" t="s">
        <v>299</v>
      </c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2" t="s">
        <v>310</v>
      </c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  <c r="AA116" s="41"/>
      <c r="AB116" s="41"/>
      <c r="AC116" s="41"/>
      <c r="AD116" s="41"/>
      <c r="AE116" s="41"/>
      <c r="AF116" s="41"/>
      <c r="AG116" s="41"/>
      <c r="AH116" s="41"/>
      <c r="AI116" s="41"/>
      <c r="AJ116" s="41"/>
      <c r="AK116" s="41"/>
      <c r="AL116" s="41"/>
      <c r="AM116" s="41"/>
      <c r="AN116" s="41"/>
      <c r="AO116" s="41"/>
      <c r="AP116" s="41"/>
      <c r="AQ116" s="41"/>
      <c r="AR116" s="41"/>
      <c r="AS116" s="41"/>
      <c r="AT116" s="41"/>
      <c r="AU116" s="41"/>
      <c r="AV116" s="41"/>
      <c r="AW116" s="41"/>
      <c r="AX116" s="41"/>
      <c r="AY116" s="41"/>
      <c r="AZ116" s="41"/>
      <c r="BA116" s="41"/>
      <c r="BB116" s="41"/>
      <c r="BC116" s="41"/>
      <c r="BD116" s="41"/>
      <c r="BE116" s="41"/>
      <c r="BF116" s="41"/>
      <c r="BG116" s="41"/>
      <c r="BH116" s="41"/>
      <c r="BI116" s="41"/>
      <c r="BJ116" s="41"/>
      <c r="BK116" s="41" t="s">
        <v>301</v>
      </c>
      <c r="BL116" s="41"/>
      <c r="BM116" s="41"/>
      <c r="BN116" s="41"/>
      <c r="BO116" s="41"/>
      <c r="BP116" s="41"/>
      <c r="BQ116" s="41"/>
      <c r="BR116" s="41"/>
      <c r="BS116" s="41"/>
      <c r="BT116" s="41"/>
      <c r="BU116" s="41"/>
      <c r="BV116" s="41"/>
      <c r="BW116" s="1470">
        <v>46215</v>
      </c>
      <c r="BX116" s="1478"/>
      <c r="BY116" s="1478"/>
      <c r="BZ116" s="1478"/>
      <c r="CA116" s="1478"/>
      <c r="CB116" s="1478"/>
      <c r="CC116" s="1478"/>
      <c r="CD116" s="1478"/>
      <c r="CE116" s="1478"/>
      <c r="CF116" s="1478"/>
      <c r="CG116" s="58" t="s">
        <v>107</v>
      </c>
      <c r="CH116" s="41"/>
      <c r="CI116" s="41"/>
      <c r="CJ116" s="41"/>
      <c r="CK116" s="41"/>
      <c r="CL116" s="41"/>
      <c r="CM116" s="41"/>
      <c r="CN116" s="41"/>
      <c r="CO116" s="41"/>
      <c r="CP116" s="43"/>
      <c r="CR116" s="247"/>
    </row>
    <row r="117" spans="1:97" s="16" customFormat="1" ht="18" customHeight="1">
      <c r="A117" s="17"/>
      <c r="D117" s="1461" t="s">
        <v>635</v>
      </c>
      <c r="E117" s="1462"/>
      <c r="F117" s="1462"/>
      <c r="G117" s="1462"/>
      <c r="H117" s="1462"/>
      <c r="I117" s="1462"/>
      <c r="J117" s="1462"/>
      <c r="K117" s="1462"/>
      <c r="L117" s="1462"/>
      <c r="M117" s="1462"/>
      <c r="N117" s="1462"/>
      <c r="O117" s="1462"/>
      <c r="P117" s="1462"/>
      <c r="Q117" s="1462"/>
      <c r="R117" s="1462"/>
      <c r="S117" s="1462"/>
      <c r="T117" s="1462"/>
      <c r="U117" s="1462"/>
      <c r="V117" s="1462"/>
      <c r="W117" s="1462"/>
      <c r="X117" s="1462"/>
      <c r="Y117" s="1462"/>
      <c r="Z117" s="1462"/>
      <c r="AA117" s="1462"/>
      <c r="AB117" s="1462"/>
      <c r="AC117" s="1462"/>
      <c r="AD117" s="1462"/>
      <c r="AE117" s="1462"/>
      <c r="AF117" s="1462"/>
      <c r="AG117" s="1462"/>
      <c r="AH117" s="1462"/>
      <c r="AI117" s="1462"/>
      <c r="AJ117" s="1462"/>
      <c r="AK117" s="1462"/>
      <c r="AL117" s="1462"/>
      <c r="AM117" s="1462"/>
      <c r="AN117" s="1462"/>
      <c r="AO117" s="1462"/>
      <c r="AP117" s="1462"/>
      <c r="AQ117" s="1462"/>
      <c r="AR117" s="1462"/>
      <c r="AS117" s="1462"/>
      <c r="AT117" s="1462"/>
      <c r="AU117" s="1462"/>
      <c r="AV117" s="1462"/>
      <c r="AW117" s="1462"/>
      <c r="AX117" s="1462"/>
      <c r="AY117" s="1462"/>
      <c r="AZ117" s="1462"/>
      <c r="BA117" s="1462"/>
      <c r="BB117" s="1462"/>
      <c r="BC117" s="1462"/>
      <c r="BD117" s="1462"/>
      <c r="BE117" s="1462"/>
      <c r="BF117" s="1462"/>
      <c r="BG117" s="1462"/>
      <c r="BH117" s="1462"/>
      <c r="BI117" s="1462"/>
      <c r="BJ117" s="1462"/>
      <c r="BK117" s="1462"/>
      <c r="BL117" s="1462"/>
      <c r="BM117" s="1462"/>
      <c r="BN117" s="1462"/>
      <c r="BO117" s="1462"/>
      <c r="BP117" s="1462"/>
      <c r="BQ117" s="1462"/>
      <c r="BR117" s="1462"/>
      <c r="BS117" s="1462"/>
      <c r="BT117" s="1462"/>
      <c r="BU117" s="1462"/>
      <c r="BV117" s="1462"/>
      <c r="BW117" s="1462"/>
      <c r="BX117" s="1462"/>
      <c r="BY117" s="1462"/>
      <c r="BZ117" s="1462"/>
      <c r="CA117" s="1462"/>
      <c r="CB117" s="1462"/>
      <c r="CC117" s="1462"/>
      <c r="CD117" s="1462"/>
      <c r="CE117" s="1462"/>
      <c r="CF117" s="1462"/>
      <c r="CG117" s="1462"/>
      <c r="CH117" s="1462"/>
      <c r="CI117" s="1462"/>
      <c r="CJ117" s="1462"/>
      <c r="CK117" s="1462"/>
      <c r="CL117" s="1462"/>
      <c r="CM117" s="1462"/>
      <c r="CN117" s="1462"/>
      <c r="CO117" s="1462"/>
      <c r="CP117" s="18"/>
      <c r="CR117" s="662"/>
      <c r="CS117" s="663" t="s">
        <v>545</v>
      </c>
    </row>
    <row r="118" spans="1:97" s="16" customFormat="1" ht="18" customHeight="1" thickBot="1">
      <c r="A118" s="17"/>
      <c r="E118" s="49" t="s">
        <v>532</v>
      </c>
      <c r="U118" s="1466">
        <v>1</v>
      </c>
      <c r="V118" s="1474"/>
      <c r="W118" s="1474"/>
      <c r="X118" s="1474"/>
      <c r="Y118" s="1474"/>
      <c r="Z118" s="29" t="s">
        <v>303</v>
      </c>
      <c r="AA118" s="29"/>
      <c r="AB118" s="29"/>
      <c r="AC118" s="29"/>
      <c r="AD118" s="29"/>
      <c r="AE118" s="1476">
        <f>CR123</f>
        <v>240042</v>
      </c>
      <c r="AF118" s="1477"/>
      <c r="AG118" s="1477"/>
      <c r="AH118" s="1477"/>
      <c r="AI118" s="1477"/>
      <c r="AJ118" s="1477"/>
      <c r="AK118" s="1477"/>
      <c r="AL118" s="1477"/>
      <c r="AM118" s="16" t="s">
        <v>304</v>
      </c>
      <c r="AU118" s="1466">
        <v>8</v>
      </c>
      <c r="AV118" s="1466"/>
      <c r="AW118" s="1466"/>
      <c r="AX118" s="29" t="s">
        <v>294</v>
      </c>
      <c r="AY118" s="29"/>
      <c r="AZ118" s="1466">
        <v>25</v>
      </c>
      <c r="BA118" s="1466"/>
      <c r="BB118" s="1466"/>
      <c r="BC118" s="29" t="s">
        <v>293</v>
      </c>
      <c r="BD118" s="29"/>
      <c r="BE118" s="1466">
        <v>20</v>
      </c>
      <c r="BF118" s="1466"/>
      <c r="BG118" s="1466"/>
      <c r="BH118" s="29" t="s">
        <v>294</v>
      </c>
      <c r="BI118" s="29"/>
      <c r="BJ118" s="1466">
        <v>16</v>
      </c>
      <c r="BK118" s="1466"/>
      <c r="BL118" s="1466"/>
      <c r="BM118" s="29" t="s">
        <v>293</v>
      </c>
      <c r="BN118" s="29"/>
      <c r="BO118" s="1466">
        <v>12</v>
      </c>
      <c r="BP118" s="1474"/>
      <c r="BQ118" s="1474"/>
      <c r="BR118" s="1474"/>
      <c r="BS118" s="31" t="s">
        <v>298</v>
      </c>
      <c r="BT118" s="29"/>
      <c r="BU118" s="1458">
        <f>INT(U118*AE118*(1/AU118*(AZ118/BE118)*(BJ118/BO118)))</f>
        <v>50008</v>
      </c>
      <c r="BV118" s="1474"/>
      <c r="BW118" s="1474"/>
      <c r="BX118" s="1474"/>
      <c r="BY118" s="1474"/>
      <c r="BZ118" s="1474"/>
      <c r="CA118" s="1474"/>
      <c r="CB118" s="1474"/>
      <c r="CC118" s="16" t="s">
        <v>287</v>
      </c>
      <c r="CP118" s="18"/>
      <c r="CQ118" s="49"/>
      <c r="CR118" s="662"/>
      <c r="CS118" s="664"/>
    </row>
    <row r="119" spans="1:97" s="16" customFormat="1" ht="18" customHeight="1" thickTop="1">
      <c r="A119" s="17"/>
      <c r="D119" s="33"/>
      <c r="E119" s="34" t="s">
        <v>291</v>
      </c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33"/>
      <c r="BG119" s="33"/>
      <c r="BH119" s="33"/>
      <c r="BI119" s="33"/>
      <c r="BJ119" s="33"/>
      <c r="BK119" s="33"/>
      <c r="BL119" s="33"/>
      <c r="BM119" s="33"/>
      <c r="BN119" s="33"/>
      <c r="BO119" s="33"/>
      <c r="BP119" s="33"/>
      <c r="BQ119" s="33"/>
      <c r="BR119" s="33"/>
      <c r="BS119" s="33"/>
      <c r="BT119" s="33"/>
      <c r="BU119" s="1459">
        <f>INT(SUM(BU118:BU118))</f>
        <v>50008</v>
      </c>
      <c r="BV119" s="1472"/>
      <c r="BW119" s="1472"/>
      <c r="BX119" s="1472"/>
      <c r="BY119" s="1472"/>
      <c r="BZ119" s="1472"/>
      <c r="CA119" s="1472"/>
      <c r="CB119" s="1472"/>
      <c r="CC119" s="33" t="s">
        <v>287</v>
      </c>
      <c r="CD119" s="33"/>
      <c r="CE119" s="33"/>
      <c r="CF119" s="33"/>
      <c r="CG119" s="33"/>
      <c r="CH119" s="33"/>
      <c r="CI119" s="33"/>
      <c r="CP119" s="18"/>
      <c r="CQ119" s="16" t="s">
        <v>97</v>
      </c>
      <c r="CR119" s="244">
        <f>VLOOKUP(CQ119,인건비!A:B,2,FALSE)</f>
        <v>283323</v>
      </c>
    </row>
    <row r="120" spans="1:97" s="16" customFormat="1" ht="18" customHeight="1">
      <c r="A120" s="17"/>
      <c r="BV120" s="32"/>
      <c r="BW120" s="29"/>
      <c r="BX120" s="29"/>
      <c r="BY120" s="29"/>
      <c r="BZ120" s="29"/>
      <c r="CA120" s="29"/>
      <c r="CB120" s="29"/>
      <c r="CC120" s="29"/>
      <c r="CD120" s="29"/>
      <c r="CP120" s="18"/>
      <c r="CR120" s="244"/>
    </row>
    <row r="121" spans="1:97" s="16" customFormat="1" ht="18" customHeight="1">
      <c r="A121" s="17"/>
      <c r="D121" s="1461" t="s">
        <v>650</v>
      </c>
      <c r="E121" s="1462"/>
      <c r="F121" s="1462"/>
      <c r="G121" s="1462"/>
      <c r="H121" s="1462"/>
      <c r="I121" s="1462"/>
      <c r="J121" s="1462"/>
      <c r="K121" s="1462"/>
      <c r="L121" s="1462"/>
      <c r="M121" s="1462"/>
      <c r="N121" s="1462"/>
      <c r="O121" s="1462"/>
      <c r="P121" s="1462"/>
      <c r="Q121" s="1462"/>
      <c r="R121" s="1462"/>
      <c r="S121" s="1462"/>
      <c r="T121" s="1462"/>
      <c r="U121" s="1462"/>
      <c r="V121" s="1462"/>
      <c r="W121" s="1462"/>
      <c r="X121" s="1462"/>
      <c r="Y121" s="1462"/>
      <c r="Z121" s="1462"/>
      <c r="AA121" s="1462"/>
      <c r="AB121" s="1462"/>
      <c r="AC121" s="1462"/>
      <c r="AD121" s="1462"/>
      <c r="AE121" s="1462"/>
      <c r="AF121" s="1462"/>
      <c r="AG121" s="1462"/>
      <c r="AH121" s="1462"/>
      <c r="AI121" s="1462"/>
      <c r="AJ121" s="1462"/>
      <c r="AK121" s="1462"/>
      <c r="AL121" s="1462"/>
      <c r="AM121" s="1462"/>
      <c r="AN121" s="1462"/>
      <c r="AO121" s="1462"/>
      <c r="AP121" s="1462"/>
      <c r="AQ121" s="1462"/>
      <c r="AR121" s="1462"/>
      <c r="AS121" s="1462"/>
      <c r="AT121" s="1462"/>
      <c r="AU121" s="1462"/>
      <c r="AV121" s="1462"/>
      <c r="AW121" s="1462"/>
      <c r="AX121" s="1462"/>
      <c r="AY121" s="1462"/>
      <c r="AZ121" s="1462"/>
      <c r="BA121" s="1462"/>
      <c r="BB121" s="1462"/>
      <c r="BC121" s="1462"/>
      <c r="BD121" s="1462"/>
      <c r="BE121" s="1462"/>
      <c r="BF121" s="1462"/>
      <c r="BG121" s="1462"/>
      <c r="BH121" s="1462"/>
      <c r="BI121" s="1462"/>
      <c r="BJ121" s="1462"/>
      <c r="BK121" s="1462"/>
      <c r="BL121" s="1462"/>
      <c r="BM121" s="1462"/>
      <c r="BN121" s="1462"/>
      <c r="BO121" s="1462"/>
      <c r="BP121" s="1462"/>
      <c r="BQ121" s="1462"/>
      <c r="BR121" s="1462"/>
      <c r="BS121" s="1462"/>
      <c r="BT121" s="1462"/>
      <c r="BU121" s="1462"/>
      <c r="BV121" s="1462"/>
      <c r="BW121" s="1462"/>
      <c r="BX121" s="1462"/>
      <c r="BY121" s="1462"/>
      <c r="BZ121" s="1462"/>
      <c r="CA121" s="1462"/>
      <c r="CB121" s="1462"/>
      <c r="CC121" s="1462"/>
      <c r="CD121" s="1462"/>
      <c r="CE121" s="1462"/>
      <c r="CF121" s="1462"/>
      <c r="CG121" s="1462"/>
      <c r="CH121" s="1462"/>
      <c r="CI121" s="1462"/>
      <c r="CJ121" s="1462"/>
      <c r="CK121" s="1462"/>
      <c r="CL121" s="1462"/>
      <c r="CM121" s="1462"/>
      <c r="CN121" s="1462"/>
      <c r="CO121" s="1462"/>
      <c r="CP121" s="18"/>
      <c r="CQ121" s="16" t="s">
        <v>176</v>
      </c>
      <c r="CR121" s="244">
        <f>VLOOKUP(CQ121,인건비!A:B,2,FALSE)</f>
        <v>210909</v>
      </c>
    </row>
    <row r="122" spans="1:97" s="16" customFormat="1" ht="18" customHeight="1">
      <c r="A122" s="17"/>
      <c r="E122" s="16" t="s">
        <v>311</v>
      </c>
      <c r="U122" s="1463">
        <v>9.3000000000000007</v>
      </c>
      <c r="V122" s="1473"/>
      <c r="W122" s="1473"/>
      <c r="X122" s="1473"/>
      <c r="Y122" s="1473"/>
      <c r="Z122" s="16" t="s">
        <v>266</v>
      </c>
      <c r="AE122" s="1464" t="e">
        <f>CR125</f>
        <v>#REF!</v>
      </c>
      <c r="AF122" s="1473"/>
      <c r="AG122" s="1473"/>
      <c r="AH122" s="1473"/>
      <c r="AI122" s="1473"/>
      <c r="AJ122" s="1473"/>
      <c r="AK122" s="1473"/>
      <c r="AL122" s="1473"/>
      <c r="AM122" s="16" t="s">
        <v>286</v>
      </c>
      <c r="AT122" s="1465" t="e">
        <f>INT(U122*AE122)</f>
        <v>#REF!</v>
      </c>
      <c r="AU122" s="1473"/>
      <c r="AV122" s="1473"/>
      <c r="AW122" s="1473"/>
      <c r="AX122" s="1473"/>
      <c r="AY122" s="1473"/>
      <c r="AZ122" s="1473"/>
      <c r="BA122" s="1473"/>
      <c r="BB122" s="16" t="s">
        <v>287</v>
      </c>
      <c r="CP122" s="18"/>
      <c r="CQ122" s="16" t="s">
        <v>96</v>
      </c>
      <c r="CR122" s="244">
        <f>VLOOKUP(CQ122,인건비!A:B,2,FALSE)</f>
        <v>173995</v>
      </c>
    </row>
    <row r="123" spans="1:97" s="16" customFormat="1" ht="18" customHeight="1" thickBot="1">
      <c r="A123" s="17"/>
      <c r="E123" s="16" t="s">
        <v>288</v>
      </c>
      <c r="U123" s="16" t="s">
        <v>289</v>
      </c>
      <c r="AE123" s="1466">
        <v>30</v>
      </c>
      <c r="AF123" s="1474"/>
      <c r="AG123" s="1474"/>
      <c r="AH123" s="1474"/>
      <c r="AI123" s="1474"/>
      <c r="AJ123" s="1474"/>
      <c r="AK123" s="1474"/>
      <c r="AL123" s="1474"/>
      <c r="AM123" s="16" t="s">
        <v>290</v>
      </c>
      <c r="AT123" s="1458" t="e">
        <f>INT(AT122*AE123/100)</f>
        <v>#REF!</v>
      </c>
      <c r="AU123" s="1458"/>
      <c r="AV123" s="1458"/>
      <c r="AW123" s="1458"/>
      <c r="AX123" s="1458"/>
      <c r="AY123" s="1458"/>
      <c r="AZ123" s="1458"/>
      <c r="BA123" s="1458"/>
      <c r="BB123" s="16" t="s">
        <v>287</v>
      </c>
      <c r="CP123" s="18"/>
      <c r="CQ123" s="16" t="s">
        <v>95</v>
      </c>
      <c r="CR123" s="244">
        <f>VLOOKUP(CQ123,인건비!A:B,2,FALSE)</f>
        <v>240042</v>
      </c>
    </row>
    <row r="124" spans="1:97" s="16" customFormat="1" ht="18" customHeight="1" thickTop="1">
      <c r="A124" s="17"/>
      <c r="D124" s="33"/>
      <c r="E124" s="34" t="s">
        <v>291</v>
      </c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1459" t="e">
        <f>INT(SUM(AT122+AT123))</f>
        <v>#REF!</v>
      </c>
      <c r="AU124" s="1472"/>
      <c r="AV124" s="1472"/>
      <c r="AW124" s="1472"/>
      <c r="AX124" s="1472"/>
      <c r="AY124" s="1472"/>
      <c r="AZ124" s="1472"/>
      <c r="BA124" s="1472"/>
      <c r="BB124" s="33" t="s">
        <v>287</v>
      </c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  <c r="CA124" s="33"/>
      <c r="CB124" s="33"/>
      <c r="CC124" s="33"/>
      <c r="CD124" s="33"/>
      <c r="CE124" s="33"/>
      <c r="CF124" s="33"/>
      <c r="CG124" s="33"/>
      <c r="CH124" s="33"/>
      <c r="CI124" s="33"/>
      <c r="CP124" s="18"/>
      <c r="CQ124" s="16" t="s">
        <v>267</v>
      </c>
      <c r="CR124" s="245" t="e">
        <f>#REF!</f>
        <v>#REF!</v>
      </c>
    </row>
    <row r="125" spans="1:97" s="16" customFormat="1" ht="18" customHeight="1">
      <c r="A125" s="17"/>
      <c r="CP125" s="18"/>
      <c r="CQ125" s="16" t="s">
        <v>268</v>
      </c>
      <c r="CR125" s="245" t="e">
        <f>#REF!</f>
        <v>#REF!</v>
      </c>
    </row>
    <row r="126" spans="1:97" s="16" customFormat="1" ht="18" customHeight="1">
      <c r="A126" s="17"/>
      <c r="D126" s="1461" t="s">
        <v>651</v>
      </c>
      <c r="E126" s="1462"/>
      <c r="F126" s="1462"/>
      <c r="G126" s="1462"/>
      <c r="H126" s="1462"/>
      <c r="I126" s="1462"/>
      <c r="J126" s="1462"/>
      <c r="K126" s="1462"/>
      <c r="L126" s="1462"/>
      <c r="M126" s="1462"/>
      <c r="N126" s="1462"/>
      <c r="O126" s="1462"/>
      <c r="P126" s="1462"/>
      <c r="Q126" s="1462"/>
      <c r="R126" s="1462"/>
      <c r="S126" s="1462"/>
      <c r="T126" s="1462"/>
      <c r="U126" s="1462"/>
      <c r="V126" s="1462"/>
      <c r="W126" s="1462"/>
      <c r="X126" s="1462"/>
      <c r="Y126" s="1462"/>
      <c r="Z126" s="1462"/>
      <c r="AA126" s="1462"/>
      <c r="AB126" s="1462"/>
      <c r="AC126" s="1462"/>
      <c r="AD126" s="1462"/>
      <c r="AE126" s="1462"/>
      <c r="AF126" s="1462"/>
      <c r="AG126" s="1462"/>
      <c r="AH126" s="1462"/>
      <c r="AI126" s="1462"/>
      <c r="AJ126" s="1462"/>
      <c r="AK126" s="1462"/>
      <c r="AL126" s="1462"/>
      <c r="AM126" s="1462"/>
      <c r="AN126" s="1462"/>
      <c r="AO126" s="1462"/>
      <c r="AP126" s="1462"/>
      <c r="AQ126" s="1462"/>
      <c r="AR126" s="1462"/>
      <c r="AS126" s="1462"/>
      <c r="AT126" s="1462"/>
      <c r="AU126" s="1462"/>
      <c r="AV126" s="1462"/>
      <c r="AW126" s="1462"/>
      <c r="AX126" s="1462"/>
      <c r="AY126" s="1462"/>
      <c r="AZ126" s="1462"/>
      <c r="BA126" s="1462"/>
      <c r="BB126" s="1462"/>
      <c r="BC126" s="1462"/>
      <c r="BD126" s="1462"/>
      <c r="BE126" s="1462"/>
      <c r="BF126" s="1462"/>
      <c r="BG126" s="1462"/>
      <c r="BH126" s="1462"/>
      <c r="BI126" s="1462"/>
      <c r="BJ126" s="1462"/>
      <c r="BK126" s="1462"/>
      <c r="BL126" s="1462"/>
      <c r="BM126" s="1462"/>
      <c r="BN126" s="1462"/>
      <c r="BO126" s="1462"/>
      <c r="BP126" s="1462"/>
      <c r="BQ126" s="1462"/>
      <c r="BR126" s="1462"/>
      <c r="BS126" s="1462"/>
      <c r="BT126" s="1462"/>
      <c r="BU126" s="1462"/>
      <c r="BV126" s="1462"/>
      <c r="BW126" s="1462"/>
      <c r="BX126" s="1462"/>
      <c r="BY126" s="1462"/>
      <c r="BZ126" s="1462"/>
      <c r="CA126" s="1462"/>
      <c r="CB126" s="1462"/>
      <c r="CC126" s="1462"/>
      <c r="CD126" s="1462"/>
      <c r="CE126" s="1462"/>
      <c r="CF126" s="1462"/>
      <c r="CG126" s="1462"/>
      <c r="CH126" s="1462"/>
      <c r="CI126" s="1462"/>
      <c r="CJ126" s="1462"/>
      <c r="CK126" s="1462"/>
      <c r="CL126" s="1462"/>
      <c r="CM126" s="1462"/>
      <c r="CN126" s="1462"/>
      <c r="CO126" s="1462"/>
      <c r="CP126" s="18"/>
      <c r="CQ126" s="665" t="s">
        <v>766</v>
      </c>
      <c r="CR126" s="666" t="s">
        <v>649</v>
      </c>
    </row>
    <row r="127" spans="1:97" s="16" customFormat="1" ht="18" customHeight="1" thickBot="1">
      <c r="A127" s="17"/>
      <c r="E127" s="16" t="s">
        <v>312</v>
      </c>
      <c r="AA127" s="1456">
        <v>2113</v>
      </c>
      <c r="AB127" s="1456"/>
      <c r="AC127" s="1456"/>
      <c r="AD127" s="1456"/>
      <c r="AE127" s="1456"/>
      <c r="AF127" s="1456"/>
      <c r="AG127" s="1456"/>
      <c r="AH127" s="1456"/>
      <c r="AI127" s="29" t="s">
        <v>293</v>
      </c>
      <c r="AJ127" s="29"/>
      <c r="AK127" s="1457">
        <v>10000000</v>
      </c>
      <c r="AL127" s="1475"/>
      <c r="AM127" s="1475"/>
      <c r="AN127" s="1475"/>
      <c r="AO127" s="1475"/>
      <c r="AP127" s="1475"/>
      <c r="AQ127" s="1475"/>
      <c r="AR127" s="1475"/>
      <c r="AS127" s="1475"/>
      <c r="AT127" s="1475"/>
      <c r="AU127" s="1475"/>
      <c r="AV127" s="29" t="s">
        <v>294</v>
      </c>
      <c r="AW127" s="29"/>
      <c r="AX127" s="1458">
        <f>BW116</f>
        <v>46215</v>
      </c>
      <c r="AY127" s="1474"/>
      <c r="AZ127" s="1474"/>
      <c r="BA127" s="1474"/>
      <c r="BB127" s="1474"/>
      <c r="BC127" s="1474"/>
      <c r="BD127" s="1474"/>
      <c r="BE127" s="1474"/>
      <c r="BF127" s="1474"/>
      <c r="BG127" s="16" t="s">
        <v>295</v>
      </c>
      <c r="BN127" s="1458">
        <f>INT(AA127/AK127*AX127*1000)</f>
        <v>9765</v>
      </c>
      <c r="BO127" s="1458"/>
      <c r="BP127" s="1458"/>
      <c r="BQ127" s="1458"/>
      <c r="BR127" s="1458"/>
      <c r="BS127" s="1458"/>
      <c r="BT127" s="1458"/>
      <c r="BU127" s="1458"/>
      <c r="BV127" s="16" t="s">
        <v>287</v>
      </c>
      <c r="CP127" s="18"/>
      <c r="CQ127" s="665" t="s">
        <v>834</v>
      </c>
      <c r="CR127" s="666" t="s">
        <v>642</v>
      </c>
    </row>
    <row r="128" spans="1:97" s="16" customFormat="1" ht="18" customHeight="1" thickTop="1">
      <c r="A128" s="17"/>
      <c r="D128" s="33"/>
      <c r="E128" s="34" t="s">
        <v>291</v>
      </c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1459">
        <f>SUM(BN127)</f>
        <v>9765</v>
      </c>
      <c r="BO128" s="1472"/>
      <c r="BP128" s="1472"/>
      <c r="BQ128" s="1472"/>
      <c r="BR128" s="1472"/>
      <c r="BS128" s="1472"/>
      <c r="BT128" s="1472"/>
      <c r="BU128" s="1472"/>
      <c r="BV128" s="33" t="s">
        <v>287</v>
      </c>
      <c r="BW128" s="33"/>
      <c r="BX128" s="33"/>
      <c r="BY128" s="33"/>
      <c r="BZ128" s="33"/>
      <c r="CA128" s="33"/>
      <c r="CB128" s="33"/>
      <c r="CC128" s="33"/>
      <c r="CD128" s="33"/>
      <c r="CE128" s="33"/>
      <c r="CF128" s="33"/>
      <c r="CG128" s="33"/>
      <c r="CH128" s="33"/>
      <c r="CI128" s="33"/>
      <c r="CP128" s="18"/>
      <c r="CR128" s="243"/>
    </row>
    <row r="129" spans="1:97" s="16" customFormat="1" ht="18" customHeight="1">
      <c r="A129" s="17"/>
      <c r="CP129" s="18"/>
      <c r="CR129" s="243"/>
    </row>
    <row r="130" spans="1:97" s="16" customFormat="1" ht="18" customHeight="1">
      <c r="A130" s="17"/>
      <c r="E130" s="16" t="s">
        <v>296</v>
      </c>
      <c r="O130" s="1460">
        <f>BU119</f>
        <v>50008</v>
      </c>
      <c r="P130" s="1473"/>
      <c r="Q130" s="1473"/>
      <c r="R130" s="1473"/>
      <c r="S130" s="1473"/>
      <c r="T130" s="1473"/>
      <c r="U130" s="1473"/>
      <c r="V130" s="1473"/>
      <c r="W130" s="1473"/>
      <c r="X130" s="1473"/>
      <c r="Y130" s="29" t="s">
        <v>297</v>
      </c>
      <c r="Z130" s="29"/>
      <c r="AA130" s="1460" t="e">
        <f>AT124</f>
        <v>#REF!</v>
      </c>
      <c r="AB130" s="1473"/>
      <c r="AC130" s="1473"/>
      <c r="AD130" s="1473"/>
      <c r="AE130" s="1473"/>
      <c r="AF130" s="1473"/>
      <c r="AG130" s="1473"/>
      <c r="AH130" s="1473"/>
      <c r="AI130" s="1473"/>
      <c r="AJ130" s="1473"/>
      <c r="AK130" s="29" t="s">
        <v>297</v>
      </c>
      <c r="AL130" s="29"/>
      <c r="AM130" s="1460">
        <f>BN128</f>
        <v>9765</v>
      </c>
      <c r="AN130" s="1473"/>
      <c r="AO130" s="1473"/>
      <c r="AP130" s="1473"/>
      <c r="AQ130" s="1473"/>
      <c r="AR130" s="1473"/>
      <c r="AS130" s="1473"/>
      <c r="AT130" s="1473"/>
      <c r="AU130" s="1473"/>
      <c r="AV130" s="1473"/>
      <c r="AW130" s="31" t="s">
        <v>298</v>
      </c>
      <c r="AX130" s="29"/>
      <c r="AY130" s="1460" t="e">
        <f>O130+AA130+AM130</f>
        <v>#REF!</v>
      </c>
      <c r="AZ130" s="1473"/>
      <c r="BA130" s="1473"/>
      <c r="BB130" s="1473"/>
      <c r="BC130" s="1473"/>
      <c r="BD130" s="1473"/>
      <c r="BE130" s="1473"/>
      <c r="BF130" s="1473"/>
      <c r="BG130" s="1473"/>
      <c r="BH130" s="1473"/>
      <c r="BI130" s="16" t="s">
        <v>287</v>
      </c>
      <c r="CP130" s="18"/>
      <c r="CR130" s="243"/>
    </row>
    <row r="131" spans="1:97" s="16" customFormat="1" ht="18" customHeight="1">
      <c r="A131" s="17"/>
      <c r="O131" s="35"/>
      <c r="P131" s="36"/>
      <c r="Q131" s="36"/>
      <c r="R131" s="36"/>
      <c r="S131" s="36"/>
      <c r="T131" s="36"/>
      <c r="U131" s="36"/>
      <c r="V131" s="36"/>
      <c r="W131" s="36"/>
      <c r="X131" s="36"/>
      <c r="Y131" s="29"/>
      <c r="Z131" s="29"/>
      <c r="AA131" s="35"/>
      <c r="AB131" s="36"/>
      <c r="AC131" s="36"/>
      <c r="AD131" s="36"/>
      <c r="AE131" s="36"/>
      <c r="AF131" s="36"/>
      <c r="AG131" s="36"/>
      <c r="AH131" s="36"/>
      <c r="AI131" s="36"/>
      <c r="AJ131" s="36"/>
      <c r="AK131" s="29"/>
      <c r="AL131" s="29"/>
      <c r="AM131" s="35"/>
      <c r="AN131" s="36"/>
      <c r="AO131" s="36"/>
      <c r="AP131" s="36"/>
      <c r="AQ131" s="36"/>
      <c r="AR131" s="36"/>
      <c r="AS131" s="36"/>
      <c r="AT131" s="36"/>
      <c r="AU131" s="36"/>
      <c r="AV131" s="36"/>
      <c r="AW131" s="31"/>
      <c r="AX131" s="29"/>
      <c r="AY131" s="35"/>
      <c r="AZ131" s="36"/>
      <c r="BA131" s="36"/>
      <c r="BB131" s="36"/>
      <c r="BC131" s="36"/>
      <c r="BD131" s="36"/>
      <c r="BE131" s="36"/>
      <c r="BF131" s="36"/>
      <c r="BG131" s="36"/>
      <c r="BH131" s="36"/>
      <c r="CP131" s="18"/>
      <c r="CR131" s="243"/>
    </row>
    <row r="132" spans="1:97" s="16" customFormat="1" ht="18" customHeight="1">
      <c r="A132" s="17"/>
      <c r="O132" s="35"/>
      <c r="P132" s="36"/>
      <c r="Q132" s="36"/>
      <c r="R132" s="36"/>
      <c r="S132" s="36"/>
      <c r="T132" s="36"/>
      <c r="U132" s="36"/>
      <c r="V132" s="36"/>
      <c r="W132" s="36"/>
      <c r="X132" s="36"/>
      <c r="Y132" s="29"/>
      <c r="Z132" s="29"/>
      <c r="AA132" s="35"/>
      <c r="AB132" s="36"/>
      <c r="AC132" s="36"/>
      <c r="AD132" s="36"/>
      <c r="AE132" s="36"/>
      <c r="AF132" s="36"/>
      <c r="AG132" s="36"/>
      <c r="AH132" s="36"/>
      <c r="AI132" s="36"/>
      <c r="AJ132" s="36"/>
      <c r="AK132" s="29"/>
      <c r="AL132" s="29"/>
      <c r="AM132" s="35"/>
      <c r="AN132" s="36"/>
      <c r="AO132" s="36"/>
      <c r="AP132" s="36"/>
      <c r="AQ132" s="36"/>
      <c r="AR132" s="36"/>
      <c r="AS132" s="36"/>
      <c r="AT132" s="36"/>
      <c r="AU132" s="36"/>
      <c r="AV132" s="36"/>
      <c r="AW132" s="31"/>
      <c r="AX132" s="29"/>
      <c r="AY132" s="35"/>
      <c r="AZ132" s="36"/>
      <c r="BA132" s="36"/>
      <c r="BB132" s="36"/>
      <c r="BC132" s="36"/>
      <c r="BD132" s="36"/>
      <c r="BE132" s="36"/>
      <c r="BF132" s="36"/>
      <c r="BG132" s="36"/>
      <c r="BH132" s="36"/>
      <c r="CP132" s="18"/>
      <c r="CR132" s="243"/>
    </row>
    <row r="133" spans="1:97" s="16" customFormat="1" ht="18" customHeight="1">
      <c r="A133" s="17"/>
      <c r="O133" s="35"/>
      <c r="P133" s="36"/>
      <c r="Q133" s="36"/>
      <c r="R133" s="36"/>
      <c r="S133" s="36"/>
      <c r="T133" s="36"/>
      <c r="U133" s="36"/>
      <c r="V133" s="36"/>
      <c r="W133" s="36"/>
      <c r="X133" s="36"/>
      <c r="Y133" s="29"/>
      <c r="Z133" s="29"/>
      <c r="AA133" s="35"/>
      <c r="AB133" s="36"/>
      <c r="AC133" s="36"/>
      <c r="AD133" s="36"/>
      <c r="AE133" s="36"/>
      <c r="AF133" s="36"/>
      <c r="AG133" s="36"/>
      <c r="AH133" s="36"/>
      <c r="AI133" s="36"/>
      <c r="AJ133" s="36"/>
      <c r="AK133" s="29"/>
      <c r="AL133" s="29"/>
      <c r="AM133" s="35"/>
      <c r="AN133" s="36"/>
      <c r="AO133" s="36"/>
      <c r="AP133" s="36"/>
      <c r="AQ133" s="36"/>
      <c r="AR133" s="36"/>
      <c r="AS133" s="36"/>
      <c r="AT133" s="36"/>
      <c r="AU133" s="36"/>
      <c r="AV133" s="36"/>
      <c r="AW133" s="31"/>
      <c r="AX133" s="29"/>
      <c r="AY133" s="35"/>
      <c r="AZ133" s="36"/>
      <c r="BA133" s="36"/>
      <c r="BB133" s="36"/>
      <c r="BC133" s="36"/>
      <c r="BD133" s="36"/>
      <c r="BE133" s="36"/>
      <c r="BF133" s="36"/>
      <c r="BG133" s="36"/>
      <c r="BH133" s="36"/>
      <c r="CP133" s="18"/>
      <c r="CR133" s="243"/>
    </row>
    <row r="134" spans="1:97" s="16" customFormat="1" ht="18" customHeight="1">
      <c r="A134" s="17"/>
      <c r="O134" s="35"/>
      <c r="P134" s="36"/>
      <c r="Q134" s="36"/>
      <c r="R134" s="36"/>
      <c r="S134" s="36"/>
      <c r="T134" s="36"/>
      <c r="U134" s="36"/>
      <c r="V134" s="36"/>
      <c r="W134" s="36"/>
      <c r="X134" s="36"/>
      <c r="Y134" s="29"/>
      <c r="Z134" s="29"/>
      <c r="AA134" s="35"/>
      <c r="AB134" s="36"/>
      <c r="AC134" s="36"/>
      <c r="AD134" s="36"/>
      <c r="AE134" s="36"/>
      <c r="AF134" s="36"/>
      <c r="AG134" s="36"/>
      <c r="AH134" s="36"/>
      <c r="AI134" s="36"/>
      <c r="AJ134" s="36"/>
      <c r="AK134" s="29"/>
      <c r="AL134" s="29"/>
      <c r="AM134" s="35"/>
      <c r="AN134" s="36"/>
      <c r="AO134" s="36"/>
      <c r="AP134" s="36"/>
      <c r="AQ134" s="36"/>
      <c r="AR134" s="36"/>
      <c r="AS134" s="36"/>
      <c r="AT134" s="36"/>
      <c r="AU134" s="36"/>
      <c r="AV134" s="36"/>
      <c r="AW134" s="31"/>
      <c r="AX134" s="29"/>
      <c r="AY134" s="35"/>
      <c r="AZ134" s="36"/>
      <c r="BA134" s="36"/>
      <c r="BB134" s="36"/>
      <c r="BC134" s="36"/>
      <c r="BD134" s="36"/>
      <c r="BE134" s="36"/>
      <c r="BF134" s="36"/>
      <c r="BG134" s="36"/>
      <c r="BH134" s="36"/>
      <c r="CP134" s="18"/>
      <c r="CR134" s="243"/>
    </row>
    <row r="135" spans="1:97" s="16" customFormat="1" ht="18" customHeight="1">
      <c r="A135" s="17"/>
      <c r="O135" s="35"/>
      <c r="P135" s="36"/>
      <c r="Q135" s="36"/>
      <c r="R135" s="36"/>
      <c r="S135" s="36"/>
      <c r="T135" s="36"/>
      <c r="U135" s="36"/>
      <c r="V135" s="36"/>
      <c r="W135" s="36"/>
      <c r="X135" s="36"/>
      <c r="Y135" s="29"/>
      <c r="Z135" s="29"/>
      <c r="AA135" s="35"/>
      <c r="AB135" s="36"/>
      <c r="AC135" s="36"/>
      <c r="AD135" s="36"/>
      <c r="AE135" s="36"/>
      <c r="AF135" s="36"/>
      <c r="AG135" s="36"/>
      <c r="AH135" s="36"/>
      <c r="AI135" s="36"/>
      <c r="AJ135" s="36"/>
      <c r="AK135" s="29"/>
      <c r="AL135" s="29"/>
      <c r="AM135" s="35"/>
      <c r="AN135" s="36"/>
      <c r="AO135" s="36"/>
      <c r="AP135" s="36"/>
      <c r="AQ135" s="36"/>
      <c r="AR135" s="36"/>
      <c r="AS135" s="36"/>
      <c r="AT135" s="36"/>
      <c r="AU135" s="36"/>
      <c r="AV135" s="36"/>
      <c r="AW135" s="31"/>
      <c r="AX135" s="29"/>
      <c r="AY135" s="35"/>
      <c r="AZ135" s="36"/>
      <c r="BA135" s="36"/>
      <c r="BB135" s="36"/>
      <c r="BC135" s="36"/>
      <c r="BD135" s="36"/>
      <c r="BE135" s="36"/>
      <c r="BF135" s="36"/>
      <c r="BG135" s="36"/>
      <c r="BH135" s="36"/>
      <c r="CP135" s="18"/>
      <c r="CR135" s="243"/>
    </row>
    <row r="136" spans="1:97" s="16" customFormat="1" ht="18" customHeight="1">
      <c r="A136" s="17"/>
      <c r="O136" s="35"/>
      <c r="P136" s="36"/>
      <c r="Q136" s="36"/>
      <c r="R136" s="36"/>
      <c r="S136" s="36"/>
      <c r="T136" s="36"/>
      <c r="U136" s="36"/>
      <c r="V136" s="36"/>
      <c r="W136" s="36"/>
      <c r="X136" s="36"/>
      <c r="Y136" s="29"/>
      <c r="Z136" s="29"/>
      <c r="AA136" s="35"/>
      <c r="AB136" s="36"/>
      <c r="AC136" s="36"/>
      <c r="AD136" s="36"/>
      <c r="AE136" s="36"/>
      <c r="AF136" s="36"/>
      <c r="AG136" s="36"/>
      <c r="AH136" s="36"/>
      <c r="AI136" s="36"/>
      <c r="AJ136" s="36"/>
      <c r="AK136" s="29"/>
      <c r="AL136" s="29"/>
      <c r="AM136" s="35"/>
      <c r="AN136" s="36"/>
      <c r="AO136" s="36"/>
      <c r="AP136" s="36"/>
      <c r="AQ136" s="36"/>
      <c r="AR136" s="36"/>
      <c r="AS136" s="36"/>
      <c r="AT136" s="36"/>
      <c r="AU136" s="36"/>
      <c r="AV136" s="36"/>
      <c r="AW136" s="31"/>
      <c r="AX136" s="29"/>
      <c r="AY136" s="35"/>
      <c r="AZ136" s="36"/>
      <c r="BA136" s="36"/>
      <c r="BB136" s="36"/>
      <c r="BC136" s="36"/>
      <c r="BD136" s="36"/>
      <c r="BE136" s="36"/>
      <c r="BF136" s="36"/>
      <c r="BG136" s="36"/>
      <c r="BH136" s="36"/>
      <c r="CP136" s="18"/>
      <c r="CR136" s="243"/>
    </row>
    <row r="137" spans="1:97" s="16" customFormat="1" ht="18" customHeight="1">
      <c r="A137" s="17"/>
      <c r="O137" s="35"/>
      <c r="P137" s="36"/>
      <c r="Q137" s="36"/>
      <c r="R137" s="36"/>
      <c r="S137" s="36"/>
      <c r="T137" s="36"/>
      <c r="U137" s="36"/>
      <c r="V137" s="36"/>
      <c r="W137" s="36"/>
      <c r="X137" s="36"/>
      <c r="Y137" s="29"/>
      <c r="Z137" s="29"/>
      <c r="AA137" s="35"/>
      <c r="AB137" s="36"/>
      <c r="AC137" s="36"/>
      <c r="AD137" s="36"/>
      <c r="AE137" s="36"/>
      <c r="AF137" s="36"/>
      <c r="AG137" s="36"/>
      <c r="AH137" s="36"/>
      <c r="AI137" s="36"/>
      <c r="AJ137" s="36"/>
      <c r="AK137" s="29"/>
      <c r="AL137" s="29"/>
      <c r="AM137" s="35"/>
      <c r="AN137" s="36"/>
      <c r="AO137" s="36"/>
      <c r="AP137" s="36"/>
      <c r="AQ137" s="36"/>
      <c r="AR137" s="36"/>
      <c r="AS137" s="36"/>
      <c r="AT137" s="36"/>
      <c r="AU137" s="36"/>
      <c r="AV137" s="36"/>
      <c r="AW137" s="31"/>
      <c r="AX137" s="29"/>
      <c r="AY137" s="35"/>
      <c r="AZ137" s="36"/>
      <c r="BA137" s="36"/>
      <c r="BB137" s="36"/>
      <c r="BC137" s="36"/>
      <c r="BD137" s="36"/>
      <c r="BE137" s="36"/>
      <c r="BF137" s="36"/>
      <c r="BG137" s="36"/>
      <c r="BH137" s="36"/>
      <c r="CP137" s="18"/>
      <c r="CR137" s="243"/>
    </row>
    <row r="138" spans="1:97" s="16" customFormat="1" ht="18" customHeight="1">
      <c r="A138" s="17"/>
      <c r="O138" s="35"/>
      <c r="P138" s="36"/>
      <c r="Q138" s="36"/>
      <c r="R138" s="36"/>
      <c r="S138" s="36"/>
      <c r="T138" s="36"/>
      <c r="U138" s="36"/>
      <c r="V138" s="36"/>
      <c r="W138" s="36"/>
      <c r="X138" s="36"/>
      <c r="Y138" s="29"/>
      <c r="Z138" s="29"/>
      <c r="AA138" s="35"/>
      <c r="AB138" s="36"/>
      <c r="AC138" s="36"/>
      <c r="AD138" s="36"/>
      <c r="AE138" s="36"/>
      <c r="AF138" s="36"/>
      <c r="AG138" s="36"/>
      <c r="AH138" s="36"/>
      <c r="AI138" s="36"/>
      <c r="AJ138" s="36"/>
      <c r="AK138" s="29"/>
      <c r="AL138" s="29"/>
      <c r="AM138" s="35"/>
      <c r="AN138" s="36"/>
      <c r="AO138" s="36"/>
      <c r="AP138" s="36"/>
      <c r="AQ138" s="36"/>
      <c r="AR138" s="36"/>
      <c r="AS138" s="36"/>
      <c r="AT138" s="36"/>
      <c r="AU138" s="36"/>
      <c r="AV138" s="36"/>
      <c r="AW138" s="31"/>
      <c r="AX138" s="29"/>
      <c r="AY138" s="35"/>
      <c r="AZ138" s="36"/>
      <c r="BA138" s="36"/>
      <c r="BB138" s="36"/>
      <c r="BC138" s="36"/>
      <c r="BD138" s="36"/>
      <c r="BE138" s="36"/>
      <c r="BF138" s="36"/>
      <c r="BG138" s="36"/>
      <c r="BH138" s="36"/>
      <c r="CP138" s="18"/>
      <c r="CR138" s="243"/>
    </row>
    <row r="139" spans="1:97" s="16" customFormat="1" ht="18" customHeight="1">
      <c r="A139" s="17"/>
      <c r="O139" s="35"/>
      <c r="P139" s="36"/>
      <c r="Q139" s="36"/>
      <c r="R139" s="36"/>
      <c r="S139" s="36"/>
      <c r="T139" s="36"/>
      <c r="U139" s="36"/>
      <c r="V139" s="36"/>
      <c r="W139" s="36"/>
      <c r="X139" s="36"/>
      <c r="Y139" s="29"/>
      <c r="Z139" s="29"/>
      <c r="AA139" s="35"/>
      <c r="AB139" s="36"/>
      <c r="AC139" s="36"/>
      <c r="AD139" s="36"/>
      <c r="AE139" s="36"/>
      <c r="AF139" s="36"/>
      <c r="AG139" s="36"/>
      <c r="AH139" s="36"/>
      <c r="AI139" s="36"/>
      <c r="AJ139" s="36"/>
      <c r="AK139" s="29"/>
      <c r="AL139" s="29"/>
      <c r="AM139" s="35"/>
      <c r="AN139" s="36"/>
      <c r="AO139" s="36"/>
      <c r="AP139" s="36"/>
      <c r="AQ139" s="36"/>
      <c r="AR139" s="36"/>
      <c r="AS139" s="36"/>
      <c r="AT139" s="36"/>
      <c r="AU139" s="36"/>
      <c r="AV139" s="36"/>
      <c r="AW139" s="31"/>
      <c r="AX139" s="29"/>
      <c r="AY139" s="35"/>
      <c r="AZ139" s="36"/>
      <c r="BA139" s="36"/>
      <c r="BB139" s="36"/>
      <c r="BC139" s="36"/>
      <c r="BD139" s="36"/>
      <c r="BE139" s="36"/>
      <c r="BF139" s="36"/>
      <c r="BG139" s="36"/>
      <c r="BH139" s="36"/>
      <c r="CP139" s="18"/>
      <c r="CR139" s="243"/>
    </row>
    <row r="140" spans="1:97" s="16" customFormat="1" ht="18" customHeight="1">
      <c r="A140" s="17"/>
      <c r="CP140" s="18"/>
      <c r="CR140" s="243"/>
    </row>
    <row r="141" spans="1:97" s="16" customFormat="1" ht="18" customHeight="1">
      <c r="A141" s="37"/>
      <c r="B141" s="38"/>
      <c r="C141" s="38"/>
      <c r="D141" s="38"/>
      <c r="E141" s="38"/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  <c r="R141" s="38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38"/>
      <c r="AX141" s="38"/>
      <c r="AY141" s="38"/>
      <c r="AZ141" s="38"/>
      <c r="BA141" s="38"/>
      <c r="BB141" s="38"/>
      <c r="BC141" s="38"/>
      <c r="BD141" s="38"/>
      <c r="BE141" s="38"/>
      <c r="BF141" s="38"/>
      <c r="BG141" s="38"/>
      <c r="BH141" s="38"/>
      <c r="BI141" s="38"/>
      <c r="BJ141" s="38"/>
      <c r="BK141" s="38"/>
      <c r="BL141" s="38"/>
      <c r="BM141" s="38"/>
      <c r="BN141" s="38"/>
      <c r="BO141" s="38"/>
      <c r="BP141" s="38"/>
      <c r="BQ141" s="38"/>
      <c r="BR141" s="38"/>
      <c r="BS141" s="38"/>
      <c r="BT141" s="38"/>
      <c r="BU141" s="38"/>
      <c r="BV141" s="38"/>
      <c r="BW141" s="38"/>
      <c r="BX141" s="38"/>
      <c r="BY141" s="38"/>
      <c r="BZ141" s="38"/>
      <c r="CA141" s="38"/>
      <c r="CB141" s="38"/>
      <c r="CC141" s="38"/>
      <c r="CD141" s="38"/>
      <c r="CE141" s="38"/>
      <c r="CF141" s="38"/>
      <c r="CG141" s="38"/>
      <c r="CH141" s="38"/>
      <c r="CI141" s="38"/>
      <c r="CJ141" s="38"/>
      <c r="CK141" s="38"/>
      <c r="CL141" s="38"/>
      <c r="CM141" s="38"/>
      <c r="CN141" s="38"/>
      <c r="CO141" s="38"/>
      <c r="CP141" s="39"/>
      <c r="CR141" s="243"/>
    </row>
    <row r="142" spans="1:97" s="16" customFormat="1" ht="30.75" customHeight="1">
      <c r="A142" s="1467" t="s">
        <v>653</v>
      </c>
      <c r="B142" s="1468"/>
      <c r="C142" s="1468"/>
      <c r="D142" s="1468"/>
      <c r="E142" s="1468"/>
      <c r="F142" s="1468"/>
      <c r="G142" s="1468"/>
      <c r="H142" s="1468"/>
      <c r="I142" s="1468"/>
      <c r="J142" s="1468"/>
      <c r="K142" s="1468"/>
      <c r="L142" s="1468"/>
      <c r="M142" s="1468"/>
      <c r="N142" s="1468"/>
      <c r="O142" s="1468"/>
      <c r="P142" s="1468"/>
      <c r="Q142" s="1468"/>
      <c r="R142" s="1468"/>
      <c r="S142" s="1468"/>
      <c r="T142" s="1468"/>
      <c r="U142" s="1468"/>
      <c r="V142" s="1468"/>
      <c r="W142" s="1468"/>
      <c r="X142" s="1468"/>
      <c r="Y142" s="1468"/>
      <c r="Z142" s="1468"/>
      <c r="AA142" s="1468"/>
      <c r="AB142" s="1468"/>
      <c r="AC142" s="1468"/>
      <c r="AD142" s="1468"/>
      <c r="AE142" s="1468"/>
      <c r="AF142" s="1468"/>
      <c r="AG142" s="1468"/>
      <c r="AH142" s="1468"/>
      <c r="AI142" s="1468"/>
      <c r="AJ142" s="1468"/>
      <c r="AK142" s="1468"/>
      <c r="AL142" s="1468"/>
      <c r="AM142" s="1468"/>
      <c r="AN142" s="1468"/>
      <c r="AO142" s="1468"/>
      <c r="AP142" s="1468"/>
      <c r="AQ142" s="1468"/>
      <c r="AR142" s="1468"/>
      <c r="AS142" s="1468"/>
      <c r="AT142" s="1468"/>
      <c r="AU142" s="1468"/>
      <c r="AV142" s="1468"/>
      <c r="AW142" s="1468"/>
      <c r="AX142" s="1468"/>
      <c r="AY142" s="1468"/>
      <c r="AZ142" s="1468"/>
      <c r="BA142" s="1468"/>
      <c r="BB142" s="1468"/>
      <c r="BC142" s="1468"/>
      <c r="BD142" s="1468"/>
      <c r="BE142" s="1468"/>
      <c r="BF142" s="1468"/>
      <c r="BG142" s="1468"/>
      <c r="BH142" s="1468"/>
      <c r="BI142" s="1468"/>
      <c r="BJ142" s="1468"/>
      <c r="BK142" s="1468"/>
      <c r="BL142" s="1468"/>
      <c r="BM142" s="1468"/>
      <c r="BN142" s="1468"/>
      <c r="BO142" s="1468"/>
      <c r="BP142" s="1468"/>
      <c r="BQ142" s="1468"/>
      <c r="BR142" s="1468"/>
      <c r="BS142" s="1468"/>
      <c r="BT142" s="1468"/>
      <c r="BU142" s="1468"/>
      <c r="BV142" s="1468"/>
      <c r="BW142" s="1468"/>
      <c r="BX142" s="1468"/>
      <c r="BY142" s="1468"/>
      <c r="BZ142" s="1468"/>
      <c r="CA142" s="1468"/>
      <c r="CB142" s="1468"/>
      <c r="CC142" s="1468"/>
      <c r="CD142" s="1468"/>
      <c r="CE142" s="1468"/>
      <c r="CF142" s="1468"/>
      <c r="CG142" s="1468"/>
      <c r="CH142" s="1468"/>
      <c r="CI142" s="1468"/>
      <c r="CJ142" s="1468"/>
      <c r="CK142" s="1468"/>
      <c r="CL142" s="1468"/>
      <c r="CM142" s="1468"/>
      <c r="CN142" s="1468"/>
      <c r="CO142" s="1468"/>
      <c r="CP142" s="1469"/>
      <c r="CR142" s="243"/>
    </row>
    <row r="143" spans="1:97" s="16" customFormat="1" ht="18" customHeight="1">
      <c r="A143" s="40"/>
      <c r="B143" s="41"/>
      <c r="C143" s="41"/>
      <c r="D143" s="42" t="s">
        <v>299</v>
      </c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57" t="s">
        <v>567</v>
      </c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  <c r="AA143" s="41"/>
      <c r="AB143" s="41"/>
      <c r="AC143" s="41"/>
      <c r="AD143" s="41"/>
      <c r="AE143" s="41"/>
      <c r="AF143" s="41"/>
      <c r="AG143" s="41"/>
      <c r="AH143" s="41"/>
      <c r="AI143" s="41"/>
      <c r="AJ143" s="41"/>
      <c r="AK143" s="41"/>
      <c r="AL143" s="41"/>
      <c r="AM143" s="41"/>
      <c r="AN143" s="41"/>
      <c r="AO143" s="41"/>
      <c r="AP143" s="41"/>
      <c r="AQ143" s="41"/>
      <c r="AR143" s="41"/>
      <c r="AS143" s="41"/>
      <c r="AT143" s="41"/>
      <c r="AU143" s="41"/>
      <c r="AV143" s="41"/>
      <c r="AW143" s="41"/>
      <c r="AX143" s="41"/>
      <c r="AY143" s="41"/>
      <c r="AZ143" s="41"/>
      <c r="BA143" s="41"/>
      <c r="BB143" s="41"/>
      <c r="BC143" s="41"/>
      <c r="BD143" s="41"/>
      <c r="BE143" s="41"/>
      <c r="BF143" s="41"/>
      <c r="BG143" s="41"/>
      <c r="BH143" s="41"/>
      <c r="BI143" s="41"/>
      <c r="BJ143" s="41"/>
      <c r="BK143" s="41" t="s">
        <v>301</v>
      </c>
      <c r="BL143" s="41"/>
      <c r="BM143" s="41"/>
      <c r="BN143" s="41"/>
      <c r="BO143" s="41"/>
      <c r="BP143" s="41"/>
      <c r="BQ143" s="41"/>
      <c r="BR143" s="41"/>
      <c r="BS143" s="41"/>
      <c r="BT143" s="41"/>
      <c r="BU143" s="41"/>
      <c r="BV143" s="41"/>
      <c r="BW143" s="1470">
        <v>88637</v>
      </c>
      <c r="BX143" s="1470"/>
      <c r="BY143" s="1470"/>
      <c r="BZ143" s="1470"/>
      <c r="CA143" s="1470"/>
      <c r="CB143" s="1470"/>
      <c r="CC143" s="1470"/>
      <c r="CD143" s="1470"/>
      <c r="CE143" s="1470"/>
      <c r="CF143" s="1470"/>
      <c r="CG143" s="58" t="s">
        <v>107</v>
      </c>
      <c r="CH143" s="41"/>
      <c r="CI143" s="41"/>
      <c r="CJ143" s="41"/>
      <c r="CK143" s="41"/>
      <c r="CL143" s="41"/>
      <c r="CM143" s="41"/>
      <c r="CN143" s="41"/>
      <c r="CO143" s="41"/>
      <c r="CP143" s="43"/>
      <c r="CR143" s="247"/>
    </row>
    <row r="144" spans="1:97" s="16" customFormat="1" ht="18" customHeight="1">
      <c r="A144" s="17"/>
      <c r="D144" s="1461" t="s">
        <v>635</v>
      </c>
      <c r="E144" s="1462"/>
      <c r="F144" s="1462"/>
      <c r="G144" s="1462"/>
      <c r="H144" s="1462"/>
      <c r="I144" s="1462"/>
      <c r="J144" s="1462"/>
      <c r="K144" s="1462"/>
      <c r="L144" s="1462"/>
      <c r="M144" s="1462"/>
      <c r="N144" s="1462"/>
      <c r="O144" s="1462"/>
      <c r="P144" s="1462"/>
      <c r="Q144" s="1462"/>
      <c r="R144" s="1462"/>
      <c r="S144" s="1462"/>
      <c r="T144" s="1462"/>
      <c r="U144" s="1462"/>
      <c r="V144" s="1462"/>
      <c r="W144" s="1462"/>
      <c r="X144" s="1462"/>
      <c r="Y144" s="1462"/>
      <c r="Z144" s="1462"/>
      <c r="AA144" s="1462"/>
      <c r="AB144" s="1462"/>
      <c r="AC144" s="1462"/>
      <c r="AD144" s="1462"/>
      <c r="AE144" s="1462"/>
      <c r="AF144" s="1462"/>
      <c r="AG144" s="1462"/>
      <c r="AH144" s="1462"/>
      <c r="AI144" s="1462"/>
      <c r="AJ144" s="1462"/>
      <c r="AK144" s="1462"/>
      <c r="AL144" s="1462"/>
      <c r="AM144" s="1462"/>
      <c r="AN144" s="1462"/>
      <c r="AO144" s="1462"/>
      <c r="AP144" s="1462"/>
      <c r="AQ144" s="1462"/>
      <c r="AR144" s="1462"/>
      <c r="AS144" s="1462"/>
      <c r="AT144" s="1462"/>
      <c r="AU144" s="1462"/>
      <c r="AV144" s="1462"/>
      <c r="AW144" s="1462"/>
      <c r="AX144" s="1462"/>
      <c r="AY144" s="1462"/>
      <c r="AZ144" s="1462"/>
      <c r="BA144" s="1462"/>
      <c r="BB144" s="1462"/>
      <c r="BC144" s="1462"/>
      <c r="BD144" s="1462"/>
      <c r="BE144" s="1462"/>
      <c r="BF144" s="1462"/>
      <c r="BG144" s="1462"/>
      <c r="BH144" s="1462"/>
      <c r="BI144" s="1462"/>
      <c r="BJ144" s="1462"/>
      <c r="BK144" s="1462"/>
      <c r="BL144" s="1462"/>
      <c r="BM144" s="1462"/>
      <c r="BN144" s="1462"/>
      <c r="BO144" s="1462"/>
      <c r="BP144" s="1462"/>
      <c r="BQ144" s="1462"/>
      <c r="BR144" s="1462"/>
      <c r="BS144" s="1462"/>
      <c r="BT144" s="1462"/>
      <c r="BU144" s="1462"/>
      <c r="BV144" s="1462"/>
      <c r="BW144" s="1462"/>
      <c r="BX144" s="1462"/>
      <c r="BY144" s="1462"/>
      <c r="BZ144" s="1462"/>
      <c r="CA144" s="1462"/>
      <c r="CB144" s="1462"/>
      <c r="CC144" s="1462"/>
      <c r="CD144" s="1462"/>
      <c r="CE144" s="1462"/>
      <c r="CF144" s="1462"/>
      <c r="CG144" s="1462"/>
      <c r="CH144" s="1462"/>
      <c r="CI144" s="1462"/>
      <c r="CJ144" s="1462"/>
      <c r="CK144" s="1462"/>
      <c r="CL144" s="1462"/>
      <c r="CM144" s="1462"/>
      <c r="CN144" s="1462"/>
      <c r="CO144" s="1462"/>
      <c r="CP144" s="18"/>
      <c r="CR144" s="662"/>
      <c r="CS144" s="663" t="s">
        <v>545</v>
      </c>
    </row>
    <row r="145" spans="1:97" s="16" customFormat="1" ht="18" customHeight="1" thickBot="1">
      <c r="A145" s="17"/>
      <c r="E145" s="49" t="s">
        <v>532</v>
      </c>
      <c r="U145" s="1466">
        <v>1</v>
      </c>
      <c r="V145" s="1474"/>
      <c r="W145" s="1474"/>
      <c r="X145" s="1474"/>
      <c r="Y145" s="1474"/>
      <c r="Z145" s="29" t="s">
        <v>303</v>
      </c>
      <c r="AA145" s="29"/>
      <c r="AB145" s="29"/>
      <c r="AC145" s="29"/>
      <c r="AD145" s="29"/>
      <c r="AE145" s="1476">
        <f>CR150</f>
        <v>240042</v>
      </c>
      <c r="AF145" s="1477"/>
      <c r="AG145" s="1477"/>
      <c r="AH145" s="1477"/>
      <c r="AI145" s="1477"/>
      <c r="AJ145" s="1477"/>
      <c r="AK145" s="1477"/>
      <c r="AL145" s="1477"/>
      <c r="AM145" s="16" t="s">
        <v>304</v>
      </c>
      <c r="AU145" s="1466">
        <v>8</v>
      </c>
      <c r="AV145" s="1466"/>
      <c r="AW145" s="1466"/>
      <c r="AX145" s="29" t="s">
        <v>294</v>
      </c>
      <c r="AY145" s="29"/>
      <c r="AZ145" s="1466">
        <v>25</v>
      </c>
      <c r="BA145" s="1466"/>
      <c r="BB145" s="1466"/>
      <c r="BC145" s="29" t="s">
        <v>293</v>
      </c>
      <c r="BD145" s="29"/>
      <c r="BE145" s="1466">
        <v>20</v>
      </c>
      <c r="BF145" s="1466"/>
      <c r="BG145" s="1466"/>
      <c r="BH145" s="29" t="s">
        <v>294</v>
      </c>
      <c r="BI145" s="29"/>
      <c r="BJ145" s="1466">
        <v>16</v>
      </c>
      <c r="BK145" s="1466"/>
      <c r="BL145" s="1466"/>
      <c r="BM145" s="29" t="s">
        <v>293</v>
      </c>
      <c r="BN145" s="29"/>
      <c r="BO145" s="1466">
        <v>12</v>
      </c>
      <c r="BP145" s="1474"/>
      <c r="BQ145" s="1474"/>
      <c r="BR145" s="1474"/>
      <c r="BS145" s="31" t="s">
        <v>298</v>
      </c>
      <c r="BT145" s="29"/>
      <c r="BU145" s="1458">
        <f>INT(U145*AE145*(1/AU145*(AZ145/BE145)*(BJ145/BO145)))</f>
        <v>50008</v>
      </c>
      <c r="BV145" s="1474"/>
      <c r="BW145" s="1474"/>
      <c r="BX145" s="1474"/>
      <c r="BY145" s="1474"/>
      <c r="BZ145" s="1474"/>
      <c r="CA145" s="1474"/>
      <c r="CB145" s="1474"/>
      <c r="CC145" s="16" t="s">
        <v>287</v>
      </c>
      <c r="CP145" s="18"/>
      <c r="CQ145" s="49"/>
      <c r="CR145" s="662"/>
      <c r="CS145" s="664"/>
    </row>
    <row r="146" spans="1:97" s="16" customFormat="1" ht="18" customHeight="1" thickTop="1">
      <c r="A146" s="17"/>
      <c r="D146" s="33"/>
      <c r="E146" s="34" t="s">
        <v>44</v>
      </c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3"/>
      <c r="BA146" s="33"/>
      <c r="BB146" s="33"/>
      <c r="BC146" s="33"/>
      <c r="BD146" s="33"/>
      <c r="BE146" s="33"/>
      <c r="BF146" s="33"/>
      <c r="BG146" s="33"/>
      <c r="BH146" s="33"/>
      <c r="BI146" s="33"/>
      <c r="BJ146" s="33"/>
      <c r="BK146" s="33"/>
      <c r="BL146" s="33"/>
      <c r="BM146" s="33"/>
      <c r="BN146" s="33"/>
      <c r="BO146" s="33"/>
      <c r="BP146" s="33"/>
      <c r="BQ146" s="33"/>
      <c r="BR146" s="33"/>
      <c r="BS146" s="33"/>
      <c r="BT146" s="33"/>
      <c r="BU146" s="1459">
        <f>INT(SUM(BU145:BU145))</f>
        <v>50008</v>
      </c>
      <c r="BV146" s="1472"/>
      <c r="BW146" s="1472"/>
      <c r="BX146" s="1472"/>
      <c r="BY146" s="1472"/>
      <c r="BZ146" s="1472"/>
      <c r="CA146" s="1472"/>
      <c r="CB146" s="1472"/>
      <c r="CC146" s="33" t="s">
        <v>287</v>
      </c>
      <c r="CD146" s="33"/>
      <c r="CE146" s="33"/>
      <c r="CF146" s="33"/>
      <c r="CG146" s="33"/>
      <c r="CH146" s="33"/>
      <c r="CI146" s="33"/>
      <c r="CP146" s="18"/>
      <c r="CQ146" s="16" t="s">
        <v>97</v>
      </c>
      <c r="CR146" s="244">
        <f>VLOOKUP(CQ146,인건비!A:B,2,FALSE)</f>
        <v>283323</v>
      </c>
    </row>
    <row r="147" spans="1:97" s="16" customFormat="1" ht="18" customHeight="1">
      <c r="A147" s="17"/>
      <c r="BV147" s="32"/>
      <c r="BW147" s="29"/>
      <c r="BX147" s="29"/>
      <c r="BY147" s="29"/>
      <c r="BZ147" s="29"/>
      <c r="CA147" s="29"/>
      <c r="CB147" s="29"/>
      <c r="CC147" s="29"/>
      <c r="CD147" s="29"/>
      <c r="CP147" s="18"/>
      <c r="CR147" s="244"/>
    </row>
    <row r="148" spans="1:97" s="16" customFormat="1" ht="18" customHeight="1">
      <c r="A148" s="17"/>
      <c r="D148" s="1461" t="s">
        <v>650</v>
      </c>
      <c r="E148" s="1462"/>
      <c r="F148" s="1462"/>
      <c r="G148" s="1462"/>
      <c r="H148" s="1462"/>
      <c r="I148" s="1462"/>
      <c r="J148" s="1462"/>
      <c r="K148" s="1462"/>
      <c r="L148" s="1462"/>
      <c r="M148" s="1462"/>
      <c r="N148" s="1462"/>
      <c r="O148" s="1462"/>
      <c r="P148" s="1462"/>
      <c r="Q148" s="1462"/>
      <c r="R148" s="1462"/>
      <c r="S148" s="1462"/>
      <c r="T148" s="1462"/>
      <c r="U148" s="1462"/>
      <c r="V148" s="1462"/>
      <c r="W148" s="1462"/>
      <c r="X148" s="1462"/>
      <c r="Y148" s="1462"/>
      <c r="Z148" s="1462"/>
      <c r="AA148" s="1462"/>
      <c r="AB148" s="1462"/>
      <c r="AC148" s="1462"/>
      <c r="AD148" s="1462"/>
      <c r="AE148" s="1462"/>
      <c r="AF148" s="1462"/>
      <c r="AG148" s="1462"/>
      <c r="AH148" s="1462"/>
      <c r="AI148" s="1462"/>
      <c r="AJ148" s="1462"/>
      <c r="AK148" s="1462"/>
      <c r="AL148" s="1462"/>
      <c r="AM148" s="1462"/>
      <c r="AN148" s="1462"/>
      <c r="AO148" s="1462"/>
      <c r="AP148" s="1462"/>
      <c r="AQ148" s="1462"/>
      <c r="AR148" s="1462"/>
      <c r="AS148" s="1462"/>
      <c r="AT148" s="1462"/>
      <c r="AU148" s="1462"/>
      <c r="AV148" s="1462"/>
      <c r="AW148" s="1462"/>
      <c r="AX148" s="1462"/>
      <c r="AY148" s="1462"/>
      <c r="AZ148" s="1462"/>
      <c r="BA148" s="1462"/>
      <c r="BB148" s="1462"/>
      <c r="BC148" s="1462"/>
      <c r="BD148" s="1462"/>
      <c r="BE148" s="1462"/>
      <c r="BF148" s="1462"/>
      <c r="BG148" s="1462"/>
      <c r="BH148" s="1462"/>
      <c r="BI148" s="1462"/>
      <c r="BJ148" s="1462"/>
      <c r="BK148" s="1462"/>
      <c r="BL148" s="1462"/>
      <c r="BM148" s="1462"/>
      <c r="BN148" s="1462"/>
      <c r="BO148" s="1462"/>
      <c r="BP148" s="1462"/>
      <c r="BQ148" s="1462"/>
      <c r="BR148" s="1462"/>
      <c r="BS148" s="1462"/>
      <c r="BT148" s="1462"/>
      <c r="BU148" s="1462"/>
      <c r="BV148" s="1462"/>
      <c r="BW148" s="1462"/>
      <c r="BX148" s="1462"/>
      <c r="BY148" s="1462"/>
      <c r="BZ148" s="1462"/>
      <c r="CA148" s="1462"/>
      <c r="CB148" s="1462"/>
      <c r="CC148" s="1462"/>
      <c r="CD148" s="1462"/>
      <c r="CE148" s="1462"/>
      <c r="CF148" s="1462"/>
      <c r="CG148" s="1462"/>
      <c r="CH148" s="1462"/>
      <c r="CI148" s="1462"/>
      <c r="CJ148" s="1462"/>
      <c r="CK148" s="1462"/>
      <c r="CL148" s="1462"/>
      <c r="CM148" s="1462"/>
      <c r="CN148" s="1462"/>
      <c r="CO148" s="1462"/>
      <c r="CP148" s="18"/>
      <c r="CQ148" s="16" t="s">
        <v>176</v>
      </c>
      <c r="CR148" s="244">
        <f>VLOOKUP(CQ148,인건비!A:B,2,FALSE)</f>
        <v>210909</v>
      </c>
    </row>
    <row r="149" spans="1:97" s="16" customFormat="1" ht="18" customHeight="1">
      <c r="A149" s="17"/>
      <c r="E149" s="16" t="s">
        <v>108</v>
      </c>
      <c r="U149" s="1463">
        <v>12.9</v>
      </c>
      <c r="V149" s="1473"/>
      <c r="W149" s="1473"/>
      <c r="X149" s="1473"/>
      <c r="Y149" s="1473"/>
      <c r="Z149" s="16" t="s">
        <v>266</v>
      </c>
      <c r="AE149" s="1464" t="e">
        <f>CR152</f>
        <v>#REF!</v>
      </c>
      <c r="AF149" s="1473"/>
      <c r="AG149" s="1473"/>
      <c r="AH149" s="1473"/>
      <c r="AI149" s="1473"/>
      <c r="AJ149" s="1473"/>
      <c r="AK149" s="1473"/>
      <c r="AL149" s="1473"/>
      <c r="AM149" s="16" t="s">
        <v>286</v>
      </c>
      <c r="AT149" s="1465" t="e">
        <f>INT(U149*AE149)</f>
        <v>#REF!</v>
      </c>
      <c r="AU149" s="1473"/>
      <c r="AV149" s="1473"/>
      <c r="AW149" s="1473"/>
      <c r="AX149" s="1473"/>
      <c r="AY149" s="1473"/>
      <c r="AZ149" s="1473"/>
      <c r="BA149" s="1473"/>
      <c r="BB149" s="16" t="s">
        <v>287</v>
      </c>
      <c r="CP149" s="18"/>
      <c r="CQ149" s="16" t="s">
        <v>96</v>
      </c>
      <c r="CR149" s="244">
        <f>VLOOKUP(CQ149,인건비!A:B,2,FALSE)</f>
        <v>173995</v>
      </c>
    </row>
    <row r="150" spans="1:97" s="16" customFormat="1" ht="18" customHeight="1" thickBot="1">
      <c r="A150" s="17"/>
      <c r="E150" s="16" t="s">
        <v>288</v>
      </c>
      <c r="U150" s="16" t="s">
        <v>289</v>
      </c>
      <c r="AE150" s="1466">
        <v>30</v>
      </c>
      <c r="AF150" s="1474"/>
      <c r="AG150" s="1474"/>
      <c r="AH150" s="1474"/>
      <c r="AI150" s="1474"/>
      <c r="AJ150" s="1474"/>
      <c r="AK150" s="1474"/>
      <c r="AL150" s="1474"/>
      <c r="AM150" s="16" t="s">
        <v>290</v>
      </c>
      <c r="AT150" s="1458" t="e">
        <f>INT(AT149*AE150/100)</f>
        <v>#REF!</v>
      </c>
      <c r="AU150" s="1458"/>
      <c r="AV150" s="1458"/>
      <c r="AW150" s="1458"/>
      <c r="AX150" s="1458"/>
      <c r="AY150" s="1458"/>
      <c r="AZ150" s="1458"/>
      <c r="BA150" s="1458"/>
      <c r="BB150" s="16" t="s">
        <v>287</v>
      </c>
      <c r="CP150" s="18"/>
      <c r="CQ150" s="16" t="s">
        <v>95</v>
      </c>
      <c r="CR150" s="244">
        <f>VLOOKUP(CQ150,인건비!A:B,2,FALSE)</f>
        <v>240042</v>
      </c>
    </row>
    <row r="151" spans="1:97" s="16" customFormat="1" ht="18" customHeight="1" thickTop="1">
      <c r="A151" s="17"/>
      <c r="D151" s="33"/>
      <c r="E151" s="34" t="s">
        <v>44</v>
      </c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1459" t="e">
        <f>INT(SUM(AT149+AT150))</f>
        <v>#REF!</v>
      </c>
      <c r="AU151" s="1472"/>
      <c r="AV151" s="1472"/>
      <c r="AW151" s="1472"/>
      <c r="AX151" s="1472"/>
      <c r="AY151" s="1472"/>
      <c r="AZ151" s="1472"/>
      <c r="BA151" s="1472"/>
      <c r="BB151" s="33" t="s">
        <v>287</v>
      </c>
      <c r="BC151" s="33"/>
      <c r="BD151" s="33"/>
      <c r="BE151" s="33"/>
      <c r="BF151" s="33"/>
      <c r="BG151" s="33"/>
      <c r="BH151" s="33"/>
      <c r="BI151" s="33"/>
      <c r="BJ151" s="33"/>
      <c r="BK151" s="33"/>
      <c r="BL151" s="33"/>
      <c r="BM151" s="33"/>
      <c r="BN151" s="33"/>
      <c r="BO151" s="33"/>
      <c r="BP151" s="33"/>
      <c r="BQ151" s="33"/>
      <c r="BR151" s="33"/>
      <c r="BS151" s="33"/>
      <c r="BT151" s="33"/>
      <c r="BU151" s="33"/>
      <c r="BV151" s="33"/>
      <c r="BW151" s="33"/>
      <c r="BX151" s="33"/>
      <c r="BY151" s="33"/>
      <c r="BZ151" s="33"/>
      <c r="CA151" s="33"/>
      <c r="CB151" s="33"/>
      <c r="CC151" s="33"/>
      <c r="CD151" s="33"/>
      <c r="CE151" s="33"/>
      <c r="CF151" s="33"/>
      <c r="CG151" s="33"/>
      <c r="CH151" s="33"/>
      <c r="CI151" s="33"/>
      <c r="CP151" s="18"/>
      <c r="CQ151" s="16" t="s">
        <v>267</v>
      </c>
      <c r="CR151" s="245" t="e">
        <f>#REF!</f>
        <v>#REF!</v>
      </c>
    </row>
    <row r="152" spans="1:97" s="16" customFormat="1" ht="18" customHeight="1">
      <c r="A152" s="17"/>
      <c r="CP152" s="18"/>
      <c r="CQ152" s="16" t="s">
        <v>268</v>
      </c>
      <c r="CR152" s="245" t="e">
        <f>#REF!</f>
        <v>#REF!</v>
      </c>
    </row>
    <row r="153" spans="1:97" s="16" customFormat="1" ht="18" customHeight="1">
      <c r="A153" s="17"/>
      <c r="D153" s="1461" t="s">
        <v>651</v>
      </c>
      <c r="E153" s="1462"/>
      <c r="F153" s="1462"/>
      <c r="G153" s="1462"/>
      <c r="H153" s="1462"/>
      <c r="I153" s="1462"/>
      <c r="J153" s="1462"/>
      <c r="K153" s="1462"/>
      <c r="L153" s="1462"/>
      <c r="M153" s="1462"/>
      <c r="N153" s="1462"/>
      <c r="O153" s="1462"/>
      <c r="P153" s="1462"/>
      <c r="Q153" s="1462"/>
      <c r="R153" s="1462"/>
      <c r="S153" s="1462"/>
      <c r="T153" s="1462"/>
      <c r="U153" s="1462"/>
      <c r="V153" s="1462"/>
      <c r="W153" s="1462"/>
      <c r="X153" s="1462"/>
      <c r="Y153" s="1462"/>
      <c r="Z153" s="1462"/>
      <c r="AA153" s="1462"/>
      <c r="AB153" s="1462"/>
      <c r="AC153" s="1462"/>
      <c r="AD153" s="1462"/>
      <c r="AE153" s="1462"/>
      <c r="AF153" s="1462"/>
      <c r="AG153" s="1462"/>
      <c r="AH153" s="1462"/>
      <c r="AI153" s="1462"/>
      <c r="AJ153" s="1462"/>
      <c r="AK153" s="1462"/>
      <c r="AL153" s="1462"/>
      <c r="AM153" s="1462"/>
      <c r="AN153" s="1462"/>
      <c r="AO153" s="1462"/>
      <c r="AP153" s="1462"/>
      <c r="AQ153" s="1462"/>
      <c r="AR153" s="1462"/>
      <c r="AS153" s="1462"/>
      <c r="AT153" s="1462"/>
      <c r="AU153" s="1462"/>
      <c r="AV153" s="1462"/>
      <c r="AW153" s="1462"/>
      <c r="AX153" s="1462"/>
      <c r="AY153" s="1462"/>
      <c r="AZ153" s="1462"/>
      <c r="BA153" s="1462"/>
      <c r="BB153" s="1462"/>
      <c r="BC153" s="1462"/>
      <c r="BD153" s="1462"/>
      <c r="BE153" s="1462"/>
      <c r="BF153" s="1462"/>
      <c r="BG153" s="1462"/>
      <c r="BH153" s="1462"/>
      <c r="BI153" s="1462"/>
      <c r="BJ153" s="1462"/>
      <c r="BK153" s="1462"/>
      <c r="BL153" s="1462"/>
      <c r="BM153" s="1462"/>
      <c r="BN153" s="1462"/>
      <c r="BO153" s="1462"/>
      <c r="BP153" s="1462"/>
      <c r="BQ153" s="1462"/>
      <c r="BR153" s="1462"/>
      <c r="BS153" s="1462"/>
      <c r="BT153" s="1462"/>
      <c r="BU153" s="1462"/>
      <c r="BV153" s="1462"/>
      <c r="BW153" s="1462"/>
      <c r="BX153" s="1462"/>
      <c r="BY153" s="1462"/>
      <c r="BZ153" s="1462"/>
      <c r="CA153" s="1462"/>
      <c r="CB153" s="1462"/>
      <c r="CC153" s="1462"/>
      <c r="CD153" s="1462"/>
      <c r="CE153" s="1462"/>
      <c r="CF153" s="1462"/>
      <c r="CG153" s="1462"/>
      <c r="CH153" s="1462"/>
      <c r="CI153" s="1462"/>
      <c r="CJ153" s="1462"/>
      <c r="CK153" s="1462"/>
      <c r="CL153" s="1462"/>
      <c r="CM153" s="1462"/>
      <c r="CN153" s="1462"/>
      <c r="CO153" s="1462"/>
      <c r="CP153" s="18"/>
      <c r="CQ153" s="665" t="s">
        <v>766</v>
      </c>
      <c r="CR153" s="666" t="s">
        <v>649</v>
      </c>
    </row>
    <row r="154" spans="1:97" s="16" customFormat="1" ht="18" customHeight="1" thickBot="1">
      <c r="A154" s="17"/>
      <c r="E154" s="49" t="s">
        <v>652</v>
      </c>
      <c r="AA154" s="1456">
        <v>2113</v>
      </c>
      <c r="AB154" s="1456"/>
      <c r="AC154" s="1456"/>
      <c r="AD154" s="1456"/>
      <c r="AE154" s="1456"/>
      <c r="AF154" s="1456"/>
      <c r="AG154" s="1456"/>
      <c r="AH154" s="1456"/>
      <c r="AI154" s="29" t="s">
        <v>293</v>
      </c>
      <c r="AJ154" s="29"/>
      <c r="AK154" s="1457">
        <v>10000000</v>
      </c>
      <c r="AL154" s="1475"/>
      <c r="AM154" s="1475"/>
      <c r="AN154" s="1475"/>
      <c r="AO154" s="1475"/>
      <c r="AP154" s="1475"/>
      <c r="AQ154" s="1475"/>
      <c r="AR154" s="1475"/>
      <c r="AS154" s="1475"/>
      <c r="AT154" s="1475"/>
      <c r="AU154" s="1475"/>
      <c r="AV154" s="29" t="s">
        <v>294</v>
      </c>
      <c r="AW154" s="29"/>
      <c r="AX154" s="1458">
        <f>BW143</f>
        <v>88637</v>
      </c>
      <c r="AY154" s="1474"/>
      <c r="AZ154" s="1474"/>
      <c r="BA154" s="1474"/>
      <c r="BB154" s="1474"/>
      <c r="BC154" s="1474"/>
      <c r="BD154" s="1474"/>
      <c r="BE154" s="1474"/>
      <c r="BF154" s="1474"/>
      <c r="BG154" s="16" t="s">
        <v>295</v>
      </c>
      <c r="BN154" s="1458">
        <f>INT(AA154/AK154*AX154*1000)</f>
        <v>18728</v>
      </c>
      <c r="BO154" s="1458"/>
      <c r="BP154" s="1458"/>
      <c r="BQ154" s="1458"/>
      <c r="BR154" s="1458"/>
      <c r="BS154" s="1458"/>
      <c r="BT154" s="1458"/>
      <c r="BU154" s="1458"/>
      <c r="BV154" s="16" t="s">
        <v>287</v>
      </c>
      <c r="CP154" s="18"/>
      <c r="CQ154" s="665" t="s">
        <v>834</v>
      </c>
      <c r="CR154" s="666" t="s">
        <v>642</v>
      </c>
    </row>
    <row r="155" spans="1:97" s="16" customFormat="1" ht="18" customHeight="1" thickTop="1">
      <c r="A155" s="17"/>
      <c r="D155" s="33"/>
      <c r="E155" s="34" t="s">
        <v>44</v>
      </c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1459">
        <f>SUM(BN154)</f>
        <v>18728</v>
      </c>
      <c r="BO155" s="1472"/>
      <c r="BP155" s="1472"/>
      <c r="BQ155" s="1472"/>
      <c r="BR155" s="1472"/>
      <c r="BS155" s="1472"/>
      <c r="BT155" s="1472"/>
      <c r="BU155" s="1472"/>
      <c r="BV155" s="33" t="s">
        <v>287</v>
      </c>
      <c r="BW155" s="33"/>
      <c r="BX155" s="33"/>
      <c r="BY155" s="33"/>
      <c r="BZ155" s="33"/>
      <c r="CA155" s="33"/>
      <c r="CB155" s="33"/>
      <c r="CC155" s="33"/>
      <c r="CD155" s="33"/>
      <c r="CE155" s="33"/>
      <c r="CF155" s="33"/>
      <c r="CG155" s="33"/>
      <c r="CH155" s="33"/>
      <c r="CI155" s="33"/>
      <c r="CP155" s="18"/>
      <c r="CQ155" s="664"/>
      <c r="CR155" s="667"/>
    </row>
    <row r="156" spans="1:97" s="16" customFormat="1" ht="18" customHeight="1">
      <c r="A156" s="17"/>
      <c r="CP156" s="18"/>
      <c r="CR156" s="243"/>
    </row>
    <row r="157" spans="1:97" s="16" customFormat="1" ht="18" customHeight="1">
      <c r="A157" s="17"/>
      <c r="E157" s="16" t="s">
        <v>102</v>
      </c>
      <c r="O157" s="1460">
        <f>BU146</f>
        <v>50008</v>
      </c>
      <c r="P157" s="1473"/>
      <c r="Q157" s="1473"/>
      <c r="R157" s="1473"/>
      <c r="S157" s="1473"/>
      <c r="T157" s="1473"/>
      <c r="U157" s="1473"/>
      <c r="V157" s="1473"/>
      <c r="W157" s="1473"/>
      <c r="X157" s="1473"/>
      <c r="Y157" s="29" t="s">
        <v>297</v>
      </c>
      <c r="Z157" s="29"/>
      <c r="AA157" s="1460" t="e">
        <f>AT151</f>
        <v>#REF!</v>
      </c>
      <c r="AB157" s="1473"/>
      <c r="AC157" s="1473"/>
      <c r="AD157" s="1473"/>
      <c r="AE157" s="1473"/>
      <c r="AF157" s="1473"/>
      <c r="AG157" s="1473"/>
      <c r="AH157" s="1473"/>
      <c r="AI157" s="1473"/>
      <c r="AJ157" s="1473"/>
      <c r="AK157" s="29" t="s">
        <v>297</v>
      </c>
      <c r="AL157" s="29"/>
      <c r="AM157" s="1460">
        <f>BN155</f>
        <v>18728</v>
      </c>
      <c r="AN157" s="1473"/>
      <c r="AO157" s="1473"/>
      <c r="AP157" s="1473"/>
      <c r="AQ157" s="1473"/>
      <c r="AR157" s="1473"/>
      <c r="AS157" s="1473"/>
      <c r="AT157" s="1473"/>
      <c r="AU157" s="1473"/>
      <c r="AV157" s="1473"/>
      <c r="AW157" s="31" t="s">
        <v>298</v>
      </c>
      <c r="AX157" s="29"/>
      <c r="AY157" s="1460" t="e">
        <f>O157+AA157+AM157</f>
        <v>#REF!</v>
      </c>
      <c r="AZ157" s="1473"/>
      <c r="BA157" s="1473"/>
      <c r="BB157" s="1473"/>
      <c r="BC157" s="1473"/>
      <c r="BD157" s="1473"/>
      <c r="BE157" s="1473"/>
      <c r="BF157" s="1473"/>
      <c r="BG157" s="1473"/>
      <c r="BH157" s="1473"/>
      <c r="BI157" s="16" t="s">
        <v>287</v>
      </c>
      <c r="CP157" s="18"/>
      <c r="CR157" s="243"/>
    </row>
    <row r="158" spans="1:97" s="16" customFormat="1" ht="18" customHeight="1">
      <c r="A158" s="17"/>
      <c r="O158" s="35"/>
      <c r="P158" s="36"/>
      <c r="Q158" s="36"/>
      <c r="R158" s="36"/>
      <c r="S158" s="36"/>
      <c r="T158" s="36"/>
      <c r="U158" s="36"/>
      <c r="V158" s="36"/>
      <c r="W158" s="36"/>
      <c r="X158" s="36"/>
      <c r="Y158" s="29"/>
      <c r="Z158" s="29"/>
      <c r="AA158" s="35"/>
      <c r="AB158" s="36"/>
      <c r="AC158" s="36"/>
      <c r="AD158" s="36"/>
      <c r="AE158" s="36"/>
      <c r="AF158" s="36"/>
      <c r="AG158" s="36"/>
      <c r="AH158" s="36"/>
      <c r="AI158" s="36"/>
      <c r="AJ158" s="36"/>
      <c r="AK158" s="29"/>
      <c r="AL158" s="29"/>
      <c r="AM158" s="35"/>
      <c r="AN158" s="36"/>
      <c r="AO158" s="36"/>
      <c r="AP158" s="36"/>
      <c r="AQ158" s="36"/>
      <c r="AR158" s="36"/>
      <c r="AS158" s="36"/>
      <c r="AT158" s="36"/>
      <c r="AU158" s="36"/>
      <c r="AV158" s="36"/>
      <c r="AW158" s="31"/>
      <c r="AX158" s="29"/>
      <c r="AY158" s="35"/>
      <c r="AZ158" s="36"/>
      <c r="BA158" s="36"/>
      <c r="BB158" s="36"/>
      <c r="BC158" s="36"/>
      <c r="BD158" s="36"/>
      <c r="BE158" s="36"/>
      <c r="BF158" s="36"/>
      <c r="BG158" s="36"/>
      <c r="BH158" s="36"/>
      <c r="CP158" s="18"/>
      <c r="CR158" s="243"/>
    </row>
    <row r="159" spans="1:97" s="16" customFormat="1" ht="18" customHeight="1">
      <c r="A159" s="17"/>
      <c r="O159" s="35"/>
      <c r="P159" s="36"/>
      <c r="Q159" s="36"/>
      <c r="R159" s="36"/>
      <c r="S159" s="36"/>
      <c r="T159" s="36"/>
      <c r="U159" s="36"/>
      <c r="V159" s="36"/>
      <c r="W159" s="36"/>
      <c r="X159" s="36"/>
      <c r="Y159" s="29"/>
      <c r="Z159" s="29"/>
      <c r="AA159" s="35"/>
      <c r="AB159" s="36"/>
      <c r="AC159" s="36"/>
      <c r="AD159" s="36"/>
      <c r="AE159" s="36"/>
      <c r="AF159" s="36"/>
      <c r="AG159" s="36"/>
      <c r="AH159" s="36"/>
      <c r="AI159" s="36"/>
      <c r="AJ159" s="36"/>
      <c r="AK159" s="29"/>
      <c r="AL159" s="29"/>
      <c r="AM159" s="35"/>
      <c r="AN159" s="36"/>
      <c r="AO159" s="36"/>
      <c r="AP159" s="36"/>
      <c r="AQ159" s="36"/>
      <c r="AR159" s="36"/>
      <c r="AS159" s="36"/>
      <c r="AT159" s="36"/>
      <c r="AU159" s="36"/>
      <c r="AV159" s="36"/>
      <c r="AW159" s="31"/>
      <c r="AX159" s="29"/>
      <c r="AY159" s="35"/>
      <c r="AZ159" s="36"/>
      <c r="BA159" s="36"/>
      <c r="BB159" s="36"/>
      <c r="BC159" s="36"/>
      <c r="BD159" s="36"/>
      <c r="BE159" s="36"/>
      <c r="BF159" s="36"/>
      <c r="BG159" s="36"/>
      <c r="BH159" s="36"/>
      <c r="CP159" s="18"/>
      <c r="CR159" s="243"/>
    </row>
    <row r="160" spans="1:97" s="16" customFormat="1" ht="18" customHeight="1">
      <c r="A160" s="17"/>
      <c r="O160" s="35"/>
      <c r="P160" s="36"/>
      <c r="Q160" s="36"/>
      <c r="R160" s="36"/>
      <c r="S160" s="36"/>
      <c r="T160" s="36"/>
      <c r="U160" s="36"/>
      <c r="V160" s="36"/>
      <c r="W160" s="36"/>
      <c r="X160" s="36"/>
      <c r="Y160" s="29"/>
      <c r="Z160" s="29"/>
      <c r="AA160" s="35"/>
      <c r="AB160" s="36"/>
      <c r="AC160" s="36"/>
      <c r="AD160" s="36"/>
      <c r="AE160" s="36"/>
      <c r="AF160" s="36"/>
      <c r="AG160" s="36"/>
      <c r="AH160" s="36"/>
      <c r="AI160" s="36"/>
      <c r="AJ160" s="36"/>
      <c r="AK160" s="29"/>
      <c r="AL160" s="29"/>
      <c r="AM160" s="35"/>
      <c r="AN160" s="36"/>
      <c r="AO160" s="36"/>
      <c r="AP160" s="36"/>
      <c r="AQ160" s="36"/>
      <c r="AR160" s="36"/>
      <c r="AS160" s="36"/>
      <c r="AT160" s="36"/>
      <c r="AU160" s="36"/>
      <c r="AV160" s="36"/>
      <c r="AW160" s="31"/>
      <c r="AX160" s="29"/>
      <c r="AY160" s="35"/>
      <c r="AZ160" s="36"/>
      <c r="BA160" s="36"/>
      <c r="BB160" s="36"/>
      <c r="BC160" s="36"/>
      <c r="BD160" s="36"/>
      <c r="BE160" s="36"/>
      <c r="BF160" s="36"/>
      <c r="BG160" s="36"/>
      <c r="BH160" s="36"/>
      <c r="CP160" s="18"/>
      <c r="CR160" s="243"/>
    </row>
    <row r="161" spans="1:97" s="16" customFormat="1" ht="18" customHeight="1">
      <c r="A161" s="17"/>
      <c r="O161" s="35"/>
      <c r="P161" s="36"/>
      <c r="Q161" s="36"/>
      <c r="R161" s="36"/>
      <c r="S161" s="36"/>
      <c r="T161" s="36"/>
      <c r="U161" s="36"/>
      <c r="V161" s="36"/>
      <c r="W161" s="36"/>
      <c r="X161" s="36"/>
      <c r="Y161" s="29"/>
      <c r="Z161" s="29"/>
      <c r="AA161" s="35"/>
      <c r="AB161" s="36"/>
      <c r="AC161" s="36"/>
      <c r="AD161" s="36"/>
      <c r="AE161" s="36"/>
      <c r="AF161" s="36"/>
      <c r="AG161" s="36"/>
      <c r="AH161" s="36"/>
      <c r="AI161" s="36"/>
      <c r="AJ161" s="36"/>
      <c r="AK161" s="29"/>
      <c r="AL161" s="29"/>
      <c r="AM161" s="35"/>
      <c r="AN161" s="36"/>
      <c r="AO161" s="36"/>
      <c r="AP161" s="36"/>
      <c r="AQ161" s="36"/>
      <c r="AR161" s="36"/>
      <c r="AS161" s="36"/>
      <c r="AT161" s="36"/>
      <c r="AU161" s="36"/>
      <c r="AV161" s="36"/>
      <c r="AW161" s="31"/>
      <c r="AX161" s="29"/>
      <c r="AY161" s="35"/>
      <c r="AZ161" s="36"/>
      <c r="BA161" s="36"/>
      <c r="BB161" s="36"/>
      <c r="BC161" s="36"/>
      <c r="BD161" s="36"/>
      <c r="BE161" s="36"/>
      <c r="BF161" s="36"/>
      <c r="BG161" s="36"/>
      <c r="BH161" s="36"/>
      <c r="CP161" s="18"/>
      <c r="CR161" s="243"/>
    </row>
    <row r="162" spans="1:97" s="16" customFormat="1" ht="18" customHeight="1">
      <c r="A162" s="17"/>
      <c r="O162" s="35"/>
      <c r="P162" s="36"/>
      <c r="Q162" s="36"/>
      <c r="R162" s="36"/>
      <c r="S162" s="36"/>
      <c r="T162" s="36"/>
      <c r="U162" s="36"/>
      <c r="V162" s="36"/>
      <c r="W162" s="36"/>
      <c r="X162" s="36"/>
      <c r="Y162" s="29"/>
      <c r="Z162" s="29"/>
      <c r="AA162" s="35"/>
      <c r="AB162" s="36"/>
      <c r="AC162" s="36"/>
      <c r="AD162" s="36"/>
      <c r="AE162" s="36"/>
      <c r="AF162" s="36"/>
      <c r="AG162" s="36"/>
      <c r="AH162" s="36"/>
      <c r="AI162" s="36"/>
      <c r="AJ162" s="36"/>
      <c r="AK162" s="29"/>
      <c r="AL162" s="29"/>
      <c r="AM162" s="35"/>
      <c r="AN162" s="36"/>
      <c r="AO162" s="36"/>
      <c r="AP162" s="36"/>
      <c r="AQ162" s="36"/>
      <c r="AR162" s="36"/>
      <c r="AS162" s="36"/>
      <c r="AT162" s="36"/>
      <c r="AU162" s="36"/>
      <c r="AV162" s="36"/>
      <c r="AW162" s="31"/>
      <c r="AX162" s="29"/>
      <c r="AY162" s="35"/>
      <c r="AZ162" s="36"/>
      <c r="BA162" s="36"/>
      <c r="BB162" s="36"/>
      <c r="BC162" s="36"/>
      <c r="BD162" s="36"/>
      <c r="BE162" s="36"/>
      <c r="BF162" s="36"/>
      <c r="BG162" s="36"/>
      <c r="BH162" s="36"/>
      <c r="CP162" s="18"/>
      <c r="CR162" s="243"/>
    </row>
    <row r="163" spans="1:97" s="16" customFormat="1" ht="18" customHeight="1">
      <c r="A163" s="17"/>
      <c r="O163" s="35"/>
      <c r="P163" s="36"/>
      <c r="Q163" s="36"/>
      <c r="R163" s="36"/>
      <c r="S163" s="36"/>
      <c r="T163" s="36"/>
      <c r="U163" s="36"/>
      <c r="V163" s="36"/>
      <c r="W163" s="36"/>
      <c r="X163" s="36"/>
      <c r="Y163" s="29"/>
      <c r="Z163" s="29"/>
      <c r="AA163" s="35"/>
      <c r="AB163" s="36"/>
      <c r="AC163" s="36"/>
      <c r="AD163" s="36"/>
      <c r="AE163" s="36"/>
      <c r="AF163" s="36"/>
      <c r="AG163" s="36"/>
      <c r="AH163" s="36"/>
      <c r="AI163" s="36"/>
      <c r="AJ163" s="36"/>
      <c r="AK163" s="29"/>
      <c r="AL163" s="29"/>
      <c r="AM163" s="35"/>
      <c r="AN163" s="36"/>
      <c r="AO163" s="36"/>
      <c r="AP163" s="36"/>
      <c r="AQ163" s="36"/>
      <c r="AR163" s="36"/>
      <c r="AS163" s="36"/>
      <c r="AT163" s="36"/>
      <c r="AU163" s="36"/>
      <c r="AV163" s="36"/>
      <c r="AW163" s="31"/>
      <c r="AX163" s="29"/>
      <c r="AY163" s="35"/>
      <c r="AZ163" s="36"/>
      <c r="BA163" s="36"/>
      <c r="BB163" s="36"/>
      <c r="BC163" s="36"/>
      <c r="BD163" s="36"/>
      <c r="BE163" s="36"/>
      <c r="BF163" s="36"/>
      <c r="BG163" s="36"/>
      <c r="BH163" s="36"/>
      <c r="CP163" s="18"/>
      <c r="CR163" s="243"/>
    </row>
    <row r="164" spans="1:97" s="16" customFormat="1" ht="18" customHeight="1">
      <c r="A164" s="17"/>
      <c r="O164" s="35"/>
      <c r="P164" s="36"/>
      <c r="Q164" s="36"/>
      <c r="R164" s="36"/>
      <c r="S164" s="36"/>
      <c r="T164" s="36"/>
      <c r="U164" s="36"/>
      <c r="V164" s="36"/>
      <c r="W164" s="36"/>
      <c r="X164" s="36"/>
      <c r="Y164" s="29"/>
      <c r="Z164" s="29"/>
      <c r="AA164" s="35"/>
      <c r="AB164" s="36"/>
      <c r="AC164" s="36"/>
      <c r="AD164" s="36"/>
      <c r="AE164" s="36"/>
      <c r="AF164" s="36"/>
      <c r="AG164" s="36"/>
      <c r="AH164" s="36"/>
      <c r="AI164" s="36"/>
      <c r="AJ164" s="36"/>
      <c r="AK164" s="29"/>
      <c r="AL164" s="29"/>
      <c r="AM164" s="35"/>
      <c r="AN164" s="36"/>
      <c r="AO164" s="36"/>
      <c r="AP164" s="36"/>
      <c r="AQ164" s="36"/>
      <c r="AR164" s="36"/>
      <c r="AS164" s="36"/>
      <c r="AT164" s="36"/>
      <c r="AU164" s="36"/>
      <c r="AV164" s="36"/>
      <c r="AW164" s="31"/>
      <c r="AX164" s="29"/>
      <c r="AY164" s="35"/>
      <c r="AZ164" s="36"/>
      <c r="BA164" s="36"/>
      <c r="BB164" s="36"/>
      <c r="BC164" s="36"/>
      <c r="BD164" s="36"/>
      <c r="BE164" s="36"/>
      <c r="BF164" s="36"/>
      <c r="BG164" s="36"/>
      <c r="BH164" s="36"/>
      <c r="CP164" s="18"/>
      <c r="CR164" s="243"/>
    </row>
    <row r="165" spans="1:97" s="16" customFormat="1" ht="18" customHeight="1">
      <c r="A165" s="17"/>
      <c r="O165" s="35"/>
      <c r="P165" s="36"/>
      <c r="Q165" s="36"/>
      <c r="R165" s="36"/>
      <c r="S165" s="36"/>
      <c r="T165" s="36"/>
      <c r="U165" s="36"/>
      <c r="V165" s="36"/>
      <c r="W165" s="36"/>
      <c r="X165" s="36"/>
      <c r="Y165" s="29"/>
      <c r="Z165" s="29"/>
      <c r="AA165" s="35"/>
      <c r="AB165" s="36"/>
      <c r="AC165" s="36"/>
      <c r="AD165" s="36"/>
      <c r="AE165" s="36"/>
      <c r="AF165" s="36"/>
      <c r="AG165" s="36"/>
      <c r="AH165" s="36"/>
      <c r="AI165" s="36"/>
      <c r="AJ165" s="36"/>
      <c r="AK165" s="29"/>
      <c r="AL165" s="29"/>
      <c r="AM165" s="35"/>
      <c r="AN165" s="36"/>
      <c r="AO165" s="36"/>
      <c r="AP165" s="36"/>
      <c r="AQ165" s="36"/>
      <c r="AR165" s="36"/>
      <c r="AS165" s="36"/>
      <c r="AT165" s="36"/>
      <c r="AU165" s="36"/>
      <c r="AV165" s="36"/>
      <c r="AW165" s="31"/>
      <c r="AX165" s="29"/>
      <c r="AY165" s="35"/>
      <c r="AZ165" s="36"/>
      <c r="BA165" s="36"/>
      <c r="BB165" s="36"/>
      <c r="BC165" s="36"/>
      <c r="BD165" s="36"/>
      <c r="BE165" s="36"/>
      <c r="BF165" s="36"/>
      <c r="BG165" s="36"/>
      <c r="BH165" s="36"/>
      <c r="CP165" s="18"/>
      <c r="CR165" s="243"/>
    </row>
    <row r="166" spans="1:97" s="16" customFormat="1" ht="18" customHeight="1">
      <c r="A166" s="17"/>
      <c r="O166" s="35"/>
      <c r="P166" s="36"/>
      <c r="Q166" s="36"/>
      <c r="R166" s="36"/>
      <c r="S166" s="36"/>
      <c r="T166" s="36"/>
      <c r="U166" s="36"/>
      <c r="V166" s="36"/>
      <c r="W166" s="36"/>
      <c r="X166" s="36"/>
      <c r="Y166" s="29"/>
      <c r="Z166" s="29"/>
      <c r="AA166" s="35"/>
      <c r="AB166" s="36"/>
      <c r="AC166" s="36"/>
      <c r="AD166" s="36"/>
      <c r="AE166" s="36"/>
      <c r="AF166" s="36"/>
      <c r="AG166" s="36"/>
      <c r="AH166" s="36"/>
      <c r="AI166" s="36"/>
      <c r="AJ166" s="36"/>
      <c r="AK166" s="29"/>
      <c r="AL166" s="29"/>
      <c r="AM166" s="35"/>
      <c r="AN166" s="36"/>
      <c r="AO166" s="36"/>
      <c r="AP166" s="36"/>
      <c r="AQ166" s="36"/>
      <c r="AR166" s="36"/>
      <c r="AS166" s="36"/>
      <c r="AT166" s="36"/>
      <c r="AU166" s="36"/>
      <c r="AV166" s="36"/>
      <c r="AW166" s="31"/>
      <c r="AX166" s="29"/>
      <c r="AY166" s="35"/>
      <c r="AZ166" s="36"/>
      <c r="BA166" s="36"/>
      <c r="BB166" s="36"/>
      <c r="BC166" s="36"/>
      <c r="BD166" s="36"/>
      <c r="BE166" s="36"/>
      <c r="BF166" s="36"/>
      <c r="BG166" s="36"/>
      <c r="BH166" s="36"/>
      <c r="CP166" s="18"/>
      <c r="CR166" s="243"/>
    </row>
    <row r="167" spans="1:97" s="16" customFormat="1" ht="18" customHeight="1">
      <c r="A167" s="17"/>
      <c r="CP167" s="18"/>
      <c r="CR167" s="243"/>
    </row>
    <row r="168" spans="1:97" s="16" customFormat="1" ht="18" customHeight="1">
      <c r="A168" s="37"/>
      <c r="B168" s="38"/>
      <c r="C168" s="38"/>
      <c r="D168" s="38"/>
      <c r="E168" s="38"/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  <c r="R168" s="38"/>
      <c r="S168" s="38"/>
      <c r="T168" s="38"/>
      <c r="U168" s="38"/>
      <c r="V168" s="38"/>
      <c r="W168" s="38"/>
      <c r="X168" s="38"/>
      <c r="Y168" s="38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/>
      <c r="AW168" s="38"/>
      <c r="AX168" s="38"/>
      <c r="AY168" s="38"/>
      <c r="AZ168" s="38"/>
      <c r="BA168" s="38"/>
      <c r="BB168" s="38"/>
      <c r="BC168" s="38"/>
      <c r="BD168" s="38"/>
      <c r="BE168" s="38"/>
      <c r="BF168" s="38"/>
      <c r="BG168" s="38"/>
      <c r="BH168" s="38"/>
      <c r="BI168" s="38"/>
      <c r="BJ168" s="38"/>
      <c r="BK168" s="38"/>
      <c r="BL168" s="38"/>
      <c r="BM168" s="38"/>
      <c r="BN168" s="38"/>
      <c r="BO168" s="38"/>
      <c r="BP168" s="38"/>
      <c r="BQ168" s="38"/>
      <c r="BR168" s="38"/>
      <c r="BS168" s="38"/>
      <c r="BT168" s="38"/>
      <c r="BU168" s="38"/>
      <c r="BV168" s="38"/>
      <c r="BW168" s="38"/>
      <c r="BX168" s="38"/>
      <c r="BY168" s="38"/>
      <c r="BZ168" s="38"/>
      <c r="CA168" s="38"/>
      <c r="CB168" s="38"/>
      <c r="CC168" s="38"/>
      <c r="CD168" s="38"/>
      <c r="CE168" s="38"/>
      <c r="CF168" s="38"/>
      <c r="CG168" s="38"/>
      <c r="CH168" s="38"/>
      <c r="CI168" s="38"/>
      <c r="CJ168" s="38"/>
      <c r="CK168" s="38"/>
      <c r="CL168" s="38"/>
      <c r="CM168" s="38"/>
      <c r="CN168" s="38"/>
      <c r="CO168" s="38"/>
      <c r="CP168" s="39"/>
      <c r="CR168" s="243"/>
    </row>
    <row r="169" spans="1:97" s="49" customFormat="1" ht="30.75" customHeight="1">
      <c r="A169" s="1467" t="s">
        <v>654</v>
      </c>
      <c r="B169" s="1483"/>
      <c r="C169" s="1483"/>
      <c r="D169" s="1483"/>
      <c r="E169" s="1483"/>
      <c r="F169" s="1483"/>
      <c r="G169" s="1483"/>
      <c r="H169" s="1483"/>
      <c r="I169" s="1483"/>
      <c r="J169" s="1483"/>
      <c r="K169" s="1483"/>
      <c r="L169" s="1483"/>
      <c r="M169" s="1483"/>
      <c r="N169" s="1483"/>
      <c r="O169" s="1483"/>
      <c r="P169" s="1483"/>
      <c r="Q169" s="1483"/>
      <c r="R169" s="1483"/>
      <c r="S169" s="1483"/>
      <c r="T169" s="1483"/>
      <c r="U169" s="1483"/>
      <c r="V169" s="1483"/>
      <c r="W169" s="1483"/>
      <c r="X169" s="1483"/>
      <c r="Y169" s="1483"/>
      <c r="Z169" s="1483"/>
      <c r="AA169" s="1483"/>
      <c r="AB169" s="1483"/>
      <c r="AC169" s="1483"/>
      <c r="AD169" s="1483"/>
      <c r="AE169" s="1483"/>
      <c r="AF169" s="1483"/>
      <c r="AG169" s="1483"/>
      <c r="AH169" s="1483"/>
      <c r="AI169" s="1483"/>
      <c r="AJ169" s="1483"/>
      <c r="AK169" s="1483"/>
      <c r="AL169" s="1483"/>
      <c r="AM169" s="1483"/>
      <c r="AN169" s="1483"/>
      <c r="AO169" s="1483"/>
      <c r="AP169" s="1483"/>
      <c r="AQ169" s="1483"/>
      <c r="AR169" s="1483"/>
      <c r="AS169" s="1483"/>
      <c r="AT169" s="1483"/>
      <c r="AU169" s="1483"/>
      <c r="AV169" s="1483"/>
      <c r="AW169" s="1483"/>
      <c r="AX169" s="1483"/>
      <c r="AY169" s="1483"/>
      <c r="AZ169" s="1483"/>
      <c r="BA169" s="1483"/>
      <c r="BB169" s="1483"/>
      <c r="BC169" s="1483"/>
      <c r="BD169" s="1483"/>
      <c r="BE169" s="1483"/>
      <c r="BF169" s="1483"/>
      <c r="BG169" s="1483"/>
      <c r="BH169" s="1483"/>
      <c r="BI169" s="1483"/>
      <c r="BJ169" s="1483"/>
      <c r="BK169" s="1483"/>
      <c r="BL169" s="1483"/>
      <c r="BM169" s="1483"/>
      <c r="BN169" s="1483"/>
      <c r="BO169" s="1483"/>
      <c r="BP169" s="1483"/>
      <c r="BQ169" s="1483"/>
      <c r="BR169" s="1483"/>
      <c r="BS169" s="1483"/>
      <c r="BT169" s="1483"/>
      <c r="BU169" s="1483"/>
      <c r="BV169" s="1483"/>
      <c r="BW169" s="1483"/>
      <c r="BX169" s="1483"/>
      <c r="BY169" s="1483"/>
      <c r="BZ169" s="1483"/>
      <c r="CA169" s="1483"/>
      <c r="CB169" s="1483"/>
      <c r="CC169" s="1483"/>
      <c r="CD169" s="1483"/>
      <c r="CE169" s="1483"/>
      <c r="CF169" s="1483"/>
      <c r="CG169" s="1483"/>
      <c r="CH169" s="1483"/>
      <c r="CI169" s="1483"/>
      <c r="CJ169" s="1483"/>
      <c r="CK169" s="1483"/>
      <c r="CL169" s="1483"/>
      <c r="CM169" s="1483"/>
      <c r="CN169" s="1483"/>
      <c r="CO169" s="1483"/>
      <c r="CP169" s="1484"/>
      <c r="CR169" s="439"/>
    </row>
    <row r="170" spans="1:97" s="49" customFormat="1" ht="18" customHeight="1">
      <c r="A170" s="56"/>
      <c r="B170" s="58"/>
      <c r="C170" s="58"/>
      <c r="D170" s="57" t="s">
        <v>299</v>
      </c>
      <c r="E170" s="58"/>
      <c r="F170" s="58"/>
      <c r="G170" s="58"/>
      <c r="H170" s="58"/>
      <c r="I170" s="58"/>
      <c r="J170" s="58"/>
      <c r="K170" s="58"/>
      <c r="L170" s="58"/>
      <c r="M170" s="58"/>
      <c r="N170" s="58"/>
      <c r="O170" s="57" t="s">
        <v>527</v>
      </c>
      <c r="P170" s="58"/>
      <c r="Q170" s="58"/>
      <c r="R170" s="58"/>
      <c r="S170" s="58"/>
      <c r="T170" s="58"/>
      <c r="U170" s="58"/>
      <c r="V170" s="58"/>
      <c r="W170" s="58"/>
      <c r="X170" s="58"/>
      <c r="Y170" s="58"/>
      <c r="Z170" s="58"/>
      <c r="AA170" s="58"/>
      <c r="AB170" s="58"/>
      <c r="AC170" s="58"/>
      <c r="AD170" s="58"/>
      <c r="AE170" s="58"/>
      <c r="AF170" s="58"/>
      <c r="AG170" s="58"/>
      <c r="AH170" s="58"/>
      <c r="AI170" s="58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  <c r="AY170" s="58"/>
      <c r="AZ170" s="58"/>
      <c r="BA170" s="58"/>
      <c r="BB170" s="58"/>
      <c r="BC170" s="58"/>
      <c r="BD170" s="58"/>
      <c r="BE170" s="58"/>
      <c r="BF170" s="58"/>
      <c r="BG170" s="58"/>
      <c r="BH170" s="58"/>
      <c r="BI170" s="58"/>
      <c r="BJ170" s="58"/>
      <c r="BK170" s="58" t="s">
        <v>104</v>
      </c>
      <c r="BL170" s="58"/>
      <c r="BM170" s="58"/>
      <c r="BN170" s="58"/>
      <c r="BO170" s="58"/>
      <c r="BP170" s="58"/>
      <c r="BQ170" s="58"/>
      <c r="BR170" s="58"/>
      <c r="BS170" s="58"/>
      <c r="BT170" s="58"/>
      <c r="BU170" s="58"/>
      <c r="BV170" s="58"/>
      <c r="BW170" s="1470">
        <v>902</v>
      </c>
      <c r="BX170" s="1478"/>
      <c r="BY170" s="1478"/>
      <c r="BZ170" s="1478"/>
      <c r="CA170" s="1478"/>
      <c r="CB170" s="1478"/>
      <c r="CC170" s="1478"/>
      <c r="CD170" s="1478"/>
      <c r="CE170" s="1478"/>
      <c r="CF170" s="1478"/>
      <c r="CG170" s="58" t="s">
        <v>107</v>
      </c>
      <c r="CH170" s="58"/>
      <c r="CI170" s="58"/>
      <c r="CJ170" s="58"/>
      <c r="CK170" s="58"/>
      <c r="CL170" s="58"/>
      <c r="CM170" s="58"/>
      <c r="CN170" s="58"/>
      <c r="CO170" s="58"/>
      <c r="CP170" s="68"/>
      <c r="CR170" s="247"/>
    </row>
    <row r="171" spans="1:97" s="49" customFormat="1" ht="18" customHeight="1">
      <c r="A171" s="50"/>
      <c r="D171" s="1461" t="s">
        <v>635</v>
      </c>
      <c r="E171" s="1462"/>
      <c r="F171" s="1462"/>
      <c r="G171" s="1462"/>
      <c r="H171" s="1462"/>
      <c r="I171" s="1462"/>
      <c r="J171" s="1462"/>
      <c r="K171" s="1462"/>
      <c r="L171" s="1462"/>
      <c r="M171" s="1462"/>
      <c r="N171" s="1462"/>
      <c r="O171" s="1462"/>
      <c r="P171" s="1462"/>
      <c r="Q171" s="1462"/>
      <c r="R171" s="1462"/>
      <c r="S171" s="1462"/>
      <c r="T171" s="1462"/>
      <c r="U171" s="1462"/>
      <c r="V171" s="1462"/>
      <c r="W171" s="1462"/>
      <c r="X171" s="1462"/>
      <c r="Y171" s="1462"/>
      <c r="Z171" s="1462"/>
      <c r="AA171" s="1462"/>
      <c r="AB171" s="1462"/>
      <c r="AC171" s="1462"/>
      <c r="AD171" s="1462"/>
      <c r="AE171" s="1462"/>
      <c r="AF171" s="1462"/>
      <c r="AG171" s="1462"/>
      <c r="AH171" s="1462"/>
      <c r="AI171" s="1462"/>
      <c r="AJ171" s="1462"/>
      <c r="AK171" s="1462"/>
      <c r="AL171" s="1462"/>
      <c r="AM171" s="1462"/>
      <c r="AN171" s="1462"/>
      <c r="AO171" s="1462"/>
      <c r="AP171" s="1462"/>
      <c r="AQ171" s="1462"/>
      <c r="AR171" s="1462"/>
      <c r="AS171" s="1462"/>
      <c r="AT171" s="1462"/>
      <c r="AU171" s="1462"/>
      <c r="AV171" s="1462"/>
      <c r="AW171" s="1462"/>
      <c r="AX171" s="1462"/>
      <c r="AY171" s="1462"/>
      <c r="AZ171" s="1462"/>
      <c r="BA171" s="1462"/>
      <c r="BB171" s="1462"/>
      <c r="BC171" s="1462"/>
      <c r="BD171" s="1462"/>
      <c r="BE171" s="1462"/>
      <c r="BF171" s="1462"/>
      <c r="BG171" s="1462"/>
      <c r="BH171" s="1462"/>
      <c r="BI171" s="1462"/>
      <c r="BJ171" s="1462"/>
      <c r="BK171" s="1462"/>
      <c r="BL171" s="1462"/>
      <c r="BM171" s="1462"/>
      <c r="BN171" s="1462"/>
      <c r="BO171" s="1462"/>
      <c r="BP171" s="1462"/>
      <c r="BQ171" s="1462"/>
      <c r="BR171" s="1462"/>
      <c r="BS171" s="1462"/>
      <c r="BT171" s="1462"/>
      <c r="BU171" s="1462"/>
      <c r="BV171" s="1462"/>
      <c r="BW171" s="1462"/>
      <c r="BX171" s="1462"/>
      <c r="BY171" s="1462"/>
      <c r="BZ171" s="1462"/>
      <c r="CA171" s="1462"/>
      <c r="CB171" s="1462"/>
      <c r="CC171" s="1462"/>
      <c r="CD171" s="1462"/>
      <c r="CE171" s="1462"/>
      <c r="CF171" s="1462"/>
      <c r="CG171" s="1462"/>
      <c r="CH171" s="1462"/>
      <c r="CI171" s="1462"/>
      <c r="CJ171" s="1462"/>
      <c r="CK171" s="1462"/>
      <c r="CL171" s="1462"/>
      <c r="CM171" s="1462"/>
      <c r="CN171" s="1462"/>
      <c r="CO171" s="1462"/>
      <c r="CP171" s="61"/>
      <c r="CR171" s="662"/>
      <c r="CS171" s="663" t="s">
        <v>545</v>
      </c>
    </row>
    <row r="172" spans="1:97" s="49" customFormat="1" ht="18" customHeight="1">
      <c r="A172" s="50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BU172" s="62"/>
      <c r="BV172" s="52"/>
      <c r="BW172" s="52"/>
      <c r="BX172" s="52"/>
      <c r="BY172" s="52"/>
      <c r="BZ172" s="52"/>
      <c r="CA172" s="52"/>
      <c r="CB172" s="52"/>
      <c r="CP172" s="61"/>
      <c r="CR172" s="662"/>
      <c r="CS172" s="664"/>
    </row>
    <row r="173" spans="1:97" s="49" customFormat="1" ht="18" customHeight="1">
      <c r="A173" s="50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BU173" s="62"/>
      <c r="BV173" s="52"/>
      <c r="BW173" s="52"/>
      <c r="BX173" s="52"/>
      <c r="BY173" s="52"/>
      <c r="BZ173" s="52"/>
      <c r="CA173" s="52"/>
      <c r="CB173" s="52"/>
      <c r="CP173" s="61"/>
      <c r="CQ173" s="49" t="s">
        <v>97</v>
      </c>
      <c r="CR173" s="244">
        <f>VLOOKUP(CQ173,인건비!A:B,2,FALSE)</f>
        <v>283323</v>
      </c>
    </row>
    <row r="174" spans="1:97" s="49" customFormat="1" ht="18" customHeight="1">
      <c r="A174" s="50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BU174" s="62"/>
      <c r="BV174" s="52"/>
      <c r="BW174" s="52"/>
      <c r="BX174" s="52"/>
      <c r="BY174" s="52"/>
      <c r="BZ174" s="52"/>
      <c r="CA174" s="52"/>
      <c r="CB174" s="52"/>
      <c r="CP174" s="61"/>
      <c r="CR174" s="244"/>
    </row>
    <row r="175" spans="1:97" s="49" customFormat="1" ht="18" customHeight="1">
      <c r="A175" s="50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BU175" s="62"/>
      <c r="BV175" s="52"/>
      <c r="BW175" s="52"/>
      <c r="BX175" s="52"/>
      <c r="BY175" s="52"/>
      <c r="BZ175" s="52"/>
      <c r="CA175" s="52"/>
      <c r="CB175" s="52"/>
      <c r="CP175" s="61"/>
      <c r="CQ175" s="49" t="s">
        <v>176</v>
      </c>
      <c r="CR175" s="244">
        <f>VLOOKUP(CQ175,인건비!A:B,2,FALSE)</f>
        <v>210909</v>
      </c>
    </row>
    <row r="176" spans="1:97" s="49" customFormat="1" ht="18" customHeight="1">
      <c r="A176" s="50"/>
      <c r="BV176" s="62"/>
      <c r="BW176" s="52"/>
      <c r="BX176" s="52"/>
      <c r="BY176" s="52"/>
      <c r="BZ176" s="52"/>
      <c r="CA176" s="52"/>
      <c r="CB176" s="52"/>
      <c r="CC176" s="52"/>
      <c r="CD176" s="52"/>
      <c r="CP176" s="61"/>
      <c r="CQ176" s="49" t="s">
        <v>96</v>
      </c>
      <c r="CR176" s="244">
        <f>VLOOKUP(CQ176,인건비!A:B,2,FALSE)</f>
        <v>173995</v>
      </c>
    </row>
    <row r="177" spans="1:96" s="49" customFormat="1" ht="18" customHeight="1">
      <c r="A177" s="50"/>
      <c r="D177" s="1461" t="s">
        <v>650</v>
      </c>
      <c r="E177" s="1462"/>
      <c r="F177" s="1462"/>
      <c r="G177" s="1462"/>
      <c r="H177" s="1462"/>
      <c r="I177" s="1462"/>
      <c r="J177" s="1462"/>
      <c r="K177" s="1462"/>
      <c r="L177" s="1462"/>
      <c r="M177" s="1462"/>
      <c r="N177" s="1462"/>
      <c r="O177" s="1462"/>
      <c r="P177" s="1462"/>
      <c r="Q177" s="1462"/>
      <c r="R177" s="1462"/>
      <c r="S177" s="1462"/>
      <c r="T177" s="1462"/>
      <c r="U177" s="1462"/>
      <c r="V177" s="1462"/>
      <c r="W177" s="1462"/>
      <c r="X177" s="1462"/>
      <c r="Y177" s="1462"/>
      <c r="Z177" s="1462"/>
      <c r="AA177" s="1462"/>
      <c r="AB177" s="1462"/>
      <c r="AC177" s="1462"/>
      <c r="AD177" s="1462"/>
      <c r="AE177" s="1462"/>
      <c r="AF177" s="1462"/>
      <c r="AG177" s="1462"/>
      <c r="AH177" s="1462"/>
      <c r="AI177" s="1462"/>
      <c r="AJ177" s="1462"/>
      <c r="AK177" s="1462"/>
      <c r="AL177" s="1462"/>
      <c r="AM177" s="1462"/>
      <c r="AN177" s="1462"/>
      <c r="AO177" s="1462"/>
      <c r="AP177" s="1462"/>
      <c r="AQ177" s="1462"/>
      <c r="AR177" s="1462"/>
      <c r="AS177" s="1462"/>
      <c r="AT177" s="1462"/>
      <c r="AU177" s="1462"/>
      <c r="AV177" s="1462"/>
      <c r="AW177" s="1462"/>
      <c r="AX177" s="1462"/>
      <c r="AY177" s="1462"/>
      <c r="AZ177" s="1462"/>
      <c r="BA177" s="1462"/>
      <c r="BB177" s="1462"/>
      <c r="BC177" s="1462"/>
      <c r="BD177" s="1462"/>
      <c r="BE177" s="1462"/>
      <c r="BF177" s="1462"/>
      <c r="BG177" s="1462"/>
      <c r="BH177" s="1462"/>
      <c r="BI177" s="1462"/>
      <c r="BJ177" s="1462"/>
      <c r="BK177" s="1462"/>
      <c r="BL177" s="1462"/>
      <c r="BM177" s="1462"/>
      <c r="BN177" s="1462"/>
      <c r="BO177" s="1462"/>
      <c r="BP177" s="1462"/>
      <c r="BQ177" s="1462"/>
      <c r="BR177" s="1462"/>
      <c r="BS177" s="1462"/>
      <c r="BT177" s="1462"/>
      <c r="BU177" s="1462"/>
      <c r="BV177" s="1462"/>
      <c r="BW177" s="1462"/>
      <c r="BX177" s="1462"/>
      <c r="BY177" s="1462"/>
      <c r="BZ177" s="1462"/>
      <c r="CA177" s="1462"/>
      <c r="CB177" s="1462"/>
      <c r="CC177" s="1462"/>
      <c r="CD177" s="1462"/>
      <c r="CE177" s="1462"/>
      <c r="CF177" s="1462"/>
      <c r="CG177" s="1462"/>
      <c r="CH177" s="1462"/>
      <c r="CI177" s="1462"/>
      <c r="CJ177" s="1462"/>
      <c r="CK177" s="1462"/>
      <c r="CL177" s="1462"/>
      <c r="CM177" s="1462"/>
      <c r="CN177" s="1462"/>
      <c r="CO177" s="1462"/>
      <c r="CP177" s="61"/>
      <c r="CQ177" s="49" t="s">
        <v>95</v>
      </c>
      <c r="CR177" s="244">
        <f>VLOOKUP(CQ177,인건비!A:B,2,FALSE)</f>
        <v>240042</v>
      </c>
    </row>
    <row r="178" spans="1:96" s="49" customFormat="1" ht="18" customHeight="1">
      <c r="A178" s="50"/>
      <c r="E178" s="49" t="s">
        <v>329</v>
      </c>
      <c r="U178" s="1485">
        <v>1.3</v>
      </c>
      <c r="V178" s="1473"/>
      <c r="W178" s="1473"/>
      <c r="X178" s="1473"/>
      <c r="Y178" s="1473"/>
      <c r="Z178" s="49" t="s">
        <v>266</v>
      </c>
      <c r="AE178" s="1464" t="e">
        <f>CR178</f>
        <v>#REF!</v>
      </c>
      <c r="AF178" s="1473"/>
      <c r="AG178" s="1473"/>
      <c r="AH178" s="1473"/>
      <c r="AI178" s="1473"/>
      <c r="AJ178" s="1473"/>
      <c r="AK178" s="1473"/>
      <c r="AL178" s="1473"/>
      <c r="AM178" s="49" t="s">
        <v>286</v>
      </c>
      <c r="AT178" s="1486" t="e">
        <f>(U178*AE178)</f>
        <v>#REF!</v>
      </c>
      <c r="AU178" s="1473"/>
      <c r="AV178" s="1473"/>
      <c r="AW178" s="1473"/>
      <c r="AX178" s="1473"/>
      <c r="AY178" s="1473"/>
      <c r="AZ178" s="1473"/>
      <c r="BA178" s="1473"/>
      <c r="BB178" s="49" t="s">
        <v>98</v>
      </c>
      <c r="CP178" s="61"/>
      <c r="CQ178" s="49" t="s">
        <v>267</v>
      </c>
      <c r="CR178" s="245" t="e">
        <f>#REF!</f>
        <v>#REF!</v>
      </c>
    </row>
    <row r="179" spans="1:96" s="49" customFormat="1" ht="18" customHeight="1" thickBot="1">
      <c r="A179" s="50"/>
      <c r="E179" s="49" t="s">
        <v>288</v>
      </c>
      <c r="U179" s="49" t="s">
        <v>289</v>
      </c>
      <c r="AE179" s="1487">
        <v>20</v>
      </c>
      <c r="AF179" s="1474"/>
      <c r="AG179" s="1474"/>
      <c r="AH179" s="1474"/>
      <c r="AI179" s="1474"/>
      <c r="AJ179" s="1474"/>
      <c r="AK179" s="1474"/>
      <c r="AL179" s="1474"/>
      <c r="AM179" s="49" t="s">
        <v>290</v>
      </c>
      <c r="AT179" s="1481" t="e">
        <f>(AT178*AE179/100)</f>
        <v>#REF!</v>
      </c>
      <c r="AU179" s="1481"/>
      <c r="AV179" s="1481"/>
      <c r="AW179" s="1481"/>
      <c r="AX179" s="1481"/>
      <c r="AY179" s="1481"/>
      <c r="AZ179" s="1481"/>
      <c r="BA179" s="1481"/>
      <c r="BB179" s="49" t="s">
        <v>98</v>
      </c>
      <c r="CP179" s="61"/>
      <c r="CQ179" s="49" t="s">
        <v>268</v>
      </c>
      <c r="CR179" s="245" t="e">
        <f>#REF!</f>
        <v>#REF!</v>
      </c>
    </row>
    <row r="180" spans="1:96" s="49" customFormat="1" ht="18" customHeight="1" thickTop="1">
      <c r="A180" s="50"/>
      <c r="D180" s="63"/>
      <c r="E180" s="64" t="s">
        <v>44</v>
      </c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3"/>
      <c r="T180" s="63"/>
      <c r="U180" s="63"/>
      <c r="V180" s="63"/>
      <c r="W180" s="63"/>
      <c r="X180" s="63"/>
      <c r="Y180" s="63"/>
      <c r="Z180" s="63"/>
      <c r="AA180" s="63"/>
      <c r="AB180" s="63"/>
      <c r="AC180" s="63"/>
      <c r="AD180" s="63"/>
      <c r="AE180" s="63"/>
      <c r="AF180" s="63"/>
      <c r="AG180" s="63"/>
      <c r="AH180" s="63"/>
      <c r="AI180" s="63"/>
      <c r="AJ180" s="63"/>
      <c r="AK180" s="63"/>
      <c r="AL180" s="63"/>
      <c r="AM180" s="63"/>
      <c r="AN180" s="63"/>
      <c r="AO180" s="63"/>
      <c r="AP180" s="63"/>
      <c r="AQ180" s="63"/>
      <c r="AR180" s="63"/>
      <c r="AS180" s="63"/>
      <c r="AT180" s="1482" t="e">
        <f>INT(SUM(AT178+AT179))</f>
        <v>#REF!</v>
      </c>
      <c r="AU180" s="1472"/>
      <c r="AV180" s="1472"/>
      <c r="AW180" s="1472"/>
      <c r="AX180" s="1472"/>
      <c r="AY180" s="1472"/>
      <c r="AZ180" s="1472"/>
      <c r="BA180" s="1472"/>
      <c r="BB180" s="63" t="s">
        <v>98</v>
      </c>
      <c r="BC180" s="63"/>
      <c r="BD180" s="63"/>
      <c r="BE180" s="63"/>
      <c r="BF180" s="63"/>
      <c r="BG180" s="63"/>
      <c r="BH180" s="63"/>
      <c r="BI180" s="63"/>
      <c r="BJ180" s="63"/>
      <c r="BK180" s="63"/>
      <c r="BL180" s="63"/>
      <c r="BM180" s="63"/>
      <c r="BN180" s="63"/>
      <c r="BO180" s="63"/>
      <c r="BP180" s="63"/>
      <c r="BQ180" s="63"/>
      <c r="BR180" s="63"/>
      <c r="BS180" s="63"/>
      <c r="BT180" s="63"/>
      <c r="BU180" s="63"/>
      <c r="BV180" s="63"/>
      <c r="BW180" s="63"/>
      <c r="BX180" s="63"/>
      <c r="BY180" s="63"/>
      <c r="BZ180" s="63"/>
      <c r="CA180" s="63"/>
      <c r="CB180" s="63"/>
      <c r="CC180" s="63"/>
      <c r="CD180" s="63"/>
      <c r="CE180" s="63"/>
      <c r="CF180" s="63"/>
      <c r="CG180" s="63"/>
      <c r="CH180" s="63"/>
      <c r="CI180" s="63"/>
      <c r="CP180" s="61"/>
      <c r="CQ180" s="665" t="s">
        <v>766</v>
      </c>
      <c r="CR180" s="666" t="s">
        <v>649</v>
      </c>
    </row>
    <row r="181" spans="1:96" s="49" customFormat="1" ht="18" customHeight="1">
      <c r="A181" s="50"/>
      <c r="CP181" s="61"/>
      <c r="CQ181" s="665" t="s">
        <v>834</v>
      </c>
      <c r="CR181" s="666" t="s">
        <v>642</v>
      </c>
    </row>
    <row r="182" spans="1:96" s="49" customFormat="1" ht="18" customHeight="1">
      <c r="A182" s="50"/>
      <c r="D182" s="1461" t="s">
        <v>651</v>
      </c>
      <c r="E182" s="1462"/>
      <c r="F182" s="1462"/>
      <c r="G182" s="1462"/>
      <c r="H182" s="1462"/>
      <c r="I182" s="1462"/>
      <c r="J182" s="1462"/>
      <c r="K182" s="1462"/>
      <c r="L182" s="1462"/>
      <c r="M182" s="1462"/>
      <c r="N182" s="1462"/>
      <c r="O182" s="1462"/>
      <c r="P182" s="1462"/>
      <c r="Q182" s="1462"/>
      <c r="R182" s="1462"/>
      <c r="S182" s="1462"/>
      <c r="T182" s="1462"/>
      <c r="U182" s="1462"/>
      <c r="V182" s="1462"/>
      <c r="W182" s="1462"/>
      <c r="X182" s="1462"/>
      <c r="Y182" s="1462"/>
      <c r="Z182" s="1462"/>
      <c r="AA182" s="1462"/>
      <c r="AB182" s="1462"/>
      <c r="AC182" s="1462"/>
      <c r="AD182" s="1462"/>
      <c r="AE182" s="1462"/>
      <c r="AF182" s="1462"/>
      <c r="AG182" s="1462"/>
      <c r="AH182" s="1462"/>
      <c r="AI182" s="1462"/>
      <c r="AJ182" s="1462"/>
      <c r="AK182" s="1462"/>
      <c r="AL182" s="1462"/>
      <c r="AM182" s="1462"/>
      <c r="AN182" s="1462"/>
      <c r="AO182" s="1462"/>
      <c r="AP182" s="1462"/>
      <c r="AQ182" s="1462"/>
      <c r="AR182" s="1462"/>
      <c r="AS182" s="1462"/>
      <c r="AT182" s="1462"/>
      <c r="AU182" s="1462"/>
      <c r="AV182" s="1462"/>
      <c r="AW182" s="1462"/>
      <c r="AX182" s="1462"/>
      <c r="AY182" s="1462"/>
      <c r="AZ182" s="1462"/>
      <c r="BA182" s="1462"/>
      <c r="BB182" s="1462"/>
      <c r="BC182" s="1462"/>
      <c r="BD182" s="1462"/>
      <c r="BE182" s="1462"/>
      <c r="BF182" s="1462"/>
      <c r="BG182" s="1462"/>
      <c r="BH182" s="1462"/>
      <c r="BI182" s="1462"/>
      <c r="BJ182" s="1462"/>
      <c r="BK182" s="1462"/>
      <c r="BL182" s="1462"/>
      <c r="BM182" s="1462"/>
      <c r="BN182" s="1462"/>
      <c r="BO182" s="1462"/>
      <c r="BP182" s="1462"/>
      <c r="BQ182" s="1462"/>
      <c r="BR182" s="1462"/>
      <c r="BS182" s="1462"/>
      <c r="BT182" s="1462"/>
      <c r="BU182" s="1462"/>
      <c r="BV182" s="1462"/>
      <c r="BW182" s="1462"/>
      <c r="BX182" s="1462"/>
      <c r="BY182" s="1462"/>
      <c r="BZ182" s="1462"/>
      <c r="CA182" s="1462"/>
      <c r="CB182" s="1462"/>
      <c r="CC182" s="1462"/>
      <c r="CD182" s="1462"/>
      <c r="CE182" s="1462"/>
      <c r="CF182" s="1462"/>
      <c r="CG182" s="1462"/>
      <c r="CH182" s="1462"/>
      <c r="CI182" s="1462"/>
      <c r="CJ182" s="1462"/>
      <c r="CK182" s="1462"/>
      <c r="CL182" s="1462"/>
      <c r="CM182" s="1462"/>
      <c r="CN182" s="1462"/>
      <c r="CO182" s="1462"/>
      <c r="CP182" s="61"/>
      <c r="CR182" s="439"/>
    </row>
    <row r="183" spans="1:96" s="49" customFormat="1" ht="18" customHeight="1" thickBot="1">
      <c r="A183" s="50"/>
      <c r="E183" s="49" t="s">
        <v>333</v>
      </c>
      <c r="AA183" s="1456">
        <v>2799</v>
      </c>
      <c r="AB183" s="1456"/>
      <c r="AC183" s="1456"/>
      <c r="AD183" s="1456"/>
      <c r="AE183" s="1456"/>
      <c r="AF183" s="1456"/>
      <c r="AG183" s="1456"/>
      <c r="AH183" s="1456"/>
      <c r="AI183" s="52" t="s">
        <v>99</v>
      </c>
      <c r="AJ183" s="52"/>
      <c r="AK183" s="1491">
        <v>10000000</v>
      </c>
      <c r="AL183" s="1492"/>
      <c r="AM183" s="1492"/>
      <c r="AN183" s="1492"/>
      <c r="AO183" s="1492"/>
      <c r="AP183" s="1492"/>
      <c r="AQ183" s="1492"/>
      <c r="AR183" s="1492"/>
      <c r="AS183" s="1492"/>
      <c r="AT183" s="1492"/>
      <c r="AU183" s="1492"/>
      <c r="AV183" s="52" t="s">
        <v>100</v>
      </c>
      <c r="AW183" s="52"/>
      <c r="AX183" s="1481">
        <f>BW170</f>
        <v>902</v>
      </c>
      <c r="AY183" s="1474"/>
      <c r="AZ183" s="1474"/>
      <c r="BA183" s="1474"/>
      <c r="BB183" s="1474"/>
      <c r="BC183" s="1474"/>
      <c r="BD183" s="1474"/>
      <c r="BE183" s="1474"/>
      <c r="BF183" s="1474"/>
      <c r="BG183" s="49" t="s">
        <v>101</v>
      </c>
      <c r="BN183" s="1481">
        <f>INT(AA183/AK183*AX183*1000)</f>
        <v>252</v>
      </c>
      <c r="BO183" s="1481"/>
      <c r="BP183" s="1481"/>
      <c r="BQ183" s="1481"/>
      <c r="BR183" s="1481"/>
      <c r="BS183" s="1481"/>
      <c r="BT183" s="1481"/>
      <c r="BU183" s="1481"/>
      <c r="BV183" s="49" t="s">
        <v>98</v>
      </c>
      <c r="CP183" s="61"/>
      <c r="CR183" s="439"/>
    </row>
    <row r="184" spans="1:96" s="49" customFormat="1" ht="18" customHeight="1" thickTop="1">
      <c r="A184" s="50"/>
      <c r="D184" s="63"/>
      <c r="E184" s="64" t="s">
        <v>44</v>
      </c>
      <c r="F184" s="64"/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3"/>
      <c r="T184" s="63"/>
      <c r="U184" s="63"/>
      <c r="V184" s="63"/>
      <c r="W184" s="63"/>
      <c r="X184" s="63"/>
      <c r="Y184" s="63"/>
      <c r="Z184" s="63"/>
      <c r="AA184" s="63"/>
      <c r="AB184" s="63"/>
      <c r="AC184" s="63"/>
      <c r="AD184" s="63"/>
      <c r="AE184" s="63"/>
      <c r="AF184" s="63"/>
      <c r="AG184" s="63"/>
      <c r="AH184" s="63"/>
      <c r="AI184" s="63"/>
      <c r="AJ184" s="63"/>
      <c r="AK184" s="63"/>
      <c r="AL184" s="63"/>
      <c r="AM184" s="63"/>
      <c r="AN184" s="63"/>
      <c r="AO184" s="63"/>
      <c r="AP184" s="63"/>
      <c r="AQ184" s="63"/>
      <c r="AR184" s="63"/>
      <c r="AS184" s="63"/>
      <c r="AT184" s="63"/>
      <c r="AU184" s="63"/>
      <c r="AV184" s="63"/>
      <c r="AW184" s="63"/>
      <c r="AX184" s="63"/>
      <c r="AY184" s="63"/>
      <c r="AZ184" s="63"/>
      <c r="BA184" s="63"/>
      <c r="BB184" s="63"/>
      <c r="BC184" s="63"/>
      <c r="BD184" s="63"/>
      <c r="BE184" s="63"/>
      <c r="BF184" s="63"/>
      <c r="BG184" s="63"/>
      <c r="BH184" s="63"/>
      <c r="BI184" s="63"/>
      <c r="BJ184" s="63"/>
      <c r="BK184" s="63"/>
      <c r="BL184" s="63"/>
      <c r="BM184" s="63"/>
      <c r="BN184" s="1482">
        <f>SUM(BN183)</f>
        <v>252</v>
      </c>
      <c r="BO184" s="1472"/>
      <c r="BP184" s="1472"/>
      <c r="BQ184" s="1472"/>
      <c r="BR184" s="1472"/>
      <c r="BS184" s="1472"/>
      <c r="BT184" s="1472"/>
      <c r="BU184" s="1472"/>
      <c r="BV184" s="63" t="s">
        <v>98</v>
      </c>
      <c r="BW184" s="63"/>
      <c r="BX184" s="63"/>
      <c r="BY184" s="63"/>
      <c r="BZ184" s="63"/>
      <c r="CA184" s="63"/>
      <c r="CB184" s="63"/>
      <c r="CC184" s="63"/>
      <c r="CD184" s="63"/>
      <c r="CE184" s="63"/>
      <c r="CF184" s="63"/>
      <c r="CG184" s="63"/>
      <c r="CH184" s="63"/>
      <c r="CI184" s="63"/>
      <c r="CP184" s="61"/>
      <c r="CR184" s="439"/>
    </row>
    <row r="185" spans="1:96" s="49" customFormat="1" ht="18" customHeight="1">
      <c r="A185" s="50"/>
      <c r="CP185" s="61"/>
      <c r="CR185" s="439"/>
    </row>
    <row r="186" spans="1:96" s="49" customFormat="1" ht="18" customHeight="1">
      <c r="A186" s="50"/>
      <c r="E186" s="49" t="s">
        <v>102</v>
      </c>
      <c r="O186" s="1490">
        <f>BU174</f>
        <v>0</v>
      </c>
      <c r="P186" s="1473"/>
      <c r="Q186" s="1473"/>
      <c r="R186" s="1473"/>
      <c r="S186" s="1473"/>
      <c r="T186" s="1473"/>
      <c r="U186" s="1473"/>
      <c r="V186" s="1473"/>
      <c r="W186" s="1473"/>
      <c r="X186" s="1473"/>
      <c r="Y186" s="52" t="s">
        <v>59</v>
      </c>
      <c r="Z186" s="52"/>
      <c r="AA186" s="1490" t="e">
        <f>AT180</f>
        <v>#REF!</v>
      </c>
      <c r="AB186" s="1473"/>
      <c r="AC186" s="1473"/>
      <c r="AD186" s="1473"/>
      <c r="AE186" s="1473"/>
      <c r="AF186" s="1473"/>
      <c r="AG186" s="1473"/>
      <c r="AH186" s="1473"/>
      <c r="AI186" s="1473"/>
      <c r="AJ186" s="1473"/>
      <c r="AK186" s="52" t="s">
        <v>59</v>
      </c>
      <c r="AL186" s="52"/>
      <c r="AM186" s="1490">
        <f>BN184</f>
        <v>252</v>
      </c>
      <c r="AN186" s="1473"/>
      <c r="AO186" s="1473"/>
      <c r="AP186" s="1473"/>
      <c r="AQ186" s="1473"/>
      <c r="AR186" s="1473"/>
      <c r="AS186" s="1473"/>
      <c r="AT186" s="1473"/>
      <c r="AU186" s="1473"/>
      <c r="AV186" s="66"/>
      <c r="AW186" s="53" t="s">
        <v>103</v>
      </c>
      <c r="AX186" s="52"/>
      <c r="AY186" s="1490" t="e">
        <f>O186+AA186+AM186</f>
        <v>#REF!</v>
      </c>
      <c r="AZ186" s="1473"/>
      <c r="BA186" s="1473"/>
      <c r="BB186" s="1473"/>
      <c r="BC186" s="1473"/>
      <c r="BD186" s="1473"/>
      <c r="BE186" s="1473"/>
      <c r="BF186" s="1473"/>
      <c r="BG186" s="1473"/>
      <c r="BH186" s="1473"/>
      <c r="BI186" s="49" t="s">
        <v>98</v>
      </c>
      <c r="CP186" s="61"/>
      <c r="CR186" s="439"/>
    </row>
    <row r="187" spans="1:96" s="49" customFormat="1" ht="18" customHeight="1">
      <c r="A187" s="50"/>
      <c r="O187" s="65"/>
      <c r="P187" s="66"/>
      <c r="Q187" s="66"/>
      <c r="R187" s="66"/>
      <c r="S187" s="66"/>
      <c r="T187" s="66"/>
      <c r="U187" s="66"/>
      <c r="V187" s="66"/>
      <c r="W187" s="66"/>
      <c r="X187" s="66"/>
      <c r="Y187" s="52"/>
      <c r="Z187" s="52"/>
      <c r="AA187" s="65"/>
      <c r="AB187" s="66"/>
      <c r="AC187" s="66"/>
      <c r="AD187" s="66"/>
      <c r="AE187" s="66"/>
      <c r="AF187" s="66"/>
      <c r="AG187" s="66"/>
      <c r="AH187" s="66"/>
      <c r="AI187" s="66"/>
      <c r="AJ187" s="66"/>
      <c r="AK187" s="52"/>
      <c r="AL187" s="52"/>
      <c r="AM187" s="65"/>
      <c r="AN187" s="66"/>
      <c r="AO187" s="66"/>
      <c r="AP187" s="66"/>
      <c r="AQ187" s="66"/>
      <c r="AR187" s="66"/>
      <c r="AS187" s="66"/>
      <c r="AT187" s="66"/>
      <c r="AU187" s="66"/>
      <c r="AV187" s="66"/>
      <c r="AW187" s="53"/>
      <c r="AX187" s="52"/>
      <c r="AY187" s="65"/>
      <c r="AZ187" s="66"/>
      <c r="BA187" s="66"/>
      <c r="BB187" s="66"/>
      <c r="BC187" s="66"/>
      <c r="BD187" s="66"/>
      <c r="BE187" s="66"/>
      <c r="BF187" s="66"/>
      <c r="BG187" s="66"/>
      <c r="BH187" s="66"/>
      <c r="CP187" s="61"/>
      <c r="CR187" s="439"/>
    </row>
    <row r="188" spans="1:96" s="49" customFormat="1" ht="18" customHeight="1">
      <c r="A188" s="50"/>
      <c r="O188" s="65"/>
      <c r="P188" s="66"/>
      <c r="Q188" s="66"/>
      <c r="R188" s="66"/>
      <c r="S188" s="66"/>
      <c r="T188" s="66"/>
      <c r="U188" s="66"/>
      <c r="V188" s="66"/>
      <c r="W188" s="66"/>
      <c r="X188" s="66"/>
      <c r="Y188" s="52"/>
      <c r="Z188" s="52"/>
      <c r="AA188" s="65"/>
      <c r="AB188" s="66"/>
      <c r="AC188" s="66"/>
      <c r="AD188" s="66"/>
      <c r="AE188" s="66"/>
      <c r="AF188" s="66"/>
      <c r="AG188" s="66"/>
      <c r="AH188" s="66"/>
      <c r="AI188" s="66"/>
      <c r="AJ188" s="66"/>
      <c r="AK188" s="52"/>
      <c r="AL188" s="52"/>
      <c r="AM188" s="65"/>
      <c r="AN188" s="66"/>
      <c r="AO188" s="66"/>
      <c r="AP188" s="66"/>
      <c r="AQ188" s="66"/>
      <c r="AR188" s="66"/>
      <c r="AS188" s="66"/>
      <c r="AT188" s="66"/>
      <c r="AU188" s="66"/>
      <c r="AV188" s="66"/>
      <c r="AW188" s="53"/>
      <c r="AX188" s="52"/>
      <c r="AY188" s="65"/>
      <c r="AZ188" s="66"/>
      <c r="BA188" s="66"/>
      <c r="BB188" s="66"/>
      <c r="BC188" s="66"/>
      <c r="BD188" s="66"/>
      <c r="BE188" s="66"/>
      <c r="BF188" s="66"/>
      <c r="BG188" s="66"/>
      <c r="BH188" s="66"/>
      <c r="CP188" s="61"/>
      <c r="CR188" s="439"/>
    </row>
    <row r="189" spans="1:96" s="49" customFormat="1" ht="18" customHeight="1">
      <c r="A189" s="50"/>
      <c r="O189" s="65"/>
      <c r="P189" s="66"/>
      <c r="Q189" s="66"/>
      <c r="R189" s="66"/>
      <c r="S189" s="66"/>
      <c r="T189" s="66"/>
      <c r="U189" s="66"/>
      <c r="V189" s="66"/>
      <c r="W189" s="66"/>
      <c r="X189" s="66"/>
      <c r="Y189" s="52"/>
      <c r="Z189" s="52"/>
      <c r="AA189" s="65"/>
      <c r="AB189" s="66"/>
      <c r="AC189" s="66"/>
      <c r="AD189" s="66"/>
      <c r="AE189" s="66"/>
      <c r="AF189" s="66"/>
      <c r="AG189" s="66"/>
      <c r="AH189" s="66"/>
      <c r="AI189" s="66"/>
      <c r="AJ189" s="66"/>
      <c r="AK189" s="52"/>
      <c r="AL189" s="52"/>
      <c r="AM189" s="65"/>
      <c r="AN189" s="66"/>
      <c r="AO189" s="66"/>
      <c r="AP189" s="66"/>
      <c r="AQ189" s="66"/>
      <c r="AR189" s="66"/>
      <c r="AS189" s="66"/>
      <c r="AT189" s="66"/>
      <c r="AU189" s="66"/>
      <c r="AV189" s="66"/>
      <c r="AW189" s="53"/>
      <c r="AX189" s="52"/>
      <c r="AY189" s="65"/>
      <c r="AZ189" s="66"/>
      <c r="BA189" s="66"/>
      <c r="BB189" s="66"/>
      <c r="BC189" s="66"/>
      <c r="BD189" s="66"/>
      <c r="BE189" s="66"/>
      <c r="BF189" s="66"/>
      <c r="BG189" s="66"/>
      <c r="BH189" s="66"/>
      <c r="CP189" s="61"/>
      <c r="CR189" s="439"/>
    </row>
    <row r="190" spans="1:96" s="49" customFormat="1" ht="18" customHeight="1">
      <c r="A190" s="50"/>
      <c r="O190" s="65"/>
      <c r="P190" s="66"/>
      <c r="Q190" s="66"/>
      <c r="R190" s="66"/>
      <c r="S190" s="66"/>
      <c r="T190" s="66"/>
      <c r="U190" s="66"/>
      <c r="V190" s="66"/>
      <c r="W190" s="66"/>
      <c r="X190" s="66"/>
      <c r="Y190" s="52"/>
      <c r="Z190" s="52"/>
      <c r="AA190" s="65"/>
      <c r="AB190" s="66"/>
      <c r="AC190" s="66"/>
      <c r="AD190" s="66"/>
      <c r="AE190" s="66"/>
      <c r="AF190" s="66"/>
      <c r="AG190" s="66"/>
      <c r="AH190" s="66"/>
      <c r="AI190" s="66"/>
      <c r="AJ190" s="66"/>
      <c r="AK190" s="52"/>
      <c r="AL190" s="52"/>
      <c r="AM190" s="65"/>
      <c r="AN190" s="66"/>
      <c r="AO190" s="66"/>
      <c r="AP190" s="66"/>
      <c r="AQ190" s="66"/>
      <c r="AR190" s="66"/>
      <c r="AS190" s="66"/>
      <c r="AT190" s="66"/>
      <c r="AU190" s="66"/>
      <c r="AV190" s="66"/>
      <c r="AW190" s="53"/>
      <c r="AX190" s="52"/>
      <c r="AY190" s="65"/>
      <c r="AZ190" s="66"/>
      <c r="BA190" s="66"/>
      <c r="BB190" s="66"/>
      <c r="BC190" s="66"/>
      <c r="BD190" s="66"/>
      <c r="BE190" s="66"/>
      <c r="BF190" s="66"/>
      <c r="BG190" s="66"/>
      <c r="BH190" s="66"/>
      <c r="CP190" s="61"/>
      <c r="CR190" s="439"/>
    </row>
    <row r="191" spans="1:96" s="49" customFormat="1" ht="18" customHeight="1">
      <c r="A191" s="50"/>
      <c r="O191" s="65"/>
      <c r="P191" s="66"/>
      <c r="Q191" s="66"/>
      <c r="R191" s="66"/>
      <c r="S191" s="66"/>
      <c r="T191" s="66"/>
      <c r="U191" s="66"/>
      <c r="V191" s="66"/>
      <c r="W191" s="66"/>
      <c r="X191" s="66"/>
      <c r="Y191" s="52"/>
      <c r="Z191" s="52"/>
      <c r="AA191" s="65"/>
      <c r="AB191" s="66"/>
      <c r="AC191" s="66"/>
      <c r="AD191" s="66"/>
      <c r="AE191" s="66"/>
      <c r="AF191" s="66"/>
      <c r="AG191" s="66"/>
      <c r="AH191" s="66"/>
      <c r="AI191" s="66"/>
      <c r="AJ191" s="66"/>
      <c r="AK191" s="52"/>
      <c r="AL191" s="52"/>
      <c r="AM191" s="65"/>
      <c r="AN191" s="66"/>
      <c r="AO191" s="66"/>
      <c r="AP191" s="66"/>
      <c r="AQ191" s="66"/>
      <c r="AR191" s="66"/>
      <c r="AS191" s="66"/>
      <c r="AT191" s="66"/>
      <c r="AU191" s="66"/>
      <c r="AV191" s="66"/>
      <c r="AW191" s="53"/>
      <c r="AX191" s="52"/>
      <c r="AY191" s="65"/>
      <c r="AZ191" s="66"/>
      <c r="BA191" s="66"/>
      <c r="BB191" s="66"/>
      <c r="BC191" s="66"/>
      <c r="BD191" s="66"/>
      <c r="BE191" s="66"/>
      <c r="BF191" s="66"/>
      <c r="BG191" s="66"/>
      <c r="BH191" s="66"/>
      <c r="CP191" s="61"/>
      <c r="CR191" s="439"/>
    </row>
    <row r="192" spans="1:96" s="49" customFormat="1" ht="18" customHeight="1">
      <c r="A192" s="50"/>
      <c r="O192" s="65"/>
      <c r="P192" s="66"/>
      <c r="Q192" s="66"/>
      <c r="R192" s="66"/>
      <c r="S192" s="66"/>
      <c r="T192" s="66"/>
      <c r="U192" s="66"/>
      <c r="V192" s="66"/>
      <c r="W192" s="66"/>
      <c r="X192" s="66"/>
      <c r="Y192" s="52"/>
      <c r="Z192" s="52"/>
      <c r="AA192" s="65"/>
      <c r="AB192" s="66"/>
      <c r="AC192" s="66"/>
      <c r="AD192" s="66"/>
      <c r="AE192" s="66"/>
      <c r="AF192" s="66"/>
      <c r="AG192" s="66"/>
      <c r="AH192" s="66"/>
      <c r="AI192" s="66"/>
      <c r="AJ192" s="66"/>
      <c r="AK192" s="52"/>
      <c r="AL192" s="52"/>
      <c r="AM192" s="65"/>
      <c r="AN192" s="66"/>
      <c r="AO192" s="66"/>
      <c r="AP192" s="66"/>
      <c r="AQ192" s="66"/>
      <c r="AR192" s="66"/>
      <c r="AS192" s="66"/>
      <c r="AT192" s="66"/>
      <c r="AU192" s="66"/>
      <c r="AV192" s="66"/>
      <c r="AW192" s="53"/>
      <c r="AX192" s="52"/>
      <c r="AY192" s="65"/>
      <c r="AZ192" s="66"/>
      <c r="BA192" s="66"/>
      <c r="BB192" s="66"/>
      <c r="BC192" s="66"/>
      <c r="BD192" s="66"/>
      <c r="BE192" s="66"/>
      <c r="BF192" s="66"/>
      <c r="BG192" s="66"/>
      <c r="BH192" s="66"/>
      <c r="CP192" s="61"/>
      <c r="CR192" s="439"/>
    </row>
    <row r="193" spans="1:97" s="49" customFormat="1" ht="18" customHeight="1">
      <c r="A193" s="50"/>
      <c r="O193" s="65"/>
      <c r="P193" s="66"/>
      <c r="Q193" s="66"/>
      <c r="R193" s="66"/>
      <c r="S193" s="66"/>
      <c r="T193" s="66"/>
      <c r="U193" s="66"/>
      <c r="V193" s="66"/>
      <c r="W193" s="66"/>
      <c r="X193" s="66"/>
      <c r="Y193" s="52"/>
      <c r="Z193" s="52"/>
      <c r="AA193" s="65"/>
      <c r="AB193" s="66"/>
      <c r="AC193" s="66"/>
      <c r="AD193" s="66"/>
      <c r="AE193" s="66"/>
      <c r="AF193" s="66"/>
      <c r="AG193" s="66"/>
      <c r="AH193" s="66"/>
      <c r="AI193" s="66"/>
      <c r="AJ193" s="66"/>
      <c r="AK193" s="52"/>
      <c r="AL193" s="52"/>
      <c r="AM193" s="65"/>
      <c r="AN193" s="66"/>
      <c r="AO193" s="66"/>
      <c r="AP193" s="66"/>
      <c r="AQ193" s="66"/>
      <c r="AR193" s="66"/>
      <c r="AS193" s="66"/>
      <c r="AT193" s="66"/>
      <c r="AU193" s="66"/>
      <c r="AV193" s="66"/>
      <c r="AW193" s="53"/>
      <c r="AX193" s="52"/>
      <c r="AY193" s="65"/>
      <c r="AZ193" s="66"/>
      <c r="BA193" s="66"/>
      <c r="BB193" s="66"/>
      <c r="BC193" s="66"/>
      <c r="BD193" s="66"/>
      <c r="BE193" s="66"/>
      <c r="BF193" s="66"/>
      <c r="BG193" s="66"/>
      <c r="BH193" s="66"/>
      <c r="CP193" s="61"/>
      <c r="CR193" s="439"/>
    </row>
    <row r="194" spans="1:97" s="49" customFormat="1" ht="18" customHeight="1">
      <c r="A194" s="50"/>
      <c r="O194" s="65"/>
      <c r="P194" s="66"/>
      <c r="Q194" s="66"/>
      <c r="R194" s="66"/>
      <c r="S194" s="66"/>
      <c r="T194" s="66"/>
      <c r="U194" s="66"/>
      <c r="V194" s="66"/>
      <c r="W194" s="66"/>
      <c r="X194" s="66"/>
      <c r="Y194" s="52"/>
      <c r="Z194" s="52"/>
      <c r="AA194" s="65"/>
      <c r="AB194" s="66"/>
      <c r="AC194" s="66"/>
      <c r="AD194" s="66"/>
      <c r="AE194" s="66"/>
      <c r="AF194" s="66"/>
      <c r="AG194" s="66"/>
      <c r="AH194" s="66"/>
      <c r="AI194" s="66"/>
      <c r="AJ194" s="66"/>
      <c r="AK194" s="52"/>
      <c r="AL194" s="52"/>
      <c r="AM194" s="65"/>
      <c r="AN194" s="66"/>
      <c r="AO194" s="66"/>
      <c r="AP194" s="66"/>
      <c r="AQ194" s="66"/>
      <c r="AR194" s="66"/>
      <c r="AS194" s="66"/>
      <c r="AT194" s="66"/>
      <c r="AU194" s="66"/>
      <c r="AV194" s="66"/>
      <c r="AW194" s="53"/>
      <c r="AX194" s="52"/>
      <c r="AY194" s="65"/>
      <c r="AZ194" s="66"/>
      <c r="BA194" s="66"/>
      <c r="BB194" s="66"/>
      <c r="BC194" s="66"/>
      <c r="BD194" s="66"/>
      <c r="BE194" s="66"/>
      <c r="BF194" s="66"/>
      <c r="BG194" s="66"/>
      <c r="BH194" s="66"/>
      <c r="CP194" s="61"/>
      <c r="CR194" s="439"/>
    </row>
    <row r="195" spans="1:97" s="49" customFormat="1" ht="18" customHeight="1">
      <c r="A195" s="54"/>
      <c r="B195" s="55"/>
      <c r="C195" s="55"/>
      <c r="D195" s="55"/>
      <c r="E195" s="55"/>
      <c r="F195" s="55"/>
      <c r="G195" s="55"/>
      <c r="H195" s="55"/>
      <c r="I195" s="55"/>
      <c r="J195" s="55"/>
      <c r="K195" s="55"/>
      <c r="L195" s="55"/>
      <c r="M195" s="55"/>
      <c r="N195" s="55"/>
      <c r="O195" s="55"/>
      <c r="P195" s="55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  <c r="AB195" s="55"/>
      <c r="AC195" s="55"/>
      <c r="AD195" s="55"/>
      <c r="AE195" s="55"/>
      <c r="AF195" s="55"/>
      <c r="AG195" s="55"/>
      <c r="AH195" s="55"/>
      <c r="AI195" s="55"/>
      <c r="AJ195" s="55"/>
      <c r="AK195" s="55"/>
      <c r="AL195" s="55"/>
      <c r="AM195" s="55"/>
      <c r="AN195" s="55"/>
      <c r="AO195" s="55"/>
      <c r="AP195" s="55"/>
      <c r="AQ195" s="55"/>
      <c r="AR195" s="55"/>
      <c r="AS195" s="55"/>
      <c r="AT195" s="55"/>
      <c r="AU195" s="55"/>
      <c r="AV195" s="55"/>
      <c r="AW195" s="55"/>
      <c r="AX195" s="55"/>
      <c r="AY195" s="55"/>
      <c r="AZ195" s="55"/>
      <c r="BA195" s="55"/>
      <c r="BB195" s="55"/>
      <c r="BC195" s="55"/>
      <c r="BD195" s="55"/>
      <c r="BE195" s="55"/>
      <c r="BF195" s="55"/>
      <c r="BG195" s="55"/>
      <c r="BH195" s="55"/>
      <c r="BI195" s="55"/>
      <c r="BJ195" s="55"/>
      <c r="BK195" s="55"/>
      <c r="BL195" s="55"/>
      <c r="BM195" s="55"/>
      <c r="BN195" s="55"/>
      <c r="BO195" s="55"/>
      <c r="BP195" s="55"/>
      <c r="BQ195" s="55"/>
      <c r="BR195" s="55"/>
      <c r="BS195" s="55"/>
      <c r="BT195" s="55"/>
      <c r="BU195" s="55"/>
      <c r="BV195" s="55"/>
      <c r="BW195" s="55"/>
      <c r="BX195" s="55"/>
      <c r="BY195" s="55"/>
      <c r="BZ195" s="55"/>
      <c r="CA195" s="55"/>
      <c r="CB195" s="55"/>
      <c r="CC195" s="55"/>
      <c r="CD195" s="55"/>
      <c r="CE195" s="55"/>
      <c r="CF195" s="55"/>
      <c r="CG195" s="55"/>
      <c r="CH195" s="55"/>
      <c r="CI195" s="55"/>
      <c r="CJ195" s="55"/>
      <c r="CK195" s="55"/>
      <c r="CL195" s="55"/>
      <c r="CM195" s="55"/>
      <c r="CN195" s="55"/>
      <c r="CO195" s="55"/>
      <c r="CP195" s="67"/>
      <c r="CR195" s="439"/>
    </row>
    <row r="196" spans="1:97" s="16" customFormat="1" ht="30.75" customHeight="1">
      <c r="A196" s="1467" t="s">
        <v>655</v>
      </c>
      <c r="B196" s="1468"/>
      <c r="C196" s="1468"/>
      <c r="D196" s="1468"/>
      <c r="E196" s="1468"/>
      <c r="F196" s="1468"/>
      <c r="G196" s="1468"/>
      <c r="H196" s="1468"/>
      <c r="I196" s="1468"/>
      <c r="J196" s="1468"/>
      <c r="K196" s="1468"/>
      <c r="L196" s="1468"/>
      <c r="M196" s="1468"/>
      <c r="N196" s="1468"/>
      <c r="O196" s="1468"/>
      <c r="P196" s="1468"/>
      <c r="Q196" s="1468"/>
      <c r="R196" s="1468"/>
      <c r="S196" s="1468"/>
      <c r="T196" s="1468"/>
      <c r="U196" s="1468"/>
      <c r="V196" s="1468"/>
      <c r="W196" s="1468"/>
      <c r="X196" s="1468"/>
      <c r="Y196" s="1468"/>
      <c r="Z196" s="1468"/>
      <c r="AA196" s="1468"/>
      <c r="AB196" s="1468"/>
      <c r="AC196" s="1468"/>
      <c r="AD196" s="1468"/>
      <c r="AE196" s="1468"/>
      <c r="AF196" s="1468"/>
      <c r="AG196" s="1468"/>
      <c r="AH196" s="1468"/>
      <c r="AI196" s="1468"/>
      <c r="AJ196" s="1468"/>
      <c r="AK196" s="1468"/>
      <c r="AL196" s="1468"/>
      <c r="AM196" s="1468"/>
      <c r="AN196" s="1468"/>
      <c r="AO196" s="1468"/>
      <c r="AP196" s="1468"/>
      <c r="AQ196" s="1468"/>
      <c r="AR196" s="1468"/>
      <c r="AS196" s="1468"/>
      <c r="AT196" s="1468"/>
      <c r="AU196" s="1468"/>
      <c r="AV196" s="1468"/>
      <c r="AW196" s="1468"/>
      <c r="AX196" s="1468"/>
      <c r="AY196" s="1468"/>
      <c r="AZ196" s="1468"/>
      <c r="BA196" s="1468"/>
      <c r="BB196" s="1468"/>
      <c r="BC196" s="1468"/>
      <c r="BD196" s="1468"/>
      <c r="BE196" s="1468"/>
      <c r="BF196" s="1468"/>
      <c r="BG196" s="1468"/>
      <c r="BH196" s="1468"/>
      <c r="BI196" s="1468"/>
      <c r="BJ196" s="1468"/>
      <c r="BK196" s="1468"/>
      <c r="BL196" s="1468"/>
      <c r="BM196" s="1468"/>
      <c r="BN196" s="1468"/>
      <c r="BO196" s="1468"/>
      <c r="BP196" s="1468"/>
      <c r="BQ196" s="1468"/>
      <c r="BR196" s="1468"/>
      <c r="BS196" s="1468"/>
      <c r="BT196" s="1468"/>
      <c r="BU196" s="1468"/>
      <c r="BV196" s="1468"/>
      <c r="BW196" s="1468"/>
      <c r="BX196" s="1468"/>
      <c r="BY196" s="1468"/>
      <c r="BZ196" s="1468"/>
      <c r="CA196" s="1468"/>
      <c r="CB196" s="1468"/>
      <c r="CC196" s="1468"/>
      <c r="CD196" s="1468"/>
      <c r="CE196" s="1468"/>
      <c r="CF196" s="1468"/>
      <c r="CG196" s="1468"/>
      <c r="CH196" s="1468"/>
      <c r="CI196" s="1468"/>
      <c r="CJ196" s="1468"/>
      <c r="CK196" s="1468"/>
      <c r="CL196" s="1468"/>
      <c r="CM196" s="1468"/>
      <c r="CN196" s="1468"/>
      <c r="CO196" s="1468"/>
      <c r="CP196" s="1469"/>
      <c r="CR196" s="243"/>
    </row>
    <row r="197" spans="1:97" s="16" customFormat="1" ht="18" customHeight="1">
      <c r="A197" s="40"/>
      <c r="B197" s="41"/>
      <c r="C197" s="41"/>
      <c r="D197" s="42" t="s">
        <v>299</v>
      </c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57" t="s">
        <v>577</v>
      </c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41"/>
      <c r="AH197" s="41"/>
      <c r="AI197" s="41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41"/>
      <c r="AV197" s="41"/>
      <c r="AW197" s="41"/>
      <c r="AX197" s="41"/>
      <c r="AY197" s="41"/>
      <c r="AZ197" s="41"/>
      <c r="BA197" s="41"/>
      <c r="BB197" s="41"/>
      <c r="BC197" s="41"/>
      <c r="BD197" s="41"/>
      <c r="BE197" s="41"/>
      <c r="BF197" s="41"/>
      <c r="BG197" s="41"/>
      <c r="BH197" s="41"/>
      <c r="BI197" s="41"/>
      <c r="BJ197" s="41"/>
      <c r="BK197" s="41" t="s">
        <v>301</v>
      </c>
      <c r="BL197" s="41"/>
      <c r="BM197" s="41"/>
      <c r="BN197" s="41"/>
      <c r="BO197" s="41"/>
      <c r="BP197" s="41"/>
      <c r="BQ197" s="41"/>
      <c r="BR197" s="41"/>
      <c r="BS197" s="41"/>
      <c r="BT197" s="41"/>
      <c r="BU197" s="41"/>
      <c r="BV197" s="41"/>
      <c r="BW197" s="1470">
        <v>4434</v>
      </c>
      <c r="BX197" s="1478"/>
      <c r="BY197" s="1478"/>
      <c r="BZ197" s="1478"/>
      <c r="CA197" s="1478"/>
      <c r="CB197" s="1478"/>
      <c r="CC197" s="1478"/>
      <c r="CD197" s="1478"/>
      <c r="CE197" s="1478"/>
      <c r="CF197" s="1478"/>
      <c r="CG197" s="41" t="s">
        <v>308</v>
      </c>
      <c r="CH197" s="41"/>
      <c r="CI197" s="41"/>
      <c r="CJ197" s="41"/>
      <c r="CK197" s="41"/>
      <c r="CL197" s="41"/>
      <c r="CM197" s="41"/>
      <c r="CN197" s="41"/>
      <c r="CO197" s="41"/>
      <c r="CP197" s="43"/>
      <c r="CR197" s="243"/>
    </row>
    <row r="198" spans="1:97" s="16" customFormat="1" ht="18" customHeight="1">
      <c r="A198" s="17"/>
      <c r="D198" s="1461" t="s">
        <v>635</v>
      </c>
      <c r="E198" s="1462"/>
      <c r="F198" s="1462"/>
      <c r="G198" s="1462"/>
      <c r="H198" s="1462"/>
      <c r="I198" s="1462"/>
      <c r="J198" s="1462"/>
      <c r="K198" s="1462"/>
      <c r="L198" s="1462"/>
      <c r="M198" s="1462"/>
      <c r="N198" s="1462"/>
      <c r="O198" s="1462"/>
      <c r="P198" s="1462"/>
      <c r="Q198" s="1462"/>
      <c r="R198" s="1462"/>
      <c r="S198" s="1462"/>
      <c r="T198" s="1462"/>
      <c r="U198" s="1462"/>
      <c r="V198" s="1462"/>
      <c r="W198" s="1462"/>
      <c r="X198" s="1462"/>
      <c r="Y198" s="1462"/>
      <c r="Z198" s="1462"/>
      <c r="AA198" s="1462"/>
      <c r="AB198" s="1462"/>
      <c r="AC198" s="1462"/>
      <c r="AD198" s="1462"/>
      <c r="AE198" s="1462"/>
      <c r="AF198" s="1462"/>
      <c r="AG198" s="1462"/>
      <c r="AH198" s="1462"/>
      <c r="AI198" s="1462"/>
      <c r="AJ198" s="1462"/>
      <c r="AK198" s="1462"/>
      <c r="AL198" s="1462"/>
      <c r="AM198" s="1462"/>
      <c r="AN198" s="1462"/>
      <c r="AO198" s="1462"/>
      <c r="AP198" s="1462"/>
      <c r="AQ198" s="1462"/>
      <c r="AR198" s="1462"/>
      <c r="AS198" s="1462"/>
      <c r="AT198" s="1462"/>
      <c r="AU198" s="1462"/>
      <c r="AV198" s="1462"/>
      <c r="AW198" s="1462"/>
      <c r="AX198" s="1462"/>
      <c r="AY198" s="1462"/>
      <c r="AZ198" s="1462"/>
      <c r="BA198" s="1462"/>
      <c r="BB198" s="1462"/>
      <c r="BC198" s="1462"/>
      <c r="BD198" s="1462"/>
      <c r="BE198" s="1462"/>
      <c r="BF198" s="1462"/>
      <c r="BG198" s="1462"/>
      <c r="BH198" s="1462"/>
      <c r="BI198" s="1462"/>
      <c r="BJ198" s="1462"/>
      <c r="BK198" s="1462"/>
      <c r="BL198" s="1462"/>
      <c r="BM198" s="1462"/>
      <c r="BN198" s="1462"/>
      <c r="BO198" s="1462"/>
      <c r="BP198" s="1462"/>
      <c r="BQ198" s="1462"/>
      <c r="BR198" s="1462"/>
      <c r="BS198" s="1462"/>
      <c r="BT198" s="1462"/>
      <c r="BU198" s="1462"/>
      <c r="BV198" s="1462"/>
      <c r="BW198" s="1462"/>
      <c r="BX198" s="1462"/>
      <c r="BY198" s="1462"/>
      <c r="BZ198" s="1462"/>
      <c r="CA198" s="1462"/>
      <c r="CB198" s="1462"/>
      <c r="CC198" s="1462"/>
      <c r="CD198" s="1462"/>
      <c r="CE198" s="1462"/>
      <c r="CF198" s="1462"/>
      <c r="CG198" s="1462"/>
      <c r="CH198" s="1462"/>
      <c r="CI198" s="1462"/>
      <c r="CJ198" s="1462"/>
      <c r="CK198" s="1462"/>
      <c r="CL198" s="1462"/>
      <c r="CM198" s="1462"/>
      <c r="CN198" s="1462"/>
      <c r="CO198" s="1462"/>
      <c r="CP198" s="18"/>
      <c r="CR198" s="662"/>
      <c r="CS198" s="663" t="s">
        <v>781</v>
      </c>
    </row>
    <row r="199" spans="1:97" s="16" customFormat="1" ht="18" customHeight="1">
      <c r="A199" s="17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30"/>
      <c r="AF199" s="29"/>
      <c r="AG199" s="29"/>
      <c r="AH199" s="29"/>
      <c r="AI199" s="29"/>
      <c r="AJ199" s="29"/>
      <c r="AK199" s="29"/>
      <c r="AL199" s="29"/>
      <c r="AU199" s="29"/>
      <c r="AV199" s="29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  <c r="BH199" s="29"/>
      <c r="BI199" s="29"/>
      <c r="BJ199" s="29"/>
      <c r="BK199" s="29"/>
      <c r="BL199" s="29"/>
      <c r="BM199" s="29"/>
      <c r="BN199" s="29"/>
      <c r="BO199" s="29"/>
      <c r="BP199" s="29"/>
      <c r="BQ199" s="29"/>
      <c r="BS199" s="31"/>
      <c r="BT199" s="29"/>
      <c r="BU199" s="32"/>
      <c r="BV199" s="29"/>
      <c r="BW199" s="29"/>
      <c r="BX199" s="29"/>
      <c r="BY199" s="29"/>
      <c r="BZ199" s="29"/>
      <c r="CA199" s="29"/>
      <c r="CB199" s="29"/>
      <c r="CP199" s="18"/>
      <c r="CQ199" s="49"/>
      <c r="CR199" s="662"/>
      <c r="CS199" s="664"/>
    </row>
    <row r="200" spans="1:97" s="16" customFormat="1" ht="18" customHeight="1">
      <c r="A200" s="17"/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30"/>
      <c r="AF200" s="29"/>
      <c r="AG200" s="29"/>
      <c r="AH200" s="29"/>
      <c r="AI200" s="29"/>
      <c r="AJ200" s="29"/>
      <c r="AK200" s="29"/>
      <c r="AL200" s="29"/>
      <c r="AU200" s="29"/>
      <c r="AV200" s="29"/>
      <c r="AW200" s="29"/>
      <c r="AX200" s="29"/>
      <c r="AY200" s="29"/>
      <c r="AZ200" s="29"/>
      <c r="BA200" s="29"/>
      <c r="BB200" s="29"/>
      <c r="BC200" s="29"/>
      <c r="BD200" s="29"/>
      <c r="BE200" s="29"/>
      <c r="BF200" s="29"/>
      <c r="BG200" s="29"/>
      <c r="BH200" s="29"/>
      <c r="BI200" s="29"/>
      <c r="BJ200" s="29"/>
      <c r="BK200" s="29"/>
      <c r="BL200" s="29"/>
      <c r="BM200" s="29"/>
      <c r="BN200" s="29"/>
      <c r="BO200" s="29"/>
      <c r="BP200" s="29"/>
      <c r="BQ200" s="29"/>
      <c r="BS200" s="31"/>
      <c r="BT200" s="29"/>
      <c r="BU200" s="32"/>
      <c r="BV200" s="29"/>
      <c r="BW200" s="29"/>
      <c r="BX200" s="29"/>
      <c r="BY200" s="29"/>
      <c r="BZ200" s="29"/>
      <c r="CA200" s="29"/>
      <c r="CB200" s="29"/>
      <c r="CP200" s="18"/>
      <c r="CQ200" s="16" t="s">
        <v>97</v>
      </c>
      <c r="CR200" s="244">
        <f>VLOOKUP(CQ200,인건비!A:B,2,FALSE)</f>
        <v>283323</v>
      </c>
    </row>
    <row r="201" spans="1:97" s="16" customFormat="1" ht="18" customHeight="1">
      <c r="A201" s="17"/>
      <c r="BV201" s="32"/>
      <c r="BW201" s="29"/>
      <c r="BX201" s="29"/>
      <c r="BY201" s="29"/>
      <c r="BZ201" s="29"/>
      <c r="CA201" s="29"/>
      <c r="CB201" s="29"/>
      <c r="CC201" s="29"/>
      <c r="CD201" s="29"/>
      <c r="CP201" s="18"/>
      <c r="CR201" s="244"/>
    </row>
    <row r="202" spans="1:97" s="16" customFormat="1" ht="18" customHeight="1">
      <c r="A202" s="17"/>
      <c r="D202" s="1461" t="s">
        <v>656</v>
      </c>
      <c r="E202" s="1462"/>
      <c r="F202" s="1462"/>
      <c r="G202" s="1462"/>
      <c r="H202" s="1462"/>
      <c r="I202" s="1462"/>
      <c r="J202" s="1462"/>
      <c r="K202" s="1462"/>
      <c r="L202" s="1462"/>
      <c r="M202" s="1462"/>
      <c r="N202" s="1462"/>
      <c r="O202" s="1462"/>
      <c r="P202" s="1462"/>
      <c r="Q202" s="1462"/>
      <c r="R202" s="1462"/>
      <c r="S202" s="1462"/>
      <c r="T202" s="1462"/>
      <c r="U202" s="1462"/>
      <c r="V202" s="1462"/>
      <c r="W202" s="1462"/>
      <c r="X202" s="1462"/>
      <c r="Y202" s="1462"/>
      <c r="Z202" s="1462"/>
      <c r="AA202" s="1462"/>
      <c r="AB202" s="1462"/>
      <c r="AC202" s="1462"/>
      <c r="AD202" s="1462"/>
      <c r="AE202" s="1462"/>
      <c r="AF202" s="1462"/>
      <c r="AG202" s="1462"/>
      <c r="AH202" s="1462"/>
      <c r="AI202" s="1462"/>
      <c r="AJ202" s="1462"/>
      <c r="AK202" s="1462"/>
      <c r="AL202" s="1462"/>
      <c r="AM202" s="1462"/>
      <c r="AN202" s="1462"/>
      <c r="AO202" s="1462"/>
      <c r="AP202" s="1462"/>
      <c r="AQ202" s="1462"/>
      <c r="AR202" s="1462"/>
      <c r="AS202" s="1462"/>
      <c r="AT202" s="1462"/>
      <c r="AU202" s="1462"/>
      <c r="AV202" s="1462"/>
      <c r="AW202" s="1462"/>
      <c r="AX202" s="1462"/>
      <c r="AY202" s="1462"/>
      <c r="AZ202" s="1462"/>
      <c r="BA202" s="1462"/>
      <c r="BB202" s="1462"/>
      <c r="BC202" s="1462"/>
      <c r="BD202" s="1462"/>
      <c r="BE202" s="1462"/>
      <c r="BF202" s="1462"/>
      <c r="BG202" s="1462"/>
      <c r="BH202" s="1462"/>
      <c r="BI202" s="1462"/>
      <c r="BJ202" s="1462"/>
      <c r="BK202" s="1462"/>
      <c r="BL202" s="1462"/>
      <c r="BM202" s="1462"/>
      <c r="BN202" s="1462"/>
      <c r="BO202" s="1462"/>
      <c r="BP202" s="1462"/>
      <c r="BQ202" s="1462"/>
      <c r="BR202" s="1462"/>
      <c r="BS202" s="1462"/>
      <c r="BT202" s="1462"/>
      <c r="BU202" s="1462"/>
      <c r="BV202" s="1462"/>
      <c r="BW202" s="1462"/>
      <c r="BX202" s="1462"/>
      <c r="BY202" s="1462"/>
      <c r="BZ202" s="1462"/>
      <c r="CA202" s="1462"/>
      <c r="CB202" s="1462"/>
      <c r="CC202" s="1462"/>
      <c r="CD202" s="1462"/>
      <c r="CE202" s="1462"/>
      <c r="CF202" s="1462"/>
      <c r="CG202" s="1462"/>
      <c r="CH202" s="1462"/>
      <c r="CI202" s="1462"/>
      <c r="CJ202" s="1462"/>
      <c r="CK202" s="1462"/>
      <c r="CL202" s="1462"/>
      <c r="CM202" s="1462"/>
      <c r="CN202" s="1462"/>
      <c r="CO202" s="1462"/>
      <c r="CP202" s="18"/>
      <c r="CQ202" s="16" t="s">
        <v>176</v>
      </c>
      <c r="CR202" s="244">
        <f>VLOOKUP(CQ202,인건비!A:B,2,FALSE)</f>
        <v>210909</v>
      </c>
    </row>
    <row r="203" spans="1:97" s="16" customFormat="1" ht="18" customHeight="1">
      <c r="A203" s="17"/>
      <c r="U203" s="29"/>
      <c r="V203" s="29"/>
      <c r="W203" s="29"/>
      <c r="X203" s="29"/>
      <c r="Y203" s="29"/>
      <c r="AE203" s="44"/>
      <c r="AF203" s="29"/>
      <c r="AG203" s="29"/>
      <c r="AH203" s="29"/>
      <c r="AI203" s="29"/>
      <c r="AJ203" s="29"/>
      <c r="AK203" s="29"/>
      <c r="AL203" s="29"/>
      <c r="AT203" s="32"/>
      <c r="AU203" s="29"/>
      <c r="AV203" s="29"/>
      <c r="AW203" s="29"/>
      <c r="AX203" s="29"/>
      <c r="AY203" s="29"/>
      <c r="AZ203" s="29"/>
      <c r="BA203" s="29"/>
      <c r="CP203" s="18"/>
      <c r="CQ203" s="16" t="s">
        <v>96</v>
      </c>
      <c r="CR203" s="244">
        <f>VLOOKUP(CQ203,인건비!A:B,2,FALSE)</f>
        <v>173995</v>
      </c>
    </row>
    <row r="204" spans="1:97" s="16" customFormat="1" ht="18" customHeight="1">
      <c r="A204" s="17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AT204" s="32"/>
      <c r="AU204" s="29"/>
      <c r="AV204" s="29"/>
      <c r="AW204" s="29"/>
      <c r="AX204" s="29"/>
      <c r="AY204" s="29"/>
      <c r="AZ204" s="29"/>
      <c r="BA204" s="29"/>
      <c r="CP204" s="18"/>
      <c r="CQ204" s="16" t="s">
        <v>95</v>
      </c>
      <c r="CR204" s="244">
        <f>VLOOKUP(CQ204,인건비!A:B,2,FALSE)</f>
        <v>240042</v>
      </c>
    </row>
    <row r="205" spans="1:97" s="16" customFormat="1" ht="18" customHeight="1">
      <c r="A205" s="17"/>
      <c r="CP205" s="18"/>
      <c r="CQ205" s="16" t="s">
        <v>267</v>
      </c>
      <c r="CR205" s="245" t="e">
        <f>#REF!</f>
        <v>#REF!</v>
      </c>
    </row>
    <row r="206" spans="1:97" s="16" customFormat="1" ht="18" customHeight="1">
      <c r="A206" s="17"/>
      <c r="D206" s="1461" t="s">
        <v>670</v>
      </c>
      <c r="E206" s="1462"/>
      <c r="F206" s="1462"/>
      <c r="G206" s="1462"/>
      <c r="H206" s="1462"/>
      <c r="I206" s="1462"/>
      <c r="J206" s="1462"/>
      <c r="K206" s="1462"/>
      <c r="L206" s="1462"/>
      <c r="M206" s="1462"/>
      <c r="N206" s="1462"/>
      <c r="O206" s="1462"/>
      <c r="P206" s="1462"/>
      <c r="Q206" s="1462"/>
      <c r="R206" s="1462"/>
      <c r="S206" s="1462"/>
      <c r="T206" s="1462"/>
      <c r="U206" s="1462"/>
      <c r="V206" s="1462"/>
      <c r="W206" s="1462"/>
      <c r="X206" s="1462"/>
      <c r="Y206" s="1462"/>
      <c r="Z206" s="1462"/>
      <c r="AA206" s="1462"/>
      <c r="AB206" s="1462"/>
      <c r="AC206" s="1462"/>
      <c r="AD206" s="1462"/>
      <c r="AE206" s="1462"/>
      <c r="AF206" s="1462"/>
      <c r="AG206" s="1462"/>
      <c r="AH206" s="1462"/>
      <c r="AI206" s="1462"/>
      <c r="AJ206" s="1462"/>
      <c r="AK206" s="1462"/>
      <c r="AL206" s="1462"/>
      <c r="AM206" s="1462"/>
      <c r="AN206" s="1462"/>
      <c r="AO206" s="1462"/>
      <c r="AP206" s="1462"/>
      <c r="AQ206" s="1462"/>
      <c r="AR206" s="1462"/>
      <c r="AS206" s="1462"/>
      <c r="AT206" s="1462"/>
      <c r="AU206" s="1462"/>
      <c r="AV206" s="1462"/>
      <c r="AW206" s="1462"/>
      <c r="AX206" s="1462"/>
      <c r="AY206" s="1462"/>
      <c r="AZ206" s="1462"/>
      <c r="BA206" s="1462"/>
      <c r="BB206" s="1462"/>
      <c r="BC206" s="1462"/>
      <c r="BD206" s="1462"/>
      <c r="BE206" s="1462"/>
      <c r="BF206" s="1462"/>
      <c r="BG206" s="1462"/>
      <c r="BH206" s="1462"/>
      <c r="BI206" s="1462"/>
      <c r="BJ206" s="1462"/>
      <c r="BK206" s="1462"/>
      <c r="BL206" s="1462"/>
      <c r="BM206" s="1462"/>
      <c r="BN206" s="1462"/>
      <c r="BO206" s="1462"/>
      <c r="BP206" s="1462"/>
      <c r="BQ206" s="1462"/>
      <c r="BR206" s="1462"/>
      <c r="BS206" s="1462"/>
      <c r="BT206" s="1462"/>
      <c r="BU206" s="1462"/>
      <c r="BV206" s="1462"/>
      <c r="BW206" s="1462"/>
      <c r="BX206" s="1462"/>
      <c r="BY206" s="1462"/>
      <c r="BZ206" s="1462"/>
      <c r="CA206" s="1462"/>
      <c r="CB206" s="1462"/>
      <c r="CC206" s="1462"/>
      <c r="CD206" s="1462"/>
      <c r="CE206" s="1462"/>
      <c r="CF206" s="1462"/>
      <c r="CG206" s="1462"/>
      <c r="CH206" s="1462"/>
      <c r="CI206" s="1462"/>
      <c r="CJ206" s="1462"/>
      <c r="CK206" s="1462"/>
      <c r="CL206" s="1462"/>
      <c r="CM206" s="1462"/>
      <c r="CN206" s="1462"/>
      <c r="CO206" s="1462"/>
      <c r="CP206" s="18"/>
      <c r="CQ206" s="16" t="s">
        <v>268</v>
      </c>
      <c r="CR206" s="245" t="e">
        <f>#REF!</f>
        <v>#REF!</v>
      </c>
    </row>
    <row r="207" spans="1:97" s="16" customFormat="1" ht="18" customHeight="1" thickBot="1">
      <c r="A207" s="17"/>
      <c r="E207" s="49" t="s">
        <v>578</v>
      </c>
      <c r="AA207" s="1456">
        <v>6601</v>
      </c>
      <c r="AB207" s="1456"/>
      <c r="AC207" s="1456"/>
      <c r="AD207" s="1456"/>
      <c r="AE207" s="1456"/>
      <c r="AF207" s="1456"/>
      <c r="AG207" s="1456"/>
      <c r="AH207" s="1456"/>
      <c r="AI207" s="29" t="s">
        <v>313</v>
      </c>
      <c r="AJ207" s="29"/>
      <c r="AK207" s="1457">
        <v>10000000</v>
      </c>
      <c r="AL207" s="1457"/>
      <c r="AM207" s="1457"/>
      <c r="AN207" s="1457"/>
      <c r="AO207" s="1457"/>
      <c r="AP207" s="1457"/>
      <c r="AQ207" s="1457"/>
      <c r="AR207" s="1457"/>
      <c r="AS207" s="1457"/>
      <c r="AT207" s="1457"/>
      <c r="AU207" s="1457"/>
      <c r="AV207" s="29" t="s">
        <v>314</v>
      </c>
      <c r="AW207" s="29"/>
      <c r="AX207" s="1458">
        <f>BW197</f>
        <v>4434</v>
      </c>
      <c r="AY207" s="1474"/>
      <c r="AZ207" s="1474"/>
      <c r="BA207" s="1474"/>
      <c r="BB207" s="1474"/>
      <c r="BC207" s="1474"/>
      <c r="BD207" s="1474"/>
      <c r="BE207" s="1474"/>
      <c r="BF207" s="1474"/>
      <c r="BG207" s="16" t="s">
        <v>315</v>
      </c>
      <c r="BN207" s="1458">
        <f>INT(AA207/AK207*AX207*1000)</f>
        <v>2926</v>
      </c>
      <c r="BO207" s="1458"/>
      <c r="BP207" s="1458"/>
      <c r="BQ207" s="1458"/>
      <c r="BR207" s="1458"/>
      <c r="BS207" s="1458"/>
      <c r="BT207" s="1458"/>
      <c r="BU207" s="1458"/>
      <c r="BV207" s="16" t="s">
        <v>316</v>
      </c>
      <c r="CP207" s="18"/>
      <c r="CQ207" s="242"/>
      <c r="CR207" s="487"/>
    </row>
    <row r="208" spans="1:97" s="16" customFormat="1" ht="18" customHeight="1" thickTop="1">
      <c r="A208" s="17"/>
      <c r="D208" s="33"/>
      <c r="E208" s="34" t="s">
        <v>282</v>
      </c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3"/>
      <c r="T208" s="33"/>
      <c r="U208" s="33"/>
      <c r="V208" s="33"/>
      <c r="W208" s="33"/>
      <c r="X208" s="33"/>
      <c r="Y208" s="33"/>
      <c r="Z208" s="33"/>
      <c r="AA208" s="33"/>
      <c r="AB208" s="33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33"/>
      <c r="AR208" s="33"/>
      <c r="AS208" s="33"/>
      <c r="AT208" s="33"/>
      <c r="AU208" s="33"/>
      <c r="AV208" s="33"/>
      <c r="AW208" s="33"/>
      <c r="AX208" s="33"/>
      <c r="AY208" s="33"/>
      <c r="AZ208" s="33"/>
      <c r="BA208" s="33"/>
      <c r="BB208" s="33"/>
      <c r="BC208" s="33"/>
      <c r="BD208" s="33"/>
      <c r="BE208" s="33"/>
      <c r="BF208" s="33"/>
      <c r="BG208" s="33"/>
      <c r="BH208" s="33"/>
      <c r="BI208" s="33"/>
      <c r="BJ208" s="33"/>
      <c r="BK208" s="33"/>
      <c r="BL208" s="33"/>
      <c r="BM208" s="33"/>
      <c r="BN208" s="1459">
        <f>SUM(BN207)</f>
        <v>2926</v>
      </c>
      <c r="BO208" s="1472"/>
      <c r="BP208" s="1472"/>
      <c r="BQ208" s="1472"/>
      <c r="BR208" s="1472"/>
      <c r="BS208" s="1472"/>
      <c r="BT208" s="1472"/>
      <c r="BU208" s="1472"/>
      <c r="BV208" s="33" t="s">
        <v>316</v>
      </c>
      <c r="BW208" s="33"/>
      <c r="BX208" s="33"/>
      <c r="BY208" s="33"/>
      <c r="BZ208" s="33"/>
      <c r="CA208" s="33"/>
      <c r="CB208" s="33"/>
      <c r="CC208" s="33"/>
      <c r="CD208" s="33"/>
      <c r="CE208" s="33"/>
      <c r="CF208" s="33"/>
      <c r="CG208" s="33"/>
      <c r="CH208" s="33"/>
      <c r="CI208" s="33"/>
      <c r="CP208" s="18"/>
      <c r="CQ208" s="665" t="s">
        <v>835</v>
      </c>
      <c r="CR208" s="666" t="s">
        <v>630</v>
      </c>
    </row>
    <row r="209" spans="1:96" s="16" customFormat="1" ht="18" customHeight="1">
      <c r="A209" s="17"/>
      <c r="CP209" s="18"/>
      <c r="CQ209" s="49"/>
      <c r="CR209" s="439"/>
    </row>
    <row r="210" spans="1:96" s="16" customFormat="1" ht="18" customHeight="1">
      <c r="A210" s="17"/>
      <c r="E210" s="16" t="s">
        <v>317</v>
      </c>
      <c r="O210" s="1460">
        <f>BN208</f>
        <v>2926</v>
      </c>
      <c r="P210" s="1473"/>
      <c r="Q210" s="1473"/>
      <c r="R210" s="1473"/>
      <c r="S210" s="1473"/>
      <c r="T210" s="1473"/>
      <c r="U210" s="1473"/>
      <c r="V210" s="1473"/>
      <c r="W210" s="1473"/>
      <c r="X210" s="1473"/>
      <c r="Y210" s="16" t="s">
        <v>316</v>
      </c>
      <c r="CP210" s="18"/>
      <c r="CR210" s="243"/>
    </row>
    <row r="211" spans="1:96" s="16" customFormat="1" ht="18" customHeight="1">
      <c r="A211" s="17"/>
      <c r="O211" s="35"/>
      <c r="P211" s="36"/>
      <c r="Q211" s="36"/>
      <c r="R211" s="36"/>
      <c r="S211" s="36"/>
      <c r="T211" s="36"/>
      <c r="U211" s="36"/>
      <c r="V211" s="36"/>
      <c r="W211" s="36"/>
      <c r="X211" s="36"/>
      <c r="CP211" s="18"/>
      <c r="CR211" s="243"/>
    </row>
    <row r="212" spans="1:96" s="16" customFormat="1" ht="18" customHeight="1">
      <c r="A212" s="17"/>
      <c r="O212" s="35"/>
      <c r="P212" s="36"/>
      <c r="Q212" s="36"/>
      <c r="R212" s="36"/>
      <c r="S212" s="36"/>
      <c r="T212" s="36"/>
      <c r="U212" s="36"/>
      <c r="V212" s="36"/>
      <c r="W212" s="36"/>
      <c r="X212" s="36"/>
      <c r="CP212" s="18"/>
      <c r="CR212" s="243"/>
    </row>
    <row r="213" spans="1:96" s="16" customFormat="1" ht="18" customHeight="1">
      <c r="A213" s="17"/>
      <c r="O213" s="35"/>
      <c r="P213" s="36"/>
      <c r="Q213" s="36"/>
      <c r="R213" s="36"/>
      <c r="S213" s="36"/>
      <c r="T213" s="36"/>
      <c r="U213" s="36"/>
      <c r="V213" s="36"/>
      <c r="W213" s="36"/>
      <c r="X213" s="36"/>
      <c r="CP213" s="18"/>
      <c r="CR213" s="243"/>
    </row>
    <row r="214" spans="1:96" s="16" customFormat="1" ht="18" customHeight="1">
      <c r="A214" s="17"/>
      <c r="O214" s="35"/>
      <c r="P214" s="36"/>
      <c r="Q214" s="36"/>
      <c r="R214" s="36"/>
      <c r="S214" s="36"/>
      <c r="T214" s="36"/>
      <c r="U214" s="36"/>
      <c r="V214" s="36"/>
      <c r="W214" s="36"/>
      <c r="X214" s="36"/>
      <c r="CP214" s="18"/>
      <c r="CR214" s="243"/>
    </row>
    <row r="215" spans="1:96" s="16" customFormat="1" ht="18" customHeight="1">
      <c r="A215" s="17"/>
      <c r="O215" s="35"/>
      <c r="P215" s="36"/>
      <c r="Q215" s="36"/>
      <c r="R215" s="36"/>
      <c r="S215" s="36"/>
      <c r="T215" s="36"/>
      <c r="U215" s="36"/>
      <c r="V215" s="36"/>
      <c r="W215" s="36"/>
      <c r="X215" s="36"/>
      <c r="CP215" s="18"/>
      <c r="CR215" s="243"/>
    </row>
    <row r="216" spans="1:96" s="16" customFormat="1" ht="18" customHeight="1">
      <c r="A216" s="17"/>
      <c r="O216" s="35"/>
      <c r="P216" s="36"/>
      <c r="Q216" s="36"/>
      <c r="R216" s="36"/>
      <c r="S216" s="36"/>
      <c r="T216" s="36"/>
      <c r="U216" s="36"/>
      <c r="V216" s="36"/>
      <c r="W216" s="36"/>
      <c r="X216" s="36"/>
      <c r="CP216" s="18"/>
      <c r="CR216" s="243"/>
    </row>
    <row r="217" spans="1:96" s="16" customFormat="1" ht="18" customHeight="1">
      <c r="A217" s="17"/>
      <c r="O217" s="35"/>
      <c r="P217" s="36"/>
      <c r="Q217" s="36"/>
      <c r="R217" s="36"/>
      <c r="S217" s="36"/>
      <c r="T217" s="36"/>
      <c r="U217" s="36"/>
      <c r="V217" s="36"/>
      <c r="W217" s="36"/>
      <c r="X217" s="36"/>
      <c r="CP217" s="18"/>
      <c r="CR217" s="243"/>
    </row>
    <row r="218" spans="1:96" s="16" customFormat="1" ht="18" customHeight="1">
      <c r="A218" s="17"/>
      <c r="O218" s="35"/>
      <c r="P218" s="36"/>
      <c r="Q218" s="36"/>
      <c r="R218" s="36"/>
      <c r="S218" s="36"/>
      <c r="T218" s="36"/>
      <c r="U218" s="36"/>
      <c r="V218" s="36"/>
      <c r="W218" s="36"/>
      <c r="X218" s="36"/>
      <c r="CP218" s="18"/>
      <c r="CR218" s="243"/>
    </row>
    <row r="219" spans="1:96" s="16" customFormat="1" ht="18" customHeight="1">
      <c r="A219" s="17"/>
      <c r="O219" s="35"/>
      <c r="P219" s="36"/>
      <c r="Q219" s="36"/>
      <c r="R219" s="36"/>
      <c r="S219" s="36"/>
      <c r="T219" s="36"/>
      <c r="U219" s="36"/>
      <c r="V219" s="36"/>
      <c r="W219" s="36"/>
      <c r="X219" s="36"/>
      <c r="CP219" s="18"/>
      <c r="CR219" s="243"/>
    </row>
    <row r="220" spans="1:96" s="16" customFormat="1" ht="18" customHeight="1">
      <c r="A220" s="17"/>
      <c r="O220" s="35"/>
      <c r="P220" s="36"/>
      <c r="Q220" s="36"/>
      <c r="R220" s="36"/>
      <c r="S220" s="36"/>
      <c r="T220" s="36"/>
      <c r="U220" s="36"/>
      <c r="V220" s="36"/>
      <c r="W220" s="36"/>
      <c r="X220" s="36"/>
      <c r="CP220" s="18"/>
      <c r="CR220" s="243"/>
    </row>
    <row r="221" spans="1:96" s="16" customFormat="1" ht="18" customHeight="1">
      <c r="A221" s="17"/>
      <c r="O221" s="35"/>
      <c r="P221" s="36"/>
      <c r="Q221" s="36"/>
      <c r="R221" s="36"/>
      <c r="S221" s="36"/>
      <c r="T221" s="36"/>
      <c r="U221" s="36"/>
      <c r="V221" s="36"/>
      <c r="W221" s="36"/>
      <c r="X221" s="36"/>
      <c r="CP221" s="18"/>
      <c r="CR221" s="243"/>
    </row>
    <row r="222" spans="1:96" s="16" customFormat="1" ht="18" customHeight="1">
      <c r="A222" s="37"/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  <c r="R222" s="38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  <c r="AV222" s="38"/>
      <c r="AW222" s="38"/>
      <c r="AX222" s="38"/>
      <c r="AY222" s="38"/>
      <c r="AZ222" s="38"/>
      <c r="BA222" s="38"/>
      <c r="BB222" s="38"/>
      <c r="BC222" s="38"/>
      <c r="BD222" s="38"/>
      <c r="BE222" s="38"/>
      <c r="BF222" s="38"/>
      <c r="BG222" s="38"/>
      <c r="BH222" s="38"/>
      <c r="BI222" s="38"/>
      <c r="BJ222" s="38"/>
      <c r="BK222" s="38"/>
      <c r="BL222" s="38"/>
      <c r="BM222" s="38"/>
      <c r="BN222" s="38"/>
      <c r="BO222" s="38"/>
      <c r="BP222" s="38"/>
      <c r="BQ222" s="38"/>
      <c r="BR222" s="38"/>
      <c r="BS222" s="38"/>
      <c r="BT222" s="38"/>
      <c r="BU222" s="38"/>
      <c r="BV222" s="38"/>
      <c r="BW222" s="38"/>
      <c r="BX222" s="38"/>
      <c r="BY222" s="38"/>
      <c r="BZ222" s="38"/>
      <c r="CA222" s="38"/>
      <c r="CB222" s="38"/>
      <c r="CC222" s="38"/>
      <c r="CD222" s="38"/>
      <c r="CE222" s="38"/>
      <c r="CF222" s="38"/>
      <c r="CG222" s="38"/>
      <c r="CH222" s="38"/>
      <c r="CI222" s="38"/>
      <c r="CJ222" s="38"/>
      <c r="CK222" s="38"/>
      <c r="CL222" s="38"/>
      <c r="CM222" s="38"/>
      <c r="CN222" s="38"/>
      <c r="CO222" s="38"/>
      <c r="CP222" s="39"/>
      <c r="CR222" s="243"/>
    </row>
    <row r="223" spans="1:96" s="16" customFormat="1" ht="30.75" customHeight="1">
      <c r="A223" s="1467" t="s">
        <v>661</v>
      </c>
      <c r="B223" s="1468"/>
      <c r="C223" s="1468"/>
      <c r="D223" s="1468"/>
      <c r="E223" s="1468"/>
      <c r="F223" s="1468"/>
      <c r="G223" s="1468"/>
      <c r="H223" s="1468"/>
      <c r="I223" s="1468"/>
      <c r="J223" s="1468"/>
      <c r="K223" s="1468"/>
      <c r="L223" s="1468"/>
      <c r="M223" s="1468"/>
      <c r="N223" s="1468"/>
      <c r="O223" s="1468"/>
      <c r="P223" s="1468"/>
      <c r="Q223" s="1468"/>
      <c r="R223" s="1468"/>
      <c r="S223" s="1468"/>
      <c r="T223" s="1468"/>
      <c r="U223" s="1468"/>
      <c r="V223" s="1468"/>
      <c r="W223" s="1468"/>
      <c r="X223" s="1468"/>
      <c r="Y223" s="1468"/>
      <c r="Z223" s="1468"/>
      <c r="AA223" s="1468"/>
      <c r="AB223" s="1468"/>
      <c r="AC223" s="1468"/>
      <c r="AD223" s="1468"/>
      <c r="AE223" s="1468"/>
      <c r="AF223" s="1468"/>
      <c r="AG223" s="1468"/>
      <c r="AH223" s="1468"/>
      <c r="AI223" s="1468"/>
      <c r="AJ223" s="1468"/>
      <c r="AK223" s="1468"/>
      <c r="AL223" s="1468"/>
      <c r="AM223" s="1468"/>
      <c r="AN223" s="1468"/>
      <c r="AO223" s="1468"/>
      <c r="AP223" s="1468"/>
      <c r="AQ223" s="1468"/>
      <c r="AR223" s="1468"/>
      <c r="AS223" s="1468"/>
      <c r="AT223" s="1468"/>
      <c r="AU223" s="1468"/>
      <c r="AV223" s="1468"/>
      <c r="AW223" s="1468"/>
      <c r="AX223" s="1468"/>
      <c r="AY223" s="1468"/>
      <c r="AZ223" s="1468"/>
      <c r="BA223" s="1468"/>
      <c r="BB223" s="1468"/>
      <c r="BC223" s="1468"/>
      <c r="BD223" s="1468"/>
      <c r="BE223" s="1468"/>
      <c r="BF223" s="1468"/>
      <c r="BG223" s="1468"/>
      <c r="BH223" s="1468"/>
      <c r="BI223" s="1468"/>
      <c r="BJ223" s="1468"/>
      <c r="BK223" s="1468"/>
      <c r="BL223" s="1468"/>
      <c r="BM223" s="1468"/>
      <c r="BN223" s="1468"/>
      <c r="BO223" s="1468"/>
      <c r="BP223" s="1468"/>
      <c r="BQ223" s="1468"/>
      <c r="BR223" s="1468"/>
      <c r="BS223" s="1468"/>
      <c r="BT223" s="1468"/>
      <c r="BU223" s="1468"/>
      <c r="BV223" s="1468"/>
      <c r="BW223" s="1468"/>
      <c r="BX223" s="1468"/>
      <c r="BY223" s="1468"/>
      <c r="BZ223" s="1468"/>
      <c r="CA223" s="1468"/>
      <c r="CB223" s="1468"/>
      <c r="CC223" s="1468"/>
      <c r="CD223" s="1468"/>
      <c r="CE223" s="1468"/>
      <c r="CF223" s="1468"/>
      <c r="CG223" s="1468"/>
      <c r="CH223" s="1468"/>
      <c r="CI223" s="1468"/>
      <c r="CJ223" s="1468"/>
      <c r="CK223" s="1468"/>
      <c r="CL223" s="1468"/>
      <c r="CM223" s="1468"/>
      <c r="CN223" s="1468"/>
      <c r="CO223" s="1468"/>
      <c r="CP223" s="1469"/>
      <c r="CR223" s="243"/>
    </row>
    <row r="224" spans="1:96" s="16" customFormat="1" ht="18" customHeight="1">
      <c r="A224" s="40"/>
      <c r="B224" s="41"/>
      <c r="C224" s="41"/>
      <c r="D224" s="42" t="s">
        <v>299</v>
      </c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57" t="s">
        <v>555</v>
      </c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  <c r="AA224" s="41"/>
      <c r="AB224" s="41"/>
      <c r="AC224" s="41"/>
      <c r="AD224" s="41"/>
      <c r="AE224" s="41"/>
      <c r="AF224" s="41"/>
      <c r="AG224" s="41"/>
      <c r="AH224" s="41"/>
      <c r="AI224" s="41"/>
      <c r="AJ224" s="41"/>
      <c r="AK224" s="41"/>
      <c r="AL224" s="41"/>
      <c r="AM224" s="41"/>
      <c r="AN224" s="41"/>
      <c r="AO224" s="41"/>
      <c r="AP224" s="41"/>
      <c r="AQ224" s="41"/>
      <c r="AR224" s="41"/>
      <c r="AS224" s="41"/>
      <c r="AT224" s="41"/>
      <c r="AU224" s="41"/>
      <c r="AV224" s="41"/>
      <c r="AW224" s="41"/>
      <c r="AX224" s="41"/>
      <c r="AY224" s="41"/>
      <c r="AZ224" s="41"/>
      <c r="BA224" s="41"/>
      <c r="BB224" s="41"/>
      <c r="BC224" s="41"/>
      <c r="BD224" s="41"/>
      <c r="BE224" s="41"/>
      <c r="BF224" s="41"/>
      <c r="BG224" s="41"/>
      <c r="BH224" s="41"/>
      <c r="BI224" s="41"/>
      <c r="BJ224" s="41"/>
      <c r="BK224" s="41" t="s">
        <v>104</v>
      </c>
      <c r="BL224" s="41"/>
      <c r="BM224" s="41"/>
      <c r="BN224" s="41"/>
      <c r="BO224" s="41"/>
      <c r="BP224" s="41"/>
      <c r="BQ224" s="41"/>
      <c r="BR224" s="41"/>
      <c r="BS224" s="41"/>
      <c r="BT224" s="41"/>
      <c r="BU224" s="41"/>
      <c r="BV224" s="41"/>
      <c r="BW224" s="1470">
        <v>211750</v>
      </c>
      <c r="BX224" s="1478"/>
      <c r="BY224" s="1478"/>
      <c r="BZ224" s="1478"/>
      <c r="CA224" s="1478"/>
      <c r="CB224" s="1478"/>
      <c r="CC224" s="1478"/>
      <c r="CD224" s="1478"/>
      <c r="CE224" s="1478"/>
      <c r="CF224" s="1478"/>
      <c r="CG224" s="58" t="s">
        <v>107</v>
      </c>
      <c r="CH224" s="41"/>
      <c r="CI224" s="41"/>
      <c r="CJ224" s="41"/>
      <c r="CK224" s="41"/>
      <c r="CL224" s="41"/>
      <c r="CM224" s="41"/>
      <c r="CN224" s="41"/>
      <c r="CO224" s="41"/>
      <c r="CP224" s="43"/>
      <c r="CR224" s="247"/>
    </row>
    <row r="225" spans="1:97" s="16" customFormat="1" ht="18" customHeight="1">
      <c r="A225" s="17"/>
      <c r="D225" s="1461" t="s">
        <v>635</v>
      </c>
      <c r="E225" s="1462"/>
      <c r="F225" s="1462"/>
      <c r="G225" s="1462"/>
      <c r="H225" s="1462"/>
      <c r="I225" s="1462"/>
      <c r="J225" s="1462"/>
      <c r="K225" s="1462"/>
      <c r="L225" s="1462"/>
      <c r="M225" s="1462"/>
      <c r="N225" s="1462"/>
      <c r="O225" s="1462"/>
      <c r="P225" s="1462"/>
      <c r="Q225" s="1462"/>
      <c r="R225" s="1462"/>
      <c r="S225" s="1462"/>
      <c r="T225" s="1462"/>
      <c r="U225" s="1462"/>
      <c r="V225" s="1462"/>
      <c r="W225" s="1462"/>
      <c r="X225" s="1462"/>
      <c r="Y225" s="1462"/>
      <c r="Z225" s="1462"/>
      <c r="AA225" s="1462"/>
      <c r="AB225" s="1462"/>
      <c r="AC225" s="1462"/>
      <c r="AD225" s="1462"/>
      <c r="AE225" s="1462"/>
      <c r="AF225" s="1462"/>
      <c r="AG225" s="1462"/>
      <c r="AH225" s="1462"/>
      <c r="AI225" s="1462"/>
      <c r="AJ225" s="1462"/>
      <c r="AK225" s="1462"/>
      <c r="AL225" s="1462"/>
      <c r="AM225" s="1462"/>
      <c r="AN225" s="1462"/>
      <c r="AO225" s="1462"/>
      <c r="AP225" s="1462"/>
      <c r="AQ225" s="1462"/>
      <c r="AR225" s="1462"/>
      <c r="AS225" s="1462"/>
      <c r="AT225" s="1462"/>
      <c r="AU225" s="1462"/>
      <c r="AV225" s="1462"/>
      <c r="AW225" s="1462"/>
      <c r="AX225" s="1462"/>
      <c r="AY225" s="1462"/>
      <c r="AZ225" s="1462"/>
      <c r="BA225" s="1462"/>
      <c r="BB225" s="1462"/>
      <c r="BC225" s="1462"/>
      <c r="BD225" s="1462"/>
      <c r="BE225" s="1462"/>
      <c r="BF225" s="1462"/>
      <c r="BG225" s="1462"/>
      <c r="BH225" s="1462"/>
      <c r="BI225" s="1462"/>
      <c r="BJ225" s="1462"/>
      <c r="BK225" s="1462"/>
      <c r="BL225" s="1462"/>
      <c r="BM225" s="1462"/>
      <c r="BN225" s="1462"/>
      <c r="BO225" s="1462"/>
      <c r="BP225" s="1462"/>
      <c r="BQ225" s="1462"/>
      <c r="BR225" s="1462"/>
      <c r="BS225" s="1462"/>
      <c r="BT225" s="1462"/>
      <c r="BU225" s="1462"/>
      <c r="BV225" s="1462"/>
      <c r="BW225" s="1462"/>
      <c r="BX225" s="1462"/>
      <c r="BY225" s="1462"/>
      <c r="BZ225" s="1462"/>
      <c r="CA225" s="1462"/>
      <c r="CB225" s="1462"/>
      <c r="CC225" s="1462"/>
      <c r="CD225" s="1462"/>
      <c r="CE225" s="1462"/>
      <c r="CF225" s="1462"/>
      <c r="CG225" s="1462"/>
      <c r="CH225" s="1462"/>
      <c r="CI225" s="1462"/>
      <c r="CJ225" s="1462"/>
      <c r="CK225" s="1462"/>
      <c r="CL225" s="1462"/>
      <c r="CM225" s="1462"/>
      <c r="CN225" s="1462"/>
      <c r="CO225" s="1462"/>
      <c r="CP225" s="18"/>
      <c r="CR225" s="662"/>
      <c r="CS225" s="663" t="s">
        <v>533</v>
      </c>
    </row>
    <row r="226" spans="1:97" s="16" customFormat="1" ht="18" customHeight="1" thickBot="1">
      <c r="A226" s="17"/>
      <c r="E226" s="16" t="s">
        <v>60</v>
      </c>
      <c r="U226" s="1466">
        <v>1</v>
      </c>
      <c r="V226" s="1474"/>
      <c r="W226" s="1474"/>
      <c r="X226" s="1474"/>
      <c r="Y226" s="1474"/>
      <c r="Z226" s="29" t="s">
        <v>105</v>
      </c>
      <c r="AA226" s="29"/>
      <c r="AB226" s="29"/>
      <c r="AC226" s="29"/>
      <c r="AD226" s="29"/>
      <c r="AE226" s="1479">
        <f>CR227</f>
        <v>283323</v>
      </c>
      <c r="AF226" s="1477"/>
      <c r="AG226" s="1477"/>
      <c r="AH226" s="1477"/>
      <c r="AI226" s="1477"/>
      <c r="AJ226" s="1477"/>
      <c r="AK226" s="1477"/>
      <c r="AL226" s="1477"/>
      <c r="AM226" s="16" t="s">
        <v>106</v>
      </c>
      <c r="AU226" s="1466">
        <v>8</v>
      </c>
      <c r="AV226" s="1466"/>
      <c r="AW226" s="1466"/>
      <c r="AX226" s="29" t="s">
        <v>100</v>
      </c>
      <c r="AY226" s="29"/>
      <c r="AZ226" s="1466">
        <v>25</v>
      </c>
      <c r="BA226" s="1466"/>
      <c r="BB226" s="1466"/>
      <c r="BC226" s="29" t="s">
        <v>99</v>
      </c>
      <c r="BD226" s="29"/>
      <c r="BE226" s="1466">
        <v>20</v>
      </c>
      <c r="BF226" s="1466"/>
      <c r="BG226" s="1466"/>
      <c r="BH226" s="29" t="s">
        <v>100</v>
      </c>
      <c r="BI226" s="29"/>
      <c r="BJ226" s="1466">
        <v>16</v>
      </c>
      <c r="BK226" s="1466"/>
      <c r="BL226" s="1466"/>
      <c r="BM226" s="29" t="s">
        <v>99</v>
      </c>
      <c r="BN226" s="29"/>
      <c r="BO226" s="1466">
        <v>12</v>
      </c>
      <c r="BP226" s="1466"/>
      <c r="BQ226" s="1466"/>
      <c r="BS226" s="31" t="s">
        <v>103</v>
      </c>
      <c r="BT226" s="29"/>
      <c r="BU226" s="1458">
        <f>INT(U226*AE226*(1/AU226*(AZ226/BE226)*(BJ226/BO226)))</f>
        <v>59025</v>
      </c>
      <c r="BV226" s="1474"/>
      <c r="BW226" s="1474"/>
      <c r="BX226" s="1474"/>
      <c r="BY226" s="1474"/>
      <c r="BZ226" s="1474"/>
      <c r="CA226" s="1474"/>
      <c r="CB226" s="1474"/>
      <c r="CC226" s="16" t="s">
        <v>98</v>
      </c>
      <c r="CP226" s="18"/>
      <c r="CQ226" s="49"/>
      <c r="CR226" s="662"/>
      <c r="CS226" s="664"/>
    </row>
    <row r="227" spans="1:97" s="16" customFormat="1" ht="18" customHeight="1" thickTop="1">
      <c r="A227" s="17"/>
      <c r="D227" s="33"/>
      <c r="E227" s="34" t="s">
        <v>44</v>
      </c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3"/>
      <c r="T227" s="33"/>
      <c r="U227" s="33"/>
      <c r="V227" s="33"/>
      <c r="W227" s="33"/>
      <c r="X227" s="33"/>
      <c r="Y227" s="33"/>
      <c r="Z227" s="33"/>
      <c r="AA227" s="33"/>
      <c r="AB227" s="33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33"/>
      <c r="AR227" s="33"/>
      <c r="AS227" s="33"/>
      <c r="AT227" s="33"/>
      <c r="AU227" s="33"/>
      <c r="AV227" s="33"/>
      <c r="AW227" s="33"/>
      <c r="AX227" s="33"/>
      <c r="AY227" s="33"/>
      <c r="AZ227" s="33"/>
      <c r="BA227" s="33"/>
      <c r="BB227" s="33"/>
      <c r="BC227" s="33"/>
      <c r="BD227" s="33"/>
      <c r="BE227" s="33"/>
      <c r="BF227" s="33"/>
      <c r="BG227" s="33"/>
      <c r="BH227" s="33"/>
      <c r="BI227" s="33"/>
      <c r="BJ227" s="33"/>
      <c r="BK227" s="33"/>
      <c r="BL227" s="33"/>
      <c r="BM227" s="33"/>
      <c r="BN227" s="33"/>
      <c r="BO227" s="33"/>
      <c r="BP227" s="33"/>
      <c r="BQ227" s="33"/>
      <c r="BR227" s="33"/>
      <c r="BS227" s="33"/>
      <c r="BT227" s="33"/>
      <c r="BU227" s="1459">
        <f>INT(SUM(BU226))</f>
        <v>59025</v>
      </c>
      <c r="BV227" s="1472"/>
      <c r="BW227" s="1472"/>
      <c r="BX227" s="1472"/>
      <c r="BY227" s="1472"/>
      <c r="BZ227" s="1472"/>
      <c r="CA227" s="1472"/>
      <c r="CB227" s="1472"/>
      <c r="CC227" s="33" t="s">
        <v>98</v>
      </c>
      <c r="CD227" s="33"/>
      <c r="CE227" s="33"/>
      <c r="CF227" s="33"/>
      <c r="CG227" s="33"/>
      <c r="CH227" s="33"/>
      <c r="CI227" s="33"/>
      <c r="CP227" s="18"/>
      <c r="CQ227" s="16" t="s">
        <v>97</v>
      </c>
      <c r="CR227" s="244">
        <f>VLOOKUP(CQ227,인건비!A:B,2,FALSE)</f>
        <v>283323</v>
      </c>
    </row>
    <row r="228" spans="1:97" s="16" customFormat="1" ht="18" customHeight="1">
      <c r="A228" s="17"/>
      <c r="U228" s="29"/>
      <c r="V228" s="29"/>
      <c r="W228" s="29"/>
      <c r="X228" s="29"/>
      <c r="Y228" s="29"/>
      <c r="Z228" s="29"/>
      <c r="AA228" s="29"/>
      <c r="AB228" s="29"/>
      <c r="AC228" s="29"/>
      <c r="AD228" s="29"/>
      <c r="AE228" s="30"/>
      <c r="AF228" s="29"/>
      <c r="AG228" s="29"/>
      <c r="AH228" s="29"/>
      <c r="AI228" s="29"/>
      <c r="AJ228" s="29"/>
      <c r="AK228" s="29"/>
      <c r="AL228" s="29"/>
      <c r="AU228" s="29"/>
      <c r="AV228" s="29"/>
      <c r="AW228" s="29"/>
      <c r="AX228" s="29"/>
      <c r="AY228" s="29"/>
      <c r="AZ228" s="29"/>
      <c r="BA228" s="29"/>
      <c r="BB228" s="29"/>
      <c r="BC228" s="29"/>
      <c r="BD228" s="29"/>
      <c r="BE228" s="29"/>
      <c r="BF228" s="29"/>
      <c r="BG228" s="29"/>
      <c r="BH228" s="29"/>
      <c r="BI228" s="29"/>
      <c r="BJ228" s="29"/>
      <c r="BK228" s="29"/>
      <c r="BL228" s="29"/>
      <c r="BM228" s="29"/>
      <c r="BN228" s="29"/>
      <c r="BO228" s="29"/>
      <c r="BP228" s="29"/>
      <c r="BQ228" s="29"/>
      <c r="BS228" s="31"/>
      <c r="BT228" s="29"/>
      <c r="BU228" s="32"/>
      <c r="BV228" s="29"/>
      <c r="BW228" s="29"/>
      <c r="BX228" s="29"/>
      <c r="BY228" s="29"/>
      <c r="BZ228" s="29"/>
      <c r="CA228" s="29"/>
      <c r="CB228" s="29"/>
      <c r="CP228" s="18"/>
      <c r="CR228" s="244"/>
    </row>
    <row r="229" spans="1:97" s="16" customFormat="1" ht="18" customHeight="1">
      <c r="A229" s="17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BU229" s="32"/>
      <c r="BV229" s="29"/>
      <c r="BW229" s="29"/>
      <c r="BX229" s="29"/>
      <c r="BY229" s="29"/>
      <c r="BZ229" s="29"/>
      <c r="CA229" s="29"/>
      <c r="CB229" s="29"/>
      <c r="CP229" s="18"/>
      <c r="CQ229" s="16" t="s">
        <v>176</v>
      </c>
      <c r="CR229" s="244">
        <f>VLOOKUP(CQ229,인건비!A:B,2,FALSE)</f>
        <v>210909</v>
      </c>
    </row>
    <row r="230" spans="1:97" s="16" customFormat="1" ht="18" customHeight="1">
      <c r="A230" s="17"/>
      <c r="BV230" s="32"/>
      <c r="BW230" s="29"/>
      <c r="BX230" s="29"/>
      <c r="BY230" s="29"/>
      <c r="BZ230" s="29"/>
      <c r="CA230" s="29"/>
      <c r="CB230" s="29"/>
      <c r="CC230" s="29"/>
      <c r="CD230" s="29"/>
      <c r="CP230" s="18"/>
      <c r="CQ230" s="16" t="s">
        <v>96</v>
      </c>
      <c r="CR230" s="244">
        <f>VLOOKUP(CQ230,인건비!A:B,2,FALSE)</f>
        <v>173995</v>
      </c>
    </row>
    <row r="231" spans="1:97" s="16" customFormat="1" ht="18" customHeight="1">
      <c r="A231" s="17"/>
      <c r="D231" s="1461" t="s">
        <v>658</v>
      </c>
      <c r="E231" s="1462"/>
      <c r="F231" s="1462"/>
      <c r="G231" s="1462"/>
      <c r="H231" s="1462"/>
      <c r="I231" s="1462"/>
      <c r="J231" s="1462"/>
      <c r="K231" s="1462"/>
      <c r="L231" s="1462"/>
      <c r="M231" s="1462"/>
      <c r="N231" s="1462"/>
      <c r="O231" s="1462"/>
      <c r="P231" s="1462"/>
      <c r="Q231" s="1462"/>
      <c r="R231" s="1462"/>
      <c r="S231" s="1462"/>
      <c r="T231" s="1462"/>
      <c r="U231" s="1462"/>
      <c r="V231" s="1462"/>
      <c r="W231" s="1462"/>
      <c r="X231" s="1462"/>
      <c r="Y231" s="1462"/>
      <c r="Z231" s="1462"/>
      <c r="AA231" s="1462"/>
      <c r="AB231" s="1462"/>
      <c r="AC231" s="1462"/>
      <c r="AD231" s="1462"/>
      <c r="AE231" s="1462"/>
      <c r="AF231" s="1462"/>
      <c r="AG231" s="1462"/>
      <c r="AH231" s="1462"/>
      <c r="AI231" s="1462"/>
      <c r="AJ231" s="1462"/>
      <c r="AK231" s="1462"/>
      <c r="AL231" s="1462"/>
      <c r="AM231" s="1462"/>
      <c r="AN231" s="1462"/>
      <c r="AO231" s="1462"/>
      <c r="AP231" s="1462"/>
      <c r="AQ231" s="1462"/>
      <c r="AR231" s="1462"/>
      <c r="AS231" s="1462"/>
      <c r="AT231" s="1462"/>
      <c r="AU231" s="1462"/>
      <c r="AV231" s="1462"/>
      <c r="AW231" s="1462"/>
      <c r="AX231" s="1462"/>
      <c r="AY231" s="1462"/>
      <c r="AZ231" s="1462"/>
      <c r="BA231" s="1462"/>
      <c r="BB231" s="1462"/>
      <c r="BC231" s="1462"/>
      <c r="BD231" s="1462"/>
      <c r="BE231" s="1462"/>
      <c r="BF231" s="1462"/>
      <c r="BG231" s="1462"/>
      <c r="BH231" s="1462"/>
      <c r="BI231" s="1462"/>
      <c r="BJ231" s="1462"/>
      <c r="BK231" s="1462"/>
      <c r="BL231" s="1462"/>
      <c r="BM231" s="1462"/>
      <c r="BN231" s="1462"/>
      <c r="BO231" s="1462"/>
      <c r="BP231" s="1462"/>
      <c r="BQ231" s="1462"/>
      <c r="BR231" s="1462"/>
      <c r="BS231" s="1462"/>
      <c r="BT231" s="1462"/>
      <c r="BU231" s="1462"/>
      <c r="BV231" s="1462"/>
      <c r="BW231" s="1462"/>
      <c r="BX231" s="1462"/>
      <c r="BY231" s="1462"/>
      <c r="BZ231" s="1462"/>
      <c r="CA231" s="1462"/>
      <c r="CB231" s="1462"/>
      <c r="CC231" s="1462"/>
      <c r="CD231" s="1462"/>
      <c r="CE231" s="1462"/>
      <c r="CF231" s="1462"/>
      <c r="CG231" s="1462"/>
      <c r="CH231" s="1462"/>
      <c r="CI231" s="1462"/>
      <c r="CJ231" s="1462"/>
      <c r="CK231" s="1462"/>
      <c r="CL231" s="1462"/>
      <c r="CM231" s="1462"/>
      <c r="CN231" s="1462"/>
      <c r="CO231" s="1462"/>
      <c r="CP231" s="18"/>
      <c r="CQ231" s="16" t="s">
        <v>95</v>
      </c>
      <c r="CR231" s="244">
        <f>VLOOKUP(CQ231,인건비!A:B,2,FALSE)</f>
        <v>240042</v>
      </c>
    </row>
    <row r="232" spans="1:97" s="16" customFormat="1" ht="18" customHeight="1">
      <c r="A232" s="17"/>
      <c r="E232" s="16" t="s">
        <v>108</v>
      </c>
      <c r="U232" s="1463">
        <v>7</v>
      </c>
      <c r="V232" s="1473"/>
      <c r="W232" s="1473"/>
      <c r="X232" s="1473"/>
      <c r="Y232" s="1473"/>
      <c r="Z232" s="16" t="s">
        <v>266</v>
      </c>
      <c r="AE232" s="1464" t="e">
        <f>CR233</f>
        <v>#REF!</v>
      </c>
      <c r="AF232" s="1473"/>
      <c r="AG232" s="1473"/>
      <c r="AH232" s="1473"/>
      <c r="AI232" s="1473"/>
      <c r="AJ232" s="1473"/>
      <c r="AK232" s="1473"/>
      <c r="AL232" s="1473"/>
      <c r="AM232" s="16" t="s">
        <v>286</v>
      </c>
      <c r="AT232" s="1465" t="e">
        <f>INT(U232*AE232)</f>
        <v>#REF!</v>
      </c>
      <c r="AU232" s="1473"/>
      <c r="AV232" s="1473"/>
      <c r="AW232" s="1473"/>
      <c r="AX232" s="1473"/>
      <c r="AY232" s="1473"/>
      <c r="AZ232" s="1473"/>
      <c r="BA232" s="1473"/>
      <c r="BB232" s="16" t="s">
        <v>98</v>
      </c>
      <c r="CP232" s="18"/>
      <c r="CQ232" s="16" t="s">
        <v>267</v>
      </c>
      <c r="CR232" s="245" t="e">
        <f>#REF!</f>
        <v>#REF!</v>
      </c>
    </row>
    <row r="233" spans="1:97" s="16" customFormat="1" ht="18" customHeight="1" thickBot="1">
      <c r="A233" s="17"/>
      <c r="E233" s="16" t="s">
        <v>288</v>
      </c>
      <c r="U233" s="16" t="s">
        <v>289</v>
      </c>
      <c r="AE233" s="1466">
        <v>7</v>
      </c>
      <c r="AF233" s="1474"/>
      <c r="AG233" s="1474"/>
      <c r="AH233" s="1474"/>
      <c r="AI233" s="1474"/>
      <c r="AJ233" s="1474"/>
      <c r="AK233" s="1474"/>
      <c r="AL233" s="1474"/>
      <c r="AM233" s="16" t="s">
        <v>290</v>
      </c>
      <c r="AT233" s="1458" t="e">
        <f>INT(AT232*AE233/100)</f>
        <v>#REF!</v>
      </c>
      <c r="AU233" s="1458"/>
      <c r="AV233" s="1458"/>
      <c r="AW233" s="1458"/>
      <c r="AX233" s="1458"/>
      <c r="AY233" s="1458"/>
      <c r="AZ233" s="1458"/>
      <c r="BA233" s="1458"/>
      <c r="BB233" s="16" t="s">
        <v>98</v>
      </c>
      <c r="CP233" s="18"/>
      <c r="CQ233" s="16" t="s">
        <v>268</v>
      </c>
      <c r="CR233" s="245" t="e">
        <f>#REF!</f>
        <v>#REF!</v>
      </c>
    </row>
    <row r="234" spans="1:97" s="16" customFormat="1" ht="18" customHeight="1" thickTop="1">
      <c r="A234" s="17"/>
      <c r="D234" s="33"/>
      <c r="E234" s="34" t="s">
        <v>44</v>
      </c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3"/>
      <c r="T234" s="33"/>
      <c r="U234" s="33"/>
      <c r="V234" s="33"/>
      <c r="W234" s="33"/>
      <c r="X234" s="33"/>
      <c r="Y234" s="33"/>
      <c r="Z234" s="33"/>
      <c r="AA234" s="33"/>
      <c r="AB234" s="33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33"/>
      <c r="AR234" s="33"/>
      <c r="AS234" s="33"/>
      <c r="AT234" s="1459" t="e">
        <f>INT(SUM(AT232+AT233))</f>
        <v>#REF!</v>
      </c>
      <c r="AU234" s="1472"/>
      <c r="AV234" s="1472"/>
      <c r="AW234" s="1472"/>
      <c r="AX234" s="1472"/>
      <c r="AY234" s="1472"/>
      <c r="AZ234" s="1472"/>
      <c r="BA234" s="1472"/>
      <c r="BB234" s="33" t="s">
        <v>98</v>
      </c>
      <c r="BC234" s="33"/>
      <c r="BD234" s="33"/>
      <c r="BE234" s="33"/>
      <c r="BF234" s="33"/>
      <c r="BG234" s="33"/>
      <c r="BH234" s="33"/>
      <c r="BI234" s="33"/>
      <c r="BJ234" s="33"/>
      <c r="BK234" s="33"/>
      <c r="BL234" s="33"/>
      <c r="BM234" s="33"/>
      <c r="BN234" s="33"/>
      <c r="BO234" s="33"/>
      <c r="BP234" s="33"/>
      <c r="BQ234" s="33"/>
      <c r="BR234" s="33"/>
      <c r="BS234" s="33"/>
      <c r="BT234" s="33"/>
      <c r="BU234" s="33"/>
      <c r="BV234" s="33"/>
      <c r="BW234" s="33"/>
      <c r="BX234" s="33"/>
      <c r="BY234" s="33"/>
      <c r="BZ234" s="33"/>
      <c r="CA234" s="33"/>
      <c r="CB234" s="33"/>
      <c r="CC234" s="33"/>
      <c r="CD234" s="33"/>
      <c r="CE234" s="33"/>
      <c r="CF234" s="33"/>
      <c r="CG234" s="33"/>
      <c r="CH234" s="33"/>
      <c r="CI234" s="33"/>
      <c r="CP234" s="18"/>
      <c r="CQ234" s="665" t="s">
        <v>836</v>
      </c>
      <c r="CR234" s="666" t="s">
        <v>657</v>
      </c>
    </row>
    <row r="235" spans="1:97" s="16" customFormat="1" ht="18" customHeight="1">
      <c r="A235" s="17"/>
      <c r="CP235" s="18"/>
      <c r="CQ235" s="665" t="s">
        <v>768</v>
      </c>
      <c r="CR235" s="666" t="s">
        <v>659</v>
      </c>
    </row>
    <row r="236" spans="1:97" s="16" customFormat="1" ht="18" customHeight="1">
      <c r="A236" s="17"/>
      <c r="D236" s="1461" t="s">
        <v>660</v>
      </c>
      <c r="E236" s="1462"/>
      <c r="F236" s="1462"/>
      <c r="G236" s="1462"/>
      <c r="H236" s="1462"/>
      <c r="I236" s="1462"/>
      <c r="J236" s="1462"/>
      <c r="K236" s="1462"/>
      <c r="L236" s="1462"/>
      <c r="M236" s="1462"/>
      <c r="N236" s="1462"/>
      <c r="O236" s="1462"/>
      <c r="P236" s="1462"/>
      <c r="Q236" s="1462"/>
      <c r="R236" s="1462"/>
      <c r="S236" s="1462"/>
      <c r="T236" s="1462"/>
      <c r="U236" s="1462"/>
      <c r="V236" s="1462"/>
      <c r="W236" s="1462"/>
      <c r="X236" s="1462"/>
      <c r="Y236" s="1462"/>
      <c r="Z236" s="1462"/>
      <c r="AA236" s="1462"/>
      <c r="AB236" s="1462"/>
      <c r="AC236" s="1462"/>
      <c r="AD236" s="1462"/>
      <c r="AE236" s="1462"/>
      <c r="AF236" s="1462"/>
      <c r="AG236" s="1462"/>
      <c r="AH236" s="1462"/>
      <c r="AI236" s="1462"/>
      <c r="AJ236" s="1462"/>
      <c r="AK236" s="1462"/>
      <c r="AL236" s="1462"/>
      <c r="AM236" s="1462"/>
      <c r="AN236" s="1462"/>
      <c r="AO236" s="1462"/>
      <c r="AP236" s="1462"/>
      <c r="AQ236" s="1462"/>
      <c r="AR236" s="1462"/>
      <c r="AS236" s="1462"/>
      <c r="AT236" s="1462"/>
      <c r="AU236" s="1462"/>
      <c r="AV236" s="1462"/>
      <c r="AW236" s="1462"/>
      <c r="AX236" s="1462"/>
      <c r="AY236" s="1462"/>
      <c r="AZ236" s="1462"/>
      <c r="BA236" s="1462"/>
      <c r="BB236" s="1462"/>
      <c r="BC236" s="1462"/>
      <c r="BD236" s="1462"/>
      <c r="BE236" s="1462"/>
      <c r="BF236" s="1462"/>
      <c r="BG236" s="1462"/>
      <c r="BH236" s="1462"/>
      <c r="BI236" s="1462"/>
      <c r="BJ236" s="1462"/>
      <c r="BK236" s="1462"/>
      <c r="BL236" s="1462"/>
      <c r="BM236" s="1462"/>
      <c r="BN236" s="1462"/>
      <c r="BO236" s="1462"/>
      <c r="BP236" s="1462"/>
      <c r="BQ236" s="1462"/>
      <c r="BR236" s="1462"/>
      <c r="BS236" s="1462"/>
      <c r="BT236" s="1462"/>
      <c r="BU236" s="1462"/>
      <c r="BV236" s="1462"/>
      <c r="BW236" s="1462"/>
      <c r="BX236" s="1462"/>
      <c r="BY236" s="1462"/>
      <c r="BZ236" s="1462"/>
      <c r="CA236" s="1462"/>
      <c r="CB236" s="1462"/>
      <c r="CC236" s="1462"/>
      <c r="CD236" s="1462"/>
      <c r="CE236" s="1462"/>
      <c r="CF236" s="1462"/>
      <c r="CG236" s="1462"/>
      <c r="CH236" s="1462"/>
      <c r="CI236" s="1462"/>
      <c r="CJ236" s="1462"/>
      <c r="CK236" s="1462"/>
      <c r="CL236" s="1462"/>
      <c r="CM236" s="1462"/>
      <c r="CN236" s="1462"/>
      <c r="CO236" s="1462"/>
      <c r="CP236" s="18"/>
      <c r="CR236" s="243"/>
    </row>
    <row r="237" spans="1:97" s="16" customFormat="1" ht="18" customHeight="1" thickBot="1">
      <c r="A237" s="17"/>
      <c r="E237" s="16" t="s">
        <v>325</v>
      </c>
      <c r="AA237" s="1456">
        <v>2362</v>
      </c>
      <c r="AB237" s="1456"/>
      <c r="AC237" s="1456"/>
      <c r="AD237" s="1456"/>
      <c r="AE237" s="1456"/>
      <c r="AF237" s="1456"/>
      <c r="AG237" s="1456"/>
      <c r="AH237" s="1456"/>
      <c r="AI237" s="29" t="s">
        <v>99</v>
      </c>
      <c r="AJ237" s="29"/>
      <c r="AK237" s="1457">
        <v>10000000</v>
      </c>
      <c r="AL237" s="1475"/>
      <c r="AM237" s="1475"/>
      <c r="AN237" s="1475"/>
      <c r="AO237" s="1475"/>
      <c r="AP237" s="1475"/>
      <c r="AQ237" s="1475"/>
      <c r="AR237" s="1475"/>
      <c r="AS237" s="1475"/>
      <c r="AT237" s="1475"/>
      <c r="AU237" s="1475"/>
      <c r="AV237" s="29" t="s">
        <v>100</v>
      </c>
      <c r="AW237" s="29"/>
      <c r="AX237" s="1458">
        <f>BW224</f>
        <v>211750</v>
      </c>
      <c r="AY237" s="1474"/>
      <c r="AZ237" s="1474"/>
      <c r="BA237" s="1474"/>
      <c r="BB237" s="1474"/>
      <c r="BC237" s="1474"/>
      <c r="BD237" s="1474"/>
      <c r="BE237" s="1474"/>
      <c r="BF237" s="1474"/>
      <c r="BG237" s="16" t="s">
        <v>101</v>
      </c>
      <c r="BN237" s="1458">
        <f>INT(AA237/AK237*AX237*1000)</f>
        <v>50015</v>
      </c>
      <c r="BO237" s="1458"/>
      <c r="BP237" s="1458"/>
      <c r="BQ237" s="1458"/>
      <c r="BR237" s="1458"/>
      <c r="BS237" s="1458"/>
      <c r="BT237" s="1458"/>
      <c r="BU237" s="1458"/>
      <c r="BV237" s="16" t="s">
        <v>98</v>
      </c>
      <c r="CP237" s="18"/>
      <c r="CR237" s="243"/>
    </row>
    <row r="238" spans="1:97" s="16" customFormat="1" ht="18" customHeight="1" thickTop="1">
      <c r="A238" s="17"/>
      <c r="D238" s="33"/>
      <c r="E238" s="34" t="s">
        <v>44</v>
      </c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3"/>
      <c r="T238" s="33"/>
      <c r="U238" s="33"/>
      <c r="V238" s="33"/>
      <c r="W238" s="33"/>
      <c r="X238" s="33"/>
      <c r="Y238" s="33"/>
      <c r="Z238" s="33"/>
      <c r="AA238" s="33"/>
      <c r="AB238" s="33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33"/>
      <c r="AR238" s="33"/>
      <c r="AS238" s="33"/>
      <c r="AT238" s="33"/>
      <c r="AU238" s="33"/>
      <c r="AV238" s="33"/>
      <c r="AW238" s="33"/>
      <c r="AX238" s="33"/>
      <c r="AY238" s="33"/>
      <c r="AZ238" s="33"/>
      <c r="BA238" s="33"/>
      <c r="BB238" s="33"/>
      <c r="BC238" s="33"/>
      <c r="BD238" s="33"/>
      <c r="BE238" s="33"/>
      <c r="BF238" s="33"/>
      <c r="BG238" s="33"/>
      <c r="BH238" s="33"/>
      <c r="BI238" s="33"/>
      <c r="BJ238" s="33"/>
      <c r="BK238" s="33"/>
      <c r="BL238" s="33"/>
      <c r="BM238" s="33"/>
      <c r="BN238" s="1459">
        <f>SUM(BN237)</f>
        <v>50015</v>
      </c>
      <c r="BO238" s="1472"/>
      <c r="BP238" s="1472"/>
      <c r="BQ238" s="1472"/>
      <c r="BR238" s="1472"/>
      <c r="BS238" s="1472"/>
      <c r="BT238" s="1472"/>
      <c r="BU238" s="1472"/>
      <c r="BV238" s="33" t="s">
        <v>98</v>
      </c>
      <c r="BW238" s="33"/>
      <c r="BX238" s="33"/>
      <c r="BY238" s="33"/>
      <c r="BZ238" s="33"/>
      <c r="CA238" s="33"/>
      <c r="CB238" s="33"/>
      <c r="CC238" s="33"/>
      <c r="CD238" s="33"/>
      <c r="CE238" s="33"/>
      <c r="CF238" s="33"/>
      <c r="CG238" s="33"/>
      <c r="CH238" s="33"/>
      <c r="CI238" s="33"/>
      <c r="CP238" s="18"/>
      <c r="CR238" s="243"/>
    </row>
    <row r="239" spans="1:97" s="16" customFormat="1" ht="18" customHeight="1">
      <c r="A239" s="17"/>
      <c r="CP239" s="18"/>
      <c r="CR239" s="243"/>
    </row>
    <row r="240" spans="1:97" s="16" customFormat="1" ht="18" customHeight="1">
      <c r="A240" s="17"/>
      <c r="E240" s="16" t="s">
        <v>102</v>
      </c>
      <c r="O240" s="1460">
        <f>BU227</f>
        <v>59025</v>
      </c>
      <c r="P240" s="1473"/>
      <c r="Q240" s="1473"/>
      <c r="R240" s="1473"/>
      <c r="S240" s="1473"/>
      <c r="T240" s="1473"/>
      <c r="U240" s="1473"/>
      <c r="V240" s="1473"/>
      <c r="W240" s="1473"/>
      <c r="X240" s="1473"/>
      <c r="Y240" s="29" t="s">
        <v>59</v>
      </c>
      <c r="Z240" s="29"/>
      <c r="AA240" s="1460" t="e">
        <f>AT234</f>
        <v>#REF!</v>
      </c>
      <c r="AB240" s="1473"/>
      <c r="AC240" s="1473"/>
      <c r="AD240" s="1473"/>
      <c r="AE240" s="1473"/>
      <c r="AF240" s="1473"/>
      <c r="AG240" s="1473"/>
      <c r="AH240" s="1473"/>
      <c r="AI240" s="1473"/>
      <c r="AJ240" s="1473"/>
      <c r="AK240" s="29" t="s">
        <v>59</v>
      </c>
      <c r="AL240" s="29"/>
      <c r="AM240" s="1460">
        <f>BN238</f>
        <v>50015</v>
      </c>
      <c r="AN240" s="1473"/>
      <c r="AO240" s="1473"/>
      <c r="AP240" s="1473"/>
      <c r="AQ240" s="1473"/>
      <c r="AR240" s="1473"/>
      <c r="AS240" s="1473"/>
      <c r="AT240" s="1473"/>
      <c r="AU240" s="1473"/>
      <c r="AV240" s="1473"/>
      <c r="AW240" s="31" t="s">
        <v>103</v>
      </c>
      <c r="AX240" s="29"/>
      <c r="AY240" s="1460" t="e">
        <f>O240+AA240+AM240</f>
        <v>#REF!</v>
      </c>
      <c r="AZ240" s="1473"/>
      <c r="BA240" s="1473"/>
      <c r="BB240" s="1473"/>
      <c r="BC240" s="1473"/>
      <c r="BD240" s="1473"/>
      <c r="BE240" s="1473"/>
      <c r="BF240" s="1473"/>
      <c r="BG240" s="1473"/>
      <c r="BH240" s="1473"/>
      <c r="BI240" s="16" t="s">
        <v>98</v>
      </c>
      <c r="CP240" s="18"/>
      <c r="CR240" s="243"/>
    </row>
    <row r="241" spans="1:97" s="16" customFormat="1" ht="18" customHeight="1">
      <c r="A241" s="17"/>
      <c r="O241" s="35"/>
      <c r="P241" s="36"/>
      <c r="Q241" s="36"/>
      <c r="R241" s="36"/>
      <c r="S241" s="36"/>
      <c r="T241" s="36"/>
      <c r="U241" s="36"/>
      <c r="V241" s="36"/>
      <c r="W241" s="36"/>
      <c r="X241" s="36"/>
      <c r="Y241" s="29"/>
      <c r="Z241" s="29"/>
      <c r="AA241" s="35"/>
      <c r="AB241" s="36"/>
      <c r="AC241" s="36"/>
      <c r="AD241" s="36"/>
      <c r="AE241" s="36"/>
      <c r="AF241" s="36"/>
      <c r="AG241" s="36"/>
      <c r="AH241" s="36"/>
      <c r="AI241" s="36"/>
      <c r="AJ241" s="36"/>
      <c r="AK241" s="29"/>
      <c r="AL241" s="29"/>
      <c r="AM241" s="35"/>
      <c r="AN241" s="36"/>
      <c r="AO241" s="36"/>
      <c r="AP241" s="36"/>
      <c r="AQ241" s="36"/>
      <c r="AR241" s="36"/>
      <c r="AS241" s="36"/>
      <c r="AT241" s="36"/>
      <c r="AU241" s="36"/>
      <c r="AV241" s="36"/>
      <c r="AW241" s="31"/>
      <c r="AX241" s="29"/>
      <c r="AY241" s="35"/>
      <c r="AZ241" s="36"/>
      <c r="BA241" s="36"/>
      <c r="BB241" s="36"/>
      <c r="BC241" s="36"/>
      <c r="BD241" s="36"/>
      <c r="BE241" s="36"/>
      <c r="BF241" s="36"/>
      <c r="BG241" s="36"/>
      <c r="BH241" s="36"/>
      <c r="CP241" s="18"/>
      <c r="CR241" s="243"/>
    </row>
    <row r="242" spans="1:97" s="16" customFormat="1" ht="18" customHeight="1">
      <c r="A242" s="17"/>
      <c r="O242" s="35"/>
      <c r="P242" s="36"/>
      <c r="Q242" s="36"/>
      <c r="R242" s="36"/>
      <c r="S242" s="36"/>
      <c r="T242" s="36"/>
      <c r="U242" s="36"/>
      <c r="V242" s="36"/>
      <c r="W242" s="36"/>
      <c r="X242" s="36"/>
      <c r="Y242" s="29"/>
      <c r="Z242" s="29"/>
      <c r="AA242" s="35"/>
      <c r="AB242" s="36"/>
      <c r="AC242" s="36"/>
      <c r="AD242" s="36"/>
      <c r="AE242" s="36"/>
      <c r="AF242" s="36"/>
      <c r="AG242" s="36"/>
      <c r="AH242" s="36"/>
      <c r="AI242" s="36"/>
      <c r="AJ242" s="36"/>
      <c r="AK242" s="29"/>
      <c r="AL242" s="29"/>
      <c r="AM242" s="35"/>
      <c r="AN242" s="36"/>
      <c r="AO242" s="36"/>
      <c r="AP242" s="36"/>
      <c r="AQ242" s="36"/>
      <c r="AR242" s="36"/>
      <c r="AS242" s="36"/>
      <c r="AT242" s="36"/>
      <c r="AU242" s="36"/>
      <c r="AV242" s="36"/>
      <c r="AW242" s="31"/>
      <c r="AX242" s="29"/>
      <c r="AY242" s="35"/>
      <c r="AZ242" s="36"/>
      <c r="BA242" s="36"/>
      <c r="BB242" s="36"/>
      <c r="BC242" s="36"/>
      <c r="BD242" s="36"/>
      <c r="BE242" s="36"/>
      <c r="BF242" s="36"/>
      <c r="BG242" s="36"/>
      <c r="BH242" s="36"/>
      <c r="CP242" s="18"/>
      <c r="CR242" s="243"/>
    </row>
    <row r="243" spans="1:97" s="16" customFormat="1" ht="18" customHeight="1">
      <c r="A243" s="17"/>
      <c r="O243" s="35"/>
      <c r="P243" s="36"/>
      <c r="Q243" s="36"/>
      <c r="R243" s="36"/>
      <c r="S243" s="36"/>
      <c r="T243" s="36"/>
      <c r="U243" s="36"/>
      <c r="V243" s="36"/>
      <c r="W243" s="36"/>
      <c r="X243" s="36"/>
      <c r="Y243" s="29"/>
      <c r="Z243" s="29"/>
      <c r="AA243" s="35"/>
      <c r="AB243" s="36"/>
      <c r="AC243" s="36"/>
      <c r="AD243" s="36"/>
      <c r="AE243" s="36"/>
      <c r="AF243" s="36"/>
      <c r="AG243" s="36"/>
      <c r="AH243" s="36"/>
      <c r="AI243" s="36"/>
      <c r="AJ243" s="36"/>
      <c r="AK243" s="29"/>
      <c r="AL243" s="29"/>
      <c r="AM243" s="35"/>
      <c r="AN243" s="36"/>
      <c r="AO243" s="36"/>
      <c r="AP243" s="36"/>
      <c r="AQ243" s="36"/>
      <c r="AR243" s="36"/>
      <c r="AS243" s="36"/>
      <c r="AT243" s="36"/>
      <c r="AU243" s="36"/>
      <c r="AV243" s="36"/>
      <c r="AW243" s="31"/>
      <c r="AX243" s="29"/>
      <c r="AY243" s="35"/>
      <c r="AZ243" s="36"/>
      <c r="BA243" s="36"/>
      <c r="BB243" s="36"/>
      <c r="BC243" s="36"/>
      <c r="BD243" s="36"/>
      <c r="BE243" s="36"/>
      <c r="BF243" s="36"/>
      <c r="BG243" s="36"/>
      <c r="BH243" s="36"/>
      <c r="CP243" s="18"/>
      <c r="CR243" s="243"/>
    </row>
    <row r="244" spans="1:97" s="16" customFormat="1" ht="18" customHeight="1">
      <c r="A244" s="17"/>
      <c r="O244" s="35"/>
      <c r="P244" s="36"/>
      <c r="Q244" s="36"/>
      <c r="R244" s="36"/>
      <c r="S244" s="36"/>
      <c r="T244" s="36"/>
      <c r="U244" s="36"/>
      <c r="V244" s="36"/>
      <c r="W244" s="36"/>
      <c r="X244" s="36"/>
      <c r="Y244" s="29"/>
      <c r="Z244" s="29"/>
      <c r="AA244" s="35"/>
      <c r="AB244" s="36"/>
      <c r="AC244" s="36"/>
      <c r="AD244" s="36"/>
      <c r="AE244" s="36"/>
      <c r="AF244" s="36"/>
      <c r="AG244" s="36"/>
      <c r="AH244" s="36"/>
      <c r="AI244" s="36"/>
      <c r="AJ244" s="36"/>
      <c r="AK244" s="29"/>
      <c r="AL244" s="29"/>
      <c r="AM244" s="35"/>
      <c r="AN244" s="36"/>
      <c r="AO244" s="36"/>
      <c r="AP244" s="36"/>
      <c r="AQ244" s="36"/>
      <c r="AR244" s="36"/>
      <c r="AS244" s="36"/>
      <c r="AT244" s="36"/>
      <c r="AU244" s="36"/>
      <c r="AV244" s="36"/>
      <c r="AW244" s="31"/>
      <c r="AX244" s="29"/>
      <c r="AY244" s="35"/>
      <c r="AZ244" s="36"/>
      <c r="BA244" s="36"/>
      <c r="BB244" s="36"/>
      <c r="BC244" s="36"/>
      <c r="BD244" s="36"/>
      <c r="BE244" s="36"/>
      <c r="BF244" s="36"/>
      <c r="BG244" s="36"/>
      <c r="BH244" s="36"/>
      <c r="CP244" s="18"/>
      <c r="CR244" s="243"/>
    </row>
    <row r="245" spans="1:97" s="16" customFormat="1" ht="18" customHeight="1">
      <c r="A245" s="17"/>
      <c r="O245" s="35"/>
      <c r="P245" s="36"/>
      <c r="Q245" s="36"/>
      <c r="R245" s="36"/>
      <c r="S245" s="36"/>
      <c r="T245" s="36"/>
      <c r="U245" s="36"/>
      <c r="V245" s="36"/>
      <c r="W245" s="36"/>
      <c r="X245" s="36"/>
      <c r="Y245" s="29"/>
      <c r="Z245" s="29"/>
      <c r="AA245" s="35"/>
      <c r="AB245" s="36"/>
      <c r="AC245" s="36"/>
      <c r="AD245" s="36"/>
      <c r="AE245" s="36"/>
      <c r="AF245" s="36"/>
      <c r="AG245" s="36"/>
      <c r="AH245" s="36"/>
      <c r="AI245" s="36"/>
      <c r="AJ245" s="36"/>
      <c r="AK245" s="29"/>
      <c r="AL245" s="29"/>
      <c r="AM245" s="35"/>
      <c r="AN245" s="36"/>
      <c r="AO245" s="36"/>
      <c r="AP245" s="36"/>
      <c r="AQ245" s="36"/>
      <c r="AR245" s="36"/>
      <c r="AS245" s="36"/>
      <c r="AT245" s="36"/>
      <c r="AU245" s="36"/>
      <c r="AV245" s="36"/>
      <c r="AW245" s="31"/>
      <c r="AX245" s="29"/>
      <c r="AY245" s="35"/>
      <c r="AZ245" s="36"/>
      <c r="BA245" s="36"/>
      <c r="BB245" s="36"/>
      <c r="BC245" s="36"/>
      <c r="BD245" s="36"/>
      <c r="BE245" s="36"/>
      <c r="BF245" s="36"/>
      <c r="BG245" s="36"/>
      <c r="BH245" s="36"/>
      <c r="CP245" s="18"/>
      <c r="CR245" s="243"/>
    </row>
    <row r="246" spans="1:97" s="16" customFormat="1" ht="18" customHeight="1">
      <c r="A246" s="17"/>
      <c r="O246" s="35"/>
      <c r="P246" s="36"/>
      <c r="Q246" s="36"/>
      <c r="R246" s="36"/>
      <c r="S246" s="36"/>
      <c r="T246" s="36"/>
      <c r="U246" s="36"/>
      <c r="V246" s="36"/>
      <c r="W246" s="36"/>
      <c r="X246" s="36"/>
      <c r="Y246" s="29"/>
      <c r="Z246" s="29"/>
      <c r="AA246" s="35"/>
      <c r="AB246" s="36"/>
      <c r="AC246" s="36"/>
      <c r="AD246" s="36"/>
      <c r="AE246" s="36"/>
      <c r="AF246" s="36"/>
      <c r="AG246" s="36"/>
      <c r="AH246" s="36"/>
      <c r="AI246" s="36"/>
      <c r="AJ246" s="36"/>
      <c r="AK246" s="29"/>
      <c r="AL246" s="29"/>
      <c r="AM246" s="35"/>
      <c r="AN246" s="36"/>
      <c r="AO246" s="36"/>
      <c r="AP246" s="36"/>
      <c r="AQ246" s="36"/>
      <c r="AR246" s="36"/>
      <c r="AS246" s="36"/>
      <c r="AT246" s="36"/>
      <c r="AU246" s="36"/>
      <c r="AV246" s="36"/>
      <c r="AW246" s="31"/>
      <c r="AX246" s="29"/>
      <c r="AY246" s="35"/>
      <c r="AZ246" s="36"/>
      <c r="BA246" s="36"/>
      <c r="BB246" s="36"/>
      <c r="BC246" s="36"/>
      <c r="BD246" s="36"/>
      <c r="BE246" s="36"/>
      <c r="BF246" s="36"/>
      <c r="BG246" s="36"/>
      <c r="BH246" s="36"/>
      <c r="CP246" s="18"/>
      <c r="CR246" s="243"/>
    </row>
    <row r="247" spans="1:97" s="16" customFormat="1" ht="18" customHeight="1">
      <c r="A247" s="17"/>
      <c r="O247" s="35"/>
      <c r="P247" s="36"/>
      <c r="Q247" s="36"/>
      <c r="R247" s="36"/>
      <c r="S247" s="36"/>
      <c r="T247" s="36"/>
      <c r="U247" s="36"/>
      <c r="V247" s="36"/>
      <c r="W247" s="36"/>
      <c r="X247" s="36"/>
      <c r="Y247" s="29"/>
      <c r="Z247" s="29"/>
      <c r="AA247" s="35"/>
      <c r="AB247" s="36"/>
      <c r="AC247" s="36"/>
      <c r="AD247" s="36"/>
      <c r="AE247" s="36"/>
      <c r="AF247" s="36"/>
      <c r="AG247" s="36"/>
      <c r="AH247" s="36"/>
      <c r="AI247" s="36"/>
      <c r="AJ247" s="36"/>
      <c r="AK247" s="29"/>
      <c r="AL247" s="29"/>
      <c r="AM247" s="35"/>
      <c r="AN247" s="36"/>
      <c r="AO247" s="36"/>
      <c r="AP247" s="36"/>
      <c r="AQ247" s="36"/>
      <c r="AR247" s="36"/>
      <c r="AS247" s="36"/>
      <c r="AT247" s="36"/>
      <c r="AU247" s="36"/>
      <c r="AV247" s="36"/>
      <c r="AW247" s="31"/>
      <c r="AX247" s="29"/>
      <c r="AY247" s="35"/>
      <c r="AZ247" s="36"/>
      <c r="BA247" s="36"/>
      <c r="BB247" s="36"/>
      <c r="BC247" s="36"/>
      <c r="BD247" s="36"/>
      <c r="BE247" s="36"/>
      <c r="BF247" s="36"/>
      <c r="BG247" s="36"/>
      <c r="BH247" s="36"/>
      <c r="CP247" s="18"/>
      <c r="CR247" s="243"/>
    </row>
    <row r="248" spans="1:97" s="16" customFormat="1" ht="18" customHeight="1">
      <c r="A248" s="17"/>
      <c r="O248" s="35"/>
      <c r="P248" s="36"/>
      <c r="Q248" s="36"/>
      <c r="R248" s="36"/>
      <c r="S248" s="36"/>
      <c r="T248" s="36"/>
      <c r="U248" s="36"/>
      <c r="V248" s="36"/>
      <c r="W248" s="36"/>
      <c r="X248" s="36"/>
      <c r="Y248" s="29"/>
      <c r="Z248" s="29"/>
      <c r="AA248" s="35"/>
      <c r="AB248" s="36"/>
      <c r="AC248" s="36"/>
      <c r="AD248" s="36"/>
      <c r="AE248" s="36"/>
      <c r="AF248" s="36"/>
      <c r="AG248" s="36"/>
      <c r="AH248" s="36"/>
      <c r="AI248" s="36"/>
      <c r="AJ248" s="36"/>
      <c r="AK248" s="29"/>
      <c r="AL248" s="29"/>
      <c r="AM248" s="35"/>
      <c r="AN248" s="36"/>
      <c r="AO248" s="36"/>
      <c r="AP248" s="36"/>
      <c r="AQ248" s="36"/>
      <c r="AR248" s="36"/>
      <c r="AS248" s="36"/>
      <c r="AT248" s="36"/>
      <c r="AU248" s="36"/>
      <c r="AV248" s="36"/>
      <c r="AW248" s="31"/>
      <c r="AX248" s="29"/>
      <c r="AY248" s="35"/>
      <c r="AZ248" s="36"/>
      <c r="BA248" s="36"/>
      <c r="BB248" s="36"/>
      <c r="BC248" s="36"/>
      <c r="BD248" s="36"/>
      <c r="BE248" s="36"/>
      <c r="BF248" s="36"/>
      <c r="BG248" s="36"/>
      <c r="BH248" s="36"/>
      <c r="CP248" s="18"/>
      <c r="CR248" s="243"/>
    </row>
    <row r="249" spans="1:97" s="16" customFormat="1" ht="18" customHeight="1">
      <c r="A249" s="37"/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  <c r="R249" s="38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/>
      <c r="AW249" s="38"/>
      <c r="AX249" s="38"/>
      <c r="AY249" s="38"/>
      <c r="AZ249" s="38"/>
      <c r="BA249" s="38"/>
      <c r="BB249" s="38"/>
      <c r="BC249" s="38"/>
      <c r="BD249" s="38"/>
      <c r="BE249" s="38"/>
      <c r="BF249" s="38"/>
      <c r="BG249" s="38"/>
      <c r="BH249" s="38"/>
      <c r="BI249" s="38"/>
      <c r="BJ249" s="38"/>
      <c r="BK249" s="38"/>
      <c r="BL249" s="38"/>
      <c r="BM249" s="38"/>
      <c r="BN249" s="38"/>
      <c r="BO249" s="38"/>
      <c r="BP249" s="38"/>
      <c r="BQ249" s="38"/>
      <c r="BR249" s="38"/>
      <c r="BS249" s="38"/>
      <c r="BT249" s="38"/>
      <c r="BU249" s="38"/>
      <c r="BV249" s="38"/>
      <c r="BW249" s="38"/>
      <c r="BX249" s="38"/>
      <c r="BY249" s="38"/>
      <c r="BZ249" s="38"/>
      <c r="CA249" s="38"/>
      <c r="CB249" s="38"/>
      <c r="CC249" s="38"/>
      <c r="CD249" s="38"/>
      <c r="CE249" s="38"/>
      <c r="CF249" s="38"/>
      <c r="CG249" s="38"/>
      <c r="CH249" s="38"/>
      <c r="CI249" s="38"/>
      <c r="CJ249" s="38"/>
      <c r="CK249" s="38"/>
      <c r="CL249" s="38"/>
      <c r="CM249" s="38"/>
      <c r="CN249" s="38"/>
      <c r="CO249" s="38"/>
      <c r="CP249" s="39"/>
      <c r="CR249" s="243"/>
    </row>
    <row r="250" spans="1:97" s="16" customFormat="1" ht="30.75" customHeight="1">
      <c r="A250" s="1467" t="s">
        <v>664</v>
      </c>
      <c r="B250" s="1468"/>
      <c r="C250" s="1468"/>
      <c r="D250" s="1468"/>
      <c r="E250" s="1468"/>
      <c r="F250" s="1468"/>
      <c r="G250" s="1468"/>
      <c r="H250" s="1468"/>
      <c r="I250" s="1468"/>
      <c r="J250" s="1468"/>
      <c r="K250" s="1468"/>
      <c r="L250" s="1468"/>
      <c r="M250" s="1468"/>
      <c r="N250" s="1468"/>
      <c r="O250" s="1468"/>
      <c r="P250" s="1468"/>
      <c r="Q250" s="1468"/>
      <c r="R250" s="1468"/>
      <c r="S250" s="1468"/>
      <c r="T250" s="1468"/>
      <c r="U250" s="1468"/>
      <c r="V250" s="1468"/>
      <c r="W250" s="1468"/>
      <c r="X250" s="1468"/>
      <c r="Y250" s="1468"/>
      <c r="Z250" s="1468"/>
      <c r="AA250" s="1468"/>
      <c r="AB250" s="1468"/>
      <c r="AC250" s="1468"/>
      <c r="AD250" s="1468"/>
      <c r="AE250" s="1468"/>
      <c r="AF250" s="1468"/>
      <c r="AG250" s="1468"/>
      <c r="AH250" s="1468"/>
      <c r="AI250" s="1468"/>
      <c r="AJ250" s="1468"/>
      <c r="AK250" s="1468"/>
      <c r="AL250" s="1468"/>
      <c r="AM250" s="1468"/>
      <c r="AN250" s="1468"/>
      <c r="AO250" s="1468"/>
      <c r="AP250" s="1468"/>
      <c r="AQ250" s="1468"/>
      <c r="AR250" s="1468"/>
      <c r="AS250" s="1468"/>
      <c r="AT250" s="1468"/>
      <c r="AU250" s="1468"/>
      <c r="AV250" s="1468"/>
      <c r="AW250" s="1468"/>
      <c r="AX250" s="1468"/>
      <c r="AY250" s="1468"/>
      <c r="AZ250" s="1468"/>
      <c r="BA250" s="1468"/>
      <c r="BB250" s="1468"/>
      <c r="BC250" s="1468"/>
      <c r="BD250" s="1468"/>
      <c r="BE250" s="1468"/>
      <c r="BF250" s="1468"/>
      <c r="BG250" s="1468"/>
      <c r="BH250" s="1468"/>
      <c r="BI250" s="1468"/>
      <c r="BJ250" s="1468"/>
      <c r="BK250" s="1468"/>
      <c r="BL250" s="1468"/>
      <c r="BM250" s="1468"/>
      <c r="BN250" s="1468"/>
      <c r="BO250" s="1468"/>
      <c r="BP250" s="1468"/>
      <c r="BQ250" s="1468"/>
      <c r="BR250" s="1468"/>
      <c r="BS250" s="1468"/>
      <c r="BT250" s="1468"/>
      <c r="BU250" s="1468"/>
      <c r="BV250" s="1468"/>
      <c r="BW250" s="1468"/>
      <c r="BX250" s="1468"/>
      <c r="BY250" s="1468"/>
      <c r="BZ250" s="1468"/>
      <c r="CA250" s="1468"/>
      <c r="CB250" s="1468"/>
      <c r="CC250" s="1468"/>
      <c r="CD250" s="1468"/>
      <c r="CE250" s="1468"/>
      <c r="CF250" s="1468"/>
      <c r="CG250" s="1468"/>
      <c r="CH250" s="1468"/>
      <c r="CI250" s="1468"/>
      <c r="CJ250" s="1468"/>
      <c r="CK250" s="1468"/>
      <c r="CL250" s="1468"/>
      <c r="CM250" s="1468"/>
      <c r="CN250" s="1468"/>
      <c r="CO250" s="1468"/>
      <c r="CP250" s="1469"/>
      <c r="CR250" s="243"/>
    </row>
    <row r="251" spans="1:97" s="16" customFormat="1" ht="18" customHeight="1">
      <c r="A251" s="40"/>
      <c r="B251" s="41"/>
      <c r="C251" s="41"/>
      <c r="D251" s="42" t="s">
        <v>299</v>
      </c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57" t="s">
        <v>558</v>
      </c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  <c r="AB251" s="41"/>
      <c r="AC251" s="41"/>
      <c r="AD251" s="41"/>
      <c r="AE251" s="41"/>
      <c r="AF251" s="41"/>
      <c r="AG251" s="41"/>
      <c r="AH251" s="41"/>
      <c r="AI251" s="41"/>
      <c r="AJ251" s="41"/>
      <c r="AK251" s="41"/>
      <c r="AL251" s="41"/>
      <c r="AM251" s="41"/>
      <c r="AN251" s="41"/>
      <c r="AO251" s="41"/>
      <c r="AP251" s="41"/>
      <c r="AQ251" s="41"/>
      <c r="AR251" s="41"/>
      <c r="AS251" s="41"/>
      <c r="AT251" s="41"/>
      <c r="AU251" s="41"/>
      <c r="AV251" s="41"/>
      <c r="AW251" s="41"/>
      <c r="AX251" s="41"/>
      <c r="AY251" s="41"/>
      <c r="AZ251" s="41"/>
      <c r="BA251" s="41"/>
      <c r="BB251" s="41"/>
      <c r="BC251" s="41"/>
      <c r="BD251" s="41"/>
      <c r="BE251" s="41"/>
      <c r="BF251" s="41"/>
      <c r="BG251" s="41"/>
      <c r="BH251" s="41"/>
      <c r="BI251" s="41"/>
      <c r="BJ251" s="41"/>
      <c r="BK251" s="41" t="s">
        <v>104</v>
      </c>
      <c r="BL251" s="41"/>
      <c r="BM251" s="41"/>
      <c r="BN251" s="41"/>
      <c r="BO251" s="41"/>
      <c r="BP251" s="41"/>
      <c r="BQ251" s="41"/>
      <c r="BR251" s="41"/>
      <c r="BS251" s="41"/>
      <c r="BT251" s="41"/>
      <c r="BU251" s="41"/>
      <c r="BV251" s="41"/>
      <c r="BW251" s="1470">
        <v>60826</v>
      </c>
      <c r="BX251" s="1478"/>
      <c r="BY251" s="1478"/>
      <c r="BZ251" s="1478"/>
      <c r="CA251" s="1478"/>
      <c r="CB251" s="1478"/>
      <c r="CC251" s="1478"/>
      <c r="CD251" s="1478"/>
      <c r="CE251" s="1478"/>
      <c r="CF251" s="1478"/>
      <c r="CG251" s="58" t="s">
        <v>720</v>
      </c>
      <c r="CH251" s="41"/>
      <c r="CI251" s="41"/>
      <c r="CJ251" s="41"/>
      <c r="CK251" s="41"/>
      <c r="CL251" s="41"/>
      <c r="CM251" s="41"/>
      <c r="CN251" s="41"/>
      <c r="CO251" s="41"/>
      <c r="CP251" s="43"/>
      <c r="CR251" s="247"/>
    </row>
    <row r="252" spans="1:97" s="16" customFormat="1" ht="18" customHeight="1">
      <c r="A252" s="17"/>
      <c r="D252" s="1461" t="s">
        <v>635</v>
      </c>
      <c r="E252" s="1462"/>
      <c r="F252" s="1462"/>
      <c r="G252" s="1462"/>
      <c r="H252" s="1462"/>
      <c r="I252" s="1462"/>
      <c r="J252" s="1462"/>
      <c r="K252" s="1462"/>
      <c r="L252" s="1462"/>
      <c r="M252" s="1462"/>
      <c r="N252" s="1462"/>
      <c r="O252" s="1462"/>
      <c r="P252" s="1462"/>
      <c r="Q252" s="1462"/>
      <c r="R252" s="1462"/>
      <c r="S252" s="1462"/>
      <c r="T252" s="1462"/>
      <c r="U252" s="1462"/>
      <c r="V252" s="1462"/>
      <c r="W252" s="1462"/>
      <c r="X252" s="1462"/>
      <c r="Y252" s="1462"/>
      <c r="Z252" s="1462"/>
      <c r="AA252" s="1462"/>
      <c r="AB252" s="1462"/>
      <c r="AC252" s="1462"/>
      <c r="AD252" s="1462"/>
      <c r="AE252" s="1462"/>
      <c r="AF252" s="1462"/>
      <c r="AG252" s="1462"/>
      <c r="AH252" s="1462"/>
      <c r="AI252" s="1462"/>
      <c r="AJ252" s="1462"/>
      <c r="AK252" s="1462"/>
      <c r="AL252" s="1462"/>
      <c r="AM252" s="1462"/>
      <c r="AN252" s="1462"/>
      <c r="AO252" s="1462"/>
      <c r="AP252" s="1462"/>
      <c r="AQ252" s="1462"/>
      <c r="AR252" s="1462"/>
      <c r="AS252" s="1462"/>
      <c r="AT252" s="1462"/>
      <c r="AU252" s="1462"/>
      <c r="AV252" s="1462"/>
      <c r="AW252" s="1462"/>
      <c r="AX252" s="1462"/>
      <c r="AY252" s="1462"/>
      <c r="AZ252" s="1462"/>
      <c r="BA252" s="1462"/>
      <c r="BB252" s="1462"/>
      <c r="BC252" s="1462"/>
      <c r="BD252" s="1462"/>
      <c r="BE252" s="1462"/>
      <c r="BF252" s="1462"/>
      <c r="BG252" s="1462"/>
      <c r="BH252" s="1462"/>
      <c r="BI252" s="1462"/>
      <c r="BJ252" s="1462"/>
      <c r="BK252" s="1462"/>
      <c r="BL252" s="1462"/>
      <c r="BM252" s="1462"/>
      <c r="BN252" s="1462"/>
      <c r="BO252" s="1462"/>
      <c r="BP252" s="1462"/>
      <c r="BQ252" s="1462"/>
      <c r="BR252" s="1462"/>
      <c r="BS252" s="1462"/>
      <c r="BT252" s="1462"/>
      <c r="BU252" s="1462"/>
      <c r="BV252" s="1462"/>
      <c r="BW252" s="1462"/>
      <c r="BX252" s="1462"/>
      <c r="BY252" s="1462"/>
      <c r="BZ252" s="1462"/>
      <c r="CA252" s="1462"/>
      <c r="CB252" s="1462"/>
      <c r="CC252" s="1462"/>
      <c r="CD252" s="1462"/>
      <c r="CE252" s="1462"/>
      <c r="CF252" s="1462"/>
      <c r="CG252" s="1462"/>
      <c r="CH252" s="1462"/>
      <c r="CI252" s="1462"/>
      <c r="CJ252" s="1462"/>
      <c r="CK252" s="1462"/>
      <c r="CL252" s="1462"/>
      <c r="CM252" s="1462"/>
      <c r="CN252" s="1462"/>
      <c r="CO252" s="1462"/>
      <c r="CP252" s="18"/>
      <c r="CR252" s="662"/>
      <c r="CS252" s="663" t="s">
        <v>782</v>
      </c>
    </row>
    <row r="253" spans="1:97" s="16" customFormat="1" ht="18" customHeight="1" thickBot="1">
      <c r="A253" s="17"/>
      <c r="E253" s="16" t="s">
        <v>60</v>
      </c>
      <c r="U253" s="1466">
        <v>1</v>
      </c>
      <c r="V253" s="1474"/>
      <c r="W253" s="1474"/>
      <c r="X253" s="1474"/>
      <c r="Y253" s="1474"/>
      <c r="Z253" s="29" t="s">
        <v>105</v>
      </c>
      <c r="AA253" s="29"/>
      <c r="AB253" s="29"/>
      <c r="AC253" s="29"/>
      <c r="AD253" s="29"/>
      <c r="AE253" s="1479">
        <f>CR254</f>
        <v>283323</v>
      </c>
      <c r="AF253" s="1477"/>
      <c r="AG253" s="1477"/>
      <c r="AH253" s="1477"/>
      <c r="AI253" s="1477"/>
      <c r="AJ253" s="1477"/>
      <c r="AK253" s="1477"/>
      <c r="AL253" s="1477"/>
      <c r="AM253" s="16" t="s">
        <v>106</v>
      </c>
      <c r="AU253" s="1466">
        <v>8</v>
      </c>
      <c r="AV253" s="1466"/>
      <c r="AW253" s="1466"/>
      <c r="AX253" s="29" t="s">
        <v>100</v>
      </c>
      <c r="AY253" s="29"/>
      <c r="AZ253" s="1466">
        <v>25</v>
      </c>
      <c r="BA253" s="1466"/>
      <c r="BB253" s="1466"/>
      <c r="BC253" s="29" t="s">
        <v>99</v>
      </c>
      <c r="BD253" s="29"/>
      <c r="BE253" s="1466">
        <v>20</v>
      </c>
      <c r="BF253" s="1466"/>
      <c r="BG253" s="1466"/>
      <c r="BH253" s="29" t="s">
        <v>100</v>
      </c>
      <c r="BI253" s="29"/>
      <c r="BJ253" s="1466">
        <v>16</v>
      </c>
      <c r="BK253" s="1466"/>
      <c r="BL253" s="1466"/>
      <c r="BM253" s="29" t="s">
        <v>99</v>
      </c>
      <c r="BN253" s="29"/>
      <c r="BO253" s="1466">
        <v>12</v>
      </c>
      <c r="BP253" s="1474"/>
      <c r="BQ253" s="1474"/>
      <c r="BR253" s="1474"/>
      <c r="BS253" s="31" t="s">
        <v>103</v>
      </c>
      <c r="BT253" s="29"/>
      <c r="BU253" s="1458">
        <f>INT(U253*AE253*(1/AU253*(AZ253/BE253)*(BJ253/BO253)))</f>
        <v>59025</v>
      </c>
      <c r="BV253" s="1474"/>
      <c r="BW253" s="1474"/>
      <c r="BX253" s="1474"/>
      <c r="BY253" s="1474"/>
      <c r="BZ253" s="1474"/>
      <c r="CA253" s="1474"/>
      <c r="CB253" s="1474"/>
      <c r="CC253" s="16" t="s">
        <v>98</v>
      </c>
      <c r="CP253" s="18"/>
      <c r="CQ253" s="49"/>
      <c r="CR253" s="662"/>
      <c r="CS253" s="664"/>
    </row>
    <row r="254" spans="1:97" s="16" customFormat="1" ht="18" customHeight="1" thickTop="1">
      <c r="A254" s="17"/>
      <c r="D254" s="33"/>
      <c r="E254" s="34" t="s">
        <v>44</v>
      </c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3"/>
      <c r="T254" s="33"/>
      <c r="U254" s="33"/>
      <c r="V254" s="33"/>
      <c r="W254" s="33"/>
      <c r="X254" s="33"/>
      <c r="Y254" s="33"/>
      <c r="Z254" s="33"/>
      <c r="AA254" s="33"/>
      <c r="AB254" s="33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33"/>
      <c r="AR254" s="33"/>
      <c r="AS254" s="33"/>
      <c r="AT254" s="33"/>
      <c r="AU254" s="33"/>
      <c r="AV254" s="33"/>
      <c r="AW254" s="33"/>
      <c r="AX254" s="33"/>
      <c r="AY254" s="33"/>
      <c r="AZ254" s="33"/>
      <c r="BA254" s="33"/>
      <c r="BB254" s="33"/>
      <c r="BC254" s="33"/>
      <c r="BD254" s="33"/>
      <c r="BE254" s="33"/>
      <c r="BF254" s="33"/>
      <c r="BG254" s="33"/>
      <c r="BH254" s="33"/>
      <c r="BI254" s="33"/>
      <c r="BJ254" s="33"/>
      <c r="BK254" s="33"/>
      <c r="BL254" s="33"/>
      <c r="BM254" s="33"/>
      <c r="BN254" s="33"/>
      <c r="BO254" s="33"/>
      <c r="BP254" s="33"/>
      <c r="BQ254" s="33"/>
      <c r="BR254" s="33"/>
      <c r="BS254" s="33"/>
      <c r="BT254" s="33"/>
      <c r="BU254" s="1459">
        <f>INT(SUM(BU253))</f>
        <v>59025</v>
      </c>
      <c r="BV254" s="1472"/>
      <c r="BW254" s="1472"/>
      <c r="BX254" s="1472"/>
      <c r="BY254" s="1472"/>
      <c r="BZ254" s="1472"/>
      <c r="CA254" s="1472"/>
      <c r="CB254" s="1472"/>
      <c r="CC254" s="33" t="s">
        <v>98</v>
      </c>
      <c r="CD254" s="33"/>
      <c r="CE254" s="33"/>
      <c r="CF254" s="33"/>
      <c r="CG254" s="33"/>
      <c r="CH254" s="33"/>
      <c r="CI254" s="33"/>
      <c r="CP254" s="18"/>
      <c r="CQ254" s="16" t="s">
        <v>97</v>
      </c>
      <c r="CR254" s="244">
        <f>VLOOKUP(CQ254,인건비!A:B,2,FALSE)</f>
        <v>283323</v>
      </c>
    </row>
    <row r="255" spans="1:97" s="16" customFormat="1" ht="18" customHeight="1">
      <c r="A255" s="17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BU255" s="32"/>
      <c r="BV255" s="29"/>
      <c r="BW255" s="29"/>
      <c r="BX255" s="29"/>
      <c r="BY255" s="29"/>
      <c r="BZ255" s="29"/>
      <c r="CA255" s="29"/>
      <c r="CB255" s="29"/>
      <c r="CP255" s="18"/>
      <c r="CR255" s="244"/>
    </row>
    <row r="256" spans="1:97" s="16" customFormat="1" ht="18" customHeight="1">
      <c r="A256" s="17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BU256" s="32"/>
      <c r="BV256" s="29"/>
      <c r="BW256" s="29"/>
      <c r="BX256" s="29"/>
      <c r="BY256" s="29"/>
      <c r="BZ256" s="29"/>
      <c r="CA256" s="29"/>
      <c r="CB256" s="29"/>
      <c r="CP256" s="18"/>
      <c r="CQ256" s="16" t="s">
        <v>176</v>
      </c>
      <c r="CR256" s="244">
        <f>VLOOKUP(CQ256,인건비!A:B,2,FALSE)</f>
        <v>210909</v>
      </c>
    </row>
    <row r="257" spans="1:96" s="16" customFormat="1" ht="18" customHeight="1">
      <c r="A257" s="17"/>
      <c r="BV257" s="32"/>
      <c r="BW257" s="29"/>
      <c r="BX257" s="29"/>
      <c r="BY257" s="29"/>
      <c r="BZ257" s="29"/>
      <c r="CA257" s="29"/>
      <c r="CB257" s="29"/>
      <c r="CC257" s="29"/>
      <c r="CD257" s="29"/>
      <c r="CP257" s="18"/>
      <c r="CQ257" s="16" t="s">
        <v>96</v>
      </c>
      <c r="CR257" s="244">
        <f>VLOOKUP(CQ257,인건비!A:B,2,FALSE)</f>
        <v>173995</v>
      </c>
    </row>
    <row r="258" spans="1:96" s="16" customFormat="1" ht="18" customHeight="1">
      <c r="A258" s="17"/>
      <c r="D258" s="1461" t="s">
        <v>662</v>
      </c>
      <c r="E258" s="1462"/>
      <c r="F258" s="1462"/>
      <c r="G258" s="1462"/>
      <c r="H258" s="1462"/>
      <c r="I258" s="1462"/>
      <c r="J258" s="1462"/>
      <c r="K258" s="1462"/>
      <c r="L258" s="1462"/>
      <c r="M258" s="1462"/>
      <c r="N258" s="1462"/>
      <c r="O258" s="1462"/>
      <c r="P258" s="1462"/>
      <c r="Q258" s="1462"/>
      <c r="R258" s="1462"/>
      <c r="S258" s="1462"/>
      <c r="T258" s="1462"/>
      <c r="U258" s="1462"/>
      <c r="V258" s="1462"/>
      <c r="W258" s="1462"/>
      <c r="X258" s="1462"/>
      <c r="Y258" s="1462"/>
      <c r="Z258" s="1462"/>
      <c r="AA258" s="1462"/>
      <c r="AB258" s="1462"/>
      <c r="AC258" s="1462"/>
      <c r="AD258" s="1462"/>
      <c r="AE258" s="1462"/>
      <c r="AF258" s="1462"/>
      <c r="AG258" s="1462"/>
      <c r="AH258" s="1462"/>
      <c r="AI258" s="1462"/>
      <c r="AJ258" s="1462"/>
      <c r="AK258" s="1462"/>
      <c r="AL258" s="1462"/>
      <c r="AM258" s="1462"/>
      <c r="AN258" s="1462"/>
      <c r="AO258" s="1462"/>
      <c r="AP258" s="1462"/>
      <c r="AQ258" s="1462"/>
      <c r="AR258" s="1462"/>
      <c r="AS258" s="1462"/>
      <c r="AT258" s="1462"/>
      <c r="AU258" s="1462"/>
      <c r="AV258" s="1462"/>
      <c r="AW258" s="1462"/>
      <c r="AX258" s="1462"/>
      <c r="AY258" s="1462"/>
      <c r="AZ258" s="1462"/>
      <c r="BA258" s="1462"/>
      <c r="BB258" s="1462"/>
      <c r="BC258" s="1462"/>
      <c r="BD258" s="1462"/>
      <c r="BE258" s="1462"/>
      <c r="BF258" s="1462"/>
      <c r="BG258" s="1462"/>
      <c r="BH258" s="1462"/>
      <c r="BI258" s="1462"/>
      <c r="BJ258" s="1462"/>
      <c r="BK258" s="1462"/>
      <c r="BL258" s="1462"/>
      <c r="BM258" s="1462"/>
      <c r="BN258" s="1462"/>
      <c r="BO258" s="1462"/>
      <c r="BP258" s="1462"/>
      <c r="BQ258" s="1462"/>
      <c r="BR258" s="1462"/>
      <c r="BS258" s="1462"/>
      <c r="BT258" s="1462"/>
      <c r="BU258" s="1462"/>
      <c r="BV258" s="1462"/>
      <c r="BW258" s="1462"/>
      <c r="BX258" s="1462"/>
      <c r="BY258" s="1462"/>
      <c r="BZ258" s="1462"/>
      <c r="CA258" s="1462"/>
      <c r="CB258" s="1462"/>
      <c r="CC258" s="1462"/>
      <c r="CD258" s="1462"/>
      <c r="CE258" s="1462"/>
      <c r="CF258" s="1462"/>
      <c r="CG258" s="1462"/>
      <c r="CH258" s="1462"/>
      <c r="CI258" s="1462"/>
      <c r="CJ258" s="1462"/>
      <c r="CK258" s="1462"/>
      <c r="CL258" s="1462"/>
      <c r="CM258" s="1462"/>
      <c r="CN258" s="1462"/>
      <c r="CO258" s="1462"/>
      <c r="CP258" s="18"/>
      <c r="CQ258" s="16" t="s">
        <v>95</v>
      </c>
      <c r="CR258" s="244">
        <f>VLOOKUP(CQ258,인건비!A:B,2,FALSE)</f>
        <v>240042</v>
      </c>
    </row>
    <row r="259" spans="1:96" s="16" customFormat="1" ht="18" customHeight="1">
      <c r="A259" s="17"/>
      <c r="E259" s="16" t="s">
        <v>108</v>
      </c>
      <c r="U259" s="1463">
        <v>4.9000000000000004</v>
      </c>
      <c r="V259" s="1473"/>
      <c r="W259" s="1473"/>
      <c r="X259" s="1473"/>
      <c r="Y259" s="1473"/>
      <c r="Z259" s="16" t="s">
        <v>266</v>
      </c>
      <c r="AE259" s="1464" t="e">
        <f>CR260</f>
        <v>#REF!</v>
      </c>
      <c r="AF259" s="1473"/>
      <c r="AG259" s="1473"/>
      <c r="AH259" s="1473"/>
      <c r="AI259" s="1473"/>
      <c r="AJ259" s="1473"/>
      <c r="AK259" s="1473"/>
      <c r="AL259" s="1473"/>
      <c r="AM259" s="16" t="s">
        <v>286</v>
      </c>
      <c r="AT259" s="1465" t="e">
        <f>INT(U259*AE259)</f>
        <v>#REF!</v>
      </c>
      <c r="AU259" s="1473"/>
      <c r="AV259" s="1473"/>
      <c r="AW259" s="1473"/>
      <c r="AX259" s="1473"/>
      <c r="AY259" s="1473"/>
      <c r="AZ259" s="1473"/>
      <c r="BA259" s="1473"/>
      <c r="BB259" s="16" t="s">
        <v>98</v>
      </c>
      <c r="CP259" s="18"/>
      <c r="CQ259" s="16" t="s">
        <v>267</v>
      </c>
      <c r="CR259" s="245" t="e">
        <f>#REF!</f>
        <v>#REF!</v>
      </c>
    </row>
    <row r="260" spans="1:96" s="16" customFormat="1" ht="18" customHeight="1" thickBot="1">
      <c r="A260" s="17"/>
      <c r="E260" s="16" t="s">
        <v>288</v>
      </c>
      <c r="U260" s="16" t="s">
        <v>289</v>
      </c>
      <c r="AE260" s="1466">
        <v>23</v>
      </c>
      <c r="AF260" s="1474"/>
      <c r="AG260" s="1474"/>
      <c r="AH260" s="1474"/>
      <c r="AI260" s="1474"/>
      <c r="AJ260" s="1474"/>
      <c r="AK260" s="1474"/>
      <c r="AL260" s="1474"/>
      <c r="AM260" s="16" t="s">
        <v>290</v>
      </c>
      <c r="AT260" s="1458" t="e">
        <f>INT(AT259*AE260/100)</f>
        <v>#REF!</v>
      </c>
      <c r="AU260" s="1458"/>
      <c r="AV260" s="1458"/>
      <c r="AW260" s="1458"/>
      <c r="AX260" s="1458"/>
      <c r="AY260" s="1458"/>
      <c r="AZ260" s="1458"/>
      <c r="BA260" s="1458"/>
      <c r="BB260" s="16" t="s">
        <v>98</v>
      </c>
      <c r="CP260" s="18"/>
      <c r="CQ260" s="16" t="s">
        <v>268</v>
      </c>
      <c r="CR260" s="245" t="e">
        <f>#REF!</f>
        <v>#REF!</v>
      </c>
    </row>
    <row r="261" spans="1:96" s="16" customFormat="1" ht="18" customHeight="1" thickTop="1">
      <c r="A261" s="17"/>
      <c r="D261" s="33"/>
      <c r="E261" s="34" t="s">
        <v>44</v>
      </c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3"/>
      <c r="T261" s="33"/>
      <c r="U261" s="33"/>
      <c r="V261" s="33"/>
      <c r="W261" s="33"/>
      <c r="X261" s="33"/>
      <c r="Y261" s="33"/>
      <c r="Z261" s="33"/>
      <c r="AA261" s="33"/>
      <c r="AB261" s="33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33"/>
      <c r="AR261" s="33"/>
      <c r="AS261" s="33"/>
      <c r="AT261" s="1459" t="e">
        <f>INT(SUM(AT259+AT260))</f>
        <v>#REF!</v>
      </c>
      <c r="AU261" s="1472"/>
      <c r="AV261" s="1472"/>
      <c r="AW261" s="1472"/>
      <c r="AX261" s="1472"/>
      <c r="AY261" s="1472"/>
      <c r="AZ261" s="1472"/>
      <c r="BA261" s="1472"/>
      <c r="BB261" s="33" t="s">
        <v>98</v>
      </c>
      <c r="BC261" s="33"/>
      <c r="BD261" s="33"/>
      <c r="BE261" s="33"/>
      <c r="BF261" s="33"/>
      <c r="BG261" s="33"/>
      <c r="BH261" s="33"/>
      <c r="BI261" s="33"/>
      <c r="BJ261" s="33"/>
      <c r="BK261" s="33"/>
      <c r="BL261" s="33"/>
      <c r="BM261" s="33"/>
      <c r="BN261" s="33"/>
      <c r="BO261" s="33"/>
      <c r="BP261" s="33"/>
      <c r="BQ261" s="33"/>
      <c r="BR261" s="33"/>
      <c r="BS261" s="33"/>
      <c r="BT261" s="33"/>
      <c r="BU261" s="33"/>
      <c r="BV261" s="33"/>
      <c r="BW261" s="33"/>
      <c r="BX261" s="33"/>
      <c r="BY261" s="33"/>
      <c r="BZ261" s="33"/>
      <c r="CA261" s="33"/>
      <c r="CB261" s="33"/>
      <c r="CC261" s="33"/>
      <c r="CD261" s="33"/>
      <c r="CE261" s="33"/>
      <c r="CF261" s="33"/>
      <c r="CG261" s="33"/>
      <c r="CH261" s="33"/>
      <c r="CI261" s="33"/>
      <c r="CP261" s="18"/>
      <c r="CQ261" s="665" t="s">
        <v>831</v>
      </c>
      <c r="CR261" s="666" t="s">
        <v>639</v>
      </c>
    </row>
    <row r="262" spans="1:96" s="16" customFormat="1" ht="18" customHeight="1">
      <c r="A262" s="17"/>
      <c r="CP262" s="18"/>
      <c r="CQ262" s="665" t="s">
        <v>838</v>
      </c>
      <c r="CR262" s="666" t="s">
        <v>638</v>
      </c>
    </row>
    <row r="263" spans="1:96" s="16" customFormat="1" ht="18" customHeight="1">
      <c r="A263" s="17"/>
      <c r="D263" s="1461" t="s">
        <v>663</v>
      </c>
      <c r="E263" s="1462"/>
      <c r="F263" s="1462"/>
      <c r="G263" s="1462"/>
      <c r="H263" s="1462"/>
      <c r="I263" s="1462"/>
      <c r="J263" s="1462"/>
      <c r="K263" s="1462"/>
      <c r="L263" s="1462"/>
      <c r="M263" s="1462"/>
      <c r="N263" s="1462"/>
      <c r="O263" s="1462"/>
      <c r="P263" s="1462"/>
      <c r="Q263" s="1462"/>
      <c r="R263" s="1462"/>
      <c r="S263" s="1462"/>
      <c r="T263" s="1462"/>
      <c r="U263" s="1462"/>
      <c r="V263" s="1462"/>
      <c r="W263" s="1462"/>
      <c r="X263" s="1462"/>
      <c r="Y263" s="1462"/>
      <c r="Z263" s="1462"/>
      <c r="AA263" s="1462"/>
      <c r="AB263" s="1462"/>
      <c r="AC263" s="1462"/>
      <c r="AD263" s="1462"/>
      <c r="AE263" s="1462"/>
      <c r="AF263" s="1462"/>
      <c r="AG263" s="1462"/>
      <c r="AH263" s="1462"/>
      <c r="AI263" s="1462"/>
      <c r="AJ263" s="1462"/>
      <c r="AK263" s="1462"/>
      <c r="AL263" s="1462"/>
      <c r="AM263" s="1462"/>
      <c r="AN263" s="1462"/>
      <c r="AO263" s="1462"/>
      <c r="AP263" s="1462"/>
      <c r="AQ263" s="1462"/>
      <c r="AR263" s="1462"/>
      <c r="AS263" s="1462"/>
      <c r="AT263" s="1462"/>
      <c r="AU263" s="1462"/>
      <c r="AV263" s="1462"/>
      <c r="AW263" s="1462"/>
      <c r="AX263" s="1462"/>
      <c r="AY263" s="1462"/>
      <c r="AZ263" s="1462"/>
      <c r="BA263" s="1462"/>
      <c r="BB263" s="1462"/>
      <c r="BC263" s="1462"/>
      <c r="BD263" s="1462"/>
      <c r="BE263" s="1462"/>
      <c r="BF263" s="1462"/>
      <c r="BG263" s="1462"/>
      <c r="BH263" s="1462"/>
      <c r="BI263" s="1462"/>
      <c r="BJ263" s="1462"/>
      <c r="BK263" s="1462"/>
      <c r="BL263" s="1462"/>
      <c r="BM263" s="1462"/>
      <c r="BN263" s="1462"/>
      <c r="BO263" s="1462"/>
      <c r="BP263" s="1462"/>
      <c r="BQ263" s="1462"/>
      <c r="BR263" s="1462"/>
      <c r="BS263" s="1462"/>
      <c r="BT263" s="1462"/>
      <c r="BU263" s="1462"/>
      <c r="BV263" s="1462"/>
      <c r="BW263" s="1462"/>
      <c r="BX263" s="1462"/>
      <c r="BY263" s="1462"/>
      <c r="BZ263" s="1462"/>
      <c r="CA263" s="1462"/>
      <c r="CB263" s="1462"/>
      <c r="CC263" s="1462"/>
      <c r="CD263" s="1462"/>
      <c r="CE263" s="1462"/>
      <c r="CF263" s="1462"/>
      <c r="CG263" s="1462"/>
      <c r="CH263" s="1462"/>
      <c r="CI263" s="1462"/>
      <c r="CJ263" s="1462"/>
      <c r="CK263" s="1462"/>
      <c r="CL263" s="1462"/>
      <c r="CM263" s="1462"/>
      <c r="CN263" s="1462"/>
      <c r="CO263" s="1462"/>
      <c r="CP263" s="18"/>
      <c r="CR263" s="243"/>
    </row>
    <row r="264" spans="1:96" s="16" customFormat="1" ht="18" customHeight="1" thickBot="1">
      <c r="A264" s="17"/>
      <c r="E264" s="16" t="s">
        <v>326</v>
      </c>
      <c r="AA264" s="1456">
        <v>1945</v>
      </c>
      <c r="AB264" s="1456"/>
      <c r="AC264" s="1456"/>
      <c r="AD264" s="1456"/>
      <c r="AE264" s="1456"/>
      <c r="AF264" s="1456"/>
      <c r="AG264" s="1456"/>
      <c r="AH264" s="1456"/>
      <c r="AI264" s="29" t="s">
        <v>99</v>
      </c>
      <c r="AJ264" s="29"/>
      <c r="AK264" s="1457">
        <v>10000000</v>
      </c>
      <c r="AL264" s="1475"/>
      <c r="AM264" s="1475"/>
      <c r="AN264" s="1475"/>
      <c r="AO264" s="1475"/>
      <c r="AP264" s="1475"/>
      <c r="AQ264" s="1475"/>
      <c r="AR264" s="1475"/>
      <c r="AS264" s="1475"/>
      <c r="AT264" s="1475"/>
      <c r="AU264" s="1475"/>
      <c r="AV264" s="29" t="s">
        <v>100</v>
      </c>
      <c r="AW264" s="29"/>
      <c r="AX264" s="1458">
        <f>BW251</f>
        <v>60826</v>
      </c>
      <c r="AY264" s="1474"/>
      <c r="AZ264" s="1474"/>
      <c r="BA264" s="1474"/>
      <c r="BB264" s="1474"/>
      <c r="BC264" s="1474"/>
      <c r="BD264" s="1474"/>
      <c r="BE264" s="1474"/>
      <c r="BF264" s="1474"/>
      <c r="BG264" s="16" t="s">
        <v>101</v>
      </c>
      <c r="BN264" s="1458">
        <f>INT(AA264/AK264*AX264*1000)</f>
        <v>11830</v>
      </c>
      <c r="BO264" s="1458"/>
      <c r="BP264" s="1458"/>
      <c r="BQ264" s="1458"/>
      <c r="BR264" s="1458"/>
      <c r="BS264" s="1458"/>
      <c r="BT264" s="1458"/>
      <c r="BU264" s="1458"/>
      <c r="BV264" s="16" t="s">
        <v>98</v>
      </c>
      <c r="CP264" s="18"/>
      <c r="CR264" s="243"/>
    </row>
    <row r="265" spans="1:96" s="16" customFormat="1" ht="18" customHeight="1" thickTop="1">
      <c r="A265" s="17"/>
      <c r="D265" s="33"/>
      <c r="E265" s="34" t="s">
        <v>44</v>
      </c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3"/>
      <c r="T265" s="33"/>
      <c r="U265" s="33"/>
      <c r="V265" s="33"/>
      <c r="W265" s="33"/>
      <c r="X265" s="33"/>
      <c r="Y265" s="33"/>
      <c r="Z265" s="33"/>
      <c r="AA265" s="33"/>
      <c r="AB265" s="33"/>
      <c r="AC265" s="33"/>
      <c r="AD265" s="33"/>
      <c r="AE265" s="33"/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33"/>
      <c r="AR265" s="33"/>
      <c r="AS265" s="33"/>
      <c r="AT265" s="33"/>
      <c r="AU265" s="33"/>
      <c r="AV265" s="33"/>
      <c r="AW265" s="33"/>
      <c r="AX265" s="33"/>
      <c r="AY265" s="33"/>
      <c r="AZ265" s="33"/>
      <c r="BA265" s="33"/>
      <c r="BB265" s="33"/>
      <c r="BC265" s="33"/>
      <c r="BD265" s="33"/>
      <c r="BE265" s="33"/>
      <c r="BF265" s="33"/>
      <c r="BG265" s="33"/>
      <c r="BH265" s="33"/>
      <c r="BI265" s="33"/>
      <c r="BJ265" s="33"/>
      <c r="BK265" s="33"/>
      <c r="BL265" s="33"/>
      <c r="BM265" s="33"/>
      <c r="BN265" s="1459">
        <f>SUM(BN264)</f>
        <v>11830</v>
      </c>
      <c r="BO265" s="1472"/>
      <c r="BP265" s="1472"/>
      <c r="BQ265" s="1472"/>
      <c r="BR265" s="1472"/>
      <c r="BS265" s="1472"/>
      <c r="BT265" s="1472"/>
      <c r="BU265" s="1472"/>
      <c r="BV265" s="33" t="s">
        <v>98</v>
      </c>
      <c r="BW265" s="33"/>
      <c r="BX265" s="33"/>
      <c r="BY265" s="33"/>
      <c r="BZ265" s="33"/>
      <c r="CA265" s="33"/>
      <c r="CB265" s="33"/>
      <c r="CC265" s="33"/>
      <c r="CD265" s="33"/>
      <c r="CE265" s="33"/>
      <c r="CF265" s="33"/>
      <c r="CG265" s="33"/>
      <c r="CH265" s="33"/>
      <c r="CI265" s="33"/>
      <c r="CP265" s="18"/>
      <c r="CR265" s="243"/>
    </row>
    <row r="266" spans="1:96" s="16" customFormat="1" ht="18" customHeight="1">
      <c r="A266" s="17"/>
      <c r="CP266" s="18"/>
      <c r="CR266" s="243"/>
    </row>
    <row r="267" spans="1:96" s="16" customFormat="1" ht="18" customHeight="1">
      <c r="A267" s="17"/>
      <c r="E267" s="16" t="s">
        <v>102</v>
      </c>
      <c r="O267" s="1460">
        <f>BU254</f>
        <v>59025</v>
      </c>
      <c r="P267" s="1473"/>
      <c r="Q267" s="1473"/>
      <c r="R267" s="1473"/>
      <c r="S267" s="1473"/>
      <c r="T267" s="1473"/>
      <c r="U267" s="1473"/>
      <c r="V267" s="1473"/>
      <c r="W267" s="1473"/>
      <c r="X267" s="1473"/>
      <c r="Y267" s="29" t="s">
        <v>59</v>
      </c>
      <c r="Z267" s="29"/>
      <c r="AA267" s="1460" t="e">
        <f>AT261</f>
        <v>#REF!</v>
      </c>
      <c r="AB267" s="1473"/>
      <c r="AC267" s="1473"/>
      <c r="AD267" s="1473"/>
      <c r="AE267" s="1473"/>
      <c r="AF267" s="1473"/>
      <c r="AG267" s="1473"/>
      <c r="AH267" s="1473"/>
      <c r="AI267" s="1473"/>
      <c r="AJ267" s="1473"/>
      <c r="AK267" s="29" t="s">
        <v>59</v>
      </c>
      <c r="AL267" s="29"/>
      <c r="AM267" s="1460">
        <f>BN265</f>
        <v>11830</v>
      </c>
      <c r="AN267" s="1473"/>
      <c r="AO267" s="1473"/>
      <c r="AP267" s="1473"/>
      <c r="AQ267" s="1473"/>
      <c r="AR267" s="1473"/>
      <c r="AS267" s="1473"/>
      <c r="AT267" s="1473"/>
      <c r="AU267" s="1473"/>
      <c r="AV267" s="1473"/>
      <c r="AW267" s="31" t="s">
        <v>103</v>
      </c>
      <c r="AX267" s="29"/>
      <c r="AY267" s="1460" t="e">
        <f>O267+AA267+AM267</f>
        <v>#REF!</v>
      </c>
      <c r="AZ267" s="1473"/>
      <c r="BA267" s="1473"/>
      <c r="BB267" s="1473"/>
      <c r="BC267" s="1473"/>
      <c r="BD267" s="1473"/>
      <c r="BE267" s="1473"/>
      <c r="BF267" s="1473"/>
      <c r="BG267" s="1473"/>
      <c r="BH267" s="1473"/>
      <c r="BI267" s="16" t="s">
        <v>98</v>
      </c>
      <c r="CP267" s="18"/>
      <c r="CR267" s="243"/>
    </row>
    <row r="268" spans="1:96" s="16" customFormat="1" ht="18" customHeight="1">
      <c r="A268" s="17"/>
      <c r="O268" s="35"/>
      <c r="P268" s="36"/>
      <c r="Q268" s="36"/>
      <c r="R268" s="36"/>
      <c r="S268" s="36"/>
      <c r="T268" s="36"/>
      <c r="U268" s="36"/>
      <c r="V268" s="36"/>
      <c r="W268" s="36"/>
      <c r="X268" s="36"/>
      <c r="Y268" s="29"/>
      <c r="Z268" s="29"/>
      <c r="AA268" s="35"/>
      <c r="AB268" s="36"/>
      <c r="AC268" s="36"/>
      <c r="AD268" s="36"/>
      <c r="AE268" s="36"/>
      <c r="AF268" s="36"/>
      <c r="AG268" s="36"/>
      <c r="AH268" s="36"/>
      <c r="AI268" s="36"/>
      <c r="AJ268" s="36"/>
      <c r="AK268" s="29"/>
      <c r="AL268" s="29"/>
      <c r="AM268" s="35"/>
      <c r="AN268" s="36"/>
      <c r="AO268" s="36"/>
      <c r="AP268" s="36"/>
      <c r="AQ268" s="36"/>
      <c r="AR268" s="36"/>
      <c r="AS268" s="36"/>
      <c r="AT268" s="36"/>
      <c r="AU268" s="36"/>
      <c r="AV268" s="36"/>
      <c r="AW268" s="31"/>
      <c r="AX268" s="29"/>
      <c r="AY268" s="35"/>
      <c r="AZ268" s="36"/>
      <c r="BA268" s="36"/>
      <c r="BB268" s="36"/>
      <c r="BC268" s="36"/>
      <c r="BD268" s="36"/>
      <c r="BE268" s="36"/>
      <c r="BF268" s="36"/>
      <c r="BG268" s="36"/>
      <c r="BH268" s="36"/>
      <c r="CP268" s="18"/>
      <c r="CR268" s="243"/>
    </row>
    <row r="269" spans="1:96" s="16" customFormat="1" ht="18" customHeight="1">
      <c r="A269" s="17"/>
      <c r="O269" s="35"/>
      <c r="P269" s="36"/>
      <c r="Q269" s="36"/>
      <c r="R269" s="36"/>
      <c r="S269" s="36"/>
      <c r="T269" s="36"/>
      <c r="U269" s="36"/>
      <c r="V269" s="36"/>
      <c r="W269" s="36"/>
      <c r="X269" s="36"/>
      <c r="Y269" s="29"/>
      <c r="Z269" s="29"/>
      <c r="AA269" s="35"/>
      <c r="AB269" s="36"/>
      <c r="AC269" s="36"/>
      <c r="AD269" s="36"/>
      <c r="AE269" s="36"/>
      <c r="AF269" s="36"/>
      <c r="AG269" s="36"/>
      <c r="AH269" s="36"/>
      <c r="AI269" s="36"/>
      <c r="AJ269" s="36"/>
      <c r="AK269" s="29"/>
      <c r="AL269" s="29"/>
      <c r="AM269" s="35"/>
      <c r="AN269" s="36"/>
      <c r="AO269" s="36"/>
      <c r="AP269" s="36"/>
      <c r="AQ269" s="36"/>
      <c r="AR269" s="36"/>
      <c r="AS269" s="36"/>
      <c r="AT269" s="36"/>
      <c r="AU269" s="36"/>
      <c r="AV269" s="36"/>
      <c r="AW269" s="31"/>
      <c r="AX269" s="29"/>
      <c r="AY269" s="35"/>
      <c r="AZ269" s="36"/>
      <c r="BA269" s="36"/>
      <c r="BB269" s="36"/>
      <c r="BC269" s="36"/>
      <c r="BD269" s="36"/>
      <c r="BE269" s="36"/>
      <c r="BF269" s="36"/>
      <c r="BG269" s="36"/>
      <c r="BH269" s="36"/>
      <c r="CP269" s="18"/>
      <c r="CR269" s="243"/>
    </row>
    <row r="270" spans="1:96" s="16" customFormat="1" ht="18" customHeight="1">
      <c r="A270" s="17"/>
      <c r="O270" s="35"/>
      <c r="P270" s="36"/>
      <c r="Q270" s="36"/>
      <c r="R270" s="36"/>
      <c r="S270" s="36"/>
      <c r="T270" s="36"/>
      <c r="U270" s="36"/>
      <c r="V270" s="36"/>
      <c r="W270" s="36"/>
      <c r="X270" s="36"/>
      <c r="Y270" s="29"/>
      <c r="Z270" s="29"/>
      <c r="AA270" s="35"/>
      <c r="AB270" s="36"/>
      <c r="AC270" s="36"/>
      <c r="AD270" s="36"/>
      <c r="AE270" s="36"/>
      <c r="AF270" s="36"/>
      <c r="AG270" s="36"/>
      <c r="AH270" s="36"/>
      <c r="AI270" s="36"/>
      <c r="AJ270" s="36"/>
      <c r="AK270" s="29"/>
      <c r="AL270" s="29"/>
      <c r="AM270" s="35"/>
      <c r="AN270" s="36"/>
      <c r="AO270" s="36"/>
      <c r="AP270" s="36"/>
      <c r="AQ270" s="36"/>
      <c r="AR270" s="36"/>
      <c r="AS270" s="36"/>
      <c r="AT270" s="36"/>
      <c r="AU270" s="36"/>
      <c r="AV270" s="36"/>
      <c r="AW270" s="31"/>
      <c r="AX270" s="29"/>
      <c r="AY270" s="35"/>
      <c r="AZ270" s="36"/>
      <c r="BA270" s="36"/>
      <c r="BB270" s="36"/>
      <c r="BC270" s="36"/>
      <c r="BD270" s="36"/>
      <c r="BE270" s="36"/>
      <c r="BF270" s="36"/>
      <c r="BG270" s="36"/>
      <c r="BH270" s="36"/>
      <c r="CP270" s="18"/>
      <c r="CR270" s="243"/>
    </row>
    <row r="271" spans="1:96" s="16" customFormat="1" ht="18" customHeight="1">
      <c r="A271" s="17"/>
      <c r="O271" s="35"/>
      <c r="P271" s="36"/>
      <c r="Q271" s="36"/>
      <c r="R271" s="36"/>
      <c r="S271" s="36"/>
      <c r="T271" s="36"/>
      <c r="U271" s="36"/>
      <c r="V271" s="36"/>
      <c r="W271" s="36"/>
      <c r="X271" s="36"/>
      <c r="Y271" s="29"/>
      <c r="Z271" s="29"/>
      <c r="AA271" s="35"/>
      <c r="AB271" s="36"/>
      <c r="AC271" s="36"/>
      <c r="AD271" s="36"/>
      <c r="AE271" s="36"/>
      <c r="AF271" s="36"/>
      <c r="AG271" s="36"/>
      <c r="AH271" s="36"/>
      <c r="AI271" s="36"/>
      <c r="AJ271" s="36"/>
      <c r="AK271" s="29"/>
      <c r="AL271" s="29"/>
      <c r="AM271" s="35"/>
      <c r="AN271" s="36"/>
      <c r="AO271" s="36"/>
      <c r="AP271" s="36"/>
      <c r="AQ271" s="36"/>
      <c r="AR271" s="36"/>
      <c r="AS271" s="36"/>
      <c r="AT271" s="36"/>
      <c r="AU271" s="36"/>
      <c r="AV271" s="36"/>
      <c r="AW271" s="31"/>
      <c r="AX271" s="29"/>
      <c r="AY271" s="35"/>
      <c r="AZ271" s="36"/>
      <c r="BA271" s="36"/>
      <c r="BB271" s="36"/>
      <c r="BC271" s="36"/>
      <c r="BD271" s="36"/>
      <c r="BE271" s="36"/>
      <c r="BF271" s="36"/>
      <c r="BG271" s="36"/>
      <c r="BH271" s="36"/>
      <c r="CP271" s="18"/>
      <c r="CR271" s="243"/>
    </row>
    <row r="272" spans="1:96" s="16" customFormat="1" ht="18" customHeight="1">
      <c r="A272" s="17"/>
      <c r="O272" s="35"/>
      <c r="P272" s="36"/>
      <c r="Q272" s="36"/>
      <c r="R272" s="36"/>
      <c r="S272" s="36"/>
      <c r="T272" s="36"/>
      <c r="U272" s="36"/>
      <c r="V272" s="36"/>
      <c r="W272" s="36"/>
      <c r="X272" s="36"/>
      <c r="Y272" s="29"/>
      <c r="Z272" s="29"/>
      <c r="AA272" s="35"/>
      <c r="AB272" s="36"/>
      <c r="AC272" s="36"/>
      <c r="AD272" s="36"/>
      <c r="AE272" s="36"/>
      <c r="AF272" s="36"/>
      <c r="AG272" s="36"/>
      <c r="AH272" s="36"/>
      <c r="AI272" s="36"/>
      <c r="AJ272" s="36"/>
      <c r="AK272" s="29"/>
      <c r="AL272" s="29"/>
      <c r="AM272" s="35"/>
      <c r="AN272" s="36"/>
      <c r="AO272" s="36"/>
      <c r="AP272" s="36"/>
      <c r="AQ272" s="36"/>
      <c r="AR272" s="36"/>
      <c r="AS272" s="36"/>
      <c r="AT272" s="36"/>
      <c r="AU272" s="36"/>
      <c r="AV272" s="36"/>
      <c r="AW272" s="31"/>
      <c r="AX272" s="29"/>
      <c r="AY272" s="35"/>
      <c r="AZ272" s="36"/>
      <c r="BA272" s="36"/>
      <c r="BB272" s="36"/>
      <c r="BC272" s="36"/>
      <c r="BD272" s="36"/>
      <c r="BE272" s="36"/>
      <c r="BF272" s="36"/>
      <c r="BG272" s="36"/>
      <c r="BH272" s="36"/>
      <c r="CP272" s="18"/>
      <c r="CR272" s="243"/>
    </row>
    <row r="273" spans="1:97" s="16" customFormat="1" ht="18" customHeight="1">
      <c r="A273" s="17"/>
      <c r="O273" s="35"/>
      <c r="P273" s="36"/>
      <c r="Q273" s="36"/>
      <c r="R273" s="36"/>
      <c r="S273" s="36"/>
      <c r="T273" s="36"/>
      <c r="U273" s="36"/>
      <c r="V273" s="36"/>
      <c r="W273" s="36"/>
      <c r="X273" s="36"/>
      <c r="Y273" s="29"/>
      <c r="Z273" s="29"/>
      <c r="AA273" s="35"/>
      <c r="AB273" s="36"/>
      <c r="AC273" s="36"/>
      <c r="AD273" s="36"/>
      <c r="AE273" s="36"/>
      <c r="AF273" s="36"/>
      <c r="AG273" s="36"/>
      <c r="AH273" s="36"/>
      <c r="AI273" s="36"/>
      <c r="AJ273" s="36"/>
      <c r="AK273" s="29"/>
      <c r="AL273" s="29"/>
      <c r="AM273" s="35"/>
      <c r="AN273" s="36"/>
      <c r="AO273" s="36"/>
      <c r="AP273" s="36"/>
      <c r="AQ273" s="36"/>
      <c r="AR273" s="36"/>
      <c r="AS273" s="36"/>
      <c r="AT273" s="36"/>
      <c r="AU273" s="36"/>
      <c r="AV273" s="36"/>
      <c r="AW273" s="31"/>
      <c r="AX273" s="29"/>
      <c r="AY273" s="35"/>
      <c r="AZ273" s="36"/>
      <c r="BA273" s="36"/>
      <c r="BB273" s="36"/>
      <c r="BC273" s="36"/>
      <c r="BD273" s="36"/>
      <c r="BE273" s="36"/>
      <c r="BF273" s="36"/>
      <c r="BG273" s="36"/>
      <c r="BH273" s="36"/>
      <c r="CP273" s="18"/>
      <c r="CR273" s="243"/>
    </row>
    <row r="274" spans="1:97" s="16" customFormat="1" ht="18" customHeight="1">
      <c r="A274" s="17"/>
      <c r="O274" s="35"/>
      <c r="P274" s="36"/>
      <c r="Q274" s="36"/>
      <c r="R274" s="36"/>
      <c r="S274" s="36"/>
      <c r="T274" s="36"/>
      <c r="U274" s="36"/>
      <c r="V274" s="36"/>
      <c r="W274" s="36"/>
      <c r="X274" s="36"/>
      <c r="Y274" s="29"/>
      <c r="Z274" s="29"/>
      <c r="AA274" s="35"/>
      <c r="AB274" s="36"/>
      <c r="AC274" s="36"/>
      <c r="AD274" s="36"/>
      <c r="AE274" s="36"/>
      <c r="AF274" s="36"/>
      <c r="AG274" s="36"/>
      <c r="AH274" s="36"/>
      <c r="AI274" s="36"/>
      <c r="AJ274" s="36"/>
      <c r="AK274" s="29"/>
      <c r="AL274" s="29"/>
      <c r="AM274" s="35"/>
      <c r="AN274" s="36"/>
      <c r="AO274" s="36"/>
      <c r="AP274" s="36"/>
      <c r="AQ274" s="36"/>
      <c r="AR274" s="36"/>
      <c r="AS274" s="36"/>
      <c r="AT274" s="36"/>
      <c r="AU274" s="36"/>
      <c r="AV274" s="36"/>
      <c r="AW274" s="31"/>
      <c r="AX274" s="29"/>
      <c r="AY274" s="35"/>
      <c r="AZ274" s="36"/>
      <c r="BA274" s="36"/>
      <c r="BB274" s="36"/>
      <c r="BC274" s="36"/>
      <c r="BD274" s="36"/>
      <c r="BE274" s="36"/>
      <c r="BF274" s="36"/>
      <c r="BG274" s="36"/>
      <c r="BH274" s="36"/>
      <c r="CP274" s="18"/>
      <c r="CR274" s="243"/>
    </row>
    <row r="275" spans="1:97" s="16" customFormat="1" ht="18" customHeight="1">
      <c r="A275" s="17"/>
      <c r="O275" s="35"/>
      <c r="P275" s="36"/>
      <c r="Q275" s="36"/>
      <c r="R275" s="36"/>
      <c r="S275" s="36"/>
      <c r="T275" s="36"/>
      <c r="U275" s="36"/>
      <c r="V275" s="36"/>
      <c r="W275" s="36"/>
      <c r="X275" s="36"/>
      <c r="Y275" s="29"/>
      <c r="Z275" s="29"/>
      <c r="AA275" s="35"/>
      <c r="AB275" s="36"/>
      <c r="AC275" s="36"/>
      <c r="AD275" s="36"/>
      <c r="AE275" s="36"/>
      <c r="AF275" s="36"/>
      <c r="AG275" s="36"/>
      <c r="AH275" s="36"/>
      <c r="AI275" s="36"/>
      <c r="AJ275" s="36"/>
      <c r="AK275" s="29"/>
      <c r="AL275" s="29"/>
      <c r="AM275" s="35"/>
      <c r="AN275" s="36"/>
      <c r="AO275" s="36"/>
      <c r="AP275" s="36"/>
      <c r="AQ275" s="36"/>
      <c r="AR275" s="36"/>
      <c r="AS275" s="36"/>
      <c r="AT275" s="36"/>
      <c r="AU275" s="36"/>
      <c r="AV275" s="36"/>
      <c r="AW275" s="31"/>
      <c r="AX275" s="29"/>
      <c r="AY275" s="35"/>
      <c r="AZ275" s="36"/>
      <c r="BA275" s="36"/>
      <c r="BB275" s="36"/>
      <c r="BC275" s="36"/>
      <c r="BD275" s="36"/>
      <c r="BE275" s="36"/>
      <c r="BF275" s="36"/>
      <c r="BG275" s="36"/>
      <c r="BH275" s="36"/>
      <c r="CP275" s="18"/>
      <c r="CR275" s="243"/>
    </row>
    <row r="276" spans="1:97" s="16" customFormat="1" ht="18" customHeight="1">
      <c r="A276" s="37"/>
      <c r="B276" s="38"/>
      <c r="C276" s="38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N276" s="38"/>
      <c r="O276" s="45"/>
      <c r="P276" s="46"/>
      <c r="Q276" s="46"/>
      <c r="R276" s="46"/>
      <c r="S276" s="46"/>
      <c r="T276" s="46"/>
      <c r="U276" s="46"/>
      <c r="V276" s="46"/>
      <c r="W276" s="46"/>
      <c r="X276" s="46"/>
      <c r="Y276" s="47"/>
      <c r="Z276" s="47"/>
      <c r="AA276" s="45"/>
      <c r="AB276" s="46"/>
      <c r="AC276" s="46"/>
      <c r="AD276" s="46"/>
      <c r="AE276" s="46"/>
      <c r="AF276" s="46"/>
      <c r="AG276" s="46"/>
      <c r="AH276" s="46"/>
      <c r="AI276" s="46"/>
      <c r="AJ276" s="46"/>
      <c r="AK276" s="47"/>
      <c r="AL276" s="47"/>
      <c r="AM276" s="45"/>
      <c r="AN276" s="46"/>
      <c r="AO276" s="46"/>
      <c r="AP276" s="46"/>
      <c r="AQ276" s="46"/>
      <c r="AR276" s="46"/>
      <c r="AS276" s="46"/>
      <c r="AT276" s="46"/>
      <c r="AU276" s="46"/>
      <c r="AV276" s="46"/>
      <c r="AW276" s="48"/>
      <c r="AX276" s="47"/>
      <c r="AY276" s="45"/>
      <c r="AZ276" s="46"/>
      <c r="BA276" s="46"/>
      <c r="BB276" s="46"/>
      <c r="BC276" s="46"/>
      <c r="BD276" s="46"/>
      <c r="BE276" s="46"/>
      <c r="BF276" s="46"/>
      <c r="BG276" s="46"/>
      <c r="BH276" s="46"/>
      <c r="BI276" s="38"/>
      <c r="BJ276" s="38"/>
      <c r="BK276" s="38"/>
      <c r="BL276" s="38"/>
      <c r="BM276" s="38"/>
      <c r="BN276" s="38"/>
      <c r="BO276" s="38"/>
      <c r="BP276" s="38"/>
      <c r="BQ276" s="38"/>
      <c r="BR276" s="38"/>
      <c r="BS276" s="38"/>
      <c r="BT276" s="38"/>
      <c r="BU276" s="38"/>
      <c r="BV276" s="38"/>
      <c r="BW276" s="38"/>
      <c r="BX276" s="38"/>
      <c r="BY276" s="38"/>
      <c r="BZ276" s="38"/>
      <c r="CA276" s="38"/>
      <c r="CB276" s="38"/>
      <c r="CC276" s="38"/>
      <c r="CD276" s="38"/>
      <c r="CE276" s="38"/>
      <c r="CF276" s="38"/>
      <c r="CG276" s="38"/>
      <c r="CH276" s="38"/>
      <c r="CI276" s="38"/>
      <c r="CJ276" s="38"/>
      <c r="CK276" s="38"/>
      <c r="CL276" s="38"/>
      <c r="CM276" s="38"/>
      <c r="CN276" s="38"/>
      <c r="CO276" s="38"/>
      <c r="CP276" s="39"/>
      <c r="CR276" s="243"/>
    </row>
    <row r="277" spans="1:97" s="16" customFormat="1" ht="30.75" customHeight="1">
      <c r="A277" s="1467" t="s">
        <v>665</v>
      </c>
      <c r="B277" s="1468"/>
      <c r="C277" s="1468"/>
      <c r="D277" s="1468"/>
      <c r="E277" s="1468"/>
      <c r="F277" s="1468"/>
      <c r="G277" s="1468"/>
      <c r="H277" s="1468"/>
      <c r="I277" s="1468"/>
      <c r="J277" s="1468"/>
      <c r="K277" s="1468"/>
      <c r="L277" s="1468"/>
      <c r="M277" s="1468"/>
      <c r="N277" s="1468"/>
      <c r="O277" s="1468"/>
      <c r="P277" s="1468"/>
      <c r="Q277" s="1468"/>
      <c r="R277" s="1468"/>
      <c r="S277" s="1468"/>
      <c r="T277" s="1468"/>
      <c r="U277" s="1468"/>
      <c r="V277" s="1468"/>
      <c r="W277" s="1468"/>
      <c r="X277" s="1468"/>
      <c r="Y277" s="1468"/>
      <c r="Z277" s="1468"/>
      <c r="AA277" s="1468"/>
      <c r="AB277" s="1468"/>
      <c r="AC277" s="1468"/>
      <c r="AD277" s="1468"/>
      <c r="AE277" s="1468"/>
      <c r="AF277" s="1468"/>
      <c r="AG277" s="1468"/>
      <c r="AH277" s="1468"/>
      <c r="AI277" s="1468"/>
      <c r="AJ277" s="1468"/>
      <c r="AK277" s="1468"/>
      <c r="AL277" s="1468"/>
      <c r="AM277" s="1468"/>
      <c r="AN277" s="1468"/>
      <c r="AO277" s="1468"/>
      <c r="AP277" s="1468"/>
      <c r="AQ277" s="1468"/>
      <c r="AR277" s="1468"/>
      <c r="AS277" s="1468"/>
      <c r="AT277" s="1468"/>
      <c r="AU277" s="1468"/>
      <c r="AV277" s="1468"/>
      <c r="AW277" s="1468"/>
      <c r="AX277" s="1468"/>
      <c r="AY277" s="1468"/>
      <c r="AZ277" s="1468"/>
      <c r="BA277" s="1468"/>
      <c r="BB277" s="1468"/>
      <c r="BC277" s="1468"/>
      <c r="BD277" s="1468"/>
      <c r="BE277" s="1468"/>
      <c r="BF277" s="1468"/>
      <c r="BG277" s="1468"/>
      <c r="BH277" s="1468"/>
      <c r="BI277" s="1468"/>
      <c r="BJ277" s="1468"/>
      <c r="BK277" s="1468"/>
      <c r="BL277" s="1468"/>
      <c r="BM277" s="1468"/>
      <c r="BN277" s="1468"/>
      <c r="BO277" s="1468"/>
      <c r="BP277" s="1468"/>
      <c r="BQ277" s="1468"/>
      <c r="BR277" s="1468"/>
      <c r="BS277" s="1468"/>
      <c r="BT277" s="1468"/>
      <c r="BU277" s="1468"/>
      <c r="BV277" s="1468"/>
      <c r="BW277" s="1468"/>
      <c r="BX277" s="1468"/>
      <c r="BY277" s="1468"/>
      <c r="BZ277" s="1468"/>
      <c r="CA277" s="1468"/>
      <c r="CB277" s="1468"/>
      <c r="CC277" s="1468"/>
      <c r="CD277" s="1468"/>
      <c r="CE277" s="1468"/>
      <c r="CF277" s="1468"/>
      <c r="CG277" s="1468"/>
      <c r="CH277" s="1468"/>
      <c r="CI277" s="1468"/>
      <c r="CJ277" s="1468"/>
      <c r="CK277" s="1468"/>
      <c r="CL277" s="1468"/>
      <c r="CM277" s="1468"/>
      <c r="CN277" s="1468"/>
      <c r="CO277" s="1468"/>
      <c r="CP277" s="1469"/>
      <c r="CR277" s="243"/>
    </row>
    <row r="278" spans="1:97" s="16" customFormat="1" ht="18" customHeight="1">
      <c r="A278" s="40"/>
      <c r="B278" s="41"/>
      <c r="C278" s="41"/>
      <c r="D278" s="42" t="s">
        <v>318</v>
      </c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2" t="s">
        <v>327</v>
      </c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  <c r="AA278" s="41"/>
      <c r="AB278" s="41"/>
      <c r="AC278" s="41"/>
      <c r="AD278" s="41"/>
      <c r="AE278" s="41"/>
      <c r="AF278" s="41"/>
      <c r="AG278" s="41"/>
      <c r="AH278" s="41"/>
      <c r="AI278" s="41"/>
      <c r="AJ278" s="41"/>
      <c r="AK278" s="41"/>
      <c r="AL278" s="41"/>
      <c r="AM278" s="41"/>
      <c r="AN278" s="41"/>
      <c r="AO278" s="41"/>
      <c r="AP278" s="41"/>
      <c r="AQ278" s="41"/>
      <c r="AR278" s="41"/>
      <c r="AS278" s="41"/>
      <c r="AT278" s="41"/>
      <c r="AU278" s="41"/>
      <c r="AV278" s="41"/>
      <c r="AW278" s="41"/>
      <c r="AX278" s="41"/>
      <c r="AY278" s="41"/>
      <c r="AZ278" s="41"/>
      <c r="BA278" s="41"/>
      <c r="BB278" s="41"/>
      <c r="BC278" s="41"/>
      <c r="BD278" s="41"/>
      <c r="BE278" s="41"/>
      <c r="BF278" s="41"/>
      <c r="BG278" s="41"/>
      <c r="BH278" s="41"/>
      <c r="BI278" s="41"/>
      <c r="BJ278" s="41"/>
      <c r="BK278" s="41" t="s">
        <v>319</v>
      </c>
      <c r="BL278" s="41"/>
      <c r="BM278" s="41"/>
      <c r="BN278" s="41"/>
      <c r="BO278" s="41"/>
      <c r="BP278" s="41"/>
      <c r="BQ278" s="41"/>
      <c r="BR278" s="41"/>
      <c r="BS278" s="41"/>
      <c r="BT278" s="41"/>
      <c r="BU278" s="41"/>
      <c r="BV278" s="41"/>
      <c r="BW278" s="1470">
        <v>55074</v>
      </c>
      <c r="BX278" s="1478"/>
      <c r="BY278" s="1478"/>
      <c r="BZ278" s="1478"/>
      <c r="CA278" s="1478"/>
      <c r="CB278" s="1478"/>
      <c r="CC278" s="1478"/>
      <c r="CD278" s="1478"/>
      <c r="CE278" s="1478"/>
      <c r="CF278" s="1478"/>
      <c r="CG278" s="58" t="s">
        <v>720</v>
      </c>
      <c r="CH278" s="41"/>
      <c r="CI278" s="41"/>
      <c r="CJ278" s="41"/>
      <c r="CK278" s="41"/>
      <c r="CL278" s="41"/>
      <c r="CM278" s="41"/>
      <c r="CN278" s="41"/>
      <c r="CO278" s="41"/>
      <c r="CP278" s="43"/>
      <c r="CR278" s="247"/>
    </row>
    <row r="279" spans="1:97" s="16" customFormat="1" ht="18" customHeight="1">
      <c r="A279" s="17"/>
      <c r="D279" s="1461" t="s">
        <v>635</v>
      </c>
      <c r="E279" s="1462"/>
      <c r="F279" s="1462"/>
      <c r="G279" s="1462"/>
      <c r="H279" s="1462"/>
      <c r="I279" s="1462"/>
      <c r="J279" s="1462"/>
      <c r="K279" s="1462"/>
      <c r="L279" s="1462"/>
      <c r="M279" s="1462"/>
      <c r="N279" s="1462"/>
      <c r="O279" s="1462"/>
      <c r="P279" s="1462"/>
      <c r="Q279" s="1462"/>
      <c r="R279" s="1462"/>
      <c r="S279" s="1462"/>
      <c r="T279" s="1462"/>
      <c r="U279" s="1462"/>
      <c r="V279" s="1462"/>
      <c r="W279" s="1462"/>
      <c r="X279" s="1462"/>
      <c r="Y279" s="1462"/>
      <c r="Z279" s="1462"/>
      <c r="AA279" s="1462"/>
      <c r="AB279" s="1462"/>
      <c r="AC279" s="1462"/>
      <c r="AD279" s="1462"/>
      <c r="AE279" s="1462"/>
      <c r="AF279" s="1462"/>
      <c r="AG279" s="1462"/>
      <c r="AH279" s="1462"/>
      <c r="AI279" s="1462"/>
      <c r="AJ279" s="1462"/>
      <c r="AK279" s="1462"/>
      <c r="AL279" s="1462"/>
      <c r="AM279" s="1462"/>
      <c r="AN279" s="1462"/>
      <c r="AO279" s="1462"/>
      <c r="AP279" s="1462"/>
      <c r="AQ279" s="1462"/>
      <c r="AR279" s="1462"/>
      <c r="AS279" s="1462"/>
      <c r="AT279" s="1462"/>
      <c r="AU279" s="1462"/>
      <c r="AV279" s="1462"/>
      <c r="AW279" s="1462"/>
      <c r="AX279" s="1462"/>
      <c r="AY279" s="1462"/>
      <c r="AZ279" s="1462"/>
      <c r="BA279" s="1462"/>
      <c r="BB279" s="1462"/>
      <c r="BC279" s="1462"/>
      <c r="BD279" s="1462"/>
      <c r="BE279" s="1462"/>
      <c r="BF279" s="1462"/>
      <c r="BG279" s="1462"/>
      <c r="BH279" s="1462"/>
      <c r="BI279" s="1462"/>
      <c r="BJ279" s="1462"/>
      <c r="BK279" s="1462"/>
      <c r="BL279" s="1462"/>
      <c r="BM279" s="1462"/>
      <c r="BN279" s="1462"/>
      <c r="BO279" s="1462"/>
      <c r="BP279" s="1462"/>
      <c r="BQ279" s="1462"/>
      <c r="BR279" s="1462"/>
      <c r="BS279" s="1462"/>
      <c r="BT279" s="1462"/>
      <c r="BU279" s="1462"/>
      <c r="BV279" s="1462"/>
      <c r="BW279" s="1462"/>
      <c r="BX279" s="1462"/>
      <c r="BY279" s="1462"/>
      <c r="BZ279" s="1462"/>
      <c r="CA279" s="1462"/>
      <c r="CB279" s="1462"/>
      <c r="CC279" s="1462"/>
      <c r="CD279" s="1462"/>
      <c r="CE279" s="1462"/>
      <c r="CF279" s="1462"/>
      <c r="CG279" s="1462"/>
      <c r="CH279" s="1462"/>
      <c r="CI279" s="1462"/>
      <c r="CJ279" s="1462"/>
      <c r="CK279" s="1462"/>
      <c r="CL279" s="1462"/>
      <c r="CM279" s="1462"/>
      <c r="CN279" s="1462"/>
      <c r="CO279" s="1462"/>
      <c r="CP279" s="18"/>
      <c r="CR279" s="662"/>
      <c r="CS279" s="663" t="s">
        <v>782</v>
      </c>
    </row>
    <row r="280" spans="1:97" s="16" customFormat="1" ht="18" customHeight="1">
      <c r="A280" s="17"/>
      <c r="E280" s="16" t="s">
        <v>320</v>
      </c>
      <c r="U280" s="1463">
        <v>1</v>
      </c>
      <c r="V280" s="1473"/>
      <c r="W280" s="1473"/>
      <c r="X280" s="1473"/>
      <c r="Y280" s="1473"/>
      <c r="Z280" s="29" t="s">
        <v>321</v>
      </c>
      <c r="AA280" s="29"/>
      <c r="AB280" s="29"/>
      <c r="AC280" s="29"/>
      <c r="AD280" s="29"/>
      <c r="AE280" s="1488">
        <f>CR281</f>
        <v>283323</v>
      </c>
      <c r="AF280" s="1489"/>
      <c r="AG280" s="1489"/>
      <c r="AH280" s="1489"/>
      <c r="AI280" s="1489"/>
      <c r="AJ280" s="1489"/>
      <c r="AK280" s="1489"/>
      <c r="AL280" s="1489"/>
      <c r="AM280" s="16" t="s">
        <v>322</v>
      </c>
      <c r="AU280" s="1463">
        <v>8</v>
      </c>
      <c r="AV280" s="1463"/>
      <c r="AW280" s="1463"/>
      <c r="AX280" s="29" t="s">
        <v>314</v>
      </c>
      <c r="AY280" s="29"/>
      <c r="AZ280" s="1463">
        <v>25</v>
      </c>
      <c r="BA280" s="1463"/>
      <c r="BB280" s="1463"/>
      <c r="BC280" s="29" t="s">
        <v>313</v>
      </c>
      <c r="BD280" s="29"/>
      <c r="BE280" s="1463">
        <v>20</v>
      </c>
      <c r="BF280" s="1463"/>
      <c r="BG280" s="1463"/>
      <c r="BH280" s="29" t="s">
        <v>314</v>
      </c>
      <c r="BI280" s="29"/>
      <c r="BJ280" s="1463">
        <v>16</v>
      </c>
      <c r="BK280" s="1463"/>
      <c r="BL280" s="1463"/>
      <c r="BM280" s="29" t="s">
        <v>313</v>
      </c>
      <c r="BN280" s="29"/>
      <c r="BO280" s="1463">
        <v>12</v>
      </c>
      <c r="BP280" s="1473"/>
      <c r="BQ280" s="1473"/>
      <c r="BR280" s="1473"/>
      <c r="BS280" s="31" t="s">
        <v>323</v>
      </c>
      <c r="BT280" s="29"/>
      <c r="BU280" s="1465">
        <f>INT(U280*AE280*(1/AU280*(AZ280/BE280)*(BJ280/BO280)))</f>
        <v>59025</v>
      </c>
      <c r="BV280" s="1473"/>
      <c r="BW280" s="1473"/>
      <c r="BX280" s="1473"/>
      <c r="BY280" s="1473"/>
      <c r="BZ280" s="1473"/>
      <c r="CA280" s="1473"/>
      <c r="CB280" s="1473"/>
      <c r="CC280" s="16" t="s">
        <v>316</v>
      </c>
      <c r="CP280" s="18"/>
      <c r="CQ280" s="49"/>
      <c r="CR280" s="662"/>
      <c r="CS280" s="664"/>
    </row>
    <row r="281" spans="1:97" s="16" customFormat="1" ht="18" customHeight="1" thickBot="1">
      <c r="A281" s="17"/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30"/>
      <c r="AF281" s="29"/>
      <c r="AG281" s="29"/>
      <c r="AH281" s="29"/>
      <c r="AI281" s="29"/>
      <c r="AJ281" s="29"/>
      <c r="AK281" s="29"/>
      <c r="AL281" s="29"/>
      <c r="AU281" s="29"/>
      <c r="AV281" s="29"/>
      <c r="AW281" s="29"/>
      <c r="AX281" s="29"/>
      <c r="AY281" s="29"/>
      <c r="AZ281" s="29"/>
      <c r="BA281" s="29"/>
      <c r="BB281" s="29"/>
      <c r="BC281" s="29"/>
      <c r="BD281" s="29"/>
      <c r="BE281" s="29"/>
      <c r="BF281" s="29"/>
      <c r="BG281" s="29"/>
      <c r="BH281" s="29"/>
      <c r="BI281" s="29"/>
      <c r="BJ281" s="29"/>
      <c r="BK281" s="29"/>
      <c r="BL281" s="29"/>
      <c r="BM281" s="29"/>
      <c r="BN281" s="29"/>
      <c r="BO281" s="29"/>
      <c r="BP281" s="29"/>
      <c r="BQ281" s="29"/>
      <c r="BS281" s="31"/>
      <c r="BT281" s="29"/>
      <c r="BU281" s="32"/>
      <c r="BV281" s="29"/>
      <c r="BW281" s="29"/>
      <c r="BX281" s="29"/>
      <c r="BY281" s="29"/>
      <c r="BZ281" s="29"/>
      <c r="CA281" s="29"/>
      <c r="CB281" s="29"/>
      <c r="CP281" s="18"/>
      <c r="CQ281" s="16" t="s">
        <v>97</v>
      </c>
      <c r="CR281" s="244">
        <f>VLOOKUP(CQ281,인건비!A:B,2,FALSE)</f>
        <v>283323</v>
      </c>
    </row>
    <row r="282" spans="1:97" s="16" customFormat="1" ht="18" customHeight="1" thickTop="1">
      <c r="A282" s="17"/>
      <c r="D282" s="33"/>
      <c r="E282" s="34" t="s">
        <v>282</v>
      </c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3"/>
      <c r="T282" s="33"/>
      <c r="U282" s="33"/>
      <c r="V282" s="33"/>
      <c r="W282" s="33"/>
      <c r="X282" s="33"/>
      <c r="Y282" s="33"/>
      <c r="Z282" s="33"/>
      <c r="AA282" s="33"/>
      <c r="AB282" s="33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3"/>
      <c r="AU282" s="33"/>
      <c r="AV282" s="33"/>
      <c r="AW282" s="33"/>
      <c r="AX282" s="33"/>
      <c r="AY282" s="33"/>
      <c r="AZ282" s="33"/>
      <c r="BA282" s="33"/>
      <c r="BB282" s="33"/>
      <c r="BC282" s="33"/>
      <c r="BD282" s="33"/>
      <c r="BE282" s="33"/>
      <c r="BF282" s="33"/>
      <c r="BG282" s="33"/>
      <c r="BH282" s="33"/>
      <c r="BI282" s="33"/>
      <c r="BJ282" s="33"/>
      <c r="BK282" s="33"/>
      <c r="BL282" s="33"/>
      <c r="BM282" s="33"/>
      <c r="BN282" s="33"/>
      <c r="BO282" s="33"/>
      <c r="BP282" s="33"/>
      <c r="BQ282" s="33"/>
      <c r="BR282" s="33"/>
      <c r="BS282" s="33"/>
      <c r="BT282" s="33"/>
      <c r="BU282" s="1459">
        <f>INT(SUM(BU280))</f>
        <v>59025</v>
      </c>
      <c r="BV282" s="1472"/>
      <c r="BW282" s="1472"/>
      <c r="BX282" s="1472"/>
      <c r="BY282" s="1472"/>
      <c r="BZ282" s="1472"/>
      <c r="CA282" s="1472"/>
      <c r="CB282" s="1472"/>
      <c r="CC282" s="33" t="s">
        <v>316</v>
      </c>
      <c r="CD282" s="33"/>
      <c r="CE282" s="33"/>
      <c r="CF282" s="33"/>
      <c r="CG282" s="33"/>
      <c r="CH282" s="33"/>
      <c r="CI282" s="33"/>
      <c r="CP282" s="18"/>
      <c r="CR282" s="244"/>
    </row>
    <row r="283" spans="1:97" s="16" customFormat="1" ht="18" customHeight="1">
      <c r="A283" s="17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BU283" s="32"/>
      <c r="BV283" s="29"/>
      <c r="BW283" s="29"/>
      <c r="BX283" s="29"/>
      <c r="BY283" s="29"/>
      <c r="BZ283" s="29"/>
      <c r="CA283" s="29"/>
      <c r="CB283" s="29"/>
      <c r="CP283" s="18"/>
      <c r="CQ283" s="16" t="s">
        <v>176</v>
      </c>
      <c r="CR283" s="244">
        <f>VLOOKUP(CQ283,인건비!A:B,2,FALSE)</f>
        <v>210909</v>
      </c>
    </row>
    <row r="284" spans="1:97" s="16" customFormat="1" ht="18" customHeight="1">
      <c r="A284" s="17"/>
      <c r="BV284" s="32"/>
      <c r="BW284" s="29"/>
      <c r="BX284" s="29"/>
      <c r="BY284" s="29"/>
      <c r="BZ284" s="29"/>
      <c r="CA284" s="29"/>
      <c r="CB284" s="29"/>
      <c r="CC284" s="29"/>
      <c r="CD284" s="29"/>
      <c r="CP284" s="18"/>
      <c r="CQ284" s="16" t="s">
        <v>96</v>
      </c>
      <c r="CR284" s="244">
        <f>VLOOKUP(CQ284,인건비!A:B,2,FALSE)</f>
        <v>173995</v>
      </c>
    </row>
    <row r="285" spans="1:97" s="16" customFormat="1" ht="18" customHeight="1">
      <c r="A285" s="17"/>
      <c r="D285" s="1461" t="s">
        <v>662</v>
      </c>
      <c r="E285" s="1462"/>
      <c r="F285" s="1462"/>
      <c r="G285" s="1462"/>
      <c r="H285" s="1462"/>
      <c r="I285" s="1462"/>
      <c r="J285" s="1462"/>
      <c r="K285" s="1462"/>
      <c r="L285" s="1462"/>
      <c r="M285" s="1462"/>
      <c r="N285" s="1462"/>
      <c r="O285" s="1462"/>
      <c r="P285" s="1462"/>
      <c r="Q285" s="1462"/>
      <c r="R285" s="1462"/>
      <c r="S285" s="1462"/>
      <c r="T285" s="1462"/>
      <c r="U285" s="1462"/>
      <c r="V285" s="1462"/>
      <c r="W285" s="1462"/>
      <c r="X285" s="1462"/>
      <c r="Y285" s="1462"/>
      <c r="Z285" s="1462"/>
      <c r="AA285" s="1462"/>
      <c r="AB285" s="1462"/>
      <c r="AC285" s="1462"/>
      <c r="AD285" s="1462"/>
      <c r="AE285" s="1462"/>
      <c r="AF285" s="1462"/>
      <c r="AG285" s="1462"/>
      <c r="AH285" s="1462"/>
      <c r="AI285" s="1462"/>
      <c r="AJ285" s="1462"/>
      <c r="AK285" s="1462"/>
      <c r="AL285" s="1462"/>
      <c r="AM285" s="1462"/>
      <c r="AN285" s="1462"/>
      <c r="AO285" s="1462"/>
      <c r="AP285" s="1462"/>
      <c r="AQ285" s="1462"/>
      <c r="AR285" s="1462"/>
      <c r="AS285" s="1462"/>
      <c r="AT285" s="1462"/>
      <c r="AU285" s="1462"/>
      <c r="AV285" s="1462"/>
      <c r="AW285" s="1462"/>
      <c r="AX285" s="1462"/>
      <c r="AY285" s="1462"/>
      <c r="AZ285" s="1462"/>
      <c r="BA285" s="1462"/>
      <c r="BB285" s="1462"/>
      <c r="BC285" s="1462"/>
      <c r="BD285" s="1462"/>
      <c r="BE285" s="1462"/>
      <c r="BF285" s="1462"/>
      <c r="BG285" s="1462"/>
      <c r="BH285" s="1462"/>
      <c r="BI285" s="1462"/>
      <c r="BJ285" s="1462"/>
      <c r="BK285" s="1462"/>
      <c r="BL285" s="1462"/>
      <c r="BM285" s="1462"/>
      <c r="BN285" s="1462"/>
      <c r="BO285" s="1462"/>
      <c r="BP285" s="1462"/>
      <c r="BQ285" s="1462"/>
      <c r="BR285" s="1462"/>
      <c r="BS285" s="1462"/>
      <c r="BT285" s="1462"/>
      <c r="BU285" s="1462"/>
      <c r="BV285" s="1462"/>
      <c r="BW285" s="1462"/>
      <c r="BX285" s="1462"/>
      <c r="BY285" s="1462"/>
      <c r="BZ285" s="1462"/>
      <c r="CA285" s="1462"/>
      <c r="CB285" s="1462"/>
      <c r="CC285" s="1462"/>
      <c r="CD285" s="1462"/>
      <c r="CE285" s="1462"/>
      <c r="CF285" s="1462"/>
      <c r="CG285" s="1462"/>
      <c r="CH285" s="1462"/>
      <c r="CI285" s="1462"/>
      <c r="CJ285" s="1462"/>
      <c r="CK285" s="1462"/>
      <c r="CL285" s="1462"/>
      <c r="CM285" s="1462"/>
      <c r="CN285" s="1462"/>
      <c r="CO285" s="1462"/>
      <c r="CP285" s="18"/>
      <c r="CQ285" s="16" t="s">
        <v>95</v>
      </c>
      <c r="CR285" s="244">
        <f>VLOOKUP(CQ285,인건비!A:B,2,FALSE)</f>
        <v>240042</v>
      </c>
    </row>
    <row r="286" spans="1:97" s="16" customFormat="1" ht="18" customHeight="1">
      <c r="A286" s="17"/>
      <c r="E286" s="16" t="s">
        <v>324</v>
      </c>
      <c r="U286" s="1463">
        <v>7.6</v>
      </c>
      <c r="V286" s="1473"/>
      <c r="W286" s="1473"/>
      <c r="X286" s="1473"/>
      <c r="Y286" s="1473"/>
      <c r="Z286" s="16" t="s">
        <v>266</v>
      </c>
      <c r="AE286" s="1464" t="e">
        <f>CR287</f>
        <v>#REF!</v>
      </c>
      <c r="AF286" s="1473"/>
      <c r="AG286" s="1473"/>
      <c r="AH286" s="1473"/>
      <c r="AI286" s="1473"/>
      <c r="AJ286" s="1473"/>
      <c r="AK286" s="1473"/>
      <c r="AL286" s="1473"/>
      <c r="AM286" s="16" t="s">
        <v>286</v>
      </c>
      <c r="AT286" s="1465" t="e">
        <f>INT(U286*AE286)</f>
        <v>#REF!</v>
      </c>
      <c r="AU286" s="1473"/>
      <c r="AV286" s="1473"/>
      <c r="AW286" s="1473"/>
      <c r="AX286" s="1473"/>
      <c r="AY286" s="1473"/>
      <c r="AZ286" s="1473"/>
      <c r="BA286" s="1473"/>
      <c r="BB286" s="16" t="s">
        <v>287</v>
      </c>
      <c r="CP286" s="18"/>
      <c r="CQ286" s="16" t="s">
        <v>267</v>
      </c>
      <c r="CR286" s="245" t="e">
        <f>#REF!</f>
        <v>#REF!</v>
      </c>
    </row>
    <row r="287" spans="1:97" s="16" customFormat="1" ht="18" customHeight="1" thickBot="1">
      <c r="A287" s="17"/>
      <c r="E287" s="16" t="s">
        <v>288</v>
      </c>
      <c r="U287" s="16" t="s">
        <v>289</v>
      </c>
      <c r="AE287" s="1466">
        <v>18</v>
      </c>
      <c r="AF287" s="1474"/>
      <c r="AG287" s="1474"/>
      <c r="AH287" s="1474"/>
      <c r="AI287" s="1474"/>
      <c r="AJ287" s="1474"/>
      <c r="AK287" s="1474"/>
      <c r="AL287" s="1474"/>
      <c r="AM287" s="16" t="s">
        <v>290</v>
      </c>
      <c r="AT287" s="1458" t="e">
        <f>INT(AT286*AE287/100)</f>
        <v>#REF!</v>
      </c>
      <c r="AU287" s="1458"/>
      <c r="AV287" s="1458"/>
      <c r="AW287" s="1458"/>
      <c r="AX287" s="1458"/>
      <c r="AY287" s="1458"/>
      <c r="AZ287" s="1458"/>
      <c r="BA287" s="1458"/>
      <c r="BB287" s="16" t="s">
        <v>287</v>
      </c>
      <c r="CP287" s="18"/>
      <c r="CQ287" s="16" t="s">
        <v>268</v>
      </c>
      <c r="CR287" s="245" t="e">
        <f>#REF!</f>
        <v>#REF!</v>
      </c>
    </row>
    <row r="288" spans="1:97" s="16" customFormat="1" ht="18" customHeight="1" thickTop="1">
      <c r="A288" s="17"/>
      <c r="D288" s="33"/>
      <c r="E288" s="34" t="s">
        <v>291</v>
      </c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3"/>
      <c r="T288" s="33"/>
      <c r="U288" s="33"/>
      <c r="V288" s="33"/>
      <c r="W288" s="33"/>
      <c r="X288" s="33"/>
      <c r="Y288" s="33"/>
      <c r="Z288" s="33"/>
      <c r="AA288" s="33"/>
      <c r="AB288" s="33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1459" t="e">
        <f>INT(SUM(AT286+AT287))</f>
        <v>#REF!</v>
      </c>
      <c r="AU288" s="1472"/>
      <c r="AV288" s="1472"/>
      <c r="AW288" s="1472"/>
      <c r="AX288" s="1472"/>
      <c r="AY288" s="1472"/>
      <c r="AZ288" s="1472"/>
      <c r="BA288" s="1472"/>
      <c r="BB288" s="33" t="s">
        <v>287</v>
      </c>
      <c r="BC288" s="33"/>
      <c r="BD288" s="33"/>
      <c r="BE288" s="33"/>
      <c r="BF288" s="33"/>
      <c r="BG288" s="33"/>
      <c r="BH288" s="33"/>
      <c r="BI288" s="33"/>
      <c r="BJ288" s="33"/>
      <c r="BK288" s="33"/>
      <c r="BL288" s="33"/>
      <c r="BM288" s="33"/>
      <c r="BN288" s="33"/>
      <c r="BO288" s="33"/>
      <c r="BP288" s="33"/>
      <c r="BQ288" s="33"/>
      <c r="BR288" s="33"/>
      <c r="BS288" s="33"/>
      <c r="BT288" s="33"/>
      <c r="BU288" s="33"/>
      <c r="BV288" s="33"/>
      <c r="BW288" s="33"/>
      <c r="BX288" s="33"/>
      <c r="BY288" s="33"/>
      <c r="BZ288" s="33"/>
      <c r="CA288" s="33"/>
      <c r="CB288" s="33"/>
      <c r="CC288" s="33"/>
      <c r="CD288" s="33"/>
      <c r="CE288" s="33"/>
      <c r="CF288" s="33"/>
      <c r="CG288" s="33"/>
      <c r="CH288" s="33"/>
      <c r="CI288" s="33"/>
      <c r="CP288" s="18"/>
      <c r="CQ288" s="665" t="s">
        <v>831</v>
      </c>
      <c r="CR288" s="666" t="s">
        <v>639</v>
      </c>
    </row>
    <row r="289" spans="1:96" s="16" customFormat="1" ht="18" customHeight="1">
      <c r="A289" s="17"/>
      <c r="CP289" s="18"/>
      <c r="CQ289" s="665" t="s">
        <v>839</v>
      </c>
      <c r="CR289" s="666" t="s">
        <v>638</v>
      </c>
    </row>
    <row r="290" spans="1:96" s="16" customFormat="1" ht="18" customHeight="1">
      <c r="A290" s="17"/>
      <c r="D290" s="1461" t="s">
        <v>663</v>
      </c>
      <c r="E290" s="1462"/>
      <c r="F290" s="1462"/>
      <c r="G290" s="1462"/>
      <c r="H290" s="1462"/>
      <c r="I290" s="1462"/>
      <c r="J290" s="1462"/>
      <c r="K290" s="1462"/>
      <c r="L290" s="1462"/>
      <c r="M290" s="1462"/>
      <c r="N290" s="1462"/>
      <c r="O290" s="1462"/>
      <c r="P290" s="1462"/>
      <c r="Q290" s="1462"/>
      <c r="R290" s="1462"/>
      <c r="S290" s="1462"/>
      <c r="T290" s="1462"/>
      <c r="U290" s="1462"/>
      <c r="V290" s="1462"/>
      <c r="W290" s="1462"/>
      <c r="X290" s="1462"/>
      <c r="Y290" s="1462"/>
      <c r="Z290" s="1462"/>
      <c r="AA290" s="1462"/>
      <c r="AB290" s="1462"/>
      <c r="AC290" s="1462"/>
      <c r="AD290" s="1462"/>
      <c r="AE290" s="1462"/>
      <c r="AF290" s="1462"/>
      <c r="AG290" s="1462"/>
      <c r="AH290" s="1462"/>
      <c r="AI290" s="1462"/>
      <c r="AJ290" s="1462"/>
      <c r="AK290" s="1462"/>
      <c r="AL290" s="1462"/>
      <c r="AM290" s="1462"/>
      <c r="AN290" s="1462"/>
      <c r="AO290" s="1462"/>
      <c r="AP290" s="1462"/>
      <c r="AQ290" s="1462"/>
      <c r="AR290" s="1462"/>
      <c r="AS290" s="1462"/>
      <c r="AT290" s="1462"/>
      <c r="AU290" s="1462"/>
      <c r="AV290" s="1462"/>
      <c r="AW290" s="1462"/>
      <c r="AX290" s="1462"/>
      <c r="AY290" s="1462"/>
      <c r="AZ290" s="1462"/>
      <c r="BA290" s="1462"/>
      <c r="BB290" s="1462"/>
      <c r="BC290" s="1462"/>
      <c r="BD290" s="1462"/>
      <c r="BE290" s="1462"/>
      <c r="BF290" s="1462"/>
      <c r="BG290" s="1462"/>
      <c r="BH290" s="1462"/>
      <c r="BI290" s="1462"/>
      <c r="BJ290" s="1462"/>
      <c r="BK290" s="1462"/>
      <c r="BL290" s="1462"/>
      <c r="BM290" s="1462"/>
      <c r="BN290" s="1462"/>
      <c r="BO290" s="1462"/>
      <c r="BP290" s="1462"/>
      <c r="BQ290" s="1462"/>
      <c r="BR290" s="1462"/>
      <c r="BS290" s="1462"/>
      <c r="BT290" s="1462"/>
      <c r="BU290" s="1462"/>
      <c r="BV290" s="1462"/>
      <c r="BW290" s="1462"/>
      <c r="BX290" s="1462"/>
      <c r="BY290" s="1462"/>
      <c r="BZ290" s="1462"/>
      <c r="CA290" s="1462"/>
      <c r="CB290" s="1462"/>
      <c r="CC290" s="1462"/>
      <c r="CD290" s="1462"/>
      <c r="CE290" s="1462"/>
      <c r="CF290" s="1462"/>
      <c r="CG290" s="1462"/>
      <c r="CH290" s="1462"/>
      <c r="CI290" s="1462"/>
      <c r="CJ290" s="1462"/>
      <c r="CK290" s="1462"/>
      <c r="CL290" s="1462"/>
      <c r="CM290" s="1462"/>
      <c r="CN290" s="1462"/>
      <c r="CO290" s="1462"/>
      <c r="CP290" s="18"/>
      <c r="CR290" s="243"/>
    </row>
    <row r="291" spans="1:96" s="16" customFormat="1" ht="18" customHeight="1" thickBot="1">
      <c r="A291" s="17"/>
      <c r="E291" s="16" t="s">
        <v>328</v>
      </c>
      <c r="AA291" s="1456">
        <v>1802</v>
      </c>
      <c r="AB291" s="1456"/>
      <c r="AC291" s="1456"/>
      <c r="AD291" s="1456"/>
      <c r="AE291" s="1456"/>
      <c r="AF291" s="1456"/>
      <c r="AG291" s="1456"/>
      <c r="AH291" s="1456"/>
      <c r="AI291" s="29" t="s">
        <v>293</v>
      </c>
      <c r="AJ291" s="29"/>
      <c r="AK291" s="1457">
        <v>10000000</v>
      </c>
      <c r="AL291" s="1475"/>
      <c r="AM291" s="1475"/>
      <c r="AN291" s="1475"/>
      <c r="AO291" s="1475"/>
      <c r="AP291" s="1475"/>
      <c r="AQ291" s="1475"/>
      <c r="AR291" s="1475"/>
      <c r="AS291" s="1475"/>
      <c r="AT291" s="1475"/>
      <c r="AU291" s="1475"/>
      <c r="AV291" s="29" t="s">
        <v>294</v>
      </c>
      <c r="AW291" s="29"/>
      <c r="AX291" s="1458">
        <f>BW278</f>
        <v>55074</v>
      </c>
      <c r="AY291" s="1474"/>
      <c r="AZ291" s="1474"/>
      <c r="BA291" s="1474"/>
      <c r="BB291" s="1474"/>
      <c r="BC291" s="1474"/>
      <c r="BD291" s="1474"/>
      <c r="BE291" s="1474"/>
      <c r="BF291" s="1474"/>
      <c r="BG291" s="16" t="s">
        <v>295</v>
      </c>
      <c r="BN291" s="1458">
        <f>INT(AA291/AK291*AX291*1000)</f>
        <v>9924</v>
      </c>
      <c r="BO291" s="1458"/>
      <c r="BP291" s="1458"/>
      <c r="BQ291" s="1458"/>
      <c r="BR291" s="1458"/>
      <c r="BS291" s="1458"/>
      <c r="BT291" s="1458"/>
      <c r="BU291" s="1458"/>
      <c r="BV291" s="16" t="s">
        <v>287</v>
      </c>
      <c r="CP291" s="18"/>
      <c r="CR291" s="243"/>
    </row>
    <row r="292" spans="1:96" s="16" customFormat="1" ht="18" customHeight="1" thickTop="1">
      <c r="A292" s="17"/>
      <c r="D292" s="33"/>
      <c r="E292" s="34" t="s">
        <v>291</v>
      </c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3"/>
      <c r="T292" s="33"/>
      <c r="U292" s="33"/>
      <c r="V292" s="33"/>
      <c r="W292" s="33"/>
      <c r="X292" s="33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3"/>
      <c r="AU292" s="33"/>
      <c r="AV292" s="33"/>
      <c r="AW292" s="33"/>
      <c r="AX292" s="33"/>
      <c r="AY292" s="33"/>
      <c r="AZ292" s="33"/>
      <c r="BA292" s="33"/>
      <c r="BB292" s="33"/>
      <c r="BC292" s="33"/>
      <c r="BD292" s="33"/>
      <c r="BE292" s="33"/>
      <c r="BF292" s="33"/>
      <c r="BG292" s="33"/>
      <c r="BH292" s="33"/>
      <c r="BI292" s="33"/>
      <c r="BJ292" s="33"/>
      <c r="BK292" s="33"/>
      <c r="BL292" s="33"/>
      <c r="BM292" s="33"/>
      <c r="BN292" s="1459">
        <f>SUM(BN291)</f>
        <v>9924</v>
      </c>
      <c r="BO292" s="1472"/>
      <c r="BP292" s="1472"/>
      <c r="BQ292" s="1472"/>
      <c r="BR292" s="1472"/>
      <c r="BS292" s="1472"/>
      <c r="BT292" s="1472"/>
      <c r="BU292" s="1472"/>
      <c r="BV292" s="33" t="s">
        <v>287</v>
      </c>
      <c r="BW292" s="33"/>
      <c r="BX292" s="33"/>
      <c r="BY292" s="33"/>
      <c r="BZ292" s="33"/>
      <c r="CA292" s="33"/>
      <c r="CB292" s="33"/>
      <c r="CC292" s="33"/>
      <c r="CD292" s="33"/>
      <c r="CE292" s="33"/>
      <c r="CF292" s="33"/>
      <c r="CG292" s="33"/>
      <c r="CH292" s="33"/>
      <c r="CI292" s="33"/>
      <c r="CP292" s="18"/>
      <c r="CR292" s="243"/>
    </row>
    <row r="293" spans="1:96" s="16" customFormat="1" ht="18" customHeight="1">
      <c r="A293" s="17"/>
      <c r="CP293" s="18"/>
      <c r="CR293" s="243"/>
    </row>
    <row r="294" spans="1:96" s="16" customFormat="1" ht="18" customHeight="1">
      <c r="A294" s="17"/>
      <c r="E294" s="16" t="s">
        <v>296</v>
      </c>
      <c r="O294" s="1460">
        <f>BU282</f>
        <v>59025</v>
      </c>
      <c r="P294" s="1473"/>
      <c r="Q294" s="1473"/>
      <c r="R294" s="1473"/>
      <c r="S294" s="1473"/>
      <c r="T294" s="1473"/>
      <c r="U294" s="1473"/>
      <c r="V294" s="1473"/>
      <c r="W294" s="1473"/>
      <c r="X294" s="1473"/>
      <c r="Y294" s="29" t="s">
        <v>297</v>
      </c>
      <c r="Z294" s="29"/>
      <c r="AA294" s="1460" t="e">
        <f>AT288</f>
        <v>#REF!</v>
      </c>
      <c r="AB294" s="1473"/>
      <c r="AC294" s="1473"/>
      <c r="AD294" s="1473"/>
      <c r="AE294" s="1473"/>
      <c r="AF294" s="1473"/>
      <c r="AG294" s="1473"/>
      <c r="AH294" s="1473"/>
      <c r="AI294" s="1473"/>
      <c r="AJ294" s="1473"/>
      <c r="AK294" s="29" t="s">
        <v>297</v>
      </c>
      <c r="AL294" s="29"/>
      <c r="AM294" s="1460">
        <f>BN292</f>
        <v>9924</v>
      </c>
      <c r="AN294" s="1473"/>
      <c r="AO294" s="1473"/>
      <c r="AP294" s="1473"/>
      <c r="AQ294" s="1473"/>
      <c r="AR294" s="1473"/>
      <c r="AS294" s="1473"/>
      <c r="AT294" s="1473"/>
      <c r="AU294" s="1473"/>
      <c r="AV294" s="1473"/>
      <c r="AW294" s="31" t="s">
        <v>298</v>
      </c>
      <c r="AX294" s="29"/>
      <c r="AY294" s="1460" t="e">
        <f>O294+AA294+AM294</f>
        <v>#REF!</v>
      </c>
      <c r="AZ294" s="1473"/>
      <c r="BA294" s="1473"/>
      <c r="BB294" s="1473"/>
      <c r="BC294" s="1473"/>
      <c r="BD294" s="1473"/>
      <c r="BE294" s="1473"/>
      <c r="BF294" s="1473"/>
      <c r="BG294" s="1473"/>
      <c r="BH294" s="1473"/>
      <c r="BI294" s="16" t="s">
        <v>287</v>
      </c>
      <c r="CP294" s="18"/>
      <c r="CR294" s="243"/>
    </row>
    <row r="295" spans="1:96" s="16" customFormat="1" ht="18" customHeight="1">
      <c r="A295" s="17"/>
      <c r="O295" s="35"/>
      <c r="P295" s="36"/>
      <c r="Q295" s="36"/>
      <c r="R295" s="36"/>
      <c r="S295" s="36"/>
      <c r="T295" s="36"/>
      <c r="U295" s="36"/>
      <c r="V295" s="36"/>
      <c r="W295" s="36"/>
      <c r="X295" s="36"/>
      <c r="Y295" s="29"/>
      <c r="Z295" s="29"/>
      <c r="AA295" s="35"/>
      <c r="AB295" s="36"/>
      <c r="AC295" s="36"/>
      <c r="AD295" s="36"/>
      <c r="AE295" s="36"/>
      <c r="AF295" s="36"/>
      <c r="AG295" s="36"/>
      <c r="AH295" s="36"/>
      <c r="AI295" s="36"/>
      <c r="AJ295" s="36"/>
      <c r="AK295" s="29"/>
      <c r="AL295" s="29"/>
      <c r="AM295" s="35"/>
      <c r="AN295" s="36"/>
      <c r="AO295" s="36"/>
      <c r="AP295" s="36"/>
      <c r="AQ295" s="36"/>
      <c r="AR295" s="36"/>
      <c r="AS295" s="36"/>
      <c r="AT295" s="36"/>
      <c r="AU295" s="36"/>
      <c r="AV295" s="36"/>
      <c r="AW295" s="31"/>
      <c r="AX295" s="29"/>
      <c r="AY295" s="35"/>
      <c r="AZ295" s="36"/>
      <c r="BA295" s="36"/>
      <c r="BB295" s="36"/>
      <c r="BC295" s="36"/>
      <c r="BD295" s="36"/>
      <c r="BE295" s="36"/>
      <c r="BF295" s="36"/>
      <c r="BG295" s="36"/>
      <c r="BH295" s="36"/>
      <c r="CP295" s="18"/>
      <c r="CR295" s="243"/>
    </row>
    <row r="296" spans="1:96" s="16" customFormat="1" ht="18" customHeight="1">
      <c r="A296" s="17"/>
      <c r="O296" s="35"/>
      <c r="P296" s="36"/>
      <c r="Q296" s="36"/>
      <c r="R296" s="36"/>
      <c r="S296" s="36"/>
      <c r="T296" s="36"/>
      <c r="U296" s="36"/>
      <c r="V296" s="36"/>
      <c r="W296" s="36"/>
      <c r="X296" s="36"/>
      <c r="Y296" s="29"/>
      <c r="Z296" s="29"/>
      <c r="AA296" s="35"/>
      <c r="AB296" s="36"/>
      <c r="AC296" s="36"/>
      <c r="AD296" s="36"/>
      <c r="AE296" s="36"/>
      <c r="AF296" s="36"/>
      <c r="AG296" s="36"/>
      <c r="AH296" s="36"/>
      <c r="AI296" s="36"/>
      <c r="AJ296" s="36"/>
      <c r="AK296" s="29"/>
      <c r="AL296" s="29"/>
      <c r="AM296" s="35"/>
      <c r="AN296" s="36"/>
      <c r="AO296" s="36"/>
      <c r="AP296" s="36"/>
      <c r="AQ296" s="36"/>
      <c r="AR296" s="36"/>
      <c r="AS296" s="36"/>
      <c r="AT296" s="36"/>
      <c r="AU296" s="36"/>
      <c r="AV296" s="36"/>
      <c r="AW296" s="31"/>
      <c r="AX296" s="29"/>
      <c r="AY296" s="35"/>
      <c r="AZ296" s="36"/>
      <c r="BA296" s="36"/>
      <c r="BB296" s="36"/>
      <c r="BC296" s="36"/>
      <c r="BD296" s="36"/>
      <c r="BE296" s="36"/>
      <c r="BF296" s="36"/>
      <c r="BG296" s="36"/>
      <c r="BH296" s="36"/>
      <c r="CP296" s="18"/>
      <c r="CR296" s="243"/>
    </row>
    <row r="297" spans="1:96" s="16" customFormat="1" ht="18" customHeight="1">
      <c r="A297" s="17"/>
      <c r="O297" s="35"/>
      <c r="P297" s="36"/>
      <c r="Q297" s="36"/>
      <c r="R297" s="36"/>
      <c r="S297" s="36"/>
      <c r="T297" s="36"/>
      <c r="U297" s="36"/>
      <c r="V297" s="36"/>
      <c r="W297" s="36"/>
      <c r="X297" s="36"/>
      <c r="Y297" s="29"/>
      <c r="Z297" s="29"/>
      <c r="AA297" s="35"/>
      <c r="AB297" s="36"/>
      <c r="AC297" s="36"/>
      <c r="AD297" s="36"/>
      <c r="AE297" s="36"/>
      <c r="AF297" s="36"/>
      <c r="AG297" s="36"/>
      <c r="AH297" s="36"/>
      <c r="AI297" s="36"/>
      <c r="AJ297" s="36"/>
      <c r="AK297" s="29"/>
      <c r="AL297" s="29"/>
      <c r="AM297" s="35"/>
      <c r="AN297" s="36"/>
      <c r="AO297" s="36"/>
      <c r="AP297" s="36"/>
      <c r="AQ297" s="36"/>
      <c r="AR297" s="36"/>
      <c r="AS297" s="36"/>
      <c r="AT297" s="36"/>
      <c r="AU297" s="36"/>
      <c r="AV297" s="36"/>
      <c r="AW297" s="31"/>
      <c r="AX297" s="29"/>
      <c r="AY297" s="35"/>
      <c r="AZ297" s="36"/>
      <c r="BA297" s="36"/>
      <c r="BB297" s="36"/>
      <c r="BC297" s="36"/>
      <c r="BD297" s="36"/>
      <c r="BE297" s="36"/>
      <c r="BF297" s="36"/>
      <c r="BG297" s="36"/>
      <c r="BH297" s="36"/>
      <c r="CP297" s="18"/>
      <c r="CR297" s="243"/>
    </row>
    <row r="298" spans="1:96" s="16" customFormat="1" ht="18" customHeight="1">
      <c r="A298" s="17"/>
      <c r="O298" s="35"/>
      <c r="P298" s="36"/>
      <c r="Q298" s="36"/>
      <c r="R298" s="36"/>
      <c r="S298" s="36"/>
      <c r="T298" s="36"/>
      <c r="U298" s="36"/>
      <c r="V298" s="36"/>
      <c r="W298" s="36"/>
      <c r="X298" s="36"/>
      <c r="Y298" s="29"/>
      <c r="Z298" s="29"/>
      <c r="AA298" s="35"/>
      <c r="AB298" s="36"/>
      <c r="AC298" s="36"/>
      <c r="AD298" s="36"/>
      <c r="AE298" s="36"/>
      <c r="AF298" s="36"/>
      <c r="AG298" s="36"/>
      <c r="AH298" s="36"/>
      <c r="AI298" s="36"/>
      <c r="AJ298" s="36"/>
      <c r="AK298" s="29"/>
      <c r="AL298" s="29"/>
      <c r="AM298" s="35"/>
      <c r="AN298" s="36"/>
      <c r="AO298" s="36"/>
      <c r="AP298" s="36"/>
      <c r="AQ298" s="36"/>
      <c r="AR298" s="36"/>
      <c r="AS298" s="36"/>
      <c r="AT298" s="36"/>
      <c r="AU298" s="36"/>
      <c r="AV298" s="36"/>
      <c r="AW298" s="31"/>
      <c r="AX298" s="29"/>
      <c r="AY298" s="35"/>
      <c r="AZ298" s="36"/>
      <c r="BA298" s="36"/>
      <c r="BB298" s="36"/>
      <c r="BC298" s="36"/>
      <c r="BD298" s="36"/>
      <c r="BE298" s="36"/>
      <c r="BF298" s="36"/>
      <c r="BG298" s="36"/>
      <c r="BH298" s="36"/>
      <c r="CP298" s="18"/>
      <c r="CR298" s="243"/>
    </row>
    <row r="299" spans="1:96" s="16" customFormat="1" ht="18" customHeight="1">
      <c r="A299" s="17"/>
      <c r="O299" s="35"/>
      <c r="P299" s="36"/>
      <c r="Q299" s="36"/>
      <c r="R299" s="36"/>
      <c r="S299" s="36"/>
      <c r="T299" s="36"/>
      <c r="U299" s="36"/>
      <c r="V299" s="36"/>
      <c r="W299" s="36"/>
      <c r="X299" s="36"/>
      <c r="Y299" s="29"/>
      <c r="Z299" s="29"/>
      <c r="AA299" s="35"/>
      <c r="AB299" s="36"/>
      <c r="AC299" s="36"/>
      <c r="AD299" s="36"/>
      <c r="AE299" s="36"/>
      <c r="AF299" s="36"/>
      <c r="AG299" s="36"/>
      <c r="AH299" s="36"/>
      <c r="AI299" s="36"/>
      <c r="AJ299" s="36"/>
      <c r="AK299" s="29"/>
      <c r="AL299" s="29"/>
      <c r="AM299" s="35"/>
      <c r="AN299" s="36"/>
      <c r="AO299" s="36"/>
      <c r="AP299" s="36"/>
      <c r="AQ299" s="36"/>
      <c r="AR299" s="36"/>
      <c r="AS299" s="36"/>
      <c r="AT299" s="36"/>
      <c r="AU299" s="36"/>
      <c r="AV299" s="36"/>
      <c r="AW299" s="31"/>
      <c r="AX299" s="29"/>
      <c r="AY299" s="35"/>
      <c r="AZ299" s="36"/>
      <c r="BA299" s="36"/>
      <c r="BB299" s="36"/>
      <c r="BC299" s="36"/>
      <c r="BD299" s="36"/>
      <c r="BE299" s="36"/>
      <c r="BF299" s="36"/>
      <c r="BG299" s="36"/>
      <c r="BH299" s="36"/>
      <c r="CP299" s="18"/>
      <c r="CR299" s="243"/>
    </row>
    <row r="300" spans="1:96" s="16" customFormat="1" ht="18" customHeight="1">
      <c r="A300" s="17"/>
      <c r="O300" s="35"/>
      <c r="P300" s="36"/>
      <c r="Q300" s="36"/>
      <c r="R300" s="36"/>
      <c r="S300" s="36"/>
      <c r="T300" s="36"/>
      <c r="U300" s="36"/>
      <c r="V300" s="36"/>
      <c r="W300" s="36"/>
      <c r="X300" s="36"/>
      <c r="Y300" s="29"/>
      <c r="Z300" s="29"/>
      <c r="AA300" s="35"/>
      <c r="AB300" s="36"/>
      <c r="AC300" s="36"/>
      <c r="AD300" s="36"/>
      <c r="AE300" s="36"/>
      <c r="AF300" s="36"/>
      <c r="AG300" s="36"/>
      <c r="AH300" s="36"/>
      <c r="AI300" s="36"/>
      <c r="AJ300" s="36"/>
      <c r="AK300" s="29"/>
      <c r="AL300" s="29"/>
      <c r="AM300" s="35"/>
      <c r="AN300" s="36"/>
      <c r="AO300" s="36"/>
      <c r="AP300" s="36"/>
      <c r="AQ300" s="36"/>
      <c r="AR300" s="36"/>
      <c r="AS300" s="36"/>
      <c r="AT300" s="36"/>
      <c r="AU300" s="36"/>
      <c r="AV300" s="36"/>
      <c r="AW300" s="31"/>
      <c r="AX300" s="29"/>
      <c r="AY300" s="35"/>
      <c r="AZ300" s="36"/>
      <c r="BA300" s="36"/>
      <c r="BB300" s="36"/>
      <c r="BC300" s="36"/>
      <c r="BD300" s="36"/>
      <c r="BE300" s="36"/>
      <c r="BF300" s="36"/>
      <c r="BG300" s="36"/>
      <c r="BH300" s="36"/>
      <c r="CP300" s="18"/>
      <c r="CR300" s="243"/>
    </row>
    <row r="301" spans="1:96" s="16" customFormat="1" ht="18" customHeight="1">
      <c r="A301" s="17"/>
      <c r="O301" s="35"/>
      <c r="P301" s="36"/>
      <c r="Q301" s="36"/>
      <c r="R301" s="36"/>
      <c r="S301" s="36"/>
      <c r="T301" s="36"/>
      <c r="U301" s="36"/>
      <c r="V301" s="36"/>
      <c r="W301" s="36"/>
      <c r="X301" s="36"/>
      <c r="Y301" s="29"/>
      <c r="Z301" s="29"/>
      <c r="AA301" s="35"/>
      <c r="AB301" s="36"/>
      <c r="AC301" s="36"/>
      <c r="AD301" s="36"/>
      <c r="AE301" s="36"/>
      <c r="AF301" s="36"/>
      <c r="AG301" s="36"/>
      <c r="AH301" s="36"/>
      <c r="AI301" s="36"/>
      <c r="AJ301" s="36"/>
      <c r="AK301" s="29"/>
      <c r="AL301" s="29"/>
      <c r="AM301" s="35"/>
      <c r="AN301" s="36"/>
      <c r="AO301" s="36"/>
      <c r="AP301" s="36"/>
      <c r="AQ301" s="36"/>
      <c r="AR301" s="36"/>
      <c r="AS301" s="36"/>
      <c r="AT301" s="36"/>
      <c r="AU301" s="36"/>
      <c r="AV301" s="36"/>
      <c r="AW301" s="31"/>
      <c r="AX301" s="29"/>
      <c r="AY301" s="35"/>
      <c r="AZ301" s="36"/>
      <c r="BA301" s="36"/>
      <c r="BB301" s="36"/>
      <c r="BC301" s="36"/>
      <c r="BD301" s="36"/>
      <c r="BE301" s="36"/>
      <c r="BF301" s="36"/>
      <c r="BG301" s="36"/>
      <c r="BH301" s="36"/>
      <c r="CP301" s="18"/>
      <c r="CR301" s="243"/>
    </row>
    <row r="302" spans="1:96" s="16" customFormat="1" ht="18" customHeight="1">
      <c r="A302" s="17"/>
      <c r="O302" s="35"/>
      <c r="P302" s="36"/>
      <c r="Q302" s="36"/>
      <c r="R302" s="36"/>
      <c r="S302" s="36"/>
      <c r="T302" s="36"/>
      <c r="U302" s="36"/>
      <c r="V302" s="36"/>
      <c r="W302" s="36"/>
      <c r="X302" s="36"/>
      <c r="Y302" s="29"/>
      <c r="Z302" s="29"/>
      <c r="AA302" s="35"/>
      <c r="AB302" s="36"/>
      <c r="AC302" s="36"/>
      <c r="AD302" s="36"/>
      <c r="AE302" s="36"/>
      <c r="AF302" s="36"/>
      <c r="AG302" s="36"/>
      <c r="AH302" s="36"/>
      <c r="AI302" s="36"/>
      <c r="AJ302" s="36"/>
      <c r="AK302" s="29"/>
      <c r="AL302" s="29"/>
      <c r="AM302" s="35"/>
      <c r="AN302" s="36"/>
      <c r="AO302" s="36"/>
      <c r="AP302" s="36"/>
      <c r="AQ302" s="36"/>
      <c r="AR302" s="36"/>
      <c r="AS302" s="36"/>
      <c r="AT302" s="36"/>
      <c r="AU302" s="36"/>
      <c r="AV302" s="36"/>
      <c r="AW302" s="31"/>
      <c r="AX302" s="29"/>
      <c r="AY302" s="35"/>
      <c r="AZ302" s="36"/>
      <c r="BA302" s="36"/>
      <c r="BB302" s="36"/>
      <c r="BC302" s="36"/>
      <c r="BD302" s="36"/>
      <c r="BE302" s="36"/>
      <c r="BF302" s="36"/>
      <c r="BG302" s="36"/>
      <c r="BH302" s="36"/>
      <c r="CP302" s="18"/>
      <c r="CR302" s="243"/>
    </row>
    <row r="303" spans="1:96" s="16" customFormat="1" ht="18" customHeight="1">
      <c r="A303" s="37"/>
      <c r="B303" s="38"/>
      <c r="C303" s="38"/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  <c r="R303" s="38"/>
      <c r="S303" s="38"/>
      <c r="T303" s="38"/>
      <c r="U303" s="38"/>
      <c r="V303" s="38"/>
      <c r="W303" s="38"/>
      <c r="X303" s="38"/>
      <c r="Y303" s="38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8"/>
      <c r="AU303" s="38"/>
      <c r="AV303" s="38"/>
      <c r="AW303" s="38"/>
      <c r="AX303" s="38"/>
      <c r="AY303" s="38"/>
      <c r="AZ303" s="38"/>
      <c r="BA303" s="38"/>
      <c r="BB303" s="38"/>
      <c r="BC303" s="38"/>
      <c r="BD303" s="38"/>
      <c r="BE303" s="38"/>
      <c r="BF303" s="38"/>
      <c r="BG303" s="38"/>
      <c r="BH303" s="38"/>
      <c r="BI303" s="38"/>
      <c r="BJ303" s="38"/>
      <c r="BK303" s="38"/>
      <c r="BL303" s="38"/>
      <c r="BM303" s="38"/>
      <c r="BN303" s="38"/>
      <c r="BO303" s="38"/>
      <c r="BP303" s="38"/>
      <c r="BQ303" s="38"/>
      <c r="BR303" s="38"/>
      <c r="BS303" s="38"/>
      <c r="BT303" s="38"/>
      <c r="BU303" s="38"/>
      <c r="BV303" s="38"/>
      <c r="BW303" s="38"/>
      <c r="BX303" s="38"/>
      <c r="BY303" s="38"/>
      <c r="BZ303" s="38"/>
      <c r="CA303" s="38"/>
      <c r="CB303" s="38"/>
      <c r="CC303" s="38"/>
      <c r="CD303" s="38"/>
      <c r="CE303" s="38"/>
      <c r="CF303" s="38"/>
      <c r="CG303" s="38"/>
      <c r="CH303" s="38"/>
      <c r="CI303" s="38"/>
      <c r="CJ303" s="38"/>
      <c r="CK303" s="38"/>
      <c r="CL303" s="38"/>
      <c r="CM303" s="38"/>
      <c r="CN303" s="38"/>
      <c r="CO303" s="38"/>
      <c r="CP303" s="39"/>
      <c r="CR303" s="243"/>
    </row>
    <row r="304" spans="1:96" s="16" customFormat="1" ht="30.75" customHeight="1">
      <c r="A304" s="1467" t="s">
        <v>666</v>
      </c>
      <c r="B304" s="1468"/>
      <c r="C304" s="1468"/>
      <c r="D304" s="1468"/>
      <c r="E304" s="1468"/>
      <c r="F304" s="1468"/>
      <c r="G304" s="1468"/>
      <c r="H304" s="1468"/>
      <c r="I304" s="1468"/>
      <c r="J304" s="1468"/>
      <c r="K304" s="1468"/>
      <c r="L304" s="1468"/>
      <c r="M304" s="1468"/>
      <c r="N304" s="1468"/>
      <c r="O304" s="1468"/>
      <c r="P304" s="1468"/>
      <c r="Q304" s="1468"/>
      <c r="R304" s="1468"/>
      <c r="S304" s="1468"/>
      <c r="T304" s="1468"/>
      <c r="U304" s="1468"/>
      <c r="V304" s="1468"/>
      <c r="W304" s="1468"/>
      <c r="X304" s="1468"/>
      <c r="Y304" s="1468"/>
      <c r="Z304" s="1468"/>
      <c r="AA304" s="1468"/>
      <c r="AB304" s="1468"/>
      <c r="AC304" s="1468"/>
      <c r="AD304" s="1468"/>
      <c r="AE304" s="1468"/>
      <c r="AF304" s="1468"/>
      <c r="AG304" s="1468"/>
      <c r="AH304" s="1468"/>
      <c r="AI304" s="1468"/>
      <c r="AJ304" s="1468"/>
      <c r="AK304" s="1468"/>
      <c r="AL304" s="1468"/>
      <c r="AM304" s="1468"/>
      <c r="AN304" s="1468"/>
      <c r="AO304" s="1468"/>
      <c r="AP304" s="1468"/>
      <c r="AQ304" s="1468"/>
      <c r="AR304" s="1468"/>
      <c r="AS304" s="1468"/>
      <c r="AT304" s="1468"/>
      <c r="AU304" s="1468"/>
      <c r="AV304" s="1468"/>
      <c r="AW304" s="1468"/>
      <c r="AX304" s="1468"/>
      <c r="AY304" s="1468"/>
      <c r="AZ304" s="1468"/>
      <c r="BA304" s="1468"/>
      <c r="BB304" s="1468"/>
      <c r="BC304" s="1468"/>
      <c r="BD304" s="1468"/>
      <c r="BE304" s="1468"/>
      <c r="BF304" s="1468"/>
      <c r="BG304" s="1468"/>
      <c r="BH304" s="1468"/>
      <c r="BI304" s="1468"/>
      <c r="BJ304" s="1468"/>
      <c r="BK304" s="1468"/>
      <c r="BL304" s="1468"/>
      <c r="BM304" s="1468"/>
      <c r="BN304" s="1468"/>
      <c r="BO304" s="1468"/>
      <c r="BP304" s="1468"/>
      <c r="BQ304" s="1468"/>
      <c r="BR304" s="1468"/>
      <c r="BS304" s="1468"/>
      <c r="BT304" s="1468"/>
      <c r="BU304" s="1468"/>
      <c r="BV304" s="1468"/>
      <c r="BW304" s="1468"/>
      <c r="BX304" s="1468"/>
      <c r="BY304" s="1468"/>
      <c r="BZ304" s="1468"/>
      <c r="CA304" s="1468"/>
      <c r="CB304" s="1468"/>
      <c r="CC304" s="1468"/>
      <c r="CD304" s="1468"/>
      <c r="CE304" s="1468"/>
      <c r="CF304" s="1468"/>
      <c r="CG304" s="1468"/>
      <c r="CH304" s="1468"/>
      <c r="CI304" s="1468"/>
      <c r="CJ304" s="1468"/>
      <c r="CK304" s="1468"/>
      <c r="CL304" s="1468"/>
      <c r="CM304" s="1468"/>
      <c r="CN304" s="1468"/>
      <c r="CO304" s="1468"/>
      <c r="CP304" s="1469"/>
      <c r="CR304" s="243"/>
    </row>
    <row r="305" spans="1:97" s="16" customFormat="1" ht="18" customHeight="1">
      <c r="A305" s="40"/>
      <c r="B305" s="41"/>
      <c r="C305" s="41"/>
      <c r="D305" s="42" t="s">
        <v>299</v>
      </c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57" t="s">
        <v>566</v>
      </c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  <c r="AA305" s="41"/>
      <c r="AB305" s="41"/>
      <c r="AC305" s="41"/>
      <c r="AD305" s="41"/>
      <c r="AE305" s="41"/>
      <c r="AF305" s="41"/>
      <c r="AG305" s="41"/>
      <c r="AH305" s="41"/>
      <c r="AI305" s="41"/>
      <c r="AJ305" s="41"/>
      <c r="AK305" s="41"/>
      <c r="AL305" s="41"/>
      <c r="AM305" s="41"/>
      <c r="AN305" s="41"/>
      <c r="AO305" s="41"/>
      <c r="AP305" s="41"/>
      <c r="AQ305" s="41"/>
      <c r="AR305" s="41"/>
      <c r="AS305" s="41"/>
      <c r="AT305" s="41"/>
      <c r="AU305" s="41"/>
      <c r="AV305" s="41"/>
      <c r="AW305" s="41"/>
      <c r="AX305" s="41"/>
      <c r="AY305" s="41"/>
      <c r="AZ305" s="41"/>
      <c r="BA305" s="41"/>
      <c r="BB305" s="41"/>
      <c r="BC305" s="41"/>
      <c r="BD305" s="41"/>
      <c r="BE305" s="41"/>
      <c r="BF305" s="41"/>
      <c r="BG305" s="41"/>
      <c r="BH305" s="41"/>
      <c r="BI305" s="41"/>
      <c r="BJ305" s="41"/>
      <c r="BK305" s="41" t="s">
        <v>301</v>
      </c>
      <c r="BL305" s="41"/>
      <c r="BM305" s="41"/>
      <c r="BN305" s="41"/>
      <c r="BO305" s="41"/>
      <c r="BP305" s="41"/>
      <c r="BQ305" s="41"/>
      <c r="BR305" s="41"/>
      <c r="BS305" s="41"/>
      <c r="BT305" s="41"/>
      <c r="BU305" s="41"/>
      <c r="BV305" s="41"/>
      <c r="BW305" s="1470">
        <v>100333</v>
      </c>
      <c r="BX305" s="1478"/>
      <c r="BY305" s="1478"/>
      <c r="BZ305" s="1478"/>
      <c r="CA305" s="1478"/>
      <c r="CB305" s="1478"/>
      <c r="CC305" s="1478"/>
      <c r="CD305" s="1478"/>
      <c r="CE305" s="1478"/>
      <c r="CF305" s="1478"/>
      <c r="CG305" s="58" t="s">
        <v>720</v>
      </c>
      <c r="CH305" s="41"/>
      <c r="CI305" s="41"/>
      <c r="CJ305" s="41"/>
      <c r="CK305" s="41"/>
      <c r="CL305" s="41"/>
      <c r="CM305" s="41"/>
      <c r="CN305" s="41"/>
      <c r="CO305" s="41"/>
      <c r="CP305" s="43"/>
      <c r="CR305" s="247"/>
    </row>
    <row r="306" spans="1:97" s="16" customFormat="1" ht="18" customHeight="1">
      <c r="A306" s="17"/>
      <c r="D306" s="1461" t="s">
        <v>635</v>
      </c>
      <c r="E306" s="1462"/>
      <c r="F306" s="1462"/>
      <c r="G306" s="1462"/>
      <c r="H306" s="1462"/>
      <c r="I306" s="1462"/>
      <c r="J306" s="1462"/>
      <c r="K306" s="1462"/>
      <c r="L306" s="1462"/>
      <c r="M306" s="1462"/>
      <c r="N306" s="1462"/>
      <c r="O306" s="1462"/>
      <c r="P306" s="1462"/>
      <c r="Q306" s="1462"/>
      <c r="R306" s="1462"/>
      <c r="S306" s="1462"/>
      <c r="T306" s="1462"/>
      <c r="U306" s="1462"/>
      <c r="V306" s="1462"/>
      <c r="W306" s="1462"/>
      <c r="X306" s="1462"/>
      <c r="Y306" s="1462"/>
      <c r="Z306" s="1462"/>
      <c r="AA306" s="1462"/>
      <c r="AB306" s="1462"/>
      <c r="AC306" s="1462"/>
      <c r="AD306" s="1462"/>
      <c r="AE306" s="1462"/>
      <c r="AF306" s="1462"/>
      <c r="AG306" s="1462"/>
      <c r="AH306" s="1462"/>
      <c r="AI306" s="1462"/>
      <c r="AJ306" s="1462"/>
      <c r="AK306" s="1462"/>
      <c r="AL306" s="1462"/>
      <c r="AM306" s="1462"/>
      <c r="AN306" s="1462"/>
      <c r="AO306" s="1462"/>
      <c r="AP306" s="1462"/>
      <c r="AQ306" s="1462"/>
      <c r="AR306" s="1462"/>
      <c r="AS306" s="1462"/>
      <c r="AT306" s="1462"/>
      <c r="AU306" s="1462"/>
      <c r="AV306" s="1462"/>
      <c r="AW306" s="1462"/>
      <c r="AX306" s="1462"/>
      <c r="AY306" s="1462"/>
      <c r="AZ306" s="1462"/>
      <c r="BA306" s="1462"/>
      <c r="BB306" s="1462"/>
      <c r="BC306" s="1462"/>
      <c r="BD306" s="1462"/>
      <c r="BE306" s="1462"/>
      <c r="BF306" s="1462"/>
      <c r="BG306" s="1462"/>
      <c r="BH306" s="1462"/>
      <c r="BI306" s="1462"/>
      <c r="BJ306" s="1462"/>
      <c r="BK306" s="1462"/>
      <c r="BL306" s="1462"/>
      <c r="BM306" s="1462"/>
      <c r="BN306" s="1462"/>
      <c r="BO306" s="1462"/>
      <c r="BP306" s="1462"/>
      <c r="BQ306" s="1462"/>
      <c r="BR306" s="1462"/>
      <c r="BS306" s="1462"/>
      <c r="BT306" s="1462"/>
      <c r="BU306" s="1462"/>
      <c r="BV306" s="1462"/>
      <c r="BW306" s="1462"/>
      <c r="BX306" s="1462"/>
      <c r="BY306" s="1462"/>
      <c r="BZ306" s="1462"/>
      <c r="CA306" s="1462"/>
      <c r="CB306" s="1462"/>
      <c r="CC306" s="1462"/>
      <c r="CD306" s="1462"/>
      <c r="CE306" s="1462"/>
      <c r="CF306" s="1462"/>
      <c r="CG306" s="1462"/>
      <c r="CH306" s="1462"/>
      <c r="CI306" s="1462"/>
      <c r="CJ306" s="1462"/>
      <c r="CK306" s="1462"/>
      <c r="CL306" s="1462"/>
      <c r="CM306" s="1462"/>
      <c r="CN306" s="1462"/>
      <c r="CO306" s="1462"/>
      <c r="CP306" s="18"/>
      <c r="CR306" s="662"/>
      <c r="CS306" s="663" t="s">
        <v>782</v>
      </c>
    </row>
    <row r="307" spans="1:97" s="16" customFormat="1" ht="18" customHeight="1">
      <c r="A307" s="17"/>
      <c r="E307" s="16" t="s">
        <v>302</v>
      </c>
      <c r="U307" s="1463">
        <v>1</v>
      </c>
      <c r="V307" s="1473"/>
      <c r="W307" s="1473"/>
      <c r="X307" s="1473"/>
      <c r="Y307" s="1473"/>
      <c r="Z307" s="29" t="s">
        <v>303</v>
      </c>
      <c r="AA307" s="29"/>
      <c r="AB307" s="29"/>
      <c r="AC307" s="29"/>
      <c r="AD307" s="29"/>
      <c r="AE307" s="1488">
        <f>CR308</f>
        <v>283323</v>
      </c>
      <c r="AF307" s="1489"/>
      <c r="AG307" s="1489"/>
      <c r="AH307" s="1489"/>
      <c r="AI307" s="1489"/>
      <c r="AJ307" s="1489"/>
      <c r="AK307" s="1489"/>
      <c r="AL307" s="1489"/>
      <c r="AM307" s="16" t="s">
        <v>304</v>
      </c>
      <c r="AU307" s="1463">
        <v>8</v>
      </c>
      <c r="AV307" s="1463"/>
      <c r="AW307" s="1463"/>
      <c r="AX307" s="29" t="s">
        <v>294</v>
      </c>
      <c r="AY307" s="29"/>
      <c r="AZ307" s="1463">
        <v>25</v>
      </c>
      <c r="BA307" s="1463"/>
      <c r="BB307" s="1463"/>
      <c r="BC307" s="29" t="s">
        <v>293</v>
      </c>
      <c r="BD307" s="29"/>
      <c r="BE307" s="1463">
        <v>20</v>
      </c>
      <c r="BF307" s="1463"/>
      <c r="BG307" s="1463"/>
      <c r="BH307" s="29" t="s">
        <v>294</v>
      </c>
      <c r="BI307" s="29"/>
      <c r="BJ307" s="1463">
        <v>16</v>
      </c>
      <c r="BK307" s="1463"/>
      <c r="BL307" s="1463"/>
      <c r="BM307" s="29" t="s">
        <v>293</v>
      </c>
      <c r="BN307" s="29"/>
      <c r="BO307" s="1463">
        <v>12</v>
      </c>
      <c r="BP307" s="1463"/>
      <c r="BQ307" s="1463"/>
      <c r="BS307" s="31" t="s">
        <v>298</v>
      </c>
      <c r="BT307" s="29"/>
      <c r="BU307" s="1465">
        <f>INT(U307*AE307*(1/AU307*(AZ307/BE307)*(BJ307/BO307)))</f>
        <v>59025</v>
      </c>
      <c r="BV307" s="1473"/>
      <c r="BW307" s="1473"/>
      <c r="BX307" s="1473"/>
      <c r="BY307" s="1473"/>
      <c r="BZ307" s="1473"/>
      <c r="CA307" s="1473"/>
      <c r="CB307" s="1473"/>
      <c r="CC307" s="16" t="s">
        <v>287</v>
      </c>
      <c r="CP307" s="18"/>
      <c r="CQ307" s="49"/>
      <c r="CR307" s="662"/>
      <c r="CS307" s="664"/>
    </row>
    <row r="308" spans="1:97" s="16" customFormat="1" ht="18" customHeight="1" thickBot="1">
      <c r="A308" s="17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30"/>
      <c r="AF308" s="29"/>
      <c r="AG308" s="29"/>
      <c r="AH308" s="29"/>
      <c r="AI308" s="29"/>
      <c r="AJ308" s="29"/>
      <c r="AK308" s="29"/>
      <c r="AL308" s="29"/>
      <c r="AU308" s="29"/>
      <c r="AV308" s="29"/>
      <c r="AW308" s="29"/>
      <c r="AX308" s="29"/>
      <c r="AY308" s="29"/>
      <c r="AZ308" s="29"/>
      <c r="BA308" s="29"/>
      <c r="BB308" s="29"/>
      <c r="BC308" s="29"/>
      <c r="BD308" s="29"/>
      <c r="BE308" s="29"/>
      <c r="BF308" s="29"/>
      <c r="BG308" s="29"/>
      <c r="BH308" s="29"/>
      <c r="BI308" s="29"/>
      <c r="BJ308" s="29"/>
      <c r="BK308" s="29"/>
      <c r="BL308" s="29"/>
      <c r="BM308" s="29"/>
      <c r="BN308" s="29"/>
      <c r="BO308" s="29"/>
      <c r="BP308" s="29"/>
      <c r="BQ308" s="29"/>
      <c r="BS308" s="31"/>
      <c r="BT308" s="29"/>
      <c r="BU308" s="32"/>
      <c r="BV308" s="29"/>
      <c r="BW308" s="29"/>
      <c r="BX308" s="29"/>
      <c r="BY308" s="29"/>
      <c r="BZ308" s="29"/>
      <c r="CA308" s="29"/>
      <c r="CB308" s="29"/>
      <c r="CP308" s="18"/>
      <c r="CQ308" s="16" t="s">
        <v>97</v>
      </c>
      <c r="CR308" s="244">
        <f>VLOOKUP(CQ308,인건비!A:B,2,FALSE)</f>
        <v>283323</v>
      </c>
    </row>
    <row r="309" spans="1:97" s="16" customFormat="1" ht="18" customHeight="1" thickTop="1">
      <c r="A309" s="17"/>
      <c r="D309" s="33"/>
      <c r="E309" s="34" t="s">
        <v>44</v>
      </c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3"/>
      <c r="T309" s="33"/>
      <c r="U309" s="33"/>
      <c r="V309" s="33"/>
      <c r="W309" s="33"/>
      <c r="X309" s="33"/>
      <c r="Y309" s="33"/>
      <c r="Z309" s="33"/>
      <c r="AA309" s="33"/>
      <c r="AB309" s="33"/>
      <c r="AC309" s="33"/>
      <c r="AD309" s="33"/>
      <c r="AE309" s="33"/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33"/>
      <c r="AR309" s="33"/>
      <c r="AS309" s="33"/>
      <c r="AT309" s="33"/>
      <c r="AU309" s="33"/>
      <c r="AV309" s="33"/>
      <c r="AW309" s="33"/>
      <c r="AX309" s="33"/>
      <c r="AY309" s="33"/>
      <c r="AZ309" s="33"/>
      <c r="BA309" s="33"/>
      <c r="BB309" s="33"/>
      <c r="BC309" s="33"/>
      <c r="BD309" s="33"/>
      <c r="BE309" s="33"/>
      <c r="BF309" s="33"/>
      <c r="BG309" s="33"/>
      <c r="BH309" s="33"/>
      <c r="BI309" s="33"/>
      <c r="BJ309" s="33"/>
      <c r="BK309" s="33"/>
      <c r="BL309" s="33"/>
      <c r="BM309" s="33"/>
      <c r="BN309" s="33"/>
      <c r="BO309" s="33"/>
      <c r="BP309" s="33"/>
      <c r="BQ309" s="33"/>
      <c r="BR309" s="33"/>
      <c r="BS309" s="33"/>
      <c r="BT309" s="33"/>
      <c r="BU309" s="1459">
        <f>INT(SUM(BU307))</f>
        <v>59025</v>
      </c>
      <c r="BV309" s="1472"/>
      <c r="BW309" s="1472"/>
      <c r="BX309" s="1472"/>
      <c r="BY309" s="1472"/>
      <c r="BZ309" s="1472"/>
      <c r="CA309" s="1472"/>
      <c r="CB309" s="1472"/>
      <c r="CC309" s="33" t="s">
        <v>287</v>
      </c>
      <c r="CD309" s="33"/>
      <c r="CE309" s="33"/>
      <c r="CF309" s="33"/>
      <c r="CG309" s="33"/>
      <c r="CH309" s="33"/>
      <c r="CI309" s="33"/>
      <c r="CP309" s="18"/>
      <c r="CR309" s="244"/>
    </row>
    <row r="310" spans="1:97" s="16" customFormat="1" ht="18" customHeight="1">
      <c r="A310" s="17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BU310" s="32"/>
      <c r="BV310" s="29"/>
      <c r="BW310" s="29"/>
      <c r="BX310" s="29"/>
      <c r="BY310" s="29"/>
      <c r="BZ310" s="29"/>
      <c r="CA310" s="29"/>
      <c r="CB310" s="29"/>
      <c r="CP310" s="18"/>
      <c r="CQ310" s="16" t="s">
        <v>176</v>
      </c>
      <c r="CR310" s="244">
        <f>VLOOKUP(CQ310,인건비!A:B,2,FALSE)</f>
        <v>210909</v>
      </c>
    </row>
    <row r="311" spans="1:97" s="16" customFormat="1" ht="18" customHeight="1">
      <c r="A311" s="17"/>
      <c r="BV311" s="32"/>
      <c r="BW311" s="29"/>
      <c r="BX311" s="29"/>
      <c r="BY311" s="29"/>
      <c r="BZ311" s="29"/>
      <c r="CA311" s="29"/>
      <c r="CB311" s="29"/>
      <c r="CC311" s="29"/>
      <c r="CD311" s="29"/>
      <c r="CP311" s="18"/>
      <c r="CQ311" s="16" t="s">
        <v>96</v>
      </c>
      <c r="CR311" s="244">
        <f>VLOOKUP(CQ311,인건비!A:B,2,FALSE)</f>
        <v>173995</v>
      </c>
    </row>
    <row r="312" spans="1:97" s="16" customFormat="1" ht="18" customHeight="1">
      <c r="A312" s="17"/>
      <c r="D312" s="1461" t="s">
        <v>662</v>
      </c>
      <c r="E312" s="1462"/>
      <c r="F312" s="1462"/>
      <c r="G312" s="1462"/>
      <c r="H312" s="1462"/>
      <c r="I312" s="1462"/>
      <c r="J312" s="1462"/>
      <c r="K312" s="1462"/>
      <c r="L312" s="1462"/>
      <c r="M312" s="1462"/>
      <c r="N312" s="1462"/>
      <c r="O312" s="1462"/>
      <c r="P312" s="1462"/>
      <c r="Q312" s="1462"/>
      <c r="R312" s="1462"/>
      <c r="S312" s="1462"/>
      <c r="T312" s="1462"/>
      <c r="U312" s="1462"/>
      <c r="V312" s="1462"/>
      <c r="W312" s="1462"/>
      <c r="X312" s="1462"/>
      <c r="Y312" s="1462"/>
      <c r="Z312" s="1462"/>
      <c r="AA312" s="1462"/>
      <c r="AB312" s="1462"/>
      <c r="AC312" s="1462"/>
      <c r="AD312" s="1462"/>
      <c r="AE312" s="1462"/>
      <c r="AF312" s="1462"/>
      <c r="AG312" s="1462"/>
      <c r="AH312" s="1462"/>
      <c r="AI312" s="1462"/>
      <c r="AJ312" s="1462"/>
      <c r="AK312" s="1462"/>
      <c r="AL312" s="1462"/>
      <c r="AM312" s="1462"/>
      <c r="AN312" s="1462"/>
      <c r="AO312" s="1462"/>
      <c r="AP312" s="1462"/>
      <c r="AQ312" s="1462"/>
      <c r="AR312" s="1462"/>
      <c r="AS312" s="1462"/>
      <c r="AT312" s="1462"/>
      <c r="AU312" s="1462"/>
      <c r="AV312" s="1462"/>
      <c r="AW312" s="1462"/>
      <c r="AX312" s="1462"/>
      <c r="AY312" s="1462"/>
      <c r="AZ312" s="1462"/>
      <c r="BA312" s="1462"/>
      <c r="BB312" s="1462"/>
      <c r="BC312" s="1462"/>
      <c r="BD312" s="1462"/>
      <c r="BE312" s="1462"/>
      <c r="BF312" s="1462"/>
      <c r="BG312" s="1462"/>
      <c r="BH312" s="1462"/>
      <c r="BI312" s="1462"/>
      <c r="BJ312" s="1462"/>
      <c r="BK312" s="1462"/>
      <c r="BL312" s="1462"/>
      <c r="BM312" s="1462"/>
      <c r="BN312" s="1462"/>
      <c r="BO312" s="1462"/>
      <c r="BP312" s="1462"/>
      <c r="BQ312" s="1462"/>
      <c r="BR312" s="1462"/>
      <c r="BS312" s="1462"/>
      <c r="BT312" s="1462"/>
      <c r="BU312" s="1462"/>
      <c r="BV312" s="1462"/>
      <c r="BW312" s="1462"/>
      <c r="BX312" s="1462"/>
      <c r="BY312" s="1462"/>
      <c r="BZ312" s="1462"/>
      <c r="CA312" s="1462"/>
      <c r="CB312" s="1462"/>
      <c r="CC312" s="1462"/>
      <c r="CD312" s="1462"/>
      <c r="CE312" s="1462"/>
      <c r="CF312" s="1462"/>
      <c r="CG312" s="1462"/>
      <c r="CH312" s="1462"/>
      <c r="CI312" s="1462"/>
      <c r="CJ312" s="1462"/>
      <c r="CK312" s="1462"/>
      <c r="CL312" s="1462"/>
      <c r="CM312" s="1462"/>
      <c r="CN312" s="1462"/>
      <c r="CO312" s="1462"/>
      <c r="CP312" s="18"/>
      <c r="CQ312" s="16" t="s">
        <v>95</v>
      </c>
      <c r="CR312" s="244">
        <f>VLOOKUP(CQ312,인건비!A:B,2,FALSE)</f>
        <v>240042</v>
      </c>
    </row>
    <row r="313" spans="1:97" s="16" customFormat="1" ht="18" customHeight="1">
      <c r="A313" s="17"/>
      <c r="E313" s="16" t="s">
        <v>108</v>
      </c>
      <c r="U313" s="1463">
        <v>15.8</v>
      </c>
      <c r="V313" s="1473"/>
      <c r="W313" s="1473"/>
      <c r="X313" s="1473"/>
      <c r="Y313" s="1473"/>
      <c r="Z313" s="16" t="s">
        <v>266</v>
      </c>
      <c r="AE313" s="1464" t="e">
        <f>CR314</f>
        <v>#REF!</v>
      </c>
      <c r="AF313" s="1473"/>
      <c r="AG313" s="1473"/>
      <c r="AH313" s="1473"/>
      <c r="AI313" s="1473"/>
      <c r="AJ313" s="1473"/>
      <c r="AK313" s="1473"/>
      <c r="AL313" s="1473"/>
      <c r="AM313" s="16" t="s">
        <v>286</v>
      </c>
      <c r="AT313" s="1465" t="e">
        <f>INT(U313*AE313)</f>
        <v>#REF!</v>
      </c>
      <c r="AU313" s="1473"/>
      <c r="AV313" s="1473"/>
      <c r="AW313" s="1473"/>
      <c r="AX313" s="1473"/>
      <c r="AY313" s="1473"/>
      <c r="AZ313" s="1473"/>
      <c r="BA313" s="1473"/>
      <c r="BB313" s="16" t="s">
        <v>287</v>
      </c>
      <c r="CP313" s="18"/>
      <c r="CQ313" s="16" t="s">
        <v>267</v>
      </c>
      <c r="CR313" s="245" t="e">
        <f>#REF!</f>
        <v>#REF!</v>
      </c>
    </row>
    <row r="314" spans="1:97" s="16" customFormat="1" ht="18" customHeight="1" thickBot="1">
      <c r="A314" s="17"/>
      <c r="E314" s="16" t="s">
        <v>288</v>
      </c>
      <c r="U314" s="16" t="s">
        <v>289</v>
      </c>
      <c r="AE314" s="1466">
        <v>30</v>
      </c>
      <c r="AF314" s="1474"/>
      <c r="AG314" s="1474"/>
      <c r="AH314" s="1474"/>
      <c r="AI314" s="1474"/>
      <c r="AJ314" s="1474"/>
      <c r="AK314" s="1474"/>
      <c r="AL314" s="1474"/>
      <c r="AM314" s="16" t="s">
        <v>290</v>
      </c>
      <c r="AT314" s="1458" t="e">
        <f>INT(AT313*AE314/100)</f>
        <v>#REF!</v>
      </c>
      <c r="AU314" s="1458"/>
      <c r="AV314" s="1458"/>
      <c r="AW314" s="1458"/>
      <c r="AX314" s="1458"/>
      <c r="AY314" s="1458"/>
      <c r="AZ314" s="1458"/>
      <c r="BA314" s="1458"/>
      <c r="BB314" s="16" t="s">
        <v>287</v>
      </c>
      <c r="CP314" s="18"/>
      <c r="CQ314" s="16" t="s">
        <v>268</v>
      </c>
      <c r="CR314" s="245" t="e">
        <f>#REF!</f>
        <v>#REF!</v>
      </c>
    </row>
    <row r="315" spans="1:97" s="16" customFormat="1" ht="18" customHeight="1" thickTop="1">
      <c r="A315" s="17"/>
      <c r="D315" s="33"/>
      <c r="E315" s="34" t="s">
        <v>44</v>
      </c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3"/>
      <c r="T315" s="33"/>
      <c r="U315" s="33"/>
      <c r="V315" s="33"/>
      <c r="W315" s="33"/>
      <c r="X315" s="33"/>
      <c r="Y315" s="33"/>
      <c r="Z315" s="33"/>
      <c r="AA315" s="33"/>
      <c r="AB315" s="33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33"/>
      <c r="AR315" s="33"/>
      <c r="AS315" s="33"/>
      <c r="AT315" s="1459" t="e">
        <f>INT(SUM(AT313+AT314))</f>
        <v>#REF!</v>
      </c>
      <c r="AU315" s="1472"/>
      <c r="AV315" s="1472"/>
      <c r="AW315" s="1472"/>
      <c r="AX315" s="1472"/>
      <c r="AY315" s="1472"/>
      <c r="AZ315" s="1472"/>
      <c r="BA315" s="1472"/>
      <c r="BB315" s="33" t="s">
        <v>287</v>
      </c>
      <c r="BC315" s="33"/>
      <c r="BD315" s="33"/>
      <c r="BE315" s="33"/>
      <c r="BF315" s="33"/>
      <c r="BG315" s="33"/>
      <c r="BH315" s="33"/>
      <c r="BI315" s="33"/>
      <c r="BJ315" s="33"/>
      <c r="BK315" s="33"/>
      <c r="BL315" s="33"/>
      <c r="BM315" s="33"/>
      <c r="BN315" s="33"/>
      <c r="BO315" s="33"/>
      <c r="BP315" s="33"/>
      <c r="BQ315" s="33"/>
      <c r="BR315" s="33"/>
      <c r="BS315" s="33"/>
      <c r="BT315" s="33"/>
      <c r="BU315" s="33"/>
      <c r="BV315" s="33"/>
      <c r="BW315" s="33"/>
      <c r="BX315" s="33"/>
      <c r="BY315" s="33"/>
      <c r="BZ315" s="33"/>
      <c r="CA315" s="33"/>
      <c r="CB315" s="33"/>
      <c r="CC315" s="33"/>
      <c r="CD315" s="33"/>
      <c r="CE315" s="33"/>
      <c r="CF315" s="33"/>
      <c r="CG315" s="33"/>
      <c r="CH315" s="33"/>
      <c r="CI315" s="33"/>
      <c r="CP315" s="18"/>
      <c r="CQ315" s="665" t="s">
        <v>831</v>
      </c>
      <c r="CR315" s="666" t="s">
        <v>639</v>
      </c>
    </row>
    <row r="316" spans="1:97" s="16" customFormat="1" ht="18" customHeight="1">
      <c r="A316" s="17"/>
      <c r="CP316" s="18"/>
      <c r="CQ316" s="665" t="s">
        <v>838</v>
      </c>
      <c r="CR316" s="666" t="s">
        <v>638</v>
      </c>
    </row>
    <row r="317" spans="1:97" s="16" customFormat="1" ht="18" customHeight="1">
      <c r="A317" s="17"/>
      <c r="D317" s="1461" t="s">
        <v>663</v>
      </c>
      <c r="E317" s="1462"/>
      <c r="F317" s="1462"/>
      <c r="G317" s="1462"/>
      <c r="H317" s="1462"/>
      <c r="I317" s="1462"/>
      <c r="J317" s="1462"/>
      <c r="K317" s="1462"/>
      <c r="L317" s="1462"/>
      <c r="M317" s="1462"/>
      <c r="N317" s="1462"/>
      <c r="O317" s="1462"/>
      <c r="P317" s="1462"/>
      <c r="Q317" s="1462"/>
      <c r="R317" s="1462"/>
      <c r="S317" s="1462"/>
      <c r="T317" s="1462"/>
      <c r="U317" s="1462"/>
      <c r="V317" s="1462"/>
      <c r="W317" s="1462"/>
      <c r="X317" s="1462"/>
      <c r="Y317" s="1462"/>
      <c r="Z317" s="1462"/>
      <c r="AA317" s="1462"/>
      <c r="AB317" s="1462"/>
      <c r="AC317" s="1462"/>
      <c r="AD317" s="1462"/>
      <c r="AE317" s="1462"/>
      <c r="AF317" s="1462"/>
      <c r="AG317" s="1462"/>
      <c r="AH317" s="1462"/>
      <c r="AI317" s="1462"/>
      <c r="AJ317" s="1462"/>
      <c r="AK317" s="1462"/>
      <c r="AL317" s="1462"/>
      <c r="AM317" s="1462"/>
      <c r="AN317" s="1462"/>
      <c r="AO317" s="1462"/>
      <c r="AP317" s="1462"/>
      <c r="AQ317" s="1462"/>
      <c r="AR317" s="1462"/>
      <c r="AS317" s="1462"/>
      <c r="AT317" s="1462"/>
      <c r="AU317" s="1462"/>
      <c r="AV317" s="1462"/>
      <c r="AW317" s="1462"/>
      <c r="AX317" s="1462"/>
      <c r="AY317" s="1462"/>
      <c r="AZ317" s="1462"/>
      <c r="BA317" s="1462"/>
      <c r="BB317" s="1462"/>
      <c r="BC317" s="1462"/>
      <c r="BD317" s="1462"/>
      <c r="BE317" s="1462"/>
      <c r="BF317" s="1462"/>
      <c r="BG317" s="1462"/>
      <c r="BH317" s="1462"/>
      <c r="BI317" s="1462"/>
      <c r="BJ317" s="1462"/>
      <c r="BK317" s="1462"/>
      <c r="BL317" s="1462"/>
      <c r="BM317" s="1462"/>
      <c r="BN317" s="1462"/>
      <c r="BO317" s="1462"/>
      <c r="BP317" s="1462"/>
      <c r="BQ317" s="1462"/>
      <c r="BR317" s="1462"/>
      <c r="BS317" s="1462"/>
      <c r="BT317" s="1462"/>
      <c r="BU317" s="1462"/>
      <c r="BV317" s="1462"/>
      <c r="BW317" s="1462"/>
      <c r="BX317" s="1462"/>
      <c r="BY317" s="1462"/>
      <c r="BZ317" s="1462"/>
      <c r="CA317" s="1462"/>
      <c r="CB317" s="1462"/>
      <c r="CC317" s="1462"/>
      <c r="CD317" s="1462"/>
      <c r="CE317" s="1462"/>
      <c r="CF317" s="1462"/>
      <c r="CG317" s="1462"/>
      <c r="CH317" s="1462"/>
      <c r="CI317" s="1462"/>
      <c r="CJ317" s="1462"/>
      <c r="CK317" s="1462"/>
      <c r="CL317" s="1462"/>
      <c r="CM317" s="1462"/>
      <c r="CN317" s="1462"/>
      <c r="CO317" s="1462"/>
      <c r="CP317" s="18"/>
      <c r="CR317" s="243"/>
    </row>
    <row r="318" spans="1:97" s="16" customFormat="1" ht="18" customHeight="1" thickBot="1">
      <c r="A318" s="17"/>
      <c r="E318" s="16" t="s">
        <v>333</v>
      </c>
      <c r="AA318" s="1456">
        <v>2825</v>
      </c>
      <c r="AB318" s="1456"/>
      <c r="AC318" s="1456"/>
      <c r="AD318" s="1456"/>
      <c r="AE318" s="1456"/>
      <c r="AF318" s="1456"/>
      <c r="AG318" s="1456"/>
      <c r="AH318" s="1456"/>
      <c r="AI318" s="29" t="s">
        <v>293</v>
      </c>
      <c r="AJ318" s="29"/>
      <c r="AK318" s="1457">
        <v>10000000</v>
      </c>
      <c r="AL318" s="1475"/>
      <c r="AM318" s="1475"/>
      <c r="AN318" s="1475"/>
      <c r="AO318" s="1475"/>
      <c r="AP318" s="1475"/>
      <c r="AQ318" s="1475"/>
      <c r="AR318" s="1475"/>
      <c r="AS318" s="1475"/>
      <c r="AT318" s="1475"/>
      <c r="AU318" s="1475"/>
      <c r="AV318" s="29" t="s">
        <v>294</v>
      </c>
      <c r="AW318" s="29"/>
      <c r="AX318" s="1458">
        <f>BW305</f>
        <v>100333</v>
      </c>
      <c r="AY318" s="1474"/>
      <c r="AZ318" s="1474"/>
      <c r="BA318" s="1474"/>
      <c r="BB318" s="1474"/>
      <c r="BC318" s="1474"/>
      <c r="BD318" s="1474"/>
      <c r="BE318" s="1474"/>
      <c r="BF318" s="1474"/>
      <c r="BG318" s="16" t="s">
        <v>295</v>
      </c>
      <c r="BN318" s="1458">
        <f>INT(AA318/AK318*AX318*1000)</f>
        <v>28344</v>
      </c>
      <c r="BO318" s="1458"/>
      <c r="BP318" s="1458"/>
      <c r="BQ318" s="1458"/>
      <c r="BR318" s="1458"/>
      <c r="BS318" s="1458"/>
      <c r="BT318" s="1458"/>
      <c r="BU318" s="1458"/>
      <c r="BV318" s="16" t="s">
        <v>287</v>
      </c>
      <c r="CP318" s="18"/>
      <c r="CR318" s="243"/>
    </row>
    <row r="319" spans="1:97" s="16" customFormat="1" ht="18" customHeight="1" thickTop="1">
      <c r="A319" s="17"/>
      <c r="D319" s="33"/>
      <c r="E319" s="34" t="s">
        <v>44</v>
      </c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3"/>
      <c r="T319" s="33"/>
      <c r="U319" s="33"/>
      <c r="V319" s="33"/>
      <c r="W319" s="33"/>
      <c r="X319" s="33"/>
      <c r="Y319" s="33"/>
      <c r="Z319" s="33"/>
      <c r="AA319" s="33"/>
      <c r="AB319" s="33"/>
      <c r="AC319" s="33"/>
      <c r="AD319" s="33"/>
      <c r="AE319" s="33"/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33"/>
      <c r="AR319" s="33"/>
      <c r="AS319" s="33"/>
      <c r="AT319" s="33"/>
      <c r="AU319" s="33"/>
      <c r="AV319" s="33"/>
      <c r="AW319" s="33"/>
      <c r="AX319" s="33"/>
      <c r="AY319" s="33"/>
      <c r="AZ319" s="33"/>
      <c r="BA319" s="33"/>
      <c r="BB319" s="33"/>
      <c r="BC319" s="33"/>
      <c r="BD319" s="33"/>
      <c r="BE319" s="33"/>
      <c r="BF319" s="33"/>
      <c r="BG319" s="33"/>
      <c r="BH319" s="33"/>
      <c r="BI319" s="33"/>
      <c r="BJ319" s="33"/>
      <c r="BK319" s="33"/>
      <c r="BL319" s="33"/>
      <c r="BM319" s="33"/>
      <c r="BN319" s="1459">
        <f>SUM(BN318)</f>
        <v>28344</v>
      </c>
      <c r="BO319" s="1472"/>
      <c r="BP319" s="1472"/>
      <c r="BQ319" s="1472"/>
      <c r="BR319" s="1472"/>
      <c r="BS319" s="1472"/>
      <c r="BT319" s="1472"/>
      <c r="BU319" s="1472"/>
      <c r="BV319" s="33" t="s">
        <v>287</v>
      </c>
      <c r="BW319" s="33"/>
      <c r="BX319" s="33"/>
      <c r="BY319" s="33"/>
      <c r="BZ319" s="33"/>
      <c r="CA319" s="33"/>
      <c r="CB319" s="33"/>
      <c r="CC319" s="33"/>
      <c r="CD319" s="33"/>
      <c r="CE319" s="33"/>
      <c r="CF319" s="33"/>
      <c r="CG319" s="33"/>
      <c r="CH319" s="33"/>
      <c r="CI319" s="33"/>
      <c r="CP319" s="18"/>
      <c r="CR319" s="243"/>
    </row>
    <row r="320" spans="1:97" s="16" customFormat="1" ht="18" customHeight="1">
      <c r="A320" s="17"/>
      <c r="CP320" s="18"/>
      <c r="CR320" s="243"/>
    </row>
    <row r="321" spans="1:97" s="16" customFormat="1" ht="18" customHeight="1">
      <c r="A321" s="17"/>
      <c r="E321" s="16" t="s">
        <v>102</v>
      </c>
      <c r="O321" s="1460">
        <f>BU309</f>
        <v>59025</v>
      </c>
      <c r="P321" s="1473"/>
      <c r="Q321" s="1473"/>
      <c r="R321" s="1473"/>
      <c r="S321" s="1473"/>
      <c r="T321" s="1473"/>
      <c r="U321" s="1473"/>
      <c r="V321" s="1473"/>
      <c r="W321" s="1473"/>
      <c r="X321" s="1473"/>
      <c r="Y321" s="29" t="s">
        <v>297</v>
      </c>
      <c r="Z321" s="29"/>
      <c r="AA321" s="1460" t="e">
        <f>AT315</f>
        <v>#REF!</v>
      </c>
      <c r="AB321" s="1473"/>
      <c r="AC321" s="1473"/>
      <c r="AD321" s="1473"/>
      <c r="AE321" s="1473"/>
      <c r="AF321" s="1473"/>
      <c r="AG321" s="1473"/>
      <c r="AH321" s="1473"/>
      <c r="AI321" s="1473"/>
      <c r="AJ321" s="1473"/>
      <c r="AK321" s="29" t="s">
        <v>297</v>
      </c>
      <c r="AL321" s="29"/>
      <c r="AM321" s="1460">
        <f>BN319</f>
        <v>28344</v>
      </c>
      <c r="AN321" s="1473"/>
      <c r="AO321" s="1473"/>
      <c r="AP321" s="1473"/>
      <c r="AQ321" s="1473"/>
      <c r="AR321" s="1473"/>
      <c r="AS321" s="1473"/>
      <c r="AT321" s="1473"/>
      <c r="AU321" s="1473"/>
      <c r="AV321" s="36"/>
      <c r="AW321" s="31" t="s">
        <v>298</v>
      </c>
      <c r="AX321" s="29"/>
      <c r="AY321" s="1460" t="e">
        <f>O321+AA321+AM321</f>
        <v>#REF!</v>
      </c>
      <c r="AZ321" s="1473"/>
      <c r="BA321" s="1473"/>
      <c r="BB321" s="1473"/>
      <c r="BC321" s="1473"/>
      <c r="BD321" s="1473"/>
      <c r="BE321" s="1473"/>
      <c r="BF321" s="1473"/>
      <c r="BG321" s="1473"/>
      <c r="BH321" s="1473"/>
      <c r="BI321" s="16" t="s">
        <v>287</v>
      </c>
      <c r="CP321" s="18"/>
      <c r="CR321" s="243"/>
    </row>
    <row r="322" spans="1:97" s="16" customFormat="1" ht="18" customHeight="1">
      <c r="A322" s="17"/>
      <c r="O322" s="35"/>
      <c r="P322" s="36"/>
      <c r="Q322" s="36"/>
      <c r="R322" s="36"/>
      <c r="S322" s="36"/>
      <c r="T322" s="36"/>
      <c r="U322" s="36"/>
      <c r="V322" s="36"/>
      <c r="W322" s="36"/>
      <c r="X322" s="36"/>
      <c r="Y322" s="29"/>
      <c r="Z322" s="29"/>
      <c r="AA322" s="35"/>
      <c r="AB322" s="36"/>
      <c r="AC322" s="36"/>
      <c r="AD322" s="36"/>
      <c r="AE322" s="36"/>
      <c r="AF322" s="36"/>
      <c r="AG322" s="36"/>
      <c r="AH322" s="36"/>
      <c r="AI322" s="36"/>
      <c r="AJ322" s="36"/>
      <c r="AK322" s="29"/>
      <c r="AL322" s="29"/>
      <c r="AM322" s="35"/>
      <c r="AN322" s="36"/>
      <c r="AO322" s="36"/>
      <c r="AP322" s="36"/>
      <c r="AQ322" s="36"/>
      <c r="AR322" s="36"/>
      <c r="AS322" s="36"/>
      <c r="AT322" s="36"/>
      <c r="AU322" s="36"/>
      <c r="AV322" s="36"/>
      <c r="AW322" s="31"/>
      <c r="AX322" s="29"/>
      <c r="AY322" s="35"/>
      <c r="AZ322" s="36"/>
      <c r="BA322" s="36"/>
      <c r="BB322" s="36"/>
      <c r="BC322" s="36"/>
      <c r="BD322" s="36"/>
      <c r="BE322" s="36"/>
      <c r="BF322" s="36"/>
      <c r="BG322" s="36"/>
      <c r="BH322" s="36"/>
      <c r="CP322" s="18"/>
      <c r="CR322" s="243"/>
    </row>
    <row r="323" spans="1:97" s="16" customFormat="1" ht="18" customHeight="1">
      <c r="A323" s="17"/>
      <c r="O323" s="35"/>
      <c r="P323" s="36"/>
      <c r="Q323" s="36"/>
      <c r="R323" s="36"/>
      <c r="S323" s="36"/>
      <c r="T323" s="36"/>
      <c r="U323" s="36"/>
      <c r="V323" s="36"/>
      <c r="W323" s="36"/>
      <c r="X323" s="36"/>
      <c r="Y323" s="29"/>
      <c r="Z323" s="29"/>
      <c r="AA323" s="35"/>
      <c r="AB323" s="36"/>
      <c r="AC323" s="36"/>
      <c r="AD323" s="36"/>
      <c r="AE323" s="36"/>
      <c r="AF323" s="36"/>
      <c r="AG323" s="36"/>
      <c r="AH323" s="36"/>
      <c r="AI323" s="36"/>
      <c r="AJ323" s="36"/>
      <c r="AK323" s="29"/>
      <c r="AL323" s="29"/>
      <c r="AM323" s="35"/>
      <c r="AN323" s="36"/>
      <c r="AO323" s="36"/>
      <c r="AP323" s="36"/>
      <c r="AQ323" s="36"/>
      <c r="AR323" s="36"/>
      <c r="AS323" s="36"/>
      <c r="AT323" s="36"/>
      <c r="AU323" s="36"/>
      <c r="AV323" s="36"/>
      <c r="AW323" s="31"/>
      <c r="AX323" s="29"/>
      <c r="AY323" s="35"/>
      <c r="AZ323" s="36"/>
      <c r="BA323" s="36"/>
      <c r="BB323" s="36"/>
      <c r="BC323" s="36"/>
      <c r="BD323" s="36"/>
      <c r="BE323" s="36"/>
      <c r="BF323" s="36"/>
      <c r="BG323" s="36"/>
      <c r="BH323" s="36"/>
      <c r="CP323" s="18"/>
      <c r="CR323" s="243"/>
    </row>
    <row r="324" spans="1:97" s="16" customFormat="1" ht="18" customHeight="1">
      <c r="A324" s="17"/>
      <c r="O324" s="35"/>
      <c r="P324" s="36"/>
      <c r="Q324" s="36"/>
      <c r="R324" s="36"/>
      <c r="S324" s="36"/>
      <c r="T324" s="36"/>
      <c r="U324" s="36"/>
      <c r="V324" s="36"/>
      <c r="W324" s="36"/>
      <c r="X324" s="36"/>
      <c r="Y324" s="29"/>
      <c r="Z324" s="29"/>
      <c r="AA324" s="35"/>
      <c r="AB324" s="36"/>
      <c r="AC324" s="36"/>
      <c r="AD324" s="36"/>
      <c r="AE324" s="36"/>
      <c r="AF324" s="36"/>
      <c r="AG324" s="36"/>
      <c r="AH324" s="36"/>
      <c r="AI324" s="36"/>
      <c r="AJ324" s="36"/>
      <c r="AK324" s="29"/>
      <c r="AL324" s="29"/>
      <c r="AM324" s="35"/>
      <c r="AN324" s="36"/>
      <c r="AO324" s="36"/>
      <c r="AP324" s="36"/>
      <c r="AQ324" s="36"/>
      <c r="AR324" s="36"/>
      <c r="AS324" s="36"/>
      <c r="AT324" s="36"/>
      <c r="AU324" s="36"/>
      <c r="AV324" s="36"/>
      <c r="AW324" s="31"/>
      <c r="AX324" s="29"/>
      <c r="AY324" s="35"/>
      <c r="AZ324" s="36"/>
      <c r="BA324" s="36"/>
      <c r="BB324" s="36"/>
      <c r="BC324" s="36"/>
      <c r="BD324" s="36"/>
      <c r="BE324" s="36"/>
      <c r="BF324" s="36"/>
      <c r="BG324" s="36"/>
      <c r="BH324" s="36"/>
      <c r="CP324" s="18"/>
      <c r="CR324" s="243"/>
    </row>
    <row r="325" spans="1:97" s="16" customFormat="1" ht="18" customHeight="1">
      <c r="A325" s="17"/>
      <c r="O325" s="35"/>
      <c r="P325" s="36"/>
      <c r="Q325" s="36"/>
      <c r="R325" s="36"/>
      <c r="S325" s="36"/>
      <c r="T325" s="36"/>
      <c r="U325" s="36"/>
      <c r="V325" s="36"/>
      <c r="W325" s="36"/>
      <c r="X325" s="36"/>
      <c r="Y325" s="29"/>
      <c r="Z325" s="29"/>
      <c r="AA325" s="35"/>
      <c r="AB325" s="36"/>
      <c r="AC325" s="36"/>
      <c r="AD325" s="36"/>
      <c r="AE325" s="36"/>
      <c r="AF325" s="36"/>
      <c r="AG325" s="36"/>
      <c r="AH325" s="36"/>
      <c r="AI325" s="36"/>
      <c r="AJ325" s="36"/>
      <c r="AK325" s="29"/>
      <c r="AL325" s="29"/>
      <c r="AM325" s="35"/>
      <c r="AN325" s="36"/>
      <c r="AO325" s="36"/>
      <c r="AP325" s="36"/>
      <c r="AQ325" s="36"/>
      <c r="AR325" s="36"/>
      <c r="AS325" s="36"/>
      <c r="AT325" s="36"/>
      <c r="AU325" s="36"/>
      <c r="AV325" s="36"/>
      <c r="AW325" s="31"/>
      <c r="AX325" s="29"/>
      <c r="AY325" s="35"/>
      <c r="AZ325" s="36"/>
      <c r="BA325" s="36"/>
      <c r="BB325" s="36"/>
      <c r="BC325" s="36"/>
      <c r="BD325" s="36"/>
      <c r="BE325" s="36"/>
      <c r="BF325" s="36"/>
      <c r="BG325" s="36"/>
      <c r="BH325" s="36"/>
      <c r="CP325" s="18"/>
      <c r="CR325" s="243"/>
    </row>
    <row r="326" spans="1:97" s="16" customFormat="1" ht="18" customHeight="1">
      <c r="A326" s="17"/>
      <c r="O326" s="35"/>
      <c r="P326" s="36"/>
      <c r="Q326" s="36"/>
      <c r="R326" s="36"/>
      <c r="S326" s="36"/>
      <c r="T326" s="36"/>
      <c r="U326" s="36"/>
      <c r="V326" s="36"/>
      <c r="W326" s="36"/>
      <c r="X326" s="36"/>
      <c r="Y326" s="29"/>
      <c r="Z326" s="29"/>
      <c r="AA326" s="35"/>
      <c r="AB326" s="36"/>
      <c r="AC326" s="36"/>
      <c r="AD326" s="36"/>
      <c r="AE326" s="36"/>
      <c r="AF326" s="36"/>
      <c r="AG326" s="36"/>
      <c r="AH326" s="36"/>
      <c r="AI326" s="36"/>
      <c r="AJ326" s="36"/>
      <c r="AK326" s="29"/>
      <c r="AL326" s="29"/>
      <c r="AM326" s="35"/>
      <c r="AN326" s="36"/>
      <c r="AO326" s="36"/>
      <c r="AP326" s="36"/>
      <c r="AQ326" s="36"/>
      <c r="AR326" s="36"/>
      <c r="AS326" s="36"/>
      <c r="AT326" s="36"/>
      <c r="AU326" s="36"/>
      <c r="AV326" s="36"/>
      <c r="AW326" s="31"/>
      <c r="AX326" s="29"/>
      <c r="AY326" s="35"/>
      <c r="AZ326" s="36"/>
      <c r="BA326" s="36"/>
      <c r="BB326" s="36"/>
      <c r="BC326" s="36"/>
      <c r="BD326" s="36"/>
      <c r="BE326" s="36"/>
      <c r="BF326" s="36"/>
      <c r="BG326" s="36"/>
      <c r="BH326" s="36"/>
      <c r="CP326" s="18"/>
      <c r="CR326" s="243"/>
    </row>
    <row r="327" spans="1:97" s="16" customFormat="1" ht="18" customHeight="1">
      <c r="A327" s="17"/>
      <c r="O327" s="35"/>
      <c r="P327" s="36"/>
      <c r="Q327" s="36"/>
      <c r="R327" s="36"/>
      <c r="S327" s="36"/>
      <c r="T327" s="36"/>
      <c r="U327" s="36"/>
      <c r="V327" s="36"/>
      <c r="W327" s="36"/>
      <c r="X327" s="36"/>
      <c r="Y327" s="29"/>
      <c r="Z327" s="29"/>
      <c r="AA327" s="35"/>
      <c r="AB327" s="36"/>
      <c r="AC327" s="36"/>
      <c r="AD327" s="36"/>
      <c r="AE327" s="36"/>
      <c r="AF327" s="36"/>
      <c r="AG327" s="36"/>
      <c r="AH327" s="36"/>
      <c r="AI327" s="36"/>
      <c r="AJ327" s="36"/>
      <c r="AK327" s="29"/>
      <c r="AL327" s="29"/>
      <c r="AM327" s="35"/>
      <c r="AN327" s="36"/>
      <c r="AO327" s="36"/>
      <c r="AP327" s="36"/>
      <c r="AQ327" s="36"/>
      <c r="AR327" s="36"/>
      <c r="AS327" s="36"/>
      <c r="AT327" s="36"/>
      <c r="AU327" s="36"/>
      <c r="AV327" s="36"/>
      <c r="AW327" s="31"/>
      <c r="AX327" s="29"/>
      <c r="AY327" s="35"/>
      <c r="AZ327" s="36"/>
      <c r="BA327" s="36"/>
      <c r="BB327" s="36"/>
      <c r="BC327" s="36"/>
      <c r="BD327" s="36"/>
      <c r="BE327" s="36"/>
      <c r="BF327" s="36"/>
      <c r="BG327" s="36"/>
      <c r="BH327" s="36"/>
      <c r="CP327" s="18"/>
      <c r="CR327" s="243"/>
    </row>
    <row r="328" spans="1:97" s="16" customFormat="1" ht="18" customHeight="1">
      <c r="A328" s="17"/>
      <c r="O328" s="35"/>
      <c r="P328" s="36"/>
      <c r="Q328" s="36"/>
      <c r="R328" s="36"/>
      <c r="S328" s="36"/>
      <c r="T328" s="36"/>
      <c r="U328" s="36"/>
      <c r="V328" s="36"/>
      <c r="W328" s="36"/>
      <c r="X328" s="36"/>
      <c r="Y328" s="29"/>
      <c r="Z328" s="29"/>
      <c r="AA328" s="35"/>
      <c r="AB328" s="36"/>
      <c r="AC328" s="36"/>
      <c r="AD328" s="36"/>
      <c r="AE328" s="36"/>
      <c r="AF328" s="36"/>
      <c r="AG328" s="36"/>
      <c r="AH328" s="36"/>
      <c r="AI328" s="36"/>
      <c r="AJ328" s="36"/>
      <c r="AK328" s="29"/>
      <c r="AL328" s="29"/>
      <c r="AM328" s="35"/>
      <c r="AN328" s="36"/>
      <c r="AO328" s="36"/>
      <c r="AP328" s="36"/>
      <c r="AQ328" s="36"/>
      <c r="AR328" s="36"/>
      <c r="AS328" s="36"/>
      <c r="AT328" s="36"/>
      <c r="AU328" s="36"/>
      <c r="AV328" s="36"/>
      <c r="AW328" s="31"/>
      <c r="AX328" s="29"/>
      <c r="AY328" s="35"/>
      <c r="AZ328" s="36"/>
      <c r="BA328" s="36"/>
      <c r="BB328" s="36"/>
      <c r="BC328" s="36"/>
      <c r="BD328" s="36"/>
      <c r="BE328" s="36"/>
      <c r="BF328" s="36"/>
      <c r="BG328" s="36"/>
      <c r="BH328" s="36"/>
      <c r="CP328" s="18"/>
      <c r="CR328" s="243"/>
    </row>
    <row r="329" spans="1:97" s="16" customFormat="1" ht="18" customHeight="1">
      <c r="A329" s="17"/>
      <c r="O329" s="35"/>
      <c r="P329" s="36"/>
      <c r="Q329" s="36"/>
      <c r="R329" s="36"/>
      <c r="S329" s="36"/>
      <c r="T329" s="36"/>
      <c r="U329" s="36"/>
      <c r="V329" s="36"/>
      <c r="W329" s="36"/>
      <c r="X329" s="36"/>
      <c r="Y329" s="29"/>
      <c r="Z329" s="29"/>
      <c r="AA329" s="35"/>
      <c r="AB329" s="36"/>
      <c r="AC329" s="36"/>
      <c r="AD329" s="36"/>
      <c r="AE329" s="36"/>
      <c r="AF329" s="36"/>
      <c r="AG329" s="36"/>
      <c r="AH329" s="36"/>
      <c r="AI329" s="36"/>
      <c r="AJ329" s="36"/>
      <c r="AK329" s="29"/>
      <c r="AL329" s="29"/>
      <c r="AM329" s="35"/>
      <c r="AN329" s="36"/>
      <c r="AO329" s="36"/>
      <c r="AP329" s="36"/>
      <c r="AQ329" s="36"/>
      <c r="AR329" s="36"/>
      <c r="AS329" s="36"/>
      <c r="AT329" s="36"/>
      <c r="AU329" s="36"/>
      <c r="AV329" s="36"/>
      <c r="AW329" s="31"/>
      <c r="AX329" s="29"/>
      <c r="AY329" s="35"/>
      <c r="AZ329" s="36"/>
      <c r="BA329" s="36"/>
      <c r="BB329" s="36"/>
      <c r="BC329" s="36"/>
      <c r="BD329" s="36"/>
      <c r="BE329" s="36"/>
      <c r="BF329" s="36"/>
      <c r="BG329" s="36"/>
      <c r="BH329" s="36"/>
      <c r="CP329" s="18"/>
      <c r="CR329" s="243"/>
    </row>
    <row r="330" spans="1:97" s="16" customFormat="1" ht="18" customHeight="1">
      <c r="A330" s="37"/>
      <c r="B330" s="38"/>
      <c r="C330" s="38"/>
      <c r="D330" s="38"/>
      <c r="E330" s="38"/>
      <c r="F330" s="38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  <c r="R330" s="38"/>
      <c r="S330" s="38"/>
      <c r="T330" s="38"/>
      <c r="U330" s="38"/>
      <c r="V330" s="38"/>
      <c r="W330" s="38"/>
      <c r="X330" s="38"/>
      <c r="Y330" s="38"/>
      <c r="Z330" s="38"/>
      <c r="AA330" s="38"/>
      <c r="AB330" s="38"/>
      <c r="AC330" s="38"/>
      <c r="AD330" s="38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8"/>
      <c r="AU330" s="38"/>
      <c r="AV330" s="38"/>
      <c r="AW330" s="38"/>
      <c r="AX330" s="38"/>
      <c r="AY330" s="38"/>
      <c r="AZ330" s="38"/>
      <c r="BA330" s="38"/>
      <c r="BB330" s="38"/>
      <c r="BC330" s="38"/>
      <c r="BD330" s="38"/>
      <c r="BE330" s="38"/>
      <c r="BF330" s="38"/>
      <c r="BG330" s="38"/>
      <c r="BH330" s="38"/>
      <c r="BI330" s="38"/>
      <c r="BJ330" s="38"/>
      <c r="BK330" s="38"/>
      <c r="BL330" s="38"/>
      <c r="BM330" s="38"/>
      <c r="BN330" s="38"/>
      <c r="BO330" s="38"/>
      <c r="BP330" s="38"/>
      <c r="BQ330" s="38"/>
      <c r="BR330" s="38"/>
      <c r="BS330" s="38"/>
      <c r="BT330" s="38"/>
      <c r="BU330" s="38"/>
      <c r="BV330" s="38"/>
      <c r="BW330" s="38"/>
      <c r="BX330" s="38"/>
      <c r="BY330" s="38"/>
      <c r="BZ330" s="38"/>
      <c r="CA330" s="38"/>
      <c r="CB330" s="38"/>
      <c r="CC330" s="38"/>
      <c r="CD330" s="38"/>
      <c r="CE330" s="38"/>
      <c r="CF330" s="38"/>
      <c r="CG330" s="38"/>
      <c r="CH330" s="38"/>
      <c r="CI330" s="38"/>
      <c r="CJ330" s="38"/>
      <c r="CK330" s="38"/>
      <c r="CL330" s="38"/>
      <c r="CM330" s="38"/>
      <c r="CN330" s="38"/>
      <c r="CO330" s="38"/>
      <c r="CP330" s="39"/>
      <c r="CR330" s="243"/>
    </row>
    <row r="331" spans="1:97" s="16" customFormat="1" ht="30.75" customHeight="1">
      <c r="A331" s="1467" t="s">
        <v>667</v>
      </c>
      <c r="B331" s="1468"/>
      <c r="C331" s="1468"/>
      <c r="D331" s="1468"/>
      <c r="E331" s="1468"/>
      <c r="F331" s="1468"/>
      <c r="G331" s="1468"/>
      <c r="H331" s="1468"/>
      <c r="I331" s="1468"/>
      <c r="J331" s="1468"/>
      <c r="K331" s="1468"/>
      <c r="L331" s="1468"/>
      <c r="M331" s="1468"/>
      <c r="N331" s="1468"/>
      <c r="O331" s="1468"/>
      <c r="P331" s="1468"/>
      <c r="Q331" s="1468"/>
      <c r="R331" s="1468"/>
      <c r="S331" s="1468"/>
      <c r="T331" s="1468"/>
      <c r="U331" s="1468"/>
      <c r="V331" s="1468"/>
      <c r="W331" s="1468"/>
      <c r="X331" s="1468"/>
      <c r="Y331" s="1468"/>
      <c r="Z331" s="1468"/>
      <c r="AA331" s="1468"/>
      <c r="AB331" s="1468"/>
      <c r="AC331" s="1468"/>
      <c r="AD331" s="1468"/>
      <c r="AE331" s="1468"/>
      <c r="AF331" s="1468"/>
      <c r="AG331" s="1468"/>
      <c r="AH331" s="1468"/>
      <c r="AI331" s="1468"/>
      <c r="AJ331" s="1468"/>
      <c r="AK331" s="1468"/>
      <c r="AL331" s="1468"/>
      <c r="AM331" s="1468"/>
      <c r="AN331" s="1468"/>
      <c r="AO331" s="1468"/>
      <c r="AP331" s="1468"/>
      <c r="AQ331" s="1468"/>
      <c r="AR331" s="1468"/>
      <c r="AS331" s="1468"/>
      <c r="AT331" s="1468"/>
      <c r="AU331" s="1468"/>
      <c r="AV331" s="1468"/>
      <c r="AW331" s="1468"/>
      <c r="AX331" s="1468"/>
      <c r="AY331" s="1468"/>
      <c r="AZ331" s="1468"/>
      <c r="BA331" s="1468"/>
      <c r="BB331" s="1468"/>
      <c r="BC331" s="1468"/>
      <c r="BD331" s="1468"/>
      <c r="BE331" s="1468"/>
      <c r="BF331" s="1468"/>
      <c r="BG331" s="1468"/>
      <c r="BH331" s="1468"/>
      <c r="BI331" s="1468"/>
      <c r="BJ331" s="1468"/>
      <c r="BK331" s="1468"/>
      <c r="BL331" s="1468"/>
      <c r="BM331" s="1468"/>
      <c r="BN331" s="1468"/>
      <c r="BO331" s="1468"/>
      <c r="BP331" s="1468"/>
      <c r="BQ331" s="1468"/>
      <c r="BR331" s="1468"/>
      <c r="BS331" s="1468"/>
      <c r="BT331" s="1468"/>
      <c r="BU331" s="1468"/>
      <c r="BV331" s="1468"/>
      <c r="BW331" s="1468"/>
      <c r="BX331" s="1468"/>
      <c r="BY331" s="1468"/>
      <c r="BZ331" s="1468"/>
      <c r="CA331" s="1468"/>
      <c r="CB331" s="1468"/>
      <c r="CC331" s="1468"/>
      <c r="CD331" s="1468"/>
      <c r="CE331" s="1468"/>
      <c r="CF331" s="1468"/>
      <c r="CG331" s="1468"/>
      <c r="CH331" s="1468"/>
      <c r="CI331" s="1468"/>
      <c r="CJ331" s="1468"/>
      <c r="CK331" s="1468"/>
      <c r="CL331" s="1468"/>
      <c r="CM331" s="1468"/>
      <c r="CN331" s="1468"/>
      <c r="CO331" s="1468"/>
      <c r="CP331" s="1469"/>
      <c r="CR331" s="243"/>
    </row>
    <row r="332" spans="1:97" s="16" customFormat="1" ht="18" customHeight="1">
      <c r="A332" s="40"/>
      <c r="B332" s="41"/>
      <c r="C332" s="41"/>
      <c r="D332" s="42" t="s">
        <v>299</v>
      </c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57" t="s">
        <v>562</v>
      </c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  <c r="AA332" s="41"/>
      <c r="AB332" s="41"/>
      <c r="AC332" s="41"/>
      <c r="AD332" s="41"/>
      <c r="AE332" s="41"/>
      <c r="AF332" s="41"/>
      <c r="AG332" s="41"/>
      <c r="AH332" s="41"/>
      <c r="AI332" s="41"/>
      <c r="AJ332" s="41"/>
      <c r="AK332" s="41"/>
      <c r="AL332" s="41"/>
      <c r="AM332" s="41"/>
      <c r="AN332" s="41"/>
      <c r="AO332" s="41"/>
      <c r="AP332" s="41"/>
      <c r="AQ332" s="41"/>
      <c r="AR332" s="41"/>
      <c r="AS332" s="41"/>
      <c r="AT332" s="41"/>
      <c r="AU332" s="41"/>
      <c r="AV332" s="41"/>
      <c r="AW332" s="41"/>
      <c r="AX332" s="41"/>
      <c r="AY332" s="41"/>
      <c r="AZ332" s="41"/>
      <c r="BA332" s="41"/>
      <c r="BB332" s="41"/>
      <c r="BC332" s="41"/>
      <c r="BD332" s="41"/>
      <c r="BE332" s="41"/>
      <c r="BF332" s="41"/>
      <c r="BG332" s="41"/>
      <c r="BH332" s="41"/>
      <c r="BI332" s="41"/>
      <c r="BJ332" s="41"/>
      <c r="BK332" s="41" t="s">
        <v>301</v>
      </c>
      <c r="BL332" s="41"/>
      <c r="BM332" s="41"/>
      <c r="BN332" s="41"/>
      <c r="BO332" s="41"/>
      <c r="BP332" s="41"/>
      <c r="BQ332" s="41"/>
      <c r="BR332" s="41"/>
      <c r="BS332" s="41"/>
      <c r="BT332" s="41"/>
      <c r="BU332" s="41"/>
      <c r="BV332" s="41"/>
      <c r="BW332" s="1470">
        <v>58650</v>
      </c>
      <c r="BX332" s="1478"/>
      <c r="BY332" s="1478"/>
      <c r="BZ332" s="1478"/>
      <c r="CA332" s="1478"/>
      <c r="CB332" s="1478"/>
      <c r="CC332" s="1478"/>
      <c r="CD332" s="1478"/>
      <c r="CE332" s="1478"/>
      <c r="CF332" s="1478"/>
      <c r="CG332" s="58" t="s">
        <v>720</v>
      </c>
      <c r="CH332" s="41"/>
      <c r="CI332" s="41"/>
      <c r="CJ332" s="41"/>
      <c r="CK332" s="41"/>
      <c r="CL332" s="41"/>
      <c r="CM332" s="41"/>
      <c r="CN332" s="41"/>
      <c r="CO332" s="41"/>
      <c r="CP332" s="43"/>
      <c r="CR332" s="247"/>
    </row>
    <row r="333" spans="1:97" s="16" customFormat="1" ht="18" customHeight="1">
      <c r="A333" s="17"/>
      <c r="D333" s="1461" t="s">
        <v>635</v>
      </c>
      <c r="E333" s="1462"/>
      <c r="F333" s="1462"/>
      <c r="G333" s="1462"/>
      <c r="H333" s="1462"/>
      <c r="I333" s="1462"/>
      <c r="J333" s="1462"/>
      <c r="K333" s="1462"/>
      <c r="L333" s="1462"/>
      <c r="M333" s="1462"/>
      <c r="N333" s="1462"/>
      <c r="O333" s="1462"/>
      <c r="P333" s="1462"/>
      <c r="Q333" s="1462"/>
      <c r="R333" s="1462"/>
      <c r="S333" s="1462"/>
      <c r="T333" s="1462"/>
      <c r="U333" s="1462"/>
      <c r="V333" s="1462"/>
      <c r="W333" s="1462"/>
      <c r="X333" s="1462"/>
      <c r="Y333" s="1462"/>
      <c r="Z333" s="1462"/>
      <c r="AA333" s="1462"/>
      <c r="AB333" s="1462"/>
      <c r="AC333" s="1462"/>
      <c r="AD333" s="1462"/>
      <c r="AE333" s="1462"/>
      <c r="AF333" s="1462"/>
      <c r="AG333" s="1462"/>
      <c r="AH333" s="1462"/>
      <c r="AI333" s="1462"/>
      <c r="AJ333" s="1462"/>
      <c r="AK333" s="1462"/>
      <c r="AL333" s="1462"/>
      <c r="AM333" s="1462"/>
      <c r="AN333" s="1462"/>
      <c r="AO333" s="1462"/>
      <c r="AP333" s="1462"/>
      <c r="AQ333" s="1462"/>
      <c r="AR333" s="1462"/>
      <c r="AS333" s="1462"/>
      <c r="AT333" s="1462"/>
      <c r="AU333" s="1462"/>
      <c r="AV333" s="1462"/>
      <c r="AW333" s="1462"/>
      <c r="AX333" s="1462"/>
      <c r="AY333" s="1462"/>
      <c r="AZ333" s="1462"/>
      <c r="BA333" s="1462"/>
      <c r="BB333" s="1462"/>
      <c r="BC333" s="1462"/>
      <c r="BD333" s="1462"/>
      <c r="BE333" s="1462"/>
      <c r="BF333" s="1462"/>
      <c r="BG333" s="1462"/>
      <c r="BH333" s="1462"/>
      <c r="BI333" s="1462"/>
      <c r="BJ333" s="1462"/>
      <c r="BK333" s="1462"/>
      <c r="BL333" s="1462"/>
      <c r="BM333" s="1462"/>
      <c r="BN333" s="1462"/>
      <c r="BO333" s="1462"/>
      <c r="BP333" s="1462"/>
      <c r="BQ333" s="1462"/>
      <c r="BR333" s="1462"/>
      <c r="BS333" s="1462"/>
      <c r="BT333" s="1462"/>
      <c r="BU333" s="1462"/>
      <c r="BV333" s="1462"/>
      <c r="BW333" s="1462"/>
      <c r="BX333" s="1462"/>
      <c r="BY333" s="1462"/>
      <c r="BZ333" s="1462"/>
      <c r="CA333" s="1462"/>
      <c r="CB333" s="1462"/>
      <c r="CC333" s="1462"/>
      <c r="CD333" s="1462"/>
      <c r="CE333" s="1462"/>
      <c r="CF333" s="1462"/>
      <c r="CG333" s="1462"/>
      <c r="CH333" s="1462"/>
      <c r="CI333" s="1462"/>
      <c r="CJ333" s="1462"/>
      <c r="CK333" s="1462"/>
      <c r="CL333" s="1462"/>
      <c r="CM333" s="1462"/>
      <c r="CN333" s="1462"/>
      <c r="CO333" s="1462"/>
      <c r="CP333" s="18"/>
      <c r="CR333" s="662"/>
      <c r="CS333" s="663" t="s">
        <v>533</v>
      </c>
    </row>
    <row r="334" spans="1:97" s="16" customFormat="1" ht="18" customHeight="1">
      <c r="A334" s="17"/>
      <c r="E334" s="16" t="s">
        <v>302</v>
      </c>
      <c r="U334" s="1463">
        <v>1</v>
      </c>
      <c r="V334" s="1473"/>
      <c r="W334" s="1473"/>
      <c r="X334" s="1473"/>
      <c r="Y334" s="1473"/>
      <c r="Z334" s="29" t="s">
        <v>303</v>
      </c>
      <c r="AA334" s="29"/>
      <c r="AB334" s="29"/>
      <c r="AC334" s="29"/>
      <c r="AD334" s="29"/>
      <c r="AE334" s="1488">
        <f>CR335</f>
        <v>283323</v>
      </c>
      <c r="AF334" s="1489"/>
      <c r="AG334" s="1489"/>
      <c r="AH334" s="1489"/>
      <c r="AI334" s="1489"/>
      <c r="AJ334" s="1489"/>
      <c r="AK334" s="1489"/>
      <c r="AL334" s="1489"/>
      <c r="AM334" s="16" t="s">
        <v>304</v>
      </c>
      <c r="AU334" s="1463">
        <v>8</v>
      </c>
      <c r="AV334" s="1463"/>
      <c r="AW334" s="1463"/>
      <c r="AX334" s="29" t="s">
        <v>294</v>
      </c>
      <c r="AY334" s="29"/>
      <c r="AZ334" s="1463">
        <v>25</v>
      </c>
      <c r="BA334" s="1463"/>
      <c r="BB334" s="1463"/>
      <c r="BC334" s="29" t="s">
        <v>293</v>
      </c>
      <c r="BD334" s="29"/>
      <c r="BE334" s="1463">
        <v>20</v>
      </c>
      <c r="BF334" s="1463"/>
      <c r="BG334" s="1463"/>
      <c r="BH334" s="29" t="s">
        <v>294</v>
      </c>
      <c r="BI334" s="29"/>
      <c r="BJ334" s="1463">
        <v>16</v>
      </c>
      <c r="BK334" s="1463"/>
      <c r="BL334" s="1463"/>
      <c r="BM334" s="29" t="s">
        <v>293</v>
      </c>
      <c r="BN334" s="29"/>
      <c r="BO334" s="1463">
        <v>12</v>
      </c>
      <c r="BP334" s="1463"/>
      <c r="BQ334" s="1463"/>
      <c r="BS334" s="31" t="s">
        <v>298</v>
      </c>
      <c r="BT334" s="29"/>
      <c r="BU334" s="1465">
        <f>INT(U334*AE334*(1/AU334*(AZ334/BE334)*(BJ334/BO334)))</f>
        <v>59025</v>
      </c>
      <c r="BV334" s="1473"/>
      <c r="BW334" s="1473"/>
      <c r="BX334" s="1473"/>
      <c r="BY334" s="1473"/>
      <c r="BZ334" s="1473"/>
      <c r="CA334" s="1473"/>
      <c r="CB334" s="1473"/>
      <c r="CC334" s="16" t="s">
        <v>287</v>
      </c>
      <c r="CP334" s="18"/>
      <c r="CQ334" s="49"/>
      <c r="CR334" s="662"/>
      <c r="CS334" s="664"/>
    </row>
    <row r="335" spans="1:97" s="16" customFormat="1" ht="18" customHeight="1" thickBot="1">
      <c r="A335" s="17"/>
      <c r="U335" s="29"/>
      <c r="V335" s="29"/>
      <c r="W335" s="29"/>
      <c r="X335" s="29"/>
      <c r="Y335" s="29"/>
      <c r="Z335" s="29"/>
      <c r="AA335" s="29"/>
      <c r="AB335" s="29"/>
      <c r="AC335" s="29"/>
      <c r="AD335" s="29"/>
      <c r="AE335" s="30"/>
      <c r="AF335" s="29"/>
      <c r="AG335" s="29"/>
      <c r="AH335" s="29"/>
      <c r="AI335" s="29"/>
      <c r="AJ335" s="29"/>
      <c r="AK335" s="29"/>
      <c r="AL335" s="29"/>
      <c r="AU335" s="29"/>
      <c r="AV335" s="29"/>
      <c r="AW335" s="29"/>
      <c r="AX335" s="29"/>
      <c r="AY335" s="29"/>
      <c r="AZ335" s="29"/>
      <c r="BA335" s="29"/>
      <c r="BB335" s="29"/>
      <c r="BC335" s="29"/>
      <c r="BD335" s="29"/>
      <c r="BE335" s="29"/>
      <c r="BF335" s="29"/>
      <c r="BG335" s="29"/>
      <c r="BH335" s="29"/>
      <c r="BI335" s="29"/>
      <c r="BJ335" s="29"/>
      <c r="BK335" s="29"/>
      <c r="BL335" s="29"/>
      <c r="BM335" s="29"/>
      <c r="BN335" s="29"/>
      <c r="BO335" s="29"/>
      <c r="BP335" s="29"/>
      <c r="BQ335" s="29"/>
      <c r="BS335" s="31"/>
      <c r="BT335" s="29"/>
      <c r="BU335" s="32"/>
      <c r="BV335" s="29"/>
      <c r="BW335" s="29"/>
      <c r="BX335" s="29"/>
      <c r="BY335" s="29"/>
      <c r="BZ335" s="29"/>
      <c r="CA335" s="29"/>
      <c r="CB335" s="29"/>
      <c r="CP335" s="18"/>
      <c r="CQ335" s="16" t="s">
        <v>97</v>
      </c>
      <c r="CR335" s="244">
        <f>VLOOKUP(CQ335,인건비!A:B,2,FALSE)</f>
        <v>283323</v>
      </c>
    </row>
    <row r="336" spans="1:97" s="16" customFormat="1" ht="18" customHeight="1" thickTop="1">
      <c r="A336" s="17"/>
      <c r="D336" s="33"/>
      <c r="E336" s="34" t="s">
        <v>291</v>
      </c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3"/>
      <c r="T336" s="33"/>
      <c r="U336" s="33"/>
      <c r="V336" s="33"/>
      <c r="W336" s="33"/>
      <c r="X336" s="33"/>
      <c r="Y336" s="33"/>
      <c r="Z336" s="33"/>
      <c r="AA336" s="33"/>
      <c r="AB336" s="33"/>
      <c r="AC336" s="33"/>
      <c r="AD336" s="33"/>
      <c r="AE336" s="33"/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33"/>
      <c r="AR336" s="33"/>
      <c r="AS336" s="33"/>
      <c r="AT336" s="33"/>
      <c r="AU336" s="33"/>
      <c r="AV336" s="33"/>
      <c r="AW336" s="33"/>
      <c r="AX336" s="33"/>
      <c r="AY336" s="33"/>
      <c r="AZ336" s="33"/>
      <c r="BA336" s="33"/>
      <c r="BB336" s="33"/>
      <c r="BC336" s="33"/>
      <c r="BD336" s="33"/>
      <c r="BE336" s="33"/>
      <c r="BF336" s="33"/>
      <c r="BG336" s="33"/>
      <c r="BH336" s="33"/>
      <c r="BI336" s="33"/>
      <c r="BJ336" s="33"/>
      <c r="BK336" s="33"/>
      <c r="BL336" s="33"/>
      <c r="BM336" s="33"/>
      <c r="BN336" s="33"/>
      <c r="BO336" s="33"/>
      <c r="BP336" s="33"/>
      <c r="BQ336" s="33"/>
      <c r="BR336" s="33"/>
      <c r="BS336" s="33"/>
      <c r="BT336" s="33"/>
      <c r="BU336" s="1459">
        <f>INT(SUM(BU334))</f>
        <v>59025</v>
      </c>
      <c r="BV336" s="1472"/>
      <c r="BW336" s="1472"/>
      <c r="BX336" s="1472"/>
      <c r="BY336" s="1472"/>
      <c r="BZ336" s="1472"/>
      <c r="CA336" s="1472"/>
      <c r="CB336" s="1472"/>
      <c r="CC336" s="33" t="s">
        <v>287</v>
      </c>
      <c r="CD336" s="33"/>
      <c r="CE336" s="33"/>
      <c r="CF336" s="33"/>
      <c r="CG336" s="33"/>
      <c r="CH336" s="33"/>
      <c r="CI336" s="33"/>
      <c r="CP336" s="18"/>
      <c r="CR336" s="244"/>
    </row>
    <row r="337" spans="1:96" s="16" customFormat="1" ht="18" customHeight="1">
      <c r="A337" s="17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BU337" s="32"/>
      <c r="BV337" s="29"/>
      <c r="BW337" s="29"/>
      <c r="BX337" s="29"/>
      <c r="BY337" s="29"/>
      <c r="BZ337" s="29"/>
      <c r="CA337" s="29"/>
      <c r="CB337" s="29"/>
      <c r="CP337" s="18"/>
      <c r="CQ337" s="16" t="s">
        <v>176</v>
      </c>
      <c r="CR337" s="244">
        <f>VLOOKUP(CQ337,인건비!A:B,2,FALSE)</f>
        <v>210909</v>
      </c>
    </row>
    <row r="338" spans="1:96" s="16" customFormat="1" ht="18" customHeight="1">
      <c r="A338" s="17"/>
      <c r="BV338" s="32"/>
      <c r="BW338" s="29"/>
      <c r="BX338" s="29"/>
      <c r="BY338" s="29"/>
      <c r="BZ338" s="29"/>
      <c r="CA338" s="29"/>
      <c r="CB338" s="29"/>
      <c r="CC338" s="29"/>
      <c r="CD338" s="29"/>
      <c r="CP338" s="18"/>
      <c r="CQ338" s="16" t="s">
        <v>96</v>
      </c>
      <c r="CR338" s="244">
        <f>VLOOKUP(CQ338,인건비!A:B,2,FALSE)</f>
        <v>173995</v>
      </c>
    </row>
    <row r="339" spans="1:96" s="16" customFormat="1" ht="18" customHeight="1">
      <c r="A339" s="17"/>
      <c r="D339" s="1461" t="s">
        <v>658</v>
      </c>
      <c r="E339" s="1462"/>
      <c r="F339" s="1462"/>
      <c r="G339" s="1462"/>
      <c r="H339" s="1462"/>
      <c r="I339" s="1462"/>
      <c r="J339" s="1462"/>
      <c r="K339" s="1462"/>
      <c r="L339" s="1462"/>
      <c r="M339" s="1462"/>
      <c r="N339" s="1462"/>
      <c r="O339" s="1462"/>
      <c r="P339" s="1462"/>
      <c r="Q339" s="1462"/>
      <c r="R339" s="1462"/>
      <c r="S339" s="1462"/>
      <c r="T339" s="1462"/>
      <c r="U339" s="1462"/>
      <c r="V339" s="1462"/>
      <c r="W339" s="1462"/>
      <c r="X339" s="1462"/>
      <c r="Y339" s="1462"/>
      <c r="Z339" s="1462"/>
      <c r="AA339" s="1462"/>
      <c r="AB339" s="1462"/>
      <c r="AC339" s="1462"/>
      <c r="AD339" s="1462"/>
      <c r="AE339" s="1462"/>
      <c r="AF339" s="1462"/>
      <c r="AG339" s="1462"/>
      <c r="AH339" s="1462"/>
      <c r="AI339" s="1462"/>
      <c r="AJ339" s="1462"/>
      <c r="AK339" s="1462"/>
      <c r="AL339" s="1462"/>
      <c r="AM339" s="1462"/>
      <c r="AN339" s="1462"/>
      <c r="AO339" s="1462"/>
      <c r="AP339" s="1462"/>
      <c r="AQ339" s="1462"/>
      <c r="AR339" s="1462"/>
      <c r="AS339" s="1462"/>
      <c r="AT339" s="1462"/>
      <c r="AU339" s="1462"/>
      <c r="AV339" s="1462"/>
      <c r="AW339" s="1462"/>
      <c r="AX339" s="1462"/>
      <c r="AY339" s="1462"/>
      <c r="AZ339" s="1462"/>
      <c r="BA339" s="1462"/>
      <c r="BB339" s="1462"/>
      <c r="BC339" s="1462"/>
      <c r="BD339" s="1462"/>
      <c r="BE339" s="1462"/>
      <c r="BF339" s="1462"/>
      <c r="BG339" s="1462"/>
      <c r="BH339" s="1462"/>
      <c r="BI339" s="1462"/>
      <c r="BJ339" s="1462"/>
      <c r="BK339" s="1462"/>
      <c r="BL339" s="1462"/>
      <c r="BM339" s="1462"/>
      <c r="BN339" s="1462"/>
      <c r="BO339" s="1462"/>
      <c r="BP339" s="1462"/>
      <c r="BQ339" s="1462"/>
      <c r="BR339" s="1462"/>
      <c r="BS339" s="1462"/>
      <c r="BT339" s="1462"/>
      <c r="BU339" s="1462"/>
      <c r="BV339" s="1462"/>
      <c r="BW339" s="1462"/>
      <c r="BX339" s="1462"/>
      <c r="BY339" s="1462"/>
      <c r="BZ339" s="1462"/>
      <c r="CA339" s="1462"/>
      <c r="CB339" s="1462"/>
      <c r="CC339" s="1462"/>
      <c r="CD339" s="1462"/>
      <c r="CE339" s="1462"/>
      <c r="CF339" s="1462"/>
      <c r="CG339" s="1462"/>
      <c r="CH339" s="1462"/>
      <c r="CI339" s="1462"/>
      <c r="CJ339" s="1462"/>
      <c r="CK339" s="1462"/>
      <c r="CL339" s="1462"/>
      <c r="CM339" s="1462"/>
      <c r="CN339" s="1462"/>
      <c r="CO339" s="1462"/>
      <c r="CP339" s="18"/>
      <c r="CQ339" s="16" t="s">
        <v>95</v>
      </c>
      <c r="CR339" s="244">
        <f>VLOOKUP(CQ339,인건비!A:B,2,FALSE)</f>
        <v>240042</v>
      </c>
    </row>
    <row r="340" spans="1:96" s="16" customFormat="1" ht="18" customHeight="1">
      <c r="A340" s="17"/>
      <c r="E340" s="16" t="s">
        <v>329</v>
      </c>
      <c r="U340" s="1463">
        <v>10.9</v>
      </c>
      <c r="V340" s="1473"/>
      <c r="W340" s="1473"/>
      <c r="X340" s="1473"/>
      <c r="Y340" s="1473"/>
      <c r="Z340" s="16" t="s">
        <v>266</v>
      </c>
      <c r="AE340" s="1464" t="e">
        <f>CR340</f>
        <v>#REF!</v>
      </c>
      <c r="AF340" s="1473"/>
      <c r="AG340" s="1473"/>
      <c r="AH340" s="1473"/>
      <c r="AI340" s="1473"/>
      <c r="AJ340" s="1473"/>
      <c r="AK340" s="1473"/>
      <c r="AL340" s="1473"/>
      <c r="AM340" s="16" t="s">
        <v>286</v>
      </c>
      <c r="AT340" s="1465" t="e">
        <f>INT(U340*AE340)</f>
        <v>#REF!</v>
      </c>
      <c r="AU340" s="1473"/>
      <c r="AV340" s="1473"/>
      <c r="AW340" s="1473"/>
      <c r="AX340" s="1473"/>
      <c r="AY340" s="1473"/>
      <c r="AZ340" s="1473"/>
      <c r="BA340" s="1473"/>
      <c r="BB340" s="16" t="s">
        <v>287</v>
      </c>
      <c r="CP340" s="18"/>
      <c r="CQ340" s="16" t="s">
        <v>267</v>
      </c>
      <c r="CR340" s="245" t="e">
        <f>#REF!</f>
        <v>#REF!</v>
      </c>
    </row>
    <row r="341" spans="1:96" s="16" customFormat="1" ht="18" customHeight="1" thickBot="1">
      <c r="A341" s="17"/>
      <c r="E341" s="16" t="s">
        <v>288</v>
      </c>
      <c r="U341" s="16" t="s">
        <v>289</v>
      </c>
      <c r="AE341" s="1466">
        <v>25</v>
      </c>
      <c r="AF341" s="1474"/>
      <c r="AG341" s="1474"/>
      <c r="AH341" s="1474"/>
      <c r="AI341" s="1474"/>
      <c r="AJ341" s="1474"/>
      <c r="AK341" s="1474"/>
      <c r="AL341" s="1474"/>
      <c r="AM341" s="16" t="s">
        <v>290</v>
      </c>
      <c r="AT341" s="1458" t="e">
        <f>INT(AT340*AE341/100)</f>
        <v>#REF!</v>
      </c>
      <c r="AU341" s="1458"/>
      <c r="AV341" s="1458"/>
      <c r="AW341" s="1458"/>
      <c r="AX341" s="1458"/>
      <c r="AY341" s="1458"/>
      <c r="AZ341" s="1458"/>
      <c r="BA341" s="1458"/>
      <c r="BB341" s="16" t="s">
        <v>287</v>
      </c>
      <c r="CP341" s="18"/>
      <c r="CQ341" s="16" t="s">
        <v>268</v>
      </c>
      <c r="CR341" s="245" t="e">
        <f>#REF!</f>
        <v>#REF!</v>
      </c>
    </row>
    <row r="342" spans="1:96" s="16" customFormat="1" ht="18" customHeight="1" thickTop="1">
      <c r="A342" s="17"/>
      <c r="D342" s="33"/>
      <c r="E342" s="34" t="s">
        <v>291</v>
      </c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3"/>
      <c r="T342" s="33"/>
      <c r="U342" s="33"/>
      <c r="V342" s="33"/>
      <c r="W342" s="33"/>
      <c r="X342" s="33"/>
      <c r="Y342" s="33"/>
      <c r="Z342" s="33"/>
      <c r="AA342" s="33"/>
      <c r="AB342" s="33"/>
      <c r="AC342" s="33"/>
      <c r="AD342" s="33"/>
      <c r="AE342" s="33"/>
      <c r="AF342" s="33"/>
      <c r="AG342" s="33"/>
      <c r="AH342" s="33"/>
      <c r="AI342" s="33"/>
      <c r="AJ342" s="33"/>
      <c r="AK342" s="33"/>
      <c r="AL342" s="33"/>
      <c r="AM342" s="33"/>
      <c r="AN342" s="33"/>
      <c r="AO342" s="33"/>
      <c r="AP342" s="33"/>
      <c r="AQ342" s="33"/>
      <c r="AR342" s="33"/>
      <c r="AS342" s="33"/>
      <c r="AT342" s="1459" t="e">
        <f>INT(SUM(AT340+AT341))</f>
        <v>#REF!</v>
      </c>
      <c r="AU342" s="1472"/>
      <c r="AV342" s="1472"/>
      <c r="AW342" s="1472"/>
      <c r="AX342" s="1472"/>
      <c r="AY342" s="1472"/>
      <c r="AZ342" s="1472"/>
      <c r="BA342" s="1472"/>
      <c r="BB342" s="33" t="s">
        <v>287</v>
      </c>
      <c r="BC342" s="33"/>
      <c r="BD342" s="33"/>
      <c r="BE342" s="33"/>
      <c r="BF342" s="33"/>
      <c r="BG342" s="33"/>
      <c r="BH342" s="33"/>
      <c r="BI342" s="33"/>
      <c r="BJ342" s="33"/>
      <c r="BK342" s="33"/>
      <c r="BL342" s="33"/>
      <c r="BM342" s="33"/>
      <c r="BN342" s="33"/>
      <c r="BO342" s="33"/>
      <c r="BP342" s="33"/>
      <c r="BQ342" s="33"/>
      <c r="BR342" s="33"/>
      <c r="BS342" s="33"/>
      <c r="BT342" s="33"/>
      <c r="BU342" s="33"/>
      <c r="BV342" s="33"/>
      <c r="BW342" s="33"/>
      <c r="BX342" s="33"/>
      <c r="BY342" s="33"/>
      <c r="BZ342" s="33"/>
      <c r="CA342" s="33"/>
      <c r="CB342" s="33"/>
      <c r="CC342" s="33"/>
      <c r="CD342" s="33"/>
      <c r="CE342" s="33"/>
      <c r="CF342" s="33"/>
      <c r="CG342" s="33"/>
      <c r="CH342" s="33"/>
      <c r="CI342" s="33"/>
      <c r="CP342" s="18"/>
      <c r="CQ342" s="665" t="s">
        <v>836</v>
      </c>
      <c r="CR342" s="666" t="s">
        <v>657</v>
      </c>
    </row>
    <row r="343" spans="1:96" s="16" customFormat="1" ht="18" customHeight="1">
      <c r="A343" s="17"/>
      <c r="CP343" s="18"/>
      <c r="CQ343" s="665" t="s">
        <v>767</v>
      </c>
      <c r="CR343" s="666" t="s">
        <v>659</v>
      </c>
    </row>
    <row r="344" spans="1:96" s="16" customFormat="1" ht="18" customHeight="1">
      <c r="A344" s="17"/>
      <c r="D344" s="1461" t="s">
        <v>719</v>
      </c>
      <c r="E344" s="1462"/>
      <c r="F344" s="1462"/>
      <c r="G344" s="1462"/>
      <c r="H344" s="1462"/>
      <c r="I344" s="1462"/>
      <c r="J344" s="1462"/>
      <c r="K344" s="1462"/>
      <c r="L344" s="1462"/>
      <c r="M344" s="1462"/>
      <c r="N344" s="1462"/>
      <c r="O344" s="1462"/>
      <c r="P344" s="1462"/>
      <c r="Q344" s="1462"/>
      <c r="R344" s="1462"/>
      <c r="S344" s="1462"/>
      <c r="T344" s="1462"/>
      <c r="U344" s="1462"/>
      <c r="V344" s="1462"/>
      <c r="W344" s="1462"/>
      <c r="X344" s="1462"/>
      <c r="Y344" s="1462"/>
      <c r="Z344" s="1462"/>
      <c r="AA344" s="1462"/>
      <c r="AB344" s="1462"/>
      <c r="AC344" s="1462"/>
      <c r="AD344" s="1462"/>
      <c r="AE344" s="1462"/>
      <c r="AF344" s="1462"/>
      <c r="AG344" s="1462"/>
      <c r="AH344" s="1462"/>
      <c r="AI344" s="1462"/>
      <c r="AJ344" s="1462"/>
      <c r="AK344" s="1462"/>
      <c r="AL344" s="1462"/>
      <c r="AM344" s="1462"/>
      <c r="AN344" s="1462"/>
      <c r="AO344" s="1462"/>
      <c r="AP344" s="1462"/>
      <c r="AQ344" s="1462"/>
      <c r="AR344" s="1462"/>
      <c r="AS344" s="1462"/>
      <c r="AT344" s="1462"/>
      <c r="AU344" s="1462"/>
      <c r="AV344" s="1462"/>
      <c r="AW344" s="1462"/>
      <c r="AX344" s="1462"/>
      <c r="AY344" s="1462"/>
      <c r="AZ344" s="1462"/>
      <c r="BA344" s="1462"/>
      <c r="BB344" s="1462"/>
      <c r="BC344" s="1462"/>
      <c r="BD344" s="1462"/>
      <c r="BE344" s="1462"/>
      <c r="BF344" s="1462"/>
      <c r="BG344" s="1462"/>
      <c r="BH344" s="1462"/>
      <c r="BI344" s="1462"/>
      <c r="BJ344" s="1462"/>
      <c r="BK344" s="1462"/>
      <c r="BL344" s="1462"/>
      <c r="BM344" s="1462"/>
      <c r="BN344" s="1462"/>
      <c r="BO344" s="1462"/>
      <c r="BP344" s="1462"/>
      <c r="BQ344" s="1462"/>
      <c r="BR344" s="1462"/>
      <c r="BS344" s="1462"/>
      <c r="BT344" s="1462"/>
      <c r="BU344" s="1462"/>
      <c r="BV344" s="1462"/>
      <c r="BW344" s="1462"/>
      <c r="BX344" s="1462"/>
      <c r="BY344" s="1462"/>
      <c r="BZ344" s="1462"/>
      <c r="CA344" s="1462"/>
      <c r="CB344" s="1462"/>
      <c r="CC344" s="1462"/>
      <c r="CD344" s="1462"/>
      <c r="CE344" s="1462"/>
      <c r="CF344" s="1462"/>
      <c r="CG344" s="1462"/>
      <c r="CH344" s="1462"/>
      <c r="CI344" s="1462"/>
      <c r="CJ344" s="1462"/>
      <c r="CK344" s="1462"/>
      <c r="CL344" s="1462"/>
      <c r="CM344" s="1462"/>
      <c r="CN344" s="1462"/>
      <c r="CO344" s="1462"/>
      <c r="CP344" s="18"/>
      <c r="CR344" s="243"/>
    </row>
    <row r="345" spans="1:96" s="16" customFormat="1" ht="18" customHeight="1" thickBot="1">
      <c r="A345" s="17"/>
      <c r="E345" s="16" t="s">
        <v>330</v>
      </c>
      <c r="AA345" s="1456">
        <v>2569</v>
      </c>
      <c r="AB345" s="1456"/>
      <c r="AC345" s="1456"/>
      <c r="AD345" s="1456"/>
      <c r="AE345" s="1456"/>
      <c r="AF345" s="1456"/>
      <c r="AG345" s="1456"/>
      <c r="AH345" s="1456"/>
      <c r="AI345" s="29" t="s">
        <v>293</v>
      </c>
      <c r="AJ345" s="29"/>
      <c r="AK345" s="1457">
        <v>10000000</v>
      </c>
      <c r="AL345" s="1475"/>
      <c r="AM345" s="1475"/>
      <c r="AN345" s="1475"/>
      <c r="AO345" s="1475"/>
      <c r="AP345" s="1475"/>
      <c r="AQ345" s="1475"/>
      <c r="AR345" s="1475"/>
      <c r="AS345" s="1475"/>
      <c r="AT345" s="1475"/>
      <c r="AU345" s="1475"/>
      <c r="AV345" s="29" t="s">
        <v>294</v>
      </c>
      <c r="AW345" s="29"/>
      <c r="AX345" s="1458">
        <f>BW332</f>
        <v>58650</v>
      </c>
      <c r="AY345" s="1474"/>
      <c r="AZ345" s="1474"/>
      <c r="BA345" s="1474"/>
      <c r="BB345" s="1474"/>
      <c r="BC345" s="1474"/>
      <c r="BD345" s="1474"/>
      <c r="BE345" s="1474"/>
      <c r="BF345" s="1474"/>
      <c r="BG345" s="16" t="s">
        <v>295</v>
      </c>
      <c r="BN345" s="1458">
        <f>INT(AA345/AK345*AX345*1000)</f>
        <v>15067</v>
      </c>
      <c r="BO345" s="1458"/>
      <c r="BP345" s="1458"/>
      <c r="BQ345" s="1458"/>
      <c r="BR345" s="1458"/>
      <c r="BS345" s="1458"/>
      <c r="BT345" s="1458"/>
      <c r="BU345" s="1458"/>
      <c r="BV345" s="16" t="s">
        <v>287</v>
      </c>
      <c r="CP345" s="18"/>
      <c r="CR345" s="243"/>
    </row>
    <row r="346" spans="1:96" s="16" customFormat="1" ht="18" customHeight="1" thickTop="1">
      <c r="A346" s="17"/>
      <c r="D346" s="33"/>
      <c r="E346" s="34" t="s">
        <v>291</v>
      </c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3"/>
      <c r="T346" s="33"/>
      <c r="U346" s="33"/>
      <c r="V346" s="33"/>
      <c r="W346" s="33"/>
      <c r="X346" s="33"/>
      <c r="Y346" s="33"/>
      <c r="Z346" s="33"/>
      <c r="AA346" s="33"/>
      <c r="AB346" s="33"/>
      <c r="AC346" s="33"/>
      <c r="AD346" s="33"/>
      <c r="AE346" s="33"/>
      <c r="AF346" s="33"/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  <c r="AQ346" s="33"/>
      <c r="AR346" s="33"/>
      <c r="AS346" s="33"/>
      <c r="AT346" s="33"/>
      <c r="AU346" s="33"/>
      <c r="AV346" s="33"/>
      <c r="AW346" s="33"/>
      <c r="AX346" s="33"/>
      <c r="AY346" s="33"/>
      <c r="AZ346" s="33"/>
      <c r="BA346" s="33"/>
      <c r="BB346" s="33"/>
      <c r="BC346" s="33"/>
      <c r="BD346" s="33"/>
      <c r="BE346" s="33"/>
      <c r="BF346" s="33"/>
      <c r="BG346" s="33"/>
      <c r="BH346" s="33"/>
      <c r="BI346" s="33"/>
      <c r="BJ346" s="33"/>
      <c r="BK346" s="33"/>
      <c r="BL346" s="33"/>
      <c r="BM346" s="33"/>
      <c r="BN346" s="1459">
        <f>SUM(BN345)</f>
        <v>15067</v>
      </c>
      <c r="BO346" s="1472"/>
      <c r="BP346" s="1472"/>
      <c r="BQ346" s="1472"/>
      <c r="BR346" s="1472"/>
      <c r="BS346" s="1472"/>
      <c r="BT346" s="1472"/>
      <c r="BU346" s="1472"/>
      <c r="BV346" s="33" t="s">
        <v>287</v>
      </c>
      <c r="BW346" s="33"/>
      <c r="BX346" s="33"/>
      <c r="BY346" s="33"/>
      <c r="BZ346" s="33"/>
      <c r="CA346" s="33"/>
      <c r="CB346" s="33"/>
      <c r="CC346" s="33"/>
      <c r="CD346" s="33"/>
      <c r="CE346" s="33"/>
      <c r="CF346" s="33"/>
      <c r="CG346" s="33"/>
      <c r="CH346" s="33"/>
      <c r="CI346" s="33"/>
      <c r="CP346" s="18"/>
      <c r="CR346" s="243"/>
    </row>
    <row r="347" spans="1:96" s="16" customFormat="1" ht="18" customHeight="1">
      <c r="A347" s="17"/>
      <c r="CP347" s="18"/>
      <c r="CR347" s="243"/>
    </row>
    <row r="348" spans="1:96" s="16" customFormat="1" ht="18" customHeight="1">
      <c r="A348" s="17"/>
      <c r="E348" s="16" t="s">
        <v>296</v>
      </c>
      <c r="O348" s="1460">
        <f>BU336</f>
        <v>59025</v>
      </c>
      <c r="P348" s="1473"/>
      <c r="Q348" s="1473"/>
      <c r="R348" s="1473"/>
      <c r="S348" s="1473"/>
      <c r="T348" s="1473"/>
      <c r="U348" s="1473"/>
      <c r="V348" s="1473"/>
      <c r="W348" s="1473"/>
      <c r="X348" s="1473"/>
      <c r="Y348" s="29" t="s">
        <v>297</v>
      </c>
      <c r="Z348" s="29"/>
      <c r="AA348" s="1460" t="e">
        <f>AT342</f>
        <v>#REF!</v>
      </c>
      <c r="AB348" s="1473"/>
      <c r="AC348" s="1473"/>
      <c r="AD348" s="1473"/>
      <c r="AE348" s="1473"/>
      <c r="AF348" s="1473"/>
      <c r="AG348" s="1473"/>
      <c r="AH348" s="1473"/>
      <c r="AI348" s="1473"/>
      <c r="AJ348" s="1473"/>
      <c r="AK348" s="29" t="s">
        <v>297</v>
      </c>
      <c r="AL348" s="29"/>
      <c r="AM348" s="1460">
        <f>BN346</f>
        <v>15067</v>
      </c>
      <c r="AN348" s="1473"/>
      <c r="AO348" s="1473"/>
      <c r="AP348" s="1473"/>
      <c r="AQ348" s="1473"/>
      <c r="AR348" s="1473"/>
      <c r="AS348" s="1473"/>
      <c r="AT348" s="1473"/>
      <c r="AU348" s="1473"/>
      <c r="AV348" s="1473"/>
      <c r="AW348" s="31" t="s">
        <v>298</v>
      </c>
      <c r="AX348" s="29"/>
      <c r="AY348" s="1460" t="e">
        <f>O348+AA348+AM348</f>
        <v>#REF!</v>
      </c>
      <c r="AZ348" s="1473"/>
      <c r="BA348" s="1473"/>
      <c r="BB348" s="1473"/>
      <c r="BC348" s="1473"/>
      <c r="BD348" s="1473"/>
      <c r="BE348" s="1473"/>
      <c r="BF348" s="1473"/>
      <c r="BG348" s="1473"/>
      <c r="BH348" s="1473"/>
      <c r="BI348" s="16" t="s">
        <v>287</v>
      </c>
      <c r="CP348" s="18"/>
      <c r="CR348" s="243"/>
    </row>
    <row r="349" spans="1:96" s="16" customFormat="1" ht="18" customHeight="1">
      <c r="A349" s="17"/>
      <c r="O349" s="35"/>
      <c r="P349" s="36"/>
      <c r="Q349" s="36"/>
      <c r="R349" s="36"/>
      <c r="S349" s="36"/>
      <c r="T349" s="36"/>
      <c r="U349" s="36"/>
      <c r="V349" s="36"/>
      <c r="W349" s="36"/>
      <c r="X349" s="36"/>
      <c r="Y349" s="29"/>
      <c r="Z349" s="29"/>
      <c r="AA349" s="35"/>
      <c r="AB349" s="36"/>
      <c r="AC349" s="36"/>
      <c r="AD349" s="36"/>
      <c r="AE349" s="36"/>
      <c r="AF349" s="36"/>
      <c r="AG349" s="36"/>
      <c r="AH349" s="36"/>
      <c r="AI349" s="36"/>
      <c r="AJ349" s="36"/>
      <c r="AK349" s="29"/>
      <c r="AL349" s="29"/>
      <c r="AM349" s="35"/>
      <c r="AN349" s="36"/>
      <c r="AO349" s="36"/>
      <c r="AP349" s="36"/>
      <c r="AQ349" s="36"/>
      <c r="AR349" s="36"/>
      <c r="AS349" s="36"/>
      <c r="AT349" s="36"/>
      <c r="AU349" s="36"/>
      <c r="AV349" s="36"/>
      <c r="AW349" s="31"/>
      <c r="AX349" s="29"/>
      <c r="AY349" s="35"/>
      <c r="AZ349" s="36"/>
      <c r="BA349" s="36"/>
      <c r="BB349" s="36"/>
      <c r="BC349" s="36"/>
      <c r="BD349" s="36"/>
      <c r="BE349" s="36"/>
      <c r="BF349" s="36"/>
      <c r="BG349" s="36"/>
      <c r="BH349" s="36"/>
      <c r="CP349" s="18"/>
      <c r="CR349" s="243"/>
    </row>
    <row r="350" spans="1:96" s="16" customFormat="1" ht="18" customHeight="1">
      <c r="A350" s="17"/>
      <c r="O350" s="35"/>
      <c r="P350" s="36"/>
      <c r="Q350" s="36"/>
      <c r="R350" s="36"/>
      <c r="S350" s="36"/>
      <c r="T350" s="36"/>
      <c r="U350" s="36"/>
      <c r="V350" s="36"/>
      <c r="W350" s="36"/>
      <c r="X350" s="36"/>
      <c r="Y350" s="29"/>
      <c r="Z350" s="29"/>
      <c r="AA350" s="35"/>
      <c r="AB350" s="36"/>
      <c r="AC350" s="36"/>
      <c r="AD350" s="36"/>
      <c r="AE350" s="36"/>
      <c r="AF350" s="36"/>
      <c r="AG350" s="36"/>
      <c r="AH350" s="36"/>
      <c r="AI350" s="36"/>
      <c r="AJ350" s="36"/>
      <c r="AK350" s="29"/>
      <c r="AL350" s="29"/>
      <c r="AM350" s="35"/>
      <c r="AN350" s="36"/>
      <c r="AO350" s="36"/>
      <c r="AP350" s="36"/>
      <c r="AQ350" s="36"/>
      <c r="AR350" s="36"/>
      <c r="AS350" s="36"/>
      <c r="AT350" s="36"/>
      <c r="AU350" s="36"/>
      <c r="AV350" s="36"/>
      <c r="AW350" s="31"/>
      <c r="AX350" s="29"/>
      <c r="AY350" s="35"/>
      <c r="AZ350" s="36"/>
      <c r="BA350" s="36"/>
      <c r="BB350" s="36"/>
      <c r="BC350" s="36"/>
      <c r="BD350" s="36"/>
      <c r="BE350" s="36"/>
      <c r="BF350" s="36"/>
      <c r="BG350" s="36"/>
      <c r="BH350" s="36"/>
      <c r="CP350" s="18"/>
      <c r="CR350" s="243"/>
    </row>
    <row r="351" spans="1:96" s="16" customFormat="1" ht="18" customHeight="1">
      <c r="A351" s="17"/>
      <c r="O351" s="35"/>
      <c r="P351" s="36"/>
      <c r="Q351" s="36"/>
      <c r="R351" s="36"/>
      <c r="S351" s="36"/>
      <c r="T351" s="36"/>
      <c r="U351" s="36"/>
      <c r="V351" s="36"/>
      <c r="W351" s="36"/>
      <c r="X351" s="36"/>
      <c r="Y351" s="29"/>
      <c r="Z351" s="29"/>
      <c r="AA351" s="35"/>
      <c r="AB351" s="36"/>
      <c r="AC351" s="36"/>
      <c r="AD351" s="36"/>
      <c r="AE351" s="36"/>
      <c r="AF351" s="36"/>
      <c r="AG351" s="36"/>
      <c r="AH351" s="36"/>
      <c r="AI351" s="36"/>
      <c r="AJ351" s="36"/>
      <c r="AK351" s="29"/>
      <c r="AL351" s="29"/>
      <c r="AM351" s="35"/>
      <c r="AN351" s="36"/>
      <c r="AO351" s="36"/>
      <c r="AP351" s="36"/>
      <c r="AQ351" s="36"/>
      <c r="AR351" s="36"/>
      <c r="AS351" s="36"/>
      <c r="AT351" s="36"/>
      <c r="AU351" s="36"/>
      <c r="AV351" s="36"/>
      <c r="AW351" s="31"/>
      <c r="AX351" s="29"/>
      <c r="AY351" s="35"/>
      <c r="AZ351" s="36"/>
      <c r="BA351" s="36"/>
      <c r="BB351" s="36"/>
      <c r="BC351" s="36"/>
      <c r="BD351" s="36"/>
      <c r="BE351" s="36"/>
      <c r="BF351" s="36"/>
      <c r="BG351" s="36"/>
      <c r="BH351" s="36"/>
      <c r="CP351" s="18"/>
      <c r="CR351" s="243"/>
    </row>
    <row r="352" spans="1:96" s="16" customFormat="1" ht="18" customHeight="1">
      <c r="A352" s="17"/>
      <c r="O352" s="35"/>
      <c r="P352" s="36"/>
      <c r="Q352" s="36"/>
      <c r="R352" s="36"/>
      <c r="S352" s="36"/>
      <c r="T352" s="36"/>
      <c r="U352" s="36"/>
      <c r="V352" s="36"/>
      <c r="W352" s="36"/>
      <c r="X352" s="36"/>
      <c r="Y352" s="29"/>
      <c r="Z352" s="29"/>
      <c r="AA352" s="35"/>
      <c r="AB352" s="36"/>
      <c r="AC352" s="36"/>
      <c r="AD352" s="36"/>
      <c r="AE352" s="36"/>
      <c r="AF352" s="36"/>
      <c r="AG352" s="36"/>
      <c r="AH352" s="36"/>
      <c r="AI352" s="36"/>
      <c r="AJ352" s="36"/>
      <c r="AK352" s="29"/>
      <c r="AL352" s="29"/>
      <c r="AM352" s="35"/>
      <c r="AN352" s="36"/>
      <c r="AO352" s="36"/>
      <c r="AP352" s="36"/>
      <c r="AQ352" s="36"/>
      <c r="AR352" s="36"/>
      <c r="AS352" s="36"/>
      <c r="AT352" s="36"/>
      <c r="AU352" s="36"/>
      <c r="AV352" s="36"/>
      <c r="AW352" s="31"/>
      <c r="AX352" s="29"/>
      <c r="AY352" s="35"/>
      <c r="AZ352" s="36"/>
      <c r="BA352" s="36"/>
      <c r="BB352" s="36"/>
      <c r="BC352" s="36"/>
      <c r="BD352" s="36"/>
      <c r="BE352" s="36"/>
      <c r="BF352" s="36"/>
      <c r="BG352" s="36"/>
      <c r="BH352" s="36"/>
      <c r="CP352" s="18"/>
      <c r="CR352" s="243"/>
    </row>
    <row r="353" spans="1:97" s="16" customFormat="1" ht="18" customHeight="1">
      <c r="A353" s="17"/>
      <c r="O353" s="35"/>
      <c r="P353" s="36"/>
      <c r="Q353" s="36"/>
      <c r="R353" s="36"/>
      <c r="S353" s="36"/>
      <c r="T353" s="36"/>
      <c r="U353" s="36"/>
      <c r="V353" s="36"/>
      <c r="W353" s="36"/>
      <c r="X353" s="36"/>
      <c r="Y353" s="29"/>
      <c r="Z353" s="29"/>
      <c r="AA353" s="35"/>
      <c r="AB353" s="36"/>
      <c r="AC353" s="36"/>
      <c r="AD353" s="36"/>
      <c r="AE353" s="36"/>
      <c r="AF353" s="36"/>
      <c r="AG353" s="36"/>
      <c r="AH353" s="36"/>
      <c r="AI353" s="36"/>
      <c r="AJ353" s="36"/>
      <c r="AK353" s="29"/>
      <c r="AL353" s="29"/>
      <c r="AM353" s="35"/>
      <c r="AN353" s="36"/>
      <c r="AO353" s="36"/>
      <c r="AP353" s="36"/>
      <c r="AQ353" s="36"/>
      <c r="AR353" s="36"/>
      <c r="AS353" s="36"/>
      <c r="AT353" s="36"/>
      <c r="AU353" s="36"/>
      <c r="AV353" s="36"/>
      <c r="AW353" s="31"/>
      <c r="AX353" s="29"/>
      <c r="AY353" s="35"/>
      <c r="AZ353" s="36"/>
      <c r="BA353" s="36"/>
      <c r="BB353" s="36"/>
      <c r="BC353" s="36"/>
      <c r="BD353" s="36"/>
      <c r="BE353" s="36"/>
      <c r="BF353" s="36"/>
      <c r="BG353" s="36"/>
      <c r="BH353" s="36"/>
      <c r="CP353" s="18"/>
      <c r="CR353" s="243"/>
    </row>
    <row r="354" spans="1:97" s="16" customFormat="1" ht="18" customHeight="1">
      <c r="A354" s="17"/>
      <c r="O354" s="35"/>
      <c r="P354" s="36"/>
      <c r="Q354" s="36"/>
      <c r="R354" s="36"/>
      <c r="S354" s="36"/>
      <c r="T354" s="36"/>
      <c r="U354" s="36"/>
      <c r="V354" s="36"/>
      <c r="W354" s="36"/>
      <c r="X354" s="36"/>
      <c r="Y354" s="29"/>
      <c r="Z354" s="29"/>
      <c r="AA354" s="35"/>
      <c r="AB354" s="36"/>
      <c r="AC354" s="36"/>
      <c r="AD354" s="36"/>
      <c r="AE354" s="36"/>
      <c r="AF354" s="36"/>
      <c r="AG354" s="36"/>
      <c r="AH354" s="36"/>
      <c r="AI354" s="36"/>
      <c r="AJ354" s="36"/>
      <c r="AK354" s="29"/>
      <c r="AL354" s="29"/>
      <c r="AM354" s="35"/>
      <c r="AN354" s="36"/>
      <c r="AO354" s="36"/>
      <c r="AP354" s="36"/>
      <c r="AQ354" s="36"/>
      <c r="AR354" s="36"/>
      <c r="AS354" s="36"/>
      <c r="AT354" s="36"/>
      <c r="AU354" s="36"/>
      <c r="AV354" s="36"/>
      <c r="AW354" s="31"/>
      <c r="AX354" s="29"/>
      <c r="AY354" s="35"/>
      <c r="AZ354" s="36"/>
      <c r="BA354" s="36"/>
      <c r="BB354" s="36"/>
      <c r="BC354" s="36"/>
      <c r="BD354" s="36"/>
      <c r="BE354" s="36"/>
      <c r="BF354" s="36"/>
      <c r="BG354" s="36"/>
      <c r="BH354" s="36"/>
      <c r="CP354" s="18"/>
      <c r="CR354" s="243"/>
    </row>
    <row r="355" spans="1:97" s="16" customFormat="1" ht="18" customHeight="1">
      <c r="A355" s="17"/>
      <c r="O355" s="35"/>
      <c r="P355" s="36"/>
      <c r="Q355" s="36"/>
      <c r="R355" s="36"/>
      <c r="S355" s="36"/>
      <c r="T355" s="36"/>
      <c r="U355" s="36"/>
      <c r="V355" s="36"/>
      <c r="W355" s="36"/>
      <c r="X355" s="36"/>
      <c r="Y355" s="29"/>
      <c r="Z355" s="29"/>
      <c r="AA355" s="35"/>
      <c r="AB355" s="36"/>
      <c r="AC355" s="36"/>
      <c r="AD355" s="36"/>
      <c r="AE355" s="36"/>
      <c r="AF355" s="36"/>
      <c r="AG355" s="36"/>
      <c r="AH355" s="36"/>
      <c r="AI355" s="36"/>
      <c r="AJ355" s="36"/>
      <c r="AK355" s="29"/>
      <c r="AL355" s="29"/>
      <c r="AM355" s="35"/>
      <c r="AN355" s="36"/>
      <c r="AO355" s="36"/>
      <c r="AP355" s="36"/>
      <c r="AQ355" s="36"/>
      <c r="AR355" s="36"/>
      <c r="AS355" s="36"/>
      <c r="AT355" s="36"/>
      <c r="AU355" s="36"/>
      <c r="AV355" s="36"/>
      <c r="AW355" s="31"/>
      <c r="AX355" s="29"/>
      <c r="AY355" s="35"/>
      <c r="AZ355" s="36"/>
      <c r="BA355" s="36"/>
      <c r="BB355" s="36"/>
      <c r="BC355" s="36"/>
      <c r="BD355" s="36"/>
      <c r="BE355" s="36"/>
      <c r="BF355" s="36"/>
      <c r="BG355" s="36"/>
      <c r="BH355" s="36"/>
      <c r="CP355" s="18"/>
      <c r="CR355" s="243"/>
    </row>
    <row r="356" spans="1:97" s="16" customFormat="1" ht="18" customHeight="1">
      <c r="A356" s="17"/>
      <c r="O356" s="35"/>
      <c r="P356" s="36"/>
      <c r="Q356" s="36"/>
      <c r="R356" s="36"/>
      <c r="S356" s="36"/>
      <c r="T356" s="36"/>
      <c r="U356" s="36"/>
      <c r="V356" s="36"/>
      <c r="W356" s="36"/>
      <c r="X356" s="36"/>
      <c r="Y356" s="29"/>
      <c r="Z356" s="29"/>
      <c r="AA356" s="35"/>
      <c r="AB356" s="36"/>
      <c r="AC356" s="36"/>
      <c r="AD356" s="36"/>
      <c r="AE356" s="36"/>
      <c r="AF356" s="36"/>
      <c r="AG356" s="36"/>
      <c r="AH356" s="36"/>
      <c r="AI356" s="36"/>
      <c r="AJ356" s="36"/>
      <c r="AK356" s="29"/>
      <c r="AL356" s="29"/>
      <c r="AM356" s="35"/>
      <c r="AN356" s="36"/>
      <c r="AO356" s="36"/>
      <c r="AP356" s="36"/>
      <c r="AQ356" s="36"/>
      <c r="AR356" s="36"/>
      <c r="AS356" s="36"/>
      <c r="AT356" s="36"/>
      <c r="AU356" s="36"/>
      <c r="AV356" s="36"/>
      <c r="AW356" s="31"/>
      <c r="AX356" s="29"/>
      <c r="AY356" s="35"/>
      <c r="AZ356" s="36"/>
      <c r="BA356" s="36"/>
      <c r="BB356" s="36"/>
      <c r="BC356" s="36"/>
      <c r="BD356" s="36"/>
      <c r="BE356" s="36"/>
      <c r="BF356" s="36"/>
      <c r="BG356" s="36"/>
      <c r="BH356" s="36"/>
      <c r="CP356" s="18"/>
      <c r="CR356" s="243"/>
    </row>
    <row r="357" spans="1:97" s="16" customFormat="1" ht="18" customHeight="1">
      <c r="A357" s="37"/>
      <c r="B357" s="38"/>
      <c r="C357" s="38"/>
      <c r="D357" s="38"/>
      <c r="E357" s="38"/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  <c r="R357" s="38"/>
      <c r="S357" s="38"/>
      <c r="T357" s="38"/>
      <c r="U357" s="38"/>
      <c r="V357" s="38"/>
      <c r="W357" s="38"/>
      <c r="X357" s="38"/>
      <c r="Y357" s="38"/>
      <c r="Z357" s="38"/>
      <c r="AA357" s="38"/>
      <c r="AB357" s="38"/>
      <c r="AC357" s="38"/>
      <c r="AD357" s="38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8"/>
      <c r="AU357" s="38"/>
      <c r="AV357" s="38"/>
      <c r="AW357" s="38"/>
      <c r="AX357" s="38"/>
      <c r="AY357" s="38"/>
      <c r="AZ357" s="38"/>
      <c r="BA357" s="38"/>
      <c r="BB357" s="38"/>
      <c r="BC357" s="38"/>
      <c r="BD357" s="38"/>
      <c r="BE357" s="38"/>
      <c r="BF357" s="38"/>
      <c r="BG357" s="38"/>
      <c r="BH357" s="38"/>
      <c r="BI357" s="38"/>
      <c r="BJ357" s="38"/>
      <c r="BK357" s="38"/>
      <c r="BL357" s="38"/>
      <c r="BM357" s="38"/>
      <c r="BN357" s="38"/>
      <c r="BO357" s="38"/>
      <c r="BP357" s="38"/>
      <c r="BQ357" s="38"/>
      <c r="BR357" s="38"/>
      <c r="BS357" s="38"/>
      <c r="BT357" s="38"/>
      <c r="BU357" s="38"/>
      <c r="BV357" s="38"/>
      <c r="BW357" s="38"/>
      <c r="BX357" s="38"/>
      <c r="BY357" s="38"/>
      <c r="BZ357" s="38"/>
      <c r="CA357" s="38"/>
      <c r="CB357" s="38"/>
      <c r="CC357" s="38"/>
      <c r="CD357" s="38"/>
      <c r="CE357" s="38"/>
      <c r="CF357" s="38"/>
      <c r="CG357" s="38"/>
      <c r="CH357" s="38"/>
      <c r="CI357" s="38"/>
      <c r="CJ357" s="38"/>
      <c r="CK357" s="38"/>
      <c r="CL357" s="38"/>
      <c r="CM357" s="38"/>
      <c r="CN357" s="38"/>
      <c r="CO357" s="38"/>
      <c r="CP357" s="39"/>
      <c r="CR357" s="243"/>
    </row>
    <row r="358" spans="1:97" s="16" customFormat="1" ht="30.75" customHeight="1">
      <c r="A358" s="1467" t="s">
        <v>668</v>
      </c>
      <c r="B358" s="1468"/>
      <c r="C358" s="1468"/>
      <c r="D358" s="1468"/>
      <c r="E358" s="1468"/>
      <c r="F358" s="1468"/>
      <c r="G358" s="1468"/>
      <c r="H358" s="1468"/>
      <c r="I358" s="1468"/>
      <c r="J358" s="1468"/>
      <c r="K358" s="1468"/>
      <c r="L358" s="1468"/>
      <c r="M358" s="1468"/>
      <c r="N358" s="1468"/>
      <c r="O358" s="1468"/>
      <c r="P358" s="1468"/>
      <c r="Q358" s="1468"/>
      <c r="R358" s="1468"/>
      <c r="S358" s="1468"/>
      <c r="T358" s="1468"/>
      <c r="U358" s="1468"/>
      <c r="V358" s="1468"/>
      <c r="W358" s="1468"/>
      <c r="X358" s="1468"/>
      <c r="Y358" s="1468"/>
      <c r="Z358" s="1468"/>
      <c r="AA358" s="1468"/>
      <c r="AB358" s="1468"/>
      <c r="AC358" s="1468"/>
      <c r="AD358" s="1468"/>
      <c r="AE358" s="1468"/>
      <c r="AF358" s="1468"/>
      <c r="AG358" s="1468"/>
      <c r="AH358" s="1468"/>
      <c r="AI358" s="1468"/>
      <c r="AJ358" s="1468"/>
      <c r="AK358" s="1468"/>
      <c r="AL358" s="1468"/>
      <c r="AM358" s="1468"/>
      <c r="AN358" s="1468"/>
      <c r="AO358" s="1468"/>
      <c r="AP358" s="1468"/>
      <c r="AQ358" s="1468"/>
      <c r="AR358" s="1468"/>
      <c r="AS358" s="1468"/>
      <c r="AT358" s="1468"/>
      <c r="AU358" s="1468"/>
      <c r="AV358" s="1468"/>
      <c r="AW358" s="1468"/>
      <c r="AX358" s="1468"/>
      <c r="AY358" s="1468"/>
      <c r="AZ358" s="1468"/>
      <c r="BA358" s="1468"/>
      <c r="BB358" s="1468"/>
      <c r="BC358" s="1468"/>
      <c r="BD358" s="1468"/>
      <c r="BE358" s="1468"/>
      <c r="BF358" s="1468"/>
      <c r="BG358" s="1468"/>
      <c r="BH358" s="1468"/>
      <c r="BI358" s="1468"/>
      <c r="BJ358" s="1468"/>
      <c r="BK358" s="1468"/>
      <c r="BL358" s="1468"/>
      <c r="BM358" s="1468"/>
      <c r="BN358" s="1468"/>
      <c r="BO358" s="1468"/>
      <c r="BP358" s="1468"/>
      <c r="BQ358" s="1468"/>
      <c r="BR358" s="1468"/>
      <c r="BS358" s="1468"/>
      <c r="BT358" s="1468"/>
      <c r="BU358" s="1468"/>
      <c r="BV358" s="1468"/>
      <c r="BW358" s="1468"/>
      <c r="BX358" s="1468"/>
      <c r="BY358" s="1468"/>
      <c r="BZ358" s="1468"/>
      <c r="CA358" s="1468"/>
      <c r="CB358" s="1468"/>
      <c r="CC358" s="1468"/>
      <c r="CD358" s="1468"/>
      <c r="CE358" s="1468"/>
      <c r="CF358" s="1468"/>
      <c r="CG358" s="1468"/>
      <c r="CH358" s="1468"/>
      <c r="CI358" s="1468"/>
      <c r="CJ358" s="1468"/>
      <c r="CK358" s="1468"/>
      <c r="CL358" s="1468"/>
      <c r="CM358" s="1468"/>
      <c r="CN358" s="1468"/>
      <c r="CO358" s="1468"/>
      <c r="CP358" s="1469"/>
      <c r="CR358" s="243"/>
    </row>
    <row r="359" spans="1:97" s="16" customFormat="1" ht="18" customHeight="1">
      <c r="A359" s="40"/>
      <c r="B359" s="41"/>
      <c r="C359" s="41"/>
      <c r="D359" s="42" t="s">
        <v>299</v>
      </c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2" t="s">
        <v>331</v>
      </c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1"/>
      <c r="AB359" s="41"/>
      <c r="AC359" s="41"/>
      <c r="AD359" s="41"/>
      <c r="AE359" s="41"/>
      <c r="AF359" s="41"/>
      <c r="AG359" s="41"/>
      <c r="AH359" s="41"/>
      <c r="AI359" s="41"/>
      <c r="AJ359" s="41"/>
      <c r="AK359" s="41"/>
      <c r="AL359" s="41"/>
      <c r="AM359" s="41"/>
      <c r="AN359" s="41"/>
      <c r="AO359" s="41"/>
      <c r="AP359" s="41"/>
      <c r="AQ359" s="41"/>
      <c r="AR359" s="41"/>
      <c r="AS359" s="41"/>
      <c r="AT359" s="41"/>
      <c r="AU359" s="41"/>
      <c r="AV359" s="41"/>
      <c r="AW359" s="41"/>
      <c r="AX359" s="41"/>
      <c r="AY359" s="41"/>
      <c r="AZ359" s="41"/>
      <c r="BA359" s="41"/>
      <c r="BB359" s="41"/>
      <c r="BC359" s="41"/>
      <c r="BD359" s="41"/>
      <c r="BE359" s="41"/>
      <c r="BF359" s="41"/>
      <c r="BG359" s="41"/>
      <c r="BH359" s="41"/>
      <c r="BI359" s="41"/>
      <c r="BJ359" s="41"/>
      <c r="BK359" s="41" t="s">
        <v>301</v>
      </c>
      <c r="BL359" s="41"/>
      <c r="BM359" s="41"/>
      <c r="BN359" s="41"/>
      <c r="BO359" s="41"/>
      <c r="BP359" s="41"/>
      <c r="BQ359" s="41"/>
      <c r="BR359" s="41"/>
      <c r="BS359" s="41"/>
      <c r="BT359" s="41"/>
      <c r="BU359" s="41"/>
      <c r="BV359" s="41"/>
      <c r="BW359" s="1470">
        <v>300000</v>
      </c>
      <c r="BX359" s="1478"/>
      <c r="BY359" s="1478"/>
      <c r="BZ359" s="1478"/>
      <c r="CA359" s="1478"/>
      <c r="CB359" s="1478"/>
      <c r="CC359" s="1478"/>
      <c r="CD359" s="1478"/>
      <c r="CE359" s="1478"/>
      <c r="CF359" s="1478"/>
      <c r="CG359" s="41" t="s">
        <v>308</v>
      </c>
      <c r="CH359" s="41"/>
      <c r="CI359" s="41"/>
      <c r="CJ359" s="41"/>
      <c r="CK359" s="41"/>
      <c r="CL359" s="41"/>
      <c r="CM359" s="41"/>
      <c r="CN359" s="41"/>
      <c r="CO359" s="41"/>
      <c r="CP359" s="43"/>
      <c r="CR359" s="243"/>
    </row>
    <row r="360" spans="1:97" s="16" customFormat="1" ht="18" customHeight="1">
      <c r="A360" s="17"/>
      <c r="D360" s="1461" t="s">
        <v>635</v>
      </c>
      <c r="E360" s="1462"/>
      <c r="F360" s="1462"/>
      <c r="G360" s="1462"/>
      <c r="H360" s="1462"/>
      <c r="I360" s="1462"/>
      <c r="J360" s="1462"/>
      <c r="K360" s="1462"/>
      <c r="L360" s="1462"/>
      <c r="M360" s="1462"/>
      <c r="N360" s="1462"/>
      <c r="O360" s="1462"/>
      <c r="P360" s="1462"/>
      <c r="Q360" s="1462"/>
      <c r="R360" s="1462"/>
      <c r="S360" s="1462"/>
      <c r="T360" s="1462"/>
      <c r="U360" s="1462"/>
      <c r="V360" s="1462"/>
      <c r="W360" s="1462"/>
      <c r="X360" s="1462"/>
      <c r="Y360" s="1462"/>
      <c r="Z360" s="1462"/>
      <c r="AA360" s="1462"/>
      <c r="AB360" s="1462"/>
      <c r="AC360" s="1462"/>
      <c r="AD360" s="1462"/>
      <c r="AE360" s="1462"/>
      <c r="AF360" s="1462"/>
      <c r="AG360" s="1462"/>
      <c r="AH360" s="1462"/>
      <c r="AI360" s="1462"/>
      <c r="AJ360" s="1462"/>
      <c r="AK360" s="1462"/>
      <c r="AL360" s="1462"/>
      <c r="AM360" s="1462"/>
      <c r="AN360" s="1462"/>
      <c r="AO360" s="1462"/>
      <c r="AP360" s="1462"/>
      <c r="AQ360" s="1462"/>
      <c r="AR360" s="1462"/>
      <c r="AS360" s="1462"/>
      <c r="AT360" s="1462"/>
      <c r="AU360" s="1462"/>
      <c r="AV360" s="1462"/>
      <c r="AW360" s="1462"/>
      <c r="AX360" s="1462"/>
      <c r="AY360" s="1462"/>
      <c r="AZ360" s="1462"/>
      <c r="BA360" s="1462"/>
      <c r="BB360" s="1462"/>
      <c r="BC360" s="1462"/>
      <c r="BD360" s="1462"/>
      <c r="BE360" s="1462"/>
      <c r="BF360" s="1462"/>
      <c r="BG360" s="1462"/>
      <c r="BH360" s="1462"/>
      <c r="BI360" s="1462"/>
      <c r="BJ360" s="1462"/>
      <c r="BK360" s="1462"/>
      <c r="BL360" s="1462"/>
      <c r="BM360" s="1462"/>
      <c r="BN360" s="1462"/>
      <c r="BO360" s="1462"/>
      <c r="BP360" s="1462"/>
      <c r="BQ360" s="1462"/>
      <c r="BR360" s="1462"/>
      <c r="BS360" s="1462"/>
      <c r="BT360" s="1462"/>
      <c r="BU360" s="1462"/>
      <c r="BV360" s="1462"/>
      <c r="BW360" s="1462"/>
      <c r="BX360" s="1462"/>
      <c r="BY360" s="1462"/>
      <c r="BZ360" s="1462"/>
      <c r="CA360" s="1462"/>
      <c r="CB360" s="1462"/>
      <c r="CC360" s="1462"/>
      <c r="CD360" s="1462"/>
      <c r="CE360" s="1462"/>
      <c r="CF360" s="1462"/>
      <c r="CG360" s="1462"/>
      <c r="CH360" s="1462"/>
      <c r="CI360" s="1462"/>
      <c r="CJ360" s="1462"/>
      <c r="CK360" s="1462"/>
      <c r="CL360" s="1462"/>
      <c r="CM360" s="1462"/>
      <c r="CN360" s="1462"/>
      <c r="CO360" s="1462"/>
      <c r="CP360" s="18"/>
      <c r="CR360" s="662"/>
      <c r="CS360" s="663" t="s">
        <v>782</v>
      </c>
    </row>
    <row r="361" spans="1:97" s="16" customFormat="1" ht="18" customHeight="1" thickBot="1">
      <c r="A361" s="17"/>
      <c r="E361" s="16" t="s">
        <v>302</v>
      </c>
      <c r="U361" s="1466">
        <v>1</v>
      </c>
      <c r="V361" s="1474"/>
      <c r="W361" s="1474"/>
      <c r="X361" s="1474"/>
      <c r="Y361" s="1474"/>
      <c r="Z361" s="29" t="s">
        <v>303</v>
      </c>
      <c r="AA361" s="29"/>
      <c r="AB361" s="29"/>
      <c r="AC361" s="29"/>
      <c r="AD361" s="29"/>
      <c r="AE361" s="1479">
        <f>CR362</f>
        <v>283323</v>
      </c>
      <c r="AF361" s="1477"/>
      <c r="AG361" s="1477"/>
      <c r="AH361" s="1477"/>
      <c r="AI361" s="1477"/>
      <c r="AJ361" s="1477"/>
      <c r="AK361" s="1477"/>
      <c r="AL361" s="1477"/>
      <c r="AM361" s="16" t="s">
        <v>304</v>
      </c>
      <c r="AU361" s="1466">
        <v>8</v>
      </c>
      <c r="AV361" s="1466"/>
      <c r="AW361" s="1466"/>
      <c r="AX361" s="29" t="s">
        <v>294</v>
      </c>
      <c r="AY361" s="29"/>
      <c r="AZ361" s="1466">
        <v>25</v>
      </c>
      <c r="BA361" s="1466"/>
      <c r="BB361" s="1466"/>
      <c r="BC361" s="29" t="s">
        <v>293</v>
      </c>
      <c r="BD361" s="29"/>
      <c r="BE361" s="1466">
        <v>20</v>
      </c>
      <c r="BF361" s="1466"/>
      <c r="BG361" s="1466"/>
      <c r="BH361" s="29" t="s">
        <v>294</v>
      </c>
      <c r="BI361" s="29"/>
      <c r="BJ361" s="1466">
        <v>16</v>
      </c>
      <c r="BK361" s="1466"/>
      <c r="BL361" s="1466"/>
      <c r="BM361" s="29" t="s">
        <v>293</v>
      </c>
      <c r="BN361" s="29"/>
      <c r="BO361" s="1466">
        <v>12</v>
      </c>
      <c r="BP361" s="1474"/>
      <c r="BQ361" s="1474"/>
      <c r="BR361" s="1474"/>
      <c r="BS361" s="31" t="s">
        <v>298</v>
      </c>
      <c r="BT361" s="29"/>
      <c r="BU361" s="1458">
        <f>INT(U361*AE361*(1/AU361*(AZ361/BE361)*(BJ361/BO361)))</f>
        <v>59025</v>
      </c>
      <c r="BV361" s="1474"/>
      <c r="BW361" s="1474"/>
      <c r="BX361" s="1474"/>
      <c r="BY361" s="1474"/>
      <c r="BZ361" s="1474"/>
      <c r="CA361" s="1474"/>
      <c r="CB361" s="1474"/>
      <c r="CC361" s="16" t="s">
        <v>287</v>
      </c>
      <c r="CP361" s="18"/>
      <c r="CQ361" s="49"/>
      <c r="CR361" s="662"/>
      <c r="CS361" s="664"/>
    </row>
    <row r="362" spans="1:97" s="16" customFormat="1" ht="18" customHeight="1" thickTop="1">
      <c r="A362" s="17"/>
      <c r="D362" s="33"/>
      <c r="E362" s="34" t="s">
        <v>291</v>
      </c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3"/>
      <c r="T362" s="33"/>
      <c r="U362" s="33"/>
      <c r="V362" s="33"/>
      <c r="W362" s="33"/>
      <c r="X362" s="33"/>
      <c r="Y362" s="33"/>
      <c r="Z362" s="33"/>
      <c r="AA362" s="33"/>
      <c r="AB362" s="33"/>
      <c r="AC362" s="33"/>
      <c r="AD362" s="33"/>
      <c r="AE362" s="33"/>
      <c r="AF362" s="33"/>
      <c r="AG362" s="33"/>
      <c r="AH362" s="33"/>
      <c r="AI362" s="33"/>
      <c r="AJ362" s="33"/>
      <c r="AK362" s="33"/>
      <c r="AL362" s="33"/>
      <c r="AM362" s="33"/>
      <c r="AN362" s="33"/>
      <c r="AO362" s="33"/>
      <c r="AP362" s="33"/>
      <c r="AQ362" s="33"/>
      <c r="AR362" s="33"/>
      <c r="AS362" s="33"/>
      <c r="AT362" s="33"/>
      <c r="AU362" s="33"/>
      <c r="AV362" s="33"/>
      <c r="AW362" s="33"/>
      <c r="AX362" s="33"/>
      <c r="AY362" s="33"/>
      <c r="AZ362" s="33"/>
      <c r="BA362" s="33"/>
      <c r="BB362" s="33"/>
      <c r="BC362" s="33"/>
      <c r="BD362" s="33"/>
      <c r="BE362" s="33"/>
      <c r="BF362" s="33"/>
      <c r="BG362" s="33"/>
      <c r="BH362" s="33"/>
      <c r="BI362" s="33"/>
      <c r="BJ362" s="33"/>
      <c r="BK362" s="33"/>
      <c r="BL362" s="33"/>
      <c r="BM362" s="33"/>
      <c r="BN362" s="33"/>
      <c r="BO362" s="33"/>
      <c r="BP362" s="33"/>
      <c r="BQ362" s="33"/>
      <c r="BR362" s="33"/>
      <c r="BS362" s="33"/>
      <c r="BT362" s="33"/>
      <c r="BU362" s="1459">
        <f>INT(SUM(BU361))</f>
        <v>59025</v>
      </c>
      <c r="BV362" s="1472"/>
      <c r="BW362" s="1472"/>
      <c r="BX362" s="1472"/>
      <c r="BY362" s="1472"/>
      <c r="BZ362" s="1472"/>
      <c r="CA362" s="1472"/>
      <c r="CB362" s="1472"/>
      <c r="CC362" s="33" t="s">
        <v>287</v>
      </c>
      <c r="CD362" s="33"/>
      <c r="CE362" s="33"/>
      <c r="CF362" s="33"/>
      <c r="CG362" s="33"/>
      <c r="CH362" s="33"/>
      <c r="CI362" s="33"/>
      <c r="CP362" s="18"/>
      <c r="CQ362" s="16" t="s">
        <v>97</v>
      </c>
      <c r="CR362" s="244">
        <f>VLOOKUP(CQ362,인건비!A:B,2,FALSE)</f>
        <v>283323</v>
      </c>
    </row>
    <row r="363" spans="1:97" s="16" customFormat="1" ht="18" customHeight="1">
      <c r="A363" s="17"/>
      <c r="U363" s="29"/>
      <c r="V363" s="29"/>
      <c r="W363" s="29"/>
      <c r="X363" s="29"/>
      <c r="Y363" s="29"/>
      <c r="Z363" s="29"/>
      <c r="AA363" s="29"/>
      <c r="AB363" s="29"/>
      <c r="AC363" s="29"/>
      <c r="AD363" s="29"/>
      <c r="AE363" s="30"/>
      <c r="AF363" s="29"/>
      <c r="AG363" s="29"/>
      <c r="AH363" s="29"/>
      <c r="AI363" s="29"/>
      <c r="AJ363" s="29"/>
      <c r="AK363" s="29"/>
      <c r="AL363" s="29"/>
      <c r="AU363" s="29"/>
      <c r="AV363" s="29"/>
      <c r="AW363" s="29"/>
      <c r="AX363" s="29"/>
      <c r="AY363" s="29"/>
      <c r="AZ363" s="29"/>
      <c r="BA363" s="29"/>
      <c r="BB363" s="29"/>
      <c r="BC363" s="29"/>
      <c r="BD363" s="29"/>
      <c r="BE363" s="29"/>
      <c r="BF363" s="29"/>
      <c r="BG363" s="29"/>
      <c r="BH363" s="29"/>
      <c r="BI363" s="29"/>
      <c r="BJ363" s="29"/>
      <c r="BK363" s="29"/>
      <c r="BL363" s="29"/>
      <c r="BM363" s="29"/>
      <c r="BN363" s="29"/>
      <c r="BO363" s="29"/>
      <c r="BP363" s="29"/>
      <c r="BQ363" s="29"/>
      <c r="BS363" s="31"/>
      <c r="BT363" s="29"/>
      <c r="BU363" s="32"/>
      <c r="BV363" s="29"/>
      <c r="BW363" s="29"/>
      <c r="BX363" s="29"/>
      <c r="BY363" s="29"/>
      <c r="BZ363" s="29"/>
      <c r="CA363" s="29"/>
      <c r="CB363" s="29"/>
      <c r="CP363" s="18"/>
      <c r="CR363" s="244"/>
    </row>
    <row r="364" spans="1:97" s="16" customFormat="1" ht="18" customHeight="1">
      <c r="A364" s="17"/>
      <c r="CP364" s="18"/>
      <c r="CQ364" s="16" t="s">
        <v>176</v>
      </c>
      <c r="CR364" s="244">
        <f>VLOOKUP(CQ364,인건비!A:B,2,FALSE)</f>
        <v>210909</v>
      </c>
    </row>
    <row r="365" spans="1:97" s="16" customFormat="1" ht="18" customHeight="1">
      <c r="A365" s="17"/>
      <c r="BV365" s="32"/>
      <c r="BW365" s="29"/>
      <c r="BX365" s="29"/>
      <c r="BY365" s="29"/>
      <c r="BZ365" s="29"/>
      <c r="CA365" s="29"/>
      <c r="CB365" s="29"/>
      <c r="CC365" s="29"/>
      <c r="CD365" s="29"/>
      <c r="CP365" s="18"/>
      <c r="CQ365" s="16" t="s">
        <v>96</v>
      </c>
      <c r="CR365" s="244">
        <f>VLOOKUP(CQ365,인건비!A:B,2,FALSE)</f>
        <v>173995</v>
      </c>
    </row>
    <row r="366" spans="1:97" s="16" customFormat="1" ht="18" customHeight="1">
      <c r="A366" s="17"/>
      <c r="D366" s="1461" t="s">
        <v>669</v>
      </c>
      <c r="E366" s="1462"/>
      <c r="F366" s="1462"/>
      <c r="G366" s="1462"/>
      <c r="H366" s="1462"/>
      <c r="I366" s="1462"/>
      <c r="J366" s="1462"/>
      <c r="K366" s="1462"/>
      <c r="L366" s="1462"/>
      <c r="M366" s="1462"/>
      <c r="N366" s="1462"/>
      <c r="O366" s="1462"/>
      <c r="P366" s="1462"/>
      <c r="Q366" s="1462"/>
      <c r="R366" s="1462"/>
      <c r="S366" s="1462"/>
      <c r="T366" s="1462"/>
      <c r="U366" s="1462"/>
      <c r="V366" s="1462"/>
      <c r="W366" s="1462"/>
      <c r="X366" s="1462"/>
      <c r="Y366" s="1462"/>
      <c r="Z366" s="1462"/>
      <c r="AA366" s="1462"/>
      <c r="AB366" s="1462"/>
      <c r="AC366" s="1462"/>
      <c r="AD366" s="1462"/>
      <c r="AE366" s="1462"/>
      <c r="AF366" s="1462"/>
      <c r="AG366" s="1462"/>
      <c r="AH366" s="1462"/>
      <c r="AI366" s="1462"/>
      <c r="AJ366" s="1462"/>
      <c r="AK366" s="1462"/>
      <c r="AL366" s="1462"/>
      <c r="AM366" s="1462"/>
      <c r="AN366" s="1462"/>
      <c r="AO366" s="1462"/>
      <c r="AP366" s="1462"/>
      <c r="AQ366" s="1462"/>
      <c r="AR366" s="1462"/>
      <c r="AS366" s="1462"/>
      <c r="AT366" s="1462"/>
      <c r="AU366" s="1462"/>
      <c r="AV366" s="1462"/>
      <c r="AW366" s="1462"/>
      <c r="AX366" s="1462"/>
      <c r="AY366" s="1462"/>
      <c r="AZ366" s="1462"/>
      <c r="BA366" s="1462"/>
      <c r="BB366" s="1462"/>
      <c r="BC366" s="1462"/>
      <c r="BD366" s="1462"/>
      <c r="BE366" s="1462"/>
      <c r="BF366" s="1462"/>
      <c r="BG366" s="1462"/>
      <c r="BH366" s="1462"/>
      <c r="BI366" s="1462"/>
      <c r="BJ366" s="1462"/>
      <c r="BK366" s="1462"/>
      <c r="BL366" s="1462"/>
      <c r="BM366" s="1462"/>
      <c r="BN366" s="1462"/>
      <c r="BO366" s="1462"/>
      <c r="BP366" s="1462"/>
      <c r="BQ366" s="1462"/>
      <c r="BR366" s="1462"/>
      <c r="BS366" s="1462"/>
      <c r="BT366" s="1462"/>
      <c r="BU366" s="1462"/>
      <c r="BV366" s="1462"/>
      <c r="BW366" s="1462"/>
      <c r="BX366" s="1462"/>
      <c r="BY366" s="1462"/>
      <c r="BZ366" s="1462"/>
      <c r="CA366" s="1462"/>
      <c r="CB366" s="1462"/>
      <c r="CC366" s="1462"/>
      <c r="CD366" s="1462"/>
      <c r="CE366" s="1462"/>
      <c r="CF366" s="1462"/>
      <c r="CG366" s="1462"/>
      <c r="CH366" s="1462"/>
      <c r="CI366" s="1462"/>
      <c r="CJ366" s="1462"/>
      <c r="CK366" s="1462"/>
      <c r="CL366" s="1462"/>
      <c r="CM366" s="1462"/>
      <c r="CN366" s="1462"/>
      <c r="CO366" s="1462"/>
      <c r="CP366" s="18"/>
      <c r="CQ366" s="16" t="s">
        <v>95</v>
      </c>
      <c r="CR366" s="244">
        <f>VLOOKUP(CQ366,인건비!A:B,2,FALSE)</f>
        <v>240042</v>
      </c>
    </row>
    <row r="367" spans="1:97" s="16" customFormat="1" ht="18" customHeight="1">
      <c r="A367" s="17"/>
      <c r="E367" s="16" t="s">
        <v>311</v>
      </c>
      <c r="U367" s="1463">
        <v>16.2</v>
      </c>
      <c r="V367" s="1473"/>
      <c r="W367" s="1473"/>
      <c r="X367" s="1473"/>
      <c r="Y367" s="1473"/>
      <c r="Z367" s="16" t="s">
        <v>266</v>
      </c>
      <c r="AE367" s="1464" t="e">
        <f>CR368</f>
        <v>#REF!</v>
      </c>
      <c r="AF367" s="1473"/>
      <c r="AG367" s="1473"/>
      <c r="AH367" s="1473"/>
      <c r="AI367" s="1473"/>
      <c r="AJ367" s="1473"/>
      <c r="AK367" s="1473"/>
      <c r="AL367" s="1473"/>
      <c r="AM367" s="16" t="s">
        <v>286</v>
      </c>
      <c r="AT367" s="1465" t="e">
        <f>INT(U367*AE367)</f>
        <v>#REF!</v>
      </c>
      <c r="AU367" s="1473"/>
      <c r="AV367" s="1473"/>
      <c r="AW367" s="1473"/>
      <c r="AX367" s="1473"/>
      <c r="AY367" s="1473"/>
      <c r="AZ367" s="1473"/>
      <c r="BA367" s="1473"/>
      <c r="BB367" s="16" t="s">
        <v>287</v>
      </c>
      <c r="CP367" s="18"/>
      <c r="CQ367" s="16" t="s">
        <v>267</v>
      </c>
      <c r="CR367" s="245" t="e">
        <f>#REF!</f>
        <v>#REF!</v>
      </c>
    </row>
    <row r="368" spans="1:97" s="16" customFormat="1" ht="18" customHeight="1" thickBot="1">
      <c r="A368" s="17"/>
      <c r="E368" s="16" t="s">
        <v>288</v>
      </c>
      <c r="U368" s="16" t="s">
        <v>289</v>
      </c>
      <c r="AE368" s="1466">
        <v>39</v>
      </c>
      <c r="AF368" s="1474"/>
      <c r="AG368" s="1474"/>
      <c r="AH368" s="1474"/>
      <c r="AI368" s="1474"/>
      <c r="AJ368" s="1474"/>
      <c r="AK368" s="1474"/>
      <c r="AL368" s="1474"/>
      <c r="AM368" s="16" t="s">
        <v>290</v>
      </c>
      <c r="AT368" s="1458" t="e">
        <f>INT(AT367*AE368/100)</f>
        <v>#REF!</v>
      </c>
      <c r="AU368" s="1458"/>
      <c r="AV368" s="1458"/>
      <c r="AW368" s="1458"/>
      <c r="AX368" s="1458"/>
      <c r="AY368" s="1458"/>
      <c r="AZ368" s="1458"/>
      <c r="BA368" s="1458"/>
      <c r="BB368" s="16" t="s">
        <v>287</v>
      </c>
      <c r="CP368" s="18"/>
      <c r="CQ368" s="16" t="s">
        <v>268</v>
      </c>
      <c r="CR368" s="245" t="e">
        <f>#REF!</f>
        <v>#REF!</v>
      </c>
    </row>
    <row r="369" spans="1:96" s="16" customFormat="1" ht="18" customHeight="1" thickTop="1">
      <c r="A369" s="17"/>
      <c r="D369" s="33"/>
      <c r="E369" s="34" t="s">
        <v>291</v>
      </c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3"/>
      <c r="T369" s="33"/>
      <c r="U369" s="33"/>
      <c r="V369" s="33"/>
      <c r="W369" s="33"/>
      <c r="X369" s="33"/>
      <c r="Y369" s="33"/>
      <c r="Z369" s="33"/>
      <c r="AA369" s="33"/>
      <c r="AB369" s="33"/>
      <c r="AC369" s="33"/>
      <c r="AD369" s="33"/>
      <c r="AE369" s="33"/>
      <c r="AF369" s="33"/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1459" t="e">
        <f>INT(SUM(AT367+AT368))</f>
        <v>#REF!</v>
      </c>
      <c r="AU369" s="1472"/>
      <c r="AV369" s="1472"/>
      <c r="AW369" s="1472"/>
      <c r="AX369" s="1472"/>
      <c r="AY369" s="1472"/>
      <c r="AZ369" s="1472"/>
      <c r="BA369" s="1472"/>
      <c r="BB369" s="33" t="s">
        <v>287</v>
      </c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  <c r="BU369" s="33"/>
      <c r="BV369" s="33"/>
      <c r="BW369" s="33"/>
      <c r="BX369" s="33"/>
      <c r="BY369" s="33"/>
      <c r="BZ369" s="33"/>
      <c r="CA369" s="33"/>
      <c r="CB369" s="33"/>
      <c r="CC369" s="33"/>
      <c r="CD369" s="33"/>
      <c r="CE369" s="33"/>
      <c r="CF369" s="33"/>
      <c r="CG369" s="33"/>
      <c r="CH369" s="33"/>
      <c r="CI369" s="33"/>
      <c r="CP369" s="18"/>
      <c r="CQ369" s="665" t="s">
        <v>840</v>
      </c>
      <c r="CR369" s="666" t="s">
        <v>631</v>
      </c>
    </row>
    <row r="370" spans="1:96" s="16" customFormat="1" ht="18" customHeight="1">
      <c r="A370" s="17"/>
      <c r="CP370" s="18"/>
      <c r="CQ370" s="665" t="s">
        <v>837</v>
      </c>
      <c r="CR370" s="666" t="s">
        <v>630</v>
      </c>
    </row>
    <row r="371" spans="1:96" s="16" customFormat="1" ht="18" customHeight="1">
      <c r="A371" s="17"/>
      <c r="D371" s="1461" t="s">
        <v>670</v>
      </c>
      <c r="E371" s="1462"/>
      <c r="F371" s="1462"/>
      <c r="G371" s="1462"/>
      <c r="H371" s="1462"/>
      <c r="I371" s="1462"/>
      <c r="J371" s="1462"/>
      <c r="K371" s="1462"/>
      <c r="L371" s="1462"/>
      <c r="M371" s="1462"/>
      <c r="N371" s="1462"/>
      <c r="O371" s="1462"/>
      <c r="P371" s="1462"/>
      <c r="Q371" s="1462"/>
      <c r="R371" s="1462"/>
      <c r="S371" s="1462"/>
      <c r="T371" s="1462"/>
      <c r="U371" s="1462"/>
      <c r="V371" s="1462"/>
      <c r="W371" s="1462"/>
      <c r="X371" s="1462"/>
      <c r="Y371" s="1462"/>
      <c r="Z371" s="1462"/>
      <c r="AA371" s="1462"/>
      <c r="AB371" s="1462"/>
      <c r="AC371" s="1462"/>
      <c r="AD371" s="1462"/>
      <c r="AE371" s="1462"/>
      <c r="AF371" s="1462"/>
      <c r="AG371" s="1462"/>
      <c r="AH371" s="1462"/>
      <c r="AI371" s="1462"/>
      <c r="AJ371" s="1462"/>
      <c r="AK371" s="1462"/>
      <c r="AL371" s="1462"/>
      <c r="AM371" s="1462"/>
      <c r="AN371" s="1462"/>
      <c r="AO371" s="1462"/>
      <c r="AP371" s="1462"/>
      <c r="AQ371" s="1462"/>
      <c r="AR371" s="1462"/>
      <c r="AS371" s="1462"/>
      <c r="AT371" s="1462"/>
      <c r="AU371" s="1462"/>
      <c r="AV371" s="1462"/>
      <c r="AW371" s="1462"/>
      <c r="AX371" s="1462"/>
      <c r="AY371" s="1462"/>
      <c r="AZ371" s="1462"/>
      <c r="BA371" s="1462"/>
      <c r="BB371" s="1462"/>
      <c r="BC371" s="1462"/>
      <c r="BD371" s="1462"/>
      <c r="BE371" s="1462"/>
      <c r="BF371" s="1462"/>
      <c r="BG371" s="1462"/>
      <c r="BH371" s="1462"/>
      <c r="BI371" s="1462"/>
      <c r="BJ371" s="1462"/>
      <c r="BK371" s="1462"/>
      <c r="BL371" s="1462"/>
      <c r="BM371" s="1462"/>
      <c r="BN371" s="1462"/>
      <c r="BO371" s="1462"/>
      <c r="BP371" s="1462"/>
      <c r="BQ371" s="1462"/>
      <c r="BR371" s="1462"/>
      <c r="BS371" s="1462"/>
      <c r="BT371" s="1462"/>
      <c r="BU371" s="1462"/>
      <c r="BV371" s="1462"/>
      <c r="BW371" s="1462"/>
      <c r="BX371" s="1462"/>
      <c r="BY371" s="1462"/>
      <c r="BZ371" s="1462"/>
      <c r="CA371" s="1462"/>
      <c r="CB371" s="1462"/>
      <c r="CC371" s="1462"/>
      <c r="CD371" s="1462"/>
      <c r="CE371" s="1462"/>
      <c r="CF371" s="1462"/>
      <c r="CG371" s="1462"/>
      <c r="CH371" s="1462"/>
      <c r="CI371" s="1462"/>
      <c r="CJ371" s="1462"/>
      <c r="CK371" s="1462"/>
      <c r="CL371" s="1462"/>
      <c r="CM371" s="1462"/>
      <c r="CN371" s="1462"/>
      <c r="CO371" s="1462"/>
      <c r="CP371" s="18"/>
      <c r="CR371" s="243"/>
    </row>
    <row r="372" spans="1:96" s="16" customFormat="1" ht="18" customHeight="1" thickBot="1">
      <c r="A372" s="17"/>
      <c r="E372" s="16" t="s">
        <v>332</v>
      </c>
      <c r="AA372" s="1456">
        <v>1508</v>
      </c>
      <c r="AB372" s="1456"/>
      <c r="AC372" s="1456"/>
      <c r="AD372" s="1456"/>
      <c r="AE372" s="1456"/>
      <c r="AF372" s="1456"/>
      <c r="AG372" s="1456"/>
      <c r="AH372" s="1456"/>
      <c r="AI372" s="29" t="s">
        <v>293</v>
      </c>
      <c r="AJ372" s="29"/>
      <c r="AK372" s="1457">
        <v>10000000</v>
      </c>
      <c r="AL372" s="1475"/>
      <c r="AM372" s="1475"/>
      <c r="AN372" s="1475"/>
      <c r="AO372" s="1475"/>
      <c r="AP372" s="1475"/>
      <c r="AQ372" s="1475"/>
      <c r="AR372" s="1475"/>
      <c r="AS372" s="1475"/>
      <c r="AT372" s="1475"/>
      <c r="AU372" s="1475"/>
      <c r="AV372" s="29" t="s">
        <v>294</v>
      </c>
      <c r="AW372" s="29"/>
      <c r="AX372" s="1458">
        <f>BW359</f>
        <v>300000</v>
      </c>
      <c r="AY372" s="1474"/>
      <c r="AZ372" s="1474"/>
      <c r="BA372" s="1474"/>
      <c r="BB372" s="1474"/>
      <c r="BC372" s="1474"/>
      <c r="BD372" s="1474"/>
      <c r="BE372" s="1474"/>
      <c r="BF372" s="1474"/>
      <c r="BG372" s="16" t="s">
        <v>295</v>
      </c>
      <c r="BN372" s="1458">
        <f>INT(AA372/AK372*AX372*1000)</f>
        <v>45240</v>
      </c>
      <c r="BO372" s="1458"/>
      <c r="BP372" s="1458"/>
      <c r="BQ372" s="1458"/>
      <c r="BR372" s="1458"/>
      <c r="BS372" s="1458"/>
      <c r="BT372" s="1458"/>
      <c r="BU372" s="1458"/>
      <c r="BV372" s="16" t="s">
        <v>287</v>
      </c>
      <c r="CP372" s="18"/>
      <c r="CR372" s="243"/>
    </row>
    <row r="373" spans="1:96" s="16" customFormat="1" ht="18" customHeight="1" thickTop="1">
      <c r="A373" s="17"/>
      <c r="D373" s="33"/>
      <c r="E373" s="34" t="s">
        <v>291</v>
      </c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3"/>
      <c r="T373" s="33"/>
      <c r="U373" s="33"/>
      <c r="V373" s="33"/>
      <c r="W373" s="33"/>
      <c r="X373" s="33"/>
      <c r="Y373" s="33"/>
      <c r="Z373" s="33"/>
      <c r="AA373" s="33"/>
      <c r="AB373" s="33"/>
      <c r="AC373" s="33"/>
      <c r="AD373" s="33"/>
      <c r="AE373" s="33"/>
      <c r="AF373" s="33"/>
      <c r="AG373" s="33"/>
      <c r="AH373" s="33"/>
      <c r="AI373" s="33"/>
      <c r="AJ373" s="33"/>
      <c r="AK373" s="33"/>
      <c r="AL373" s="33"/>
      <c r="AM373" s="33"/>
      <c r="AN373" s="33"/>
      <c r="AO373" s="33"/>
      <c r="AP373" s="33"/>
      <c r="AQ373" s="33"/>
      <c r="AR373" s="33"/>
      <c r="AS373" s="33"/>
      <c r="AT373" s="33"/>
      <c r="AU373" s="33"/>
      <c r="AV373" s="33"/>
      <c r="AW373" s="33"/>
      <c r="AX373" s="33"/>
      <c r="AY373" s="33"/>
      <c r="AZ373" s="33"/>
      <c r="BA373" s="33"/>
      <c r="BB373" s="33"/>
      <c r="BC373" s="33"/>
      <c r="BD373" s="33"/>
      <c r="BE373" s="33"/>
      <c r="BF373" s="33"/>
      <c r="BG373" s="33"/>
      <c r="BH373" s="33"/>
      <c r="BI373" s="33"/>
      <c r="BJ373" s="33"/>
      <c r="BK373" s="33"/>
      <c r="BL373" s="33"/>
      <c r="BM373" s="33"/>
      <c r="BN373" s="1459">
        <f>SUM(BN372)</f>
        <v>45240</v>
      </c>
      <c r="BO373" s="1472"/>
      <c r="BP373" s="1472"/>
      <c r="BQ373" s="1472"/>
      <c r="BR373" s="1472"/>
      <c r="BS373" s="1472"/>
      <c r="BT373" s="1472"/>
      <c r="BU373" s="1472"/>
      <c r="BV373" s="33" t="s">
        <v>287</v>
      </c>
      <c r="BW373" s="33"/>
      <c r="BX373" s="33"/>
      <c r="BY373" s="33"/>
      <c r="BZ373" s="33"/>
      <c r="CA373" s="33"/>
      <c r="CB373" s="33"/>
      <c r="CC373" s="33"/>
      <c r="CD373" s="33"/>
      <c r="CE373" s="33"/>
      <c r="CF373" s="33"/>
      <c r="CG373" s="33"/>
      <c r="CH373" s="33"/>
      <c r="CI373" s="33"/>
      <c r="CP373" s="18"/>
      <c r="CR373" s="243"/>
    </row>
    <row r="374" spans="1:96" s="16" customFormat="1" ht="18" customHeight="1">
      <c r="A374" s="17"/>
      <c r="CP374" s="18"/>
      <c r="CR374" s="243"/>
    </row>
    <row r="375" spans="1:96" s="16" customFormat="1" ht="18" customHeight="1">
      <c r="A375" s="17"/>
      <c r="E375" s="16" t="s">
        <v>296</v>
      </c>
      <c r="O375" s="1460">
        <f>BU362</f>
        <v>59025</v>
      </c>
      <c r="P375" s="1473"/>
      <c r="Q375" s="1473"/>
      <c r="R375" s="1473"/>
      <c r="S375" s="1473"/>
      <c r="T375" s="1473"/>
      <c r="U375" s="1473"/>
      <c r="V375" s="1473"/>
      <c r="W375" s="1473"/>
      <c r="X375" s="1473"/>
      <c r="Y375" s="29" t="s">
        <v>297</v>
      </c>
      <c r="Z375" s="29"/>
      <c r="AA375" s="1460" t="e">
        <f>AT369</f>
        <v>#REF!</v>
      </c>
      <c r="AB375" s="1473"/>
      <c r="AC375" s="1473"/>
      <c r="AD375" s="1473"/>
      <c r="AE375" s="1473"/>
      <c r="AF375" s="1473"/>
      <c r="AG375" s="1473"/>
      <c r="AH375" s="1473"/>
      <c r="AI375" s="1473"/>
      <c r="AJ375" s="1473"/>
      <c r="AK375" s="29" t="s">
        <v>297</v>
      </c>
      <c r="AL375" s="29"/>
      <c r="AM375" s="1460">
        <f>BN373</f>
        <v>45240</v>
      </c>
      <c r="AN375" s="1473"/>
      <c r="AO375" s="1473"/>
      <c r="AP375" s="1473"/>
      <c r="AQ375" s="1473"/>
      <c r="AR375" s="1473"/>
      <c r="AS375" s="1473"/>
      <c r="AT375" s="1473"/>
      <c r="AU375" s="1473"/>
      <c r="AV375" s="1473"/>
      <c r="AW375" s="31" t="s">
        <v>298</v>
      </c>
      <c r="AX375" s="29"/>
      <c r="AY375" s="1460" t="e">
        <f>O375+AA375+AM375</f>
        <v>#REF!</v>
      </c>
      <c r="AZ375" s="1473"/>
      <c r="BA375" s="1473"/>
      <c r="BB375" s="1473"/>
      <c r="BC375" s="1473"/>
      <c r="BD375" s="1473"/>
      <c r="BE375" s="1473"/>
      <c r="BF375" s="1473"/>
      <c r="BG375" s="1473"/>
      <c r="BH375" s="1473"/>
      <c r="BI375" s="16" t="s">
        <v>287</v>
      </c>
      <c r="CP375" s="18"/>
      <c r="CR375" s="243"/>
    </row>
    <row r="376" spans="1:96" s="16" customFormat="1" ht="18" customHeight="1">
      <c r="A376" s="17"/>
      <c r="O376" s="35"/>
      <c r="P376" s="36"/>
      <c r="Q376" s="36"/>
      <c r="R376" s="36"/>
      <c r="S376" s="36"/>
      <c r="T376" s="36"/>
      <c r="U376" s="36"/>
      <c r="V376" s="36"/>
      <c r="W376" s="36"/>
      <c r="X376" s="36"/>
      <c r="Y376" s="29"/>
      <c r="Z376" s="29"/>
      <c r="AA376" s="35"/>
      <c r="AB376" s="36"/>
      <c r="AC376" s="36"/>
      <c r="AD376" s="36"/>
      <c r="AE376" s="36"/>
      <c r="AF376" s="36"/>
      <c r="AG376" s="36"/>
      <c r="AH376" s="36"/>
      <c r="AI376" s="36"/>
      <c r="AJ376" s="36"/>
      <c r="AK376" s="29"/>
      <c r="AL376" s="29"/>
      <c r="AM376" s="35"/>
      <c r="AN376" s="36"/>
      <c r="AO376" s="36"/>
      <c r="AP376" s="36"/>
      <c r="AQ376" s="36"/>
      <c r="AR376" s="36"/>
      <c r="AS376" s="36"/>
      <c r="AT376" s="36"/>
      <c r="AU376" s="36"/>
      <c r="AV376" s="36"/>
      <c r="AW376" s="31"/>
      <c r="AX376" s="29"/>
      <c r="AY376" s="35"/>
      <c r="AZ376" s="36"/>
      <c r="BA376" s="36"/>
      <c r="BB376" s="36"/>
      <c r="BC376" s="36"/>
      <c r="BD376" s="36"/>
      <c r="BE376" s="36"/>
      <c r="BF376" s="36"/>
      <c r="BG376" s="36"/>
      <c r="BH376" s="36"/>
      <c r="CP376" s="18"/>
      <c r="CR376" s="243"/>
    </row>
    <row r="377" spans="1:96" s="16" customFormat="1" ht="18" customHeight="1">
      <c r="A377" s="17"/>
      <c r="O377" s="35"/>
      <c r="P377" s="36"/>
      <c r="Q377" s="36"/>
      <c r="R377" s="36"/>
      <c r="S377" s="36"/>
      <c r="T377" s="36"/>
      <c r="U377" s="36"/>
      <c r="V377" s="36"/>
      <c r="W377" s="36"/>
      <c r="X377" s="36"/>
      <c r="Y377" s="29"/>
      <c r="Z377" s="29"/>
      <c r="AA377" s="35"/>
      <c r="AB377" s="36"/>
      <c r="AC377" s="36"/>
      <c r="AD377" s="36"/>
      <c r="AE377" s="36"/>
      <c r="AF377" s="36"/>
      <c r="AG377" s="36"/>
      <c r="AH377" s="36"/>
      <c r="AI377" s="36"/>
      <c r="AJ377" s="36"/>
      <c r="AK377" s="29"/>
      <c r="AL377" s="29"/>
      <c r="AM377" s="35"/>
      <c r="AN377" s="36"/>
      <c r="AO377" s="36"/>
      <c r="AP377" s="36"/>
      <c r="AQ377" s="36"/>
      <c r="AR377" s="36"/>
      <c r="AS377" s="36"/>
      <c r="AT377" s="36"/>
      <c r="AU377" s="36"/>
      <c r="AV377" s="36"/>
      <c r="AW377" s="31"/>
      <c r="AX377" s="29"/>
      <c r="AY377" s="35"/>
      <c r="AZ377" s="36"/>
      <c r="BA377" s="36"/>
      <c r="BB377" s="36"/>
      <c r="BC377" s="36"/>
      <c r="BD377" s="36"/>
      <c r="BE377" s="36"/>
      <c r="BF377" s="36"/>
      <c r="BG377" s="36"/>
      <c r="BH377" s="36"/>
      <c r="CP377" s="18"/>
      <c r="CR377" s="243"/>
    </row>
    <row r="378" spans="1:96" s="16" customFormat="1" ht="18" customHeight="1">
      <c r="A378" s="17"/>
      <c r="O378" s="35"/>
      <c r="P378" s="36"/>
      <c r="Q378" s="36"/>
      <c r="R378" s="36"/>
      <c r="S378" s="36"/>
      <c r="T378" s="36"/>
      <c r="U378" s="36"/>
      <c r="V378" s="36"/>
      <c r="W378" s="36"/>
      <c r="X378" s="36"/>
      <c r="Y378" s="29"/>
      <c r="Z378" s="29"/>
      <c r="AA378" s="35"/>
      <c r="AB378" s="36"/>
      <c r="AC378" s="36"/>
      <c r="AD378" s="36"/>
      <c r="AE378" s="36"/>
      <c r="AF378" s="36"/>
      <c r="AG378" s="36"/>
      <c r="AH378" s="36"/>
      <c r="AI378" s="36"/>
      <c r="AJ378" s="36"/>
      <c r="AK378" s="29"/>
      <c r="AL378" s="29"/>
      <c r="AM378" s="35"/>
      <c r="AN378" s="36"/>
      <c r="AO378" s="36"/>
      <c r="AP378" s="36"/>
      <c r="AQ378" s="36"/>
      <c r="AR378" s="36"/>
      <c r="AS378" s="36"/>
      <c r="AT378" s="36"/>
      <c r="AU378" s="36"/>
      <c r="AV378" s="36"/>
      <c r="AW378" s="31"/>
      <c r="AX378" s="29"/>
      <c r="AY378" s="35"/>
      <c r="AZ378" s="36"/>
      <c r="BA378" s="36"/>
      <c r="BB378" s="36"/>
      <c r="BC378" s="36"/>
      <c r="BD378" s="36"/>
      <c r="BE378" s="36"/>
      <c r="BF378" s="36"/>
      <c r="BG378" s="36"/>
      <c r="BH378" s="36"/>
      <c r="CP378" s="18"/>
      <c r="CR378" s="243"/>
    </row>
    <row r="379" spans="1:96" s="16" customFormat="1" ht="18" customHeight="1">
      <c r="A379" s="17"/>
      <c r="O379" s="35"/>
      <c r="P379" s="36"/>
      <c r="Q379" s="36"/>
      <c r="R379" s="36"/>
      <c r="S379" s="36"/>
      <c r="T379" s="36"/>
      <c r="U379" s="36"/>
      <c r="V379" s="36"/>
      <c r="W379" s="36"/>
      <c r="X379" s="36"/>
      <c r="Y379" s="29"/>
      <c r="Z379" s="29"/>
      <c r="AA379" s="35"/>
      <c r="AB379" s="36"/>
      <c r="AC379" s="36"/>
      <c r="AD379" s="36"/>
      <c r="AE379" s="36"/>
      <c r="AF379" s="36"/>
      <c r="AG379" s="36"/>
      <c r="AH379" s="36"/>
      <c r="AI379" s="36"/>
      <c r="AJ379" s="36"/>
      <c r="AK379" s="29"/>
      <c r="AL379" s="29"/>
      <c r="AM379" s="35"/>
      <c r="AN379" s="36"/>
      <c r="AO379" s="36"/>
      <c r="AP379" s="36"/>
      <c r="AQ379" s="36"/>
      <c r="AR379" s="36"/>
      <c r="AS379" s="36"/>
      <c r="AT379" s="36"/>
      <c r="AU379" s="36"/>
      <c r="AV379" s="36"/>
      <c r="AW379" s="31"/>
      <c r="AX379" s="29"/>
      <c r="AY379" s="35"/>
      <c r="AZ379" s="36"/>
      <c r="BA379" s="36"/>
      <c r="BB379" s="36"/>
      <c r="BC379" s="36"/>
      <c r="BD379" s="36"/>
      <c r="BE379" s="36"/>
      <c r="BF379" s="36"/>
      <c r="BG379" s="36"/>
      <c r="BH379" s="36"/>
      <c r="CP379" s="18"/>
      <c r="CR379" s="243"/>
    </row>
    <row r="380" spans="1:96" s="16" customFormat="1" ht="18" customHeight="1">
      <c r="A380" s="17"/>
      <c r="O380" s="35"/>
      <c r="P380" s="36"/>
      <c r="Q380" s="36"/>
      <c r="R380" s="36"/>
      <c r="S380" s="36"/>
      <c r="T380" s="36"/>
      <c r="U380" s="36"/>
      <c r="V380" s="36"/>
      <c r="W380" s="36"/>
      <c r="X380" s="36"/>
      <c r="Y380" s="29"/>
      <c r="Z380" s="29"/>
      <c r="AA380" s="35"/>
      <c r="AB380" s="36"/>
      <c r="AC380" s="36"/>
      <c r="AD380" s="36"/>
      <c r="AE380" s="36"/>
      <c r="AF380" s="36"/>
      <c r="AG380" s="36"/>
      <c r="AH380" s="36"/>
      <c r="AI380" s="36"/>
      <c r="AJ380" s="36"/>
      <c r="AK380" s="29"/>
      <c r="AL380" s="29"/>
      <c r="AM380" s="35"/>
      <c r="AN380" s="36"/>
      <c r="AO380" s="36"/>
      <c r="AP380" s="36"/>
      <c r="AQ380" s="36"/>
      <c r="AR380" s="36"/>
      <c r="AS380" s="36"/>
      <c r="AT380" s="36"/>
      <c r="AU380" s="36"/>
      <c r="AV380" s="36"/>
      <c r="AW380" s="31"/>
      <c r="AX380" s="29"/>
      <c r="AY380" s="35"/>
      <c r="AZ380" s="36"/>
      <c r="BA380" s="36"/>
      <c r="BB380" s="36"/>
      <c r="BC380" s="36"/>
      <c r="BD380" s="36"/>
      <c r="BE380" s="36"/>
      <c r="BF380" s="36"/>
      <c r="BG380" s="36"/>
      <c r="BH380" s="36"/>
      <c r="CP380" s="18"/>
      <c r="CR380" s="243"/>
    </row>
    <row r="381" spans="1:96" s="16" customFormat="1" ht="18" customHeight="1">
      <c r="A381" s="17"/>
      <c r="O381" s="35"/>
      <c r="P381" s="36"/>
      <c r="Q381" s="36"/>
      <c r="R381" s="36"/>
      <c r="S381" s="36"/>
      <c r="T381" s="36"/>
      <c r="U381" s="36"/>
      <c r="V381" s="36"/>
      <c r="W381" s="36"/>
      <c r="X381" s="36"/>
      <c r="Y381" s="29"/>
      <c r="Z381" s="29"/>
      <c r="AA381" s="35"/>
      <c r="AB381" s="36"/>
      <c r="AC381" s="36"/>
      <c r="AD381" s="36"/>
      <c r="AE381" s="36"/>
      <c r="AF381" s="36"/>
      <c r="AG381" s="36"/>
      <c r="AH381" s="36"/>
      <c r="AI381" s="36"/>
      <c r="AJ381" s="36"/>
      <c r="AK381" s="29"/>
      <c r="AL381" s="29"/>
      <c r="AM381" s="35"/>
      <c r="AN381" s="36"/>
      <c r="AO381" s="36"/>
      <c r="AP381" s="36"/>
      <c r="AQ381" s="36"/>
      <c r="AR381" s="36"/>
      <c r="AS381" s="36"/>
      <c r="AT381" s="36"/>
      <c r="AU381" s="36"/>
      <c r="AV381" s="36"/>
      <c r="AW381" s="31"/>
      <c r="AX381" s="29"/>
      <c r="AY381" s="35"/>
      <c r="AZ381" s="36"/>
      <c r="BA381" s="36"/>
      <c r="BB381" s="36"/>
      <c r="BC381" s="36"/>
      <c r="BD381" s="36"/>
      <c r="BE381" s="36"/>
      <c r="BF381" s="36"/>
      <c r="BG381" s="36"/>
      <c r="BH381" s="36"/>
      <c r="CP381" s="18"/>
      <c r="CR381" s="243"/>
    </row>
    <row r="382" spans="1:96" s="16" customFormat="1" ht="18" customHeight="1">
      <c r="A382" s="17"/>
      <c r="O382" s="35"/>
      <c r="P382" s="36"/>
      <c r="Q382" s="36"/>
      <c r="R382" s="36"/>
      <c r="S382" s="36"/>
      <c r="T382" s="36"/>
      <c r="U382" s="36"/>
      <c r="V382" s="36"/>
      <c r="W382" s="36"/>
      <c r="X382" s="36"/>
      <c r="Y382" s="29"/>
      <c r="Z382" s="29"/>
      <c r="AA382" s="35"/>
      <c r="AB382" s="36"/>
      <c r="AC382" s="36"/>
      <c r="AD382" s="36"/>
      <c r="AE382" s="36"/>
      <c r="AF382" s="36"/>
      <c r="AG382" s="36"/>
      <c r="AH382" s="36"/>
      <c r="AI382" s="36"/>
      <c r="AJ382" s="36"/>
      <c r="AK382" s="29"/>
      <c r="AL382" s="29"/>
      <c r="AM382" s="35"/>
      <c r="AN382" s="36"/>
      <c r="AO382" s="36"/>
      <c r="AP382" s="36"/>
      <c r="AQ382" s="36"/>
      <c r="AR382" s="36"/>
      <c r="AS382" s="36"/>
      <c r="AT382" s="36"/>
      <c r="AU382" s="36"/>
      <c r="AV382" s="36"/>
      <c r="AW382" s="31"/>
      <c r="AX382" s="29"/>
      <c r="AY382" s="35"/>
      <c r="AZ382" s="36"/>
      <c r="BA382" s="36"/>
      <c r="BB382" s="36"/>
      <c r="BC382" s="36"/>
      <c r="BD382" s="36"/>
      <c r="BE382" s="36"/>
      <c r="BF382" s="36"/>
      <c r="BG382" s="36"/>
      <c r="BH382" s="36"/>
      <c r="CP382" s="18"/>
      <c r="CR382" s="243"/>
    </row>
    <row r="383" spans="1:96" s="16" customFormat="1" ht="18" customHeight="1">
      <c r="A383" s="17"/>
      <c r="O383" s="35"/>
      <c r="P383" s="36"/>
      <c r="Q383" s="36"/>
      <c r="R383" s="36"/>
      <c r="S383" s="36"/>
      <c r="T383" s="36"/>
      <c r="U383" s="36"/>
      <c r="V383" s="36"/>
      <c r="W383" s="36"/>
      <c r="X383" s="36"/>
      <c r="Y383" s="29"/>
      <c r="Z383" s="29"/>
      <c r="AA383" s="35"/>
      <c r="AB383" s="36"/>
      <c r="AC383" s="36"/>
      <c r="AD383" s="36"/>
      <c r="AE383" s="36"/>
      <c r="AF383" s="36"/>
      <c r="AG383" s="36"/>
      <c r="AH383" s="36"/>
      <c r="AI383" s="36"/>
      <c r="AJ383" s="36"/>
      <c r="AK383" s="29"/>
      <c r="AL383" s="29"/>
      <c r="AM383" s="35"/>
      <c r="AN383" s="36"/>
      <c r="AO383" s="36"/>
      <c r="AP383" s="36"/>
      <c r="AQ383" s="36"/>
      <c r="AR383" s="36"/>
      <c r="AS383" s="36"/>
      <c r="AT383" s="36"/>
      <c r="AU383" s="36"/>
      <c r="AV383" s="36"/>
      <c r="AW383" s="31"/>
      <c r="AX383" s="29"/>
      <c r="AY383" s="35"/>
      <c r="AZ383" s="36"/>
      <c r="BA383" s="36"/>
      <c r="BB383" s="36"/>
      <c r="BC383" s="36"/>
      <c r="BD383" s="36"/>
      <c r="BE383" s="36"/>
      <c r="BF383" s="36"/>
      <c r="BG383" s="36"/>
      <c r="BH383" s="36"/>
      <c r="CP383" s="18"/>
      <c r="CR383" s="243"/>
    </row>
    <row r="384" spans="1:96" s="16" customFormat="1" ht="18" customHeight="1">
      <c r="A384" s="37"/>
      <c r="B384" s="38"/>
      <c r="C384" s="38"/>
      <c r="D384" s="38"/>
      <c r="E384" s="38"/>
      <c r="F384" s="38"/>
      <c r="G384" s="38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38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D384" s="38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8"/>
      <c r="AU384" s="38"/>
      <c r="AV384" s="38"/>
      <c r="AW384" s="38"/>
      <c r="AX384" s="38"/>
      <c r="AY384" s="38"/>
      <c r="AZ384" s="38"/>
      <c r="BA384" s="38"/>
      <c r="BB384" s="38"/>
      <c r="BC384" s="38"/>
      <c r="BD384" s="38"/>
      <c r="BE384" s="38"/>
      <c r="BF384" s="38"/>
      <c r="BG384" s="38"/>
      <c r="BH384" s="38"/>
      <c r="BI384" s="38"/>
      <c r="BJ384" s="38"/>
      <c r="BK384" s="38"/>
      <c r="BL384" s="38"/>
      <c r="BM384" s="38"/>
      <c r="BN384" s="38"/>
      <c r="BO384" s="38"/>
      <c r="BP384" s="38"/>
      <c r="BQ384" s="38"/>
      <c r="BR384" s="38"/>
      <c r="BS384" s="38"/>
      <c r="BT384" s="38"/>
      <c r="BU384" s="38"/>
      <c r="BV384" s="38"/>
      <c r="BW384" s="38"/>
      <c r="BX384" s="38"/>
      <c r="BY384" s="38"/>
      <c r="BZ384" s="38"/>
      <c r="CA384" s="38"/>
      <c r="CB384" s="38"/>
      <c r="CC384" s="38"/>
      <c r="CD384" s="38"/>
      <c r="CE384" s="38"/>
      <c r="CF384" s="38"/>
      <c r="CG384" s="38"/>
      <c r="CH384" s="38"/>
      <c r="CI384" s="38"/>
      <c r="CJ384" s="38"/>
      <c r="CK384" s="38"/>
      <c r="CL384" s="38"/>
      <c r="CM384" s="38"/>
      <c r="CN384" s="38"/>
      <c r="CO384" s="38"/>
      <c r="CP384" s="39"/>
      <c r="CR384" s="243"/>
    </row>
    <row r="385" spans="1:97" s="16" customFormat="1" ht="30.75" customHeight="1">
      <c r="A385" s="1467" t="s">
        <v>813</v>
      </c>
      <c r="B385" s="1468"/>
      <c r="C385" s="1468"/>
      <c r="D385" s="1468"/>
      <c r="E385" s="1468"/>
      <c r="F385" s="1468"/>
      <c r="G385" s="1468"/>
      <c r="H385" s="1468"/>
      <c r="I385" s="1468"/>
      <c r="J385" s="1468"/>
      <c r="K385" s="1468"/>
      <c r="L385" s="1468"/>
      <c r="M385" s="1468"/>
      <c r="N385" s="1468"/>
      <c r="O385" s="1468"/>
      <c r="P385" s="1468"/>
      <c r="Q385" s="1468"/>
      <c r="R385" s="1468"/>
      <c r="S385" s="1468"/>
      <c r="T385" s="1468"/>
      <c r="U385" s="1468"/>
      <c r="V385" s="1468"/>
      <c r="W385" s="1468"/>
      <c r="X385" s="1468"/>
      <c r="Y385" s="1468"/>
      <c r="Z385" s="1468"/>
      <c r="AA385" s="1468"/>
      <c r="AB385" s="1468"/>
      <c r="AC385" s="1468"/>
      <c r="AD385" s="1468"/>
      <c r="AE385" s="1468"/>
      <c r="AF385" s="1468"/>
      <c r="AG385" s="1468"/>
      <c r="AH385" s="1468"/>
      <c r="AI385" s="1468"/>
      <c r="AJ385" s="1468"/>
      <c r="AK385" s="1468"/>
      <c r="AL385" s="1468"/>
      <c r="AM385" s="1468"/>
      <c r="AN385" s="1468"/>
      <c r="AO385" s="1468"/>
      <c r="AP385" s="1468"/>
      <c r="AQ385" s="1468"/>
      <c r="AR385" s="1468"/>
      <c r="AS385" s="1468"/>
      <c r="AT385" s="1468"/>
      <c r="AU385" s="1468"/>
      <c r="AV385" s="1468"/>
      <c r="AW385" s="1468"/>
      <c r="AX385" s="1468"/>
      <c r="AY385" s="1468"/>
      <c r="AZ385" s="1468"/>
      <c r="BA385" s="1468"/>
      <c r="BB385" s="1468"/>
      <c r="BC385" s="1468"/>
      <c r="BD385" s="1468"/>
      <c r="BE385" s="1468"/>
      <c r="BF385" s="1468"/>
      <c r="BG385" s="1468"/>
      <c r="BH385" s="1468"/>
      <c r="BI385" s="1468"/>
      <c r="BJ385" s="1468"/>
      <c r="BK385" s="1468"/>
      <c r="BL385" s="1468"/>
      <c r="BM385" s="1468"/>
      <c r="BN385" s="1468"/>
      <c r="BO385" s="1468"/>
      <c r="BP385" s="1468"/>
      <c r="BQ385" s="1468"/>
      <c r="BR385" s="1468"/>
      <c r="BS385" s="1468"/>
      <c r="BT385" s="1468"/>
      <c r="BU385" s="1468"/>
      <c r="BV385" s="1468"/>
      <c r="BW385" s="1468"/>
      <c r="BX385" s="1468"/>
      <c r="BY385" s="1468"/>
      <c r="BZ385" s="1468"/>
      <c r="CA385" s="1468"/>
      <c r="CB385" s="1468"/>
      <c r="CC385" s="1468"/>
      <c r="CD385" s="1468"/>
      <c r="CE385" s="1468"/>
      <c r="CF385" s="1468"/>
      <c r="CG385" s="1468"/>
      <c r="CH385" s="1468"/>
      <c r="CI385" s="1468"/>
      <c r="CJ385" s="1468"/>
      <c r="CK385" s="1468"/>
      <c r="CL385" s="1468"/>
      <c r="CM385" s="1468"/>
      <c r="CN385" s="1468"/>
      <c r="CO385" s="1468"/>
      <c r="CP385" s="1469"/>
      <c r="CR385" s="243"/>
    </row>
    <row r="386" spans="1:97" s="16" customFormat="1" ht="18" customHeight="1">
      <c r="A386" s="40"/>
      <c r="B386" s="41"/>
      <c r="C386" s="41"/>
      <c r="D386" s="42" t="s">
        <v>299</v>
      </c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57" t="s">
        <v>814</v>
      </c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  <c r="AA386" s="41"/>
      <c r="AB386" s="41"/>
      <c r="AC386" s="41"/>
      <c r="AD386" s="41"/>
      <c r="AE386" s="41"/>
      <c r="AF386" s="41"/>
      <c r="AG386" s="41"/>
      <c r="AH386" s="41"/>
      <c r="AI386" s="41"/>
      <c r="AJ386" s="41"/>
      <c r="AK386" s="41"/>
      <c r="AL386" s="41"/>
      <c r="AM386" s="41"/>
      <c r="AN386" s="41"/>
      <c r="AO386" s="41"/>
      <c r="AP386" s="41"/>
      <c r="AQ386" s="41"/>
      <c r="AR386" s="41"/>
      <c r="AS386" s="41"/>
      <c r="AT386" s="41"/>
      <c r="AU386" s="41"/>
      <c r="AV386" s="41"/>
      <c r="AW386" s="41"/>
      <c r="AX386" s="41"/>
      <c r="AY386" s="41"/>
      <c r="AZ386" s="41"/>
      <c r="BA386" s="41"/>
      <c r="BB386" s="41"/>
      <c r="BC386" s="41"/>
      <c r="BD386" s="41"/>
      <c r="BE386" s="41"/>
      <c r="BF386" s="41"/>
      <c r="BG386" s="41"/>
      <c r="BH386" s="41"/>
      <c r="BI386" s="41"/>
      <c r="BJ386" s="41"/>
      <c r="BK386" s="41" t="s">
        <v>104</v>
      </c>
      <c r="BL386" s="41"/>
      <c r="BM386" s="41"/>
      <c r="BN386" s="41"/>
      <c r="BO386" s="41"/>
      <c r="BP386" s="41"/>
      <c r="BQ386" s="41"/>
      <c r="BR386" s="41"/>
      <c r="BS386" s="41"/>
      <c r="BT386" s="41"/>
      <c r="BU386" s="41"/>
      <c r="BV386" s="41"/>
      <c r="BW386" s="1470">
        <v>46748</v>
      </c>
      <c r="BX386" s="1470"/>
      <c r="BY386" s="1470"/>
      <c r="BZ386" s="1470"/>
      <c r="CA386" s="1470"/>
      <c r="CB386" s="1470"/>
      <c r="CC386" s="1470"/>
      <c r="CD386" s="1470"/>
      <c r="CE386" s="1470"/>
      <c r="CF386" s="1470"/>
      <c r="CG386" s="58" t="s">
        <v>107</v>
      </c>
      <c r="CH386" s="41"/>
      <c r="CI386" s="41"/>
      <c r="CJ386" s="41"/>
      <c r="CK386" s="41"/>
      <c r="CL386" s="41"/>
      <c r="CM386" s="41"/>
      <c r="CN386" s="41"/>
      <c r="CO386" s="41"/>
      <c r="CP386" s="43"/>
      <c r="CR386" s="247"/>
    </row>
    <row r="387" spans="1:97" s="16" customFormat="1" ht="18" customHeight="1">
      <c r="A387" s="17"/>
      <c r="CP387" s="18"/>
      <c r="CR387" s="662"/>
      <c r="CS387" s="663" t="s">
        <v>782</v>
      </c>
    </row>
    <row r="388" spans="1:97" s="16" customFormat="1" ht="18" customHeight="1">
      <c r="A388" s="17"/>
      <c r="D388" s="1461" t="s">
        <v>635</v>
      </c>
      <c r="E388" s="1462"/>
      <c r="F388" s="1462"/>
      <c r="G388" s="1462"/>
      <c r="H388" s="1462"/>
      <c r="I388" s="1462"/>
      <c r="J388" s="1462"/>
      <c r="K388" s="1462"/>
      <c r="L388" s="1462"/>
      <c r="M388" s="1462"/>
      <c r="N388" s="1462"/>
      <c r="O388" s="1462"/>
      <c r="P388" s="1462"/>
      <c r="Q388" s="1462"/>
      <c r="R388" s="1462"/>
      <c r="S388" s="1462"/>
      <c r="T388" s="1462"/>
      <c r="U388" s="1462"/>
      <c r="V388" s="1462"/>
      <c r="W388" s="1462"/>
      <c r="X388" s="1462"/>
      <c r="Y388" s="1462"/>
      <c r="Z388" s="1462"/>
      <c r="AA388" s="1462"/>
      <c r="AB388" s="1462"/>
      <c r="AC388" s="1462"/>
      <c r="AD388" s="1462"/>
      <c r="AE388" s="1462"/>
      <c r="AF388" s="1462"/>
      <c r="AG388" s="1462"/>
      <c r="AH388" s="1462"/>
      <c r="AI388" s="1462"/>
      <c r="AJ388" s="1462"/>
      <c r="AK388" s="1462"/>
      <c r="AL388" s="1462"/>
      <c r="AM388" s="1462"/>
      <c r="AN388" s="1462"/>
      <c r="AO388" s="1462"/>
      <c r="AP388" s="1462"/>
      <c r="AQ388" s="1462"/>
      <c r="AR388" s="1462"/>
      <c r="AS388" s="1462"/>
      <c r="AT388" s="1462"/>
      <c r="AU388" s="1462"/>
      <c r="AV388" s="1462"/>
      <c r="AW388" s="1462"/>
      <c r="AX388" s="1462"/>
      <c r="AY388" s="1462"/>
      <c r="AZ388" s="1462"/>
      <c r="BA388" s="1462"/>
      <c r="BB388" s="1462"/>
      <c r="BC388" s="1462"/>
      <c r="BD388" s="1462"/>
      <c r="BE388" s="1462"/>
      <c r="BF388" s="1462"/>
      <c r="BG388" s="1462"/>
      <c r="BH388" s="1462"/>
      <c r="BI388" s="1462"/>
      <c r="BJ388" s="1462"/>
      <c r="BK388" s="1462"/>
      <c r="BL388" s="1462"/>
      <c r="BM388" s="1462"/>
      <c r="BN388" s="1462"/>
      <c r="BO388" s="1462"/>
      <c r="BP388" s="1462"/>
      <c r="BQ388" s="1462"/>
      <c r="BR388" s="1462"/>
      <c r="BS388" s="1462"/>
      <c r="BT388" s="1462"/>
      <c r="BU388" s="1462"/>
      <c r="BV388" s="1462"/>
      <c r="BW388" s="1462"/>
      <c r="BX388" s="1462"/>
      <c r="BY388" s="1462"/>
      <c r="BZ388" s="1462"/>
      <c r="CA388" s="1462"/>
      <c r="CB388" s="1462"/>
      <c r="CC388" s="1462"/>
      <c r="CD388" s="1462"/>
      <c r="CE388" s="1462"/>
      <c r="CF388" s="1462"/>
      <c r="CG388" s="1462"/>
      <c r="CH388" s="1462"/>
      <c r="CI388" s="1462"/>
      <c r="CJ388" s="1462"/>
      <c r="CK388" s="1462"/>
      <c r="CL388" s="1462"/>
      <c r="CM388" s="1462"/>
      <c r="CN388" s="1462"/>
      <c r="CO388" s="1462"/>
      <c r="CP388" s="18"/>
      <c r="CQ388" s="49"/>
      <c r="CR388" s="662"/>
      <c r="CS388" s="664"/>
    </row>
    <row r="389" spans="1:97" s="16" customFormat="1" ht="18" customHeight="1" thickBot="1">
      <c r="A389" s="17"/>
      <c r="E389" s="16" t="s">
        <v>60</v>
      </c>
      <c r="U389" s="1466">
        <v>1</v>
      </c>
      <c r="V389" s="1466"/>
      <c r="W389" s="1466"/>
      <c r="X389" s="1466"/>
      <c r="Y389" s="1466"/>
      <c r="Z389" s="29" t="s">
        <v>105</v>
      </c>
      <c r="AA389" s="29"/>
      <c r="AB389" s="29"/>
      <c r="AC389" s="29"/>
      <c r="AD389" s="29"/>
      <c r="AE389" s="1471">
        <f>CR389</f>
        <v>283323</v>
      </c>
      <c r="AF389" s="1471"/>
      <c r="AG389" s="1471"/>
      <c r="AH389" s="1471"/>
      <c r="AI389" s="1471"/>
      <c r="AJ389" s="1471"/>
      <c r="AK389" s="1471"/>
      <c r="AL389" s="1471"/>
      <c r="AM389" s="16" t="s">
        <v>106</v>
      </c>
      <c r="AU389" s="1466">
        <v>8</v>
      </c>
      <c r="AV389" s="1466"/>
      <c r="AW389" s="1466"/>
      <c r="AX389" s="29" t="s">
        <v>100</v>
      </c>
      <c r="AY389" s="29"/>
      <c r="AZ389" s="29">
        <v>25</v>
      </c>
      <c r="BA389" s="29"/>
      <c r="BB389" s="29"/>
      <c r="BC389" s="29" t="s">
        <v>99</v>
      </c>
      <c r="BD389" s="29"/>
      <c r="BE389" s="1466">
        <v>20</v>
      </c>
      <c r="BF389" s="1466"/>
      <c r="BG389" s="1466"/>
      <c r="BH389" s="29" t="s">
        <v>100</v>
      </c>
      <c r="BI389" s="29"/>
      <c r="BJ389" s="1466">
        <v>16</v>
      </c>
      <c r="BK389" s="1466"/>
      <c r="BL389" s="1466"/>
      <c r="BM389" s="29" t="s">
        <v>99</v>
      </c>
      <c r="BN389" s="29"/>
      <c r="BO389" s="1466">
        <v>12</v>
      </c>
      <c r="BP389" s="1466"/>
      <c r="BQ389" s="1466"/>
      <c r="BR389" s="1466"/>
      <c r="BS389" s="31" t="s">
        <v>103</v>
      </c>
      <c r="BT389" s="29"/>
      <c r="BU389" s="1458">
        <f>INT(U389*AE389*(1/AU389*(AZ389/BE389)*(BJ389/BO389)))</f>
        <v>59025</v>
      </c>
      <c r="BV389" s="1458"/>
      <c r="BW389" s="1458"/>
      <c r="BX389" s="1458"/>
      <c r="BY389" s="1458"/>
      <c r="BZ389" s="1458"/>
      <c r="CA389" s="1458"/>
      <c r="CB389" s="1458"/>
      <c r="CC389" s="16" t="s">
        <v>98</v>
      </c>
      <c r="CP389" s="18"/>
      <c r="CQ389" s="16" t="s">
        <v>97</v>
      </c>
      <c r="CR389" s="244">
        <f>VLOOKUP(CQ389,인건비!A:B,2,FALSE)</f>
        <v>283323</v>
      </c>
    </row>
    <row r="390" spans="1:97" s="16" customFormat="1" ht="18" customHeight="1" thickTop="1">
      <c r="A390" s="17"/>
      <c r="D390" s="33"/>
      <c r="E390" s="34" t="s">
        <v>44</v>
      </c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3"/>
      <c r="T390" s="33"/>
      <c r="U390" s="33"/>
      <c r="V390" s="33"/>
      <c r="W390" s="33"/>
      <c r="X390" s="33"/>
      <c r="Y390" s="33"/>
      <c r="Z390" s="33"/>
      <c r="AA390" s="33"/>
      <c r="AB390" s="33"/>
      <c r="AC390" s="33"/>
      <c r="AD390" s="33"/>
      <c r="AE390" s="33"/>
      <c r="AF390" s="33"/>
      <c r="AG390" s="33"/>
      <c r="AH390" s="33"/>
      <c r="AI390" s="33"/>
      <c r="AJ390" s="33"/>
      <c r="AK390" s="33"/>
      <c r="AL390" s="33"/>
      <c r="AM390" s="33"/>
      <c r="AN390" s="33"/>
      <c r="AO390" s="33"/>
      <c r="AP390" s="33"/>
      <c r="AQ390" s="33"/>
      <c r="AR390" s="33"/>
      <c r="AS390" s="33"/>
      <c r="AT390" s="33"/>
      <c r="AU390" s="33"/>
      <c r="AV390" s="33"/>
      <c r="AW390" s="33"/>
      <c r="AX390" s="33"/>
      <c r="AY390" s="33"/>
      <c r="AZ390" s="33"/>
      <c r="BA390" s="33"/>
      <c r="BB390" s="33"/>
      <c r="BC390" s="33"/>
      <c r="BD390" s="33"/>
      <c r="BE390" s="33"/>
      <c r="BF390" s="33"/>
      <c r="BG390" s="33"/>
      <c r="BH390" s="33"/>
      <c r="BI390" s="33"/>
      <c r="BJ390" s="33"/>
      <c r="BK390" s="33"/>
      <c r="BL390" s="33"/>
      <c r="BM390" s="33"/>
      <c r="BN390" s="33"/>
      <c r="BO390" s="33"/>
      <c r="BP390" s="33"/>
      <c r="BQ390" s="33"/>
      <c r="BR390" s="33"/>
      <c r="BS390" s="33"/>
      <c r="BT390" s="33"/>
      <c r="BU390" s="1459">
        <f>INT(SUM(BU389:BU389))</f>
        <v>59025</v>
      </c>
      <c r="BV390" s="1459"/>
      <c r="BW390" s="1459"/>
      <c r="BX390" s="1459"/>
      <c r="BY390" s="1459"/>
      <c r="BZ390" s="1459"/>
      <c r="CA390" s="1459"/>
      <c r="CB390" s="1459"/>
      <c r="CC390" s="33" t="s">
        <v>98</v>
      </c>
      <c r="CD390" s="33"/>
      <c r="CE390" s="33"/>
      <c r="CF390" s="33"/>
      <c r="CG390" s="33"/>
      <c r="CH390" s="33"/>
      <c r="CI390" s="33"/>
      <c r="CP390" s="18"/>
      <c r="CR390" s="244"/>
    </row>
    <row r="391" spans="1:97" s="16" customFormat="1" ht="18" customHeight="1">
      <c r="A391" s="17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BU391" s="32"/>
      <c r="BV391" s="29"/>
      <c r="BW391" s="29"/>
      <c r="BX391" s="29"/>
      <c r="BY391" s="29"/>
      <c r="BZ391" s="29"/>
      <c r="CA391" s="29"/>
      <c r="CB391" s="29"/>
      <c r="CP391" s="18"/>
      <c r="CQ391" s="16" t="s">
        <v>176</v>
      </c>
      <c r="CR391" s="244">
        <f>VLOOKUP(CQ391,인건비!A:B,2,FALSE)</f>
        <v>210909</v>
      </c>
    </row>
    <row r="392" spans="1:97" s="16" customFormat="1" ht="18" customHeight="1">
      <c r="A392" s="17"/>
      <c r="BV392" s="32"/>
      <c r="BW392" s="29"/>
      <c r="BX392" s="29"/>
      <c r="BY392" s="29"/>
      <c r="BZ392" s="29"/>
      <c r="CA392" s="29"/>
      <c r="CB392" s="29"/>
      <c r="CC392" s="29"/>
      <c r="CD392" s="29"/>
      <c r="CP392" s="18"/>
      <c r="CQ392" s="16" t="s">
        <v>96</v>
      </c>
      <c r="CR392" s="244">
        <f>VLOOKUP(CQ392,인건비!A:B,2,FALSE)</f>
        <v>173995</v>
      </c>
    </row>
    <row r="393" spans="1:97" s="16" customFormat="1" ht="18" customHeight="1">
      <c r="A393" s="17"/>
      <c r="D393" s="1461" t="s">
        <v>640</v>
      </c>
      <c r="E393" s="1462"/>
      <c r="F393" s="1462"/>
      <c r="G393" s="1462"/>
      <c r="H393" s="1462"/>
      <c r="I393" s="1462"/>
      <c r="J393" s="1462"/>
      <c r="K393" s="1462"/>
      <c r="L393" s="1462"/>
      <c r="M393" s="1462"/>
      <c r="N393" s="1462"/>
      <c r="O393" s="1462"/>
      <c r="P393" s="1462"/>
      <c r="Q393" s="1462"/>
      <c r="R393" s="1462"/>
      <c r="S393" s="1462"/>
      <c r="T393" s="1462"/>
      <c r="U393" s="1462"/>
      <c r="V393" s="1462"/>
      <c r="W393" s="1462"/>
      <c r="X393" s="1462"/>
      <c r="Y393" s="1462"/>
      <c r="Z393" s="1462"/>
      <c r="AA393" s="1462"/>
      <c r="AB393" s="1462"/>
      <c r="AC393" s="1462"/>
      <c r="AD393" s="1462"/>
      <c r="AE393" s="1462"/>
      <c r="AF393" s="1462"/>
      <c r="AG393" s="1462"/>
      <c r="AH393" s="1462"/>
      <c r="AI393" s="1462"/>
      <c r="AJ393" s="1462"/>
      <c r="AK393" s="1462"/>
      <c r="AL393" s="1462"/>
      <c r="AM393" s="1462"/>
      <c r="AN393" s="1462"/>
      <c r="AO393" s="1462"/>
      <c r="AP393" s="1462"/>
      <c r="AQ393" s="1462"/>
      <c r="AR393" s="1462"/>
      <c r="AS393" s="1462"/>
      <c r="AT393" s="1462"/>
      <c r="AU393" s="1462"/>
      <c r="AV393" s="1462"/>
      <c r="AW393" s="1462"/>
      <c r="AX393" s="1462"/>
      <c r="AY393" s="1462"/>
      <c r="AZ393" s="1462"/>
      <c r="BA393" s="1462"/>
      <c r="BB393" s="1462"/>
      <c r="BC393" s="1462"/>
      <c r="BD393" s="1462"/>
      <c r="BE393" s="1462"/>
      <c r="BF393" s="1462"/>
      <c r="BG393" s="1462"/>
      <c r="BH393" s="1462"/>
      <c r="BI393" s="1462"/>
      <c r="BJ393" s="1462"/>
      <c r="BK393" s="1462"/>
      <c r="BL393" s="1462"/>
      <c r="BM393" s="1462"/>
      <c r="BN393" s="1462"/>
      <c r="BO393" s="1462"/>
      <c r="BP393" s="1462"/>
      <c r="BQ393" s="1462"/>
      <c r="BR393" s="1462"/>
      <c r="BS393" s="1462"/>
      <c r="BT393" s="1462"/>
      <c r="BU393" s="1462"/>
      <c r="BV393" s="1462"/>
      <c r="BW393" s="1462"/>
      <c r="BX393" s="1462"/>
      <c r="BY393" s="1462"/>
      <c r="BZ393" s="1462"/>
      <c r="CA393" s="1462"/>
      <c r="CB393" s="1462"/>
      <c r="CC393" s="1462"/>
      <c r="CD393" s="1462"/>
      <c r="CE393" s="1462"/>
      <c r="CF393" s="1462"/>
      <c r="CG393" s="1462"/>
      <c r="CH393" s="1462"/>
      <c r="CI393" s="1462"/>
      <c r="CJ393" s="1462"/>
      <c r="CK393" s="1462"/>
      <c r="CL393" s="1462"/>
      <c r="CM393" s="1462"/>
      <c r="CN393" s="1462"/>
      <c r="CO393" s="1462"/>
      <c r="CP393" s="18"/>
      <c r="CQ393" s="16" t="s">
        <v>95</v>
      </c>
      <c r="CR393" s="244">
        <f>VLOOKUP(CQ393,인건비!A:B,2,FALSE)</f>
        <v>240042</v>
      </c>
    </row>
    <row r="394" spans="1:97" s="16" customFormat="1" ht="18" customHeight="1">
      <c r="A394" s="17"/>
      <c r="E394" s="49" t="s">
        <v>581</v>
      </c>
      <c r="U394" s="1463">
        <v>5</v>
      </c>
      <c r="V394" s="1463"/>
      <c r="W394" s="1463"/>
      <c r="X394" s="1463"/>
      <c r="Y394" s="1463"/>
      <c r="Z394" s="16" t="s">
        <v>266</v>
      </c>
      <c r="AE394" s="1464" t="e">
        <f>CR395</f>
        <v>#REF!</v>
      </c>
      <c r="AF394" s="1464"/>
      <c r="AG394" s="1464"/>
      <c r="AH394" s="1464"/>
      <c r="AI394" s="1464"/>
      <c r="AJ394" s="1464"/>
      <c r="AK394" s="1464"/>
      <c r="AL394" s="1464"/>
      <c r="AM394" s="16" t="s">
        <v>286</v>
      </c>
      <c r="AT394" s="1465" t="e">
        <f>INT(U394*AE394)</f>
        <v>#REF!</v>
      </c>
      <c r="AU394" s="1465"/>
      <c r="AV394" s="1465"/>
      <c r="AW394" s="1465"/>
      <c r="AX394" s="1465"/>
      <c r="AY394" s="1465"/>
      <c r="AZ394" s="1465"/>
      <c r="BA394" s="1465"/>
      <c r="BB394" s="16" t="s">
        <v>98</v>
      </c>
      <c r="CP394" s="18"/>
      <c r="CQ394" s="16" t="s">
        <v>267</v>
      </c>
      <c r="CR394" s="245" t="e">
        <f>#REF!</f>
        <v>#REF!</v>
      </c>
    </row>
    <row r="395" spans="1:97" s="16" customFormat="1" ht="18" customHeight="1" thickBot="1">
      <c r="A395" s="17"/>
      <c r="E395" s="16" t="s">
        <v>288</v>
      </c>
      <c r="U395" s="16" t="s">
        <v>289</v>
      </c>
      <c r="AE395" s="1466">
        <v>18</v>
      </c>
      <c r="AF395" s="1466"/>
      <c r="AG395" s="1466"/>
      <c r="AH395" s="1466"/>
      <c r="AI395" s="1466"/>
      <c r="AJ395" s="1466"/>
      <c r="AK395" s="1466"/>
      <c r="AL395" s="1466"/>
      <c r="AM395" s="16" t="s">
        <v>290</v>
      </c>
      <c r="AT395" s="1458" t="e">
        <f>INT(AT394*AE395/100)</f>
        <v>#REF!</v>
      </c>
      <c r="AU395" s="1458"/>
      <c r="AV395" s="1458"/>
      <c r="AW395" s="1458"/>
      <c r="AX395" s="1458"/>
      <c r="AY395" s="1458"/>
      <c r="AZ395" s="1458"/>
      <c r="BA395" s="1458"/>
      <c r="BB395" s="16" t="s">
        <v>98</v>
      </c>
      <c r="CP395" s="18"/>
      <c r="CQ395" s="16" t="s">
        <v>268</v>
      </c>
      <c r="CR395" s="245" t="e">
        <f>#REF!</f>
        <v>#REF!</v>
      </c>
    </row>
    <row r="396" spans="1:97" s="16" customFormat="1" ht="18" customHeight="1" thickTop="1">
      <c r="A396" s="17"/>
      <c r="D396" s="33"/>
      <c r="E396" s="34" t="s">
        <v>44</v>
      </c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3"/>
      <c r="T396" s="33"/>
      <c r="U396" s="33"/>
      <c r="V396" s="33"/>
      <c r="W396" s="33"/>
      <c r="X396" s="33"/>
      <c r="Y396" s="33"/>
      <c r="Z396" s="33"/>
      <c r="AA396" s="33"/>
      <c r="AB396" s="33"/>
      <c r="AC396" s="33"/>
      <c r="AD396" s="33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3"/>
      <c r="AQ396" s="33"/>
      <c r="AR396" s="33"/>
      <c r="AS396" s="33"/>
      <c r="AT396" s="1459" t="e">
        <f>INT(SUM(AT394+AT395))</f>
        <v>#REF!</v>
      </c>
      <c r="AU396" s="1459"/>
      <c r="AV396" s="1459"/>
      <c r="AW396" s="1459"/>
      <c r="AX396" s="1459"/>
      <c r="AY396" s="1459"/>
      <c r="AZ396" s="1459"/>
      <c r="BA396" s="1459"/>
      <c r="BB396" s="33" t="s">
        <v>98</v>
      </c>
      <c r="BC396" s="33"/>
      <c r="BD396" s="33"/>
      <c r="BE396" s="33"/>
      <c r="BF396" s="33"/>
      <c r="BG396" s="33"/>
      <c r="BH396" s="33"/>
      <c r="BI396" s="33"/>
      <c r="BJ396" s="33"/>
      <c r="BK396" s="33"/>
      <c r="BL396" s="33"/>
      <c r="BM396" s="33"/>
      <c r="BN396" s="33"/>
      <c r="BO396" s="33"/>
      <c r="BP396" s="33"/>
      <c r="BQ396" s="33"/>
      <c r="BR396" s="33"/>
      <c r="BS396" s="33"/>
      <c r="BT396" s="33"/>
      <c r="BU396" s="33"/>
      <c r="BV396" s="33"/>
      <c r="BW396" s="33"/>
      <c r="BX396" s="33"/>
      <c r="BY396" s="33"/>
      <c r="BZ396" s="33"/>
      <c r="CA396" s="33"/>
      <c r="CB396" s="33"/>
      <c r="CC396" s="33"/>
      <c r="CD396" s="33"/>
      <c r="CE396" s="33"/>
      <c r="CF396" s="33"/>
      <c r="CG396" s="33"/>
      <c r="CH396" s="33"/>
      <c r="CI396" s="33"/>
      <c r="CP396" s="18"/>
      <c r="CQ396" s="665" t="s">
        <v>831</v>
      </c>
      <c r="CR396" s="666" t="s">
        <v>639</v>
      </c>
    </row>
    <row r="397" spans="1:97" s="16" customFormat="1" ht="18" customHeight="1">
      <c r="A397" s="17"/>
      <c r="CP397" s="18"/>
      <c r="CQ397" s="664"/>
      <c r="CR397" s="667"/>
    </row>
    <row r="398" spans="1:97" s="16" customFormat="1" ht="18" customHeight="1">
      <c r="A398" s="17"/>
      <c r="D398" s="1461" t="s">
        <v>637</v>
      </c>
      <c r="E398" s="1462"/>
      <c r="F398" s="1462"/>
      <c r="G398" s="1462"/>
      <c r="H398" s="1462"/>
      <c r="I398" s="1462"/>
      <c r="J398" s="1462"/>
      <c r="K398" s="1462"/>
      <c r="L398" s="1462"/>
      <c r="M398" s="1462"/>
      <c r="N398" s="1462"/>
      <c r="O398" s="1462"/>
      <c r="P398" s="1462"/>
      <c r="Q398" s="1462"/>
      <c r="R398" s="1462"/>
      <c r="S398" s="1462"/>
      <c r="T398" s="1462"/>
      <c r="U398" s="1462"/>
      <c r="V398" s="1462"/>
      <c r="W398" s="1462"/>
      <c r="X398" s="1462"/>
      <c r="Y398" s="1462"/>
      <c r="Z398" s="1462"/>
      <c r="AA398" s="1462"/>
      <c r="AB398" s="1462"/>
      <c r="AC398" s="1462"/>
      <c r="AD398" s="1462"/>
      <c r="AE398" s="1462"/>
      <c r="AF398" s="1462"/>
      <c r="AG398" s="1462"/>
      <c r="AH398" s="1462"/>
      <c r="AI398" s="1462"/>
      <c r="AJ398" s="1462"/>
      <c r="AK398" s="1462"/>
      <c r="AL398" s="1462"/>
      <c r="AM398" s="1462"/>
      <c r="AN398" s="1462"/>
      <c r="AO398" s="1462"/>
      <c r="AP398" s="1462"/>
      <c r="AQ398" s="1462"/>
      <c r="AR398" s="1462"/>
      <c r="AS398" s="1462"/>
      <c r="AT398" s="1462"/>
      <c r="AU398" s="1462"/>
      <c r="AV398" s="1462"/>
      <c r="AW398" s="1462"/>
      <c r="AX398" s="1462"/>
      <c r="AY398" s="1462"/>
      <c r="AZ398" s="1462"/>
      <c r="BA398" s="1462"/>
      <c r="BB398" s="1462"/>
      <c r="BC398" s="1462"/>
      <c r="BD398" s="1462"/>
      <c r="BE398" s="1462"/>
      <c r="BF398" s="1462"/>
      <c r="BG398" s="1462"/>
      <c r="BH398" s="1462"/>
      <c r="BI398" s="1462"/>
      <c r="BJ398" s="1462"/>
      <c r="BK398" s="1462"/>
      <c r="BL398" s="1462"/>
      <c r="BM398" s="1462"/>
      <c r="BN398" s="1462"/>
      <c r="BO398" s="1462"/>
      <c r="BP398" s="1462"/>
      <c r="BQ398" s="1462"/>
      <c r="BR398" s="1462"/>
      <c r="BS398" s="1462"/>
      <c r="BT398" s="1462"/>
      <c r="BU398" s="1462"/>
      <c r="BV398" s="1462"/>
      <c r="BW398" s="1462"/>
      <c r="BX398" s="1462"/>
      <c r="BY398" s="1462"/>
      <c r="BZ398" s="1462"/>
      <c r="CA398" s="1462"/>
      <c r="CB398" s="1462"/>
      <c r="CC398" s="1462"/>
      <c r="CD398" s="1462"/>
      <c r="CE398" s="1462"/>
      <c r="CF398" s="1462"/>
      <c r="CG398" s="1462"/>
      <c r="CH398" s="1462"/>
      <c r="CI398" s="1462"/>
      <c r="CJ398" s="1462"/>
      <c r="CK398" s="1462"/>
      <c r="CL398" s="1462"/>
      <c r="CM398" s="1462"/>
      <c r="CN398" s="1462"/>
      <c r="CO398" s="1462"/>
      <c r="CP398" s="18"/>
      <c r="CQ398" s="664"/>
      <c r="CR398" s="667"/>
    </row>
    <row r="399" spans="1:97" s="16" customFormat="1" ht="18" customHeight="1" thickBot="1">
      <c r="A399" s="17"/>
      <c r="E399" s="49" t="s">
        <v>815</v>
      </c>
      <c r="AA399" s="1456">
        <v>1863</v>
      </c>
      <c r="AB399" s="1456"/>
      <c r="AC399" s="1456"/>
      <c r="AD399" s="1456"/>
      <c r="AE399" s="1456"/>
      <c r="AF399" s="1456"/>
      <c r="AG399" s="1456"/>
      <c r="AH399" s="1456"/>
      <c r="AI399" s="29" t="s">
        <v>99</v>
      </c>
      <c r="AJ399" s="29"/>
      <c r="AK399" s="1457">
        <v>10000000</v>
      </c>
      <c r="AL399" s="1457"/>
      <c r="AM399" s="1457"/>
      <c r="AN399" s="1457"/>
      <c r="AO399" s="1457"/>
      <c r="AP399" s="1457"/>
      <c r="AQ399" s="1457"/>
      <c r="AR399" s="1457"/>
      <c r="AS399" s="1457"/>
      <c r="AT399" s="1457"/>
      <c r="AU399" s="1457"/>
      <c r="AV399" s="29" t="s">
        <v>100</v>
      </c>
      <c r="AW399" s="29"/>
      <c r="AX399" s="1458">
        <f>INT(BW386)</f>
        <v>46748</v>
      </c>
      <c r="AY399" s="1458"/>
      <c r="AZ399" s="1458"/>
      <c r="BA399" s="1458"/>
      <c r="BB399" s="1458"/>
      <c r="BC399" s="1458"/>
      <c r="BD399" s="1458"/>
      <c r="BE399" s="1458"/>
      <c r="BF399" s="1458"/>
      <c r="BG399" s="16" t="s">
        <v>101</v>
      </c>
      <c r="BN399" s="1458">
        <f>INT(AA399/AK399*AX399*1000)</f>
        <v>8709</v>
      </c>
      <c r="BO399" s="1458"/>
      <c r="BP399" s="1458"/>
      <c r="BQ399" s="1458"/>
      <c r="BR399" s="1458"/>
      <c r="BS399" s="1458"/>
      <c r="BT399" s="1458"/>
      <c r="BU399" s="1458"/>
      <c r="BV399" s="16" t="s">
        <v>98</v>
      </c>
      <c r="CP399" s="18"/>
      <c r="CQ399" s="665" t="s">
        <v>839</v>
      </c>
      <c r="CR399" s="666" t="s">
        <v>638</v>
      </c>
    </row>
    <row r="400" spans="1:97" s="16" customFormat="1" ht="18" customHeight="1" thickTop="1">
      <c r="A400" s="17"/>
      <c r="D400" s="33"/>
      <c r="E400" s="34" t="s">
        <v>44</v>
      </c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3"/>
      <c r="T400" s="33"/>
      <c r="U400" s="33"/>
      <c r="V400" s="33"/>
      <c r="W400" s="33"/>
      <c r="X400" s="33"/>
      <c r="Y400" s="33"/>
      <c r="Z400" s="33"/>
      <c r="AA400" s="33"/>
      <c r="AB400" s="33"/>
      <c r="AC400" s="33"/>
      <c r="AD400" s="33"/>
      <c r="AE400" s="33"/>
      <c r="AF400" s="33"/>
      <c r="AG400" s="33"/>
      <c r="AH400" s="33"/>
      <c r="AI400" s="33"/>
      <c r="AJ400" s="33"/>
      <c r="AK400" s="33"/>
      <c r="AL400" s="33"/>
      <c r="AM400" s="33"/>
      <c r="AN400" s="33"/>
      <c r="AO400" s="33"/>
      <c r="AP400" s="33"/>
      <c r="AQ400" s="33"/>
      <c r="AR400" s="33"/>
      <c r="AS400" s="33"/>
      <c r="AT400" s="33"/>
      <c r="AU400" s="33"/>
      <c r="AV400" s="33"/>
      <c r="AW400" s="33"/>
      <c r="AX400" s="33"/>
      <c r="AY400" s="33"/>
      <c r="AZ400" s="33"/>
      <c r="BA400" s="33"/>
      <c r="BB400" s="33"/>
      <c r="BC400" s="33"/>
      <c r="BD400" s="33"/>
      <c r="BE400" s="33"/>
      <c r="BF400" s="33"/>
      <c r="BG400" s="33"/>
      <c r="BH400" s="33"/>
      <c r="BI400" s="33"/>
      <c r="BJ400" s="33"/>
      <c r="BK400" s="33"/>
      <c r="BL400" s="33"/>
      <c r="BM400" s="33"/>
      <c r="BN400" s="1459">
        <f>SUM(BN399)</f>
        <v>8709</v>
      </c>
      <c r="BO400" s="1459"/>
      <c r="BP400" s="1459"/>
      <c r="BQ400" s="1459"/>
      <c r="BR400" s="1459"/>
      <c r="BS400" s="1459"/>
      <c r="BT400" s="1459"/>
      <c r="BU400" s="1459"/>
      <c r="BV400" s="33" t="s">
        <v>98</v>
      </c>
      <c r="BW400" s="33"/>
      <c r="BX400" s="33"/>
      <c r="BY400" s="33"/>
      <c r="BZ400" s="33"/>
      <c r="CA400" s="33"/>
      <c r="CB400" s="33"/>
      <c r="CC400" s="33"/>
      <c r="CD400" s="33"/>
      <c r="CE400" s="33"/>
      <c r="CF400" s="33"/>
      <c r="CG400" s="33"/>
      <c r="CH400" s="33"/>
      <c r="CI400" s="33"/>
      <c r="CP400" s="18"/>
      <c r="CR400" s="243"/>
    </row>
    <row r="401" spans="1:96" s="16" customFormat="1" ht="18" customHeight="1">
      <c r="A401" s="17"/>
      <c r="CP401" s="18"/>
      <c r="CR401" s="243"/>
    </row>
    <row r="402" spans="1:96" s="16" customFormat="1" ht="18" customHeight="1">
      <c r="A402" s="17"/>
      <c r="E402" s="16" t="s">
        <v>102</v>
      </c>
      <c r="O402" s="1460">
        <f>$BU$60</f>
        <v>36248</v>
      </c>
      <c r="P402" s="1460"/>
      <c r="Q402" s="1460"/>
      <c r="R402" s="1460"/>
      <c r="S402" s="1460"/>
      <c r="T402" s="1460"/>
      <c r="U402" s="1460"/>
      <c r="V402" s="1460"/>
      <c r="W402" s="1460"/>
      <c r="X402" s="1460"/>
      <c r="Y402" s="29" t="s">
        <v>59</v>
      </c>
      <c r="Z402" s="29"/>
      <c r="AA402" s="1460" t="e">
        <f>$AT$66</f>
        <v>#REF!</v>
      </c>
      <c r="AB402" s="1460"/>
      <c r="AC402" s="1460"/>
      <c r="AD402" s="1460"/>
      <c r="AE402" s="1460"/>
      <c r="AF402" s="1460"/>
      <c r="AG402" s="1460"/>
      <c r="AH402" s="1460"/>
      <c r="AI402" s="1460"/>
      <c r="AJ402" s="1460"/>
      <c r="AK402" s="29" t="s">
        <v>59</v>
      </c>
      <c r="AL402" s="29"/>
      <c r="AM402" s="1460">
        <f>$BN$70</f>
        <v>620</v>
      </c>
      <c r="AN402" s="1460"/>
      <c r="AO402" s="1460"/>
      <c r="AP402" s="1460"/>
      <c r="AQ402" s="1460"/>
      <c r="AR402" s="1460"/>
      <c r="AS402" s="1460"/>
      <c r="AT402" s="1460"/>
      <c r="AU402" s="1460"/>
      <c r="AV402" s="1460"/>
      <c r="AW402" s="31" t="s">
        <v>103</v>
      </c>
      <c r="AX402" s="29"/>
      <c r="AY402" s="1460" t="e">
        <f>O402+AA402+AM402</f>
        <v>#REF!</v>
      </c>
      <c r="AZ402" s="1460"/>
      <c r="BA402" s="1460"/>
      <c r="BB402" s="1460"/>
      <c r="BC402" s="1460"/>
      <c r="BD402" s="1460"/>
      <c r="BE402" s="1460"/>
      <c r="BF402" s="1460"/>
      <c r="BG402" s="1460"/>
      <c r="BH402" s="1460"/>
      <c r="BI402" s="16" t="s">
        <v>98</v>
      </c>
      <c r="CP402" s="18"/>
      <c r="CR402" s="243"/>
    </row>
    <row r="403" spans="1:96" s="16" customFormat="1" ht="18" customHeight="1">
      <c r="A403" s="17"/>
      <c r="CP403" s="18"/>
      <c r="CR403" s="243"/>
    </row>
    <row r="404" spans="1:96" s="16" customFormat="1" ht="9.9499999999999993" customHeight="1">
      <c r="A404" s="17"/>
      <c r="CP404" s="18"/>
      <c r="CR404" s="243"/>
    </row>
    <row r="405" spans="1:96" s="16" customFormat="1" ht="9.9499999999999993" customHeight="1">
      <c r="A405" s="17"/>
      <c r="CP405" s="18"/>
      <c r="CR405" s="243"/>
    </row>
    <row r="406" spans="1:96" s="16" customFormat="1" ht="9.9499999999999993" customHeight="1">
      <c r="A406" s="17"/>
      <c r="CP406" s="18"/>
      <c r="CR406" s="243"/>
    </row>
    <row r="407" spans="1:96" s="16" customFormat="1" ht="9.9499999999999993" customHeight="1">
      <c r="A407" s="17"/>
      <c r="CP407" s="18"/>
      <c r="CR407" s="243"/>
    </row>
    <row r="408" spans="1:96" s="16" customFormat="1" ht="9.9499999999999993" customHeight="1">
      <c r="A408" s="17"/>
      <c r="CP408" s="18"/>
      <c r="CR408" s="243"/>
    </row>
    <row r="409" spans="1:96" s="16" customFormat="1" ht="9.9499999999999993" customHeight="1">
      <c r="A409" s="17"/>
      <c r="CP409" s="18"/>
      <c r="CR409" s="243"/>
    </row>
    <row r="410" spans="1:96" s="16" customFormat="1" ht="9.9499999999999993" customHeight="1">
      <c r="A410" s="17"/>
      <c r="CP410" s="18"/>
      <c r="CR410" s="243"/>
    </row>
    <row r="411" spans="1:96" s="16" customFormat="1" ht="9.9499999999999993" customHeight="1">
      <c r="A411" s="17"/>
      <c r="CP411" s="18"/>
      <c r="CR411" s="243"/>
    </row>
    <row r="412" spans="1:96" s="16" customFormat="1" ht="9.9499999999999993" customHeight="1">
      <c r="A412" s="17"/>
      <c r="CP412" s="18"/>
      <c r="CR412" s="243"/>
    </row>
    <row r="413" spans="1:96" s="16" customFormat="1" ht="9.9499999999999993" customHeight="1">
      <c r="A413" s="17"/>
      <c r="CP413" s="18"/>
      <c r="CR413" s="243"/>
    </row>
    <row r="414" spans="1:96" s="16" customFormat="1" ht="9.9499999999999993" customHeight="1">
      <c r="A414" s="17"/>
      <c r="CP414" s="18"/>
      <c r="CR414" s="243"/>
    </row>
    <row r="415" spans="1:96" s="16" customFormat="1" ht="9.9499999999999993" customHeight="1">
      <c r="A415" s="17"/>
      <c r="CP415" s="18"/>
      <c r="CR415" s="243"/>
    </row>
    <row r="416" spans="1:96" s="16" customFormat="1" ht="9.9499999999999993" customHeight="1">
      <c r="A416" s="17"/>
      <c r="CP416" s="18"/>
      <c r="CR416" s="243"/>
    </row>
    <row r="417" spans="1:96" s="16" customFormat="1" ht="18" customHeight="1">
      <c r="A417" s="37"/>
      <c r="B417" s="38"/>
      <c r="C417" s="38"/>
      <c r="D417" s="38"/>
      <c r="E417" s="38"/>
      <c r="F417" s="38"/>
      <c r="G417" s="38"/>
      <c r="H417" s="38"/>
      <c r="I417" s="38"/>
      <c r="J417" s="38"/>
      <c r="K417" s="38"/>
      <c r="L417" s="38"/>
      <c r="M417" s="38"/>
      <c r="N417" s="38"/>
      <c r="O417" s="38"/>
      <c r="P417" s="38"/>
      <c r="Q417" s="38"/>
      <c r="R417" s="38"/>
      <c r="S417" s="38"/>
      <c r="T417" s="38"/>
      <c r="U417" s="38"/>
      <c r="V417" s="38"/>
      <c r="W417" s="38"/>
      <c r="X417" s="38"/>
      <c r="Y417" s="38"/>
      <c r="Z417" s="38"/>
      <c r="AA417" s="38"/>
      <c r="AB417" s="38"/>
      <c r="AC417" s="38"/>
      <c r="AD417" s="38"/>
      <c r="AE417" s="38"/>
      <c r="AF417" s="38"/>
      <c r="AG417" s="38"/>
      <c r="AH417" s="38"/>
      <c r="AI417" s="38"/>
      <c r="AJ417" s="38"/>
      <c r="AK417" s="38"/>
      <c r="AL417" s="38"/>
      <c r="AM417" s="38"/>
      <c r="AN417" s="38"/>
      <c r="AO417" s="38"/>
      <c r="AP417" s="38"/>
      <c r="AQ417" s="38"/>
      <c r="AR417" s="38"/>
      <c r="AS417" s="38"/>
      <c r="AT417" s="38"/>
      <c r="AU417" s="38"/>
      <c r="AV417" s="38"/>
      <c r="AW417" s="38"/>
      <c r="AX417" s="38"/>
      <c r="AY417" s="38"/>
      <c r="AZ417" s="38"/>
      <c r="BA417" s="38"/>
      <c r="BB417" s="38"/>
      <c r="BC417" s="38"/>
      <c r="BD417" s="38"/>
      <c r="BE417" s="38"/>
      <c r="BF417" s="38"/>
      <c r="BG417" s="38"/>
      <c r="BH417" s="38"/>
      <c r="BI417" s="38"/>
      <c r="BJ417" s="38"/>
      <c r="BK417" s="38"/>
      <c r="BL417" s="38"/>
      <c r="BM417" s="38"/>
      <c r="BN417" s="38"/>
      <c r="BO417" s="38"/>
      <c r="BP417" s="38"/>
      <c r="BQ417" s="38"/>
      <c r="BR417" s="38"/>
      <c r="BS417" s="38"/>
      <c r="BT417" s="38"/>
      <c r="BU417" s="38"/>
      <c r="BV417" s="38"/>
      <c r="BW417" s="38"/>
      <c r="BX417" s="38"/>
      <c r="BY417" s="38"/>
      <c r="BZ417" s="38"/>
      <c r="CA417" s="38"/>
      <c r="CB417" s="38"/>
      <c r="CC417" s="38"/>
      <c r="CD417" s="38"/>
      <c r="CE417" s="38"/>
      <c r="CF417" s="38"/>
      <c r="CG417" s="38"/>
      <c r="CH417" s="38"/>
      <c r="CI417" s="38"/>
      <c r="CJ417" s="38"/>
      <c r="CK417" s="38"/>
      <c r="CL417" s="38"/>
      <c r="CM417" s="38"/>
      <c r="CN417" s="38"/>
      <c r="CO417" s="38"/>
      <c r="CP417" s="39"/>
      <c r="CR417" s="243"/>
    </row>
  </sheetData>
  <mergeCells count="406">
    <mergeCell ref="AK69:AU69"/>
    <mergeCell ref="AT66:BA66"/>
    <mergeCell ref="A55:CP55"/>
    <mergeCell ref="U64:Y64"/>
    <mergeCell ref="AE64:AL64"/>
    <mergeCell ref="AT64:BA64"/>
    <mergeCell ref="BN69:BU69"/>
    <mergeCell ref="BN70:BU70"/>
    <mergeCell ref="D32:CO32"/>
    <mergeCell ref="D38:CO38"/>
    <mergeCell ref="D43:CO43"/>
    <mergeCell ref="D58:CO58"/>
    <mergeCell ref="D63:CO63"/>
    <mergeCell ref="D68:CO68"/>
    <mergeCell ref="AE40:AL40"/>
    <mergeCell ref="BU60:CB60"/>
    <mergeCell ref="AY47:BH47"/>
    <mergeCell ref="AT40:BA40"/>
    <mergeCell ref="BE33:BG33"/>
    <mergeCell ref="BJ33:BL33"/>
    <mergeCell ref="AY72:BH72"/>
    <mergeCell ref="AE59:AL59"/>
    <mergeCell ref="BW278:CF278"/>
    <mergeCell ref="AT313:BA313"/>
    <mergeCell ref="AE314:AL314"/>
    <mergeCell ref="AT314:BA314"/>
    <mergeCell ref="AT315:BA315"/>
    <mergeCell ref="AA318:AH318"/>
    <mergeCell ref="AK318:AU318"/>
    <mergeCell ref="AX318:BF318"/>
    <mergeCell ref="BN318:BU318"/>
    <mergeCell ref="A304:CP304"/>
    <mergeCell ref="BW305:CF305"/>
    <mergeCell ref="BU92:CB92"/>
    <mergeCell ref="BW89:CF89"/>
    <mergeCell ref="U95:Y95"/>
    <mergeCell ref="AE95:AL95"/>
    <mergeCell ref="U91:Y91"/>
    <mergeCell ref="AE91:AL91"/>
    <mergeCell ref="AU91:AW91"/>
    <mergeCell ref="AZ91:BB91"/>
    <mergeCell ref="BE91:BG91"/>
    <mergeCell ref="BJ91:BL91"/>
    <mergeCell ref="D90:CO90"/>
    <mergeCell ref="AK372:AU372"/>
    <mergeCell ref="U307:Y307"/>
    <mergeCell ref="AE307:AL307"/>
    <mergeCell ref="AU307:AW307"/>
    <mergeCell ref="AZ307:BB307"/>
    <mergeCell ref="BE307:BG307"/>
    <mergeCell ref="BJ307:BL307"/>
    <mergeCell ref="BO307:BQ307"/>
    <mergeCell ref="BU307:CB307"/>
    <mergeCell ref="AA345:AH345"/>
    <mergeCell ref="AX345:BF345"/>
    <mergeCell ref="A358:CP358"/>
    <mergeCell ref="O348:X348"/>
    <mergeCell ref="AA348:AJ348"/>
    <mergeCell ref="AM348:AV348"/>
    <mergeCell ref="AY348:BH348"/>
    <mergeCell ref="BN345:BU345"/>
    <mergeCell ref="BN346:BU346"/>
    <mergeCell ref="AK345:AU345"/>
    <mergeCell ref="D344:CO344"/>
    <mergeCell ref="D360:CO360"/>
    <mergeCell ref="D366:CO366"/>
    <mergeCell ref="D371:CO371"/>
    <mergeCell ref="BN319:BU319"/>
    <mergeCell ref="A28:CP28"/>
    <mergeCell ref="U39:Y39"/>
    <mergeCell ref="AE39:AL39"/>
    <mergeCell ref="AT39:BA39"/>
    <mergeCell ref="BU34:CB34"/>
    <mergeCell ref="A88:CP88"/>
    <mergeCell ref="A115:CP115"/>
    <mergeCell ref="BN44:BU44"/>
    <mergeCell ref="BN45:BU45"/>
    <mergeCell ref="BW56:CF56"/>
    <mergeCell ref="BO59:BR59"/>
    <mergeCell ref="O72:X72"/>
    <mergeCell ref="AA72:AJ72"/>
    <mergeCell ref="AK44:AU44"/>
    <mergeCell ref="O47:X47"/>
    <mergeCell ref="U59:Y59"/>
    <mergeCell ref="AU59:AW59"/>
    <mergeCell ref="BE59:BG59"/>
    <mergeCell ref="AA69:AH69"/>
    <mergeCell ref="AX69:BF69"/>
    <mergeCell ref="AE65:AL65"/>
    <mergeCell ref="U33:Y33"/>
    <mergeCell ref="AE33:AL33"/>
    <mergeCell ref="AT33:AW33"/>
    <mergeCell ref="BW31:CF31"/>
    <mergeCell ref="BO33:BR33"/>
    <mergeCell ref="A331:CP331"/>
    <mergeCell ref="A196:CP196"/>
    <mergeCell ref="AT65:BA65"/>
    <mergeCell ref="BJ59:BL59"/>
    <mergeCell ref="BU59:CB59"/>
    <mergeCell ref="AA47:AJ47"/>
    <mergeCell ref="AM47:AV47"/>
    <mergeCell ref="AZ33:BB33"/>
    <mergeCell ref="BU33:CB33"/>
    <mergeCell ref="A277:CP277"/>
    <mergeCell ref="BU146:CB146"/>
    <mergeCell ref="U149:Y149"/>
    <mergeCell ref="AE149:AL149"/>
    <mergeCell ref="AT149:BA149"/>
    <mergeCell ref="AE150:AL150"/>
    <mergeCell ref="AT150:BA150"/>
    <mergeCell ref="AT151:BA151"/>
    <mergeCell ref="AA154:AH154"/>
    <mergeCell ref="AT41:BA41"/>
    <mergeCell ref="AA44:AH44"/>
    <mergeCell ref="AX44:BF44"/>
    <mergeCell ref="AM72:AV72"/>
    <mergeCell ref="D94:CO94"/>
    <mergeCell ref="BO91:BR91"/>
    <mergeCell ref="BU91:CB91"/>
    <mergeCell ref="AE96:AL96"/>
    <mergeCell ref="AT95:BA95"/>
    <mergeCell ref="AT96:BA96"/>
    <mergeCell ref="AT97:BA97"/>
    <mergeCell ref="AA100:AH100"/>
    <mergeCell ref="AX100:BF100"/>
    <mergeCell ref="BN100:BU100"/>
    <mergeCell ref="BN101:BU101"/>
    <mergeCell ref="O103:X103"/>
    <mergeCell ref="AA103:AJ103"/>
    <mergeCell ref="AM103:AV103"/>
    <mergeCell ref="AY103:BH103"/>
    <mergeCell ref="AK100:AU100"/>
    <mergeCell ref="D99:CO99"/>
    <mergeCell ref="BW116:CF116"/>
    <mergeCell ref="U118:Y118"/>
    <mergeCell ref="AE118:AL118"/>
    <mergeCell ref="AU118:AW118"/>
    <mergeCell ref="AZ118:BB118"/>
    <mergeCell ref="BE118:BG118"/>
    <mergeCell ref="BJ118:BL118"/>
    <mergeCell ref="BO118:BR118"/>
    <mergeCell ref="BU118:CB118"/>
    <mergeCell ref="D117:CO117"/>
    <mergeCell ref="BU119:CB119"/>
    <mergeCell ref="U122:Y122"/>
    <mergeCell ref="AE122:AL122"/>
    <mergeCell ref="AE123:AL123"/>
    <mergeCell ref="AT122:BA122"/>
    <mergeCell ref="AT123:BA123"/>
    <mergeCell ref="AT124:BA124"/>
    <mergeCell ref="AA127:AH127"/>
    <mergeCell ref="AX127:BF127"/>
    <mergeCell ref="AK127:AU127"/>
    <mergeCell ref="BN127:BU127"/>
    <mergeCell ref="D121:CO121"/>
    <mergeCell ref="D126:CO126"/>
    <mergeCell ref="O130:X130"/>
    <mergeCell ref="AA130:AJ130"/>
    <mergeCell ref="AM130:AV130"/>
    <mergeCell ref="AY130:BH130"/>
    <mergeCell ref="BW197:CF197"/>
    <mergeCell ref="BN128:BU128"/>
    <mergeCell ref="BN208:BU208"/>
    <mergeCell ref="O210:X210"/>
    <mergeCell ref="AK207:AU207"/>
    <mergeCell ref="AA207:AH207"/>
    <mergeCell ref="AX207:BF207"/>
    <mergeCell ref="BN207:BU207"/>
    <mergeCell ref="O186:X186"/>
    <mergeCell ref="AA186:AJ186"/>
    <mergeCell ref="AM186:AU186"/>
    <mergeCell ref="AY186:BH186"/>
    <mergeCell ref="AT180:BA180"/>
    <mergeCell ref="AA183:AH183"/>
    <mergeCell ref="AK183:AU183"/>
    <mergeCell ref="AX183:BF183"/>
    <mergeCell ref="AX154:BF154"/>
    <mergeCell ref="AK154:AU154"/>
    <mergeCell ref="A142:CP142"/>
    <mergeCell ref="BW143:CF143"/>
    <mergeCell ref="D333:CO333"/>
    <mergeCell ref="D339:CO339"/>
    <mergeCell ref="O321:X321"/>
    <mergeCell ref="AA321:AJ321"/>
    <mergeCell ref="AM321:AU321"/>
    <mergeCell ref="AY321:BH321"/>
    <mergeCell ref="BU309:CB309"/>
    <mergeCell ref="U313:Y313"/>
    <mergeCell ref="U280:Y280"/>
    <mergeCell ref="AE280:AL280"/>
    <mergeCell ref="AU280:AW280"/>
    <mergeCell ref="AZ280:BB280"/>
    <mergeCell ref="BE280:BG280"/>
    <mergeCell ref="BJ280:BL280"/>
    <mergeCell ref="BO280:BR280"/>
    <mergeCell ref="BU280:CB280"/>
    <mergeCell ref="BW332:CF332"/>
    <mergeCell ref="BN292:BU292"/>
    <mergeCell ref="O294:X294"/>
    <mergeCell ref="AA294:AJ294"/>
    <mergeCell ref="AM294:AV294"/>
    <mergeCell ref="AY294:BH294"/>
    <mergeCell ref="AK291:AU291"/>
    <mergeCell ref="BU282:CB282"/>
    <mergeCell ref="AT342:BA342"/>
    <mergeCell ref="U334:Y334"/>
    <mergeCell ref="AE334:AL334"/>
    <mergeCell ref="AU334:AW334"/>
    <mergeCell ref="AZ334:BB334"/>
    <mergeCell ref="BU336:CB336"/>
    <mergeCell ref="U340:Y340"/>
    <mergeCell ref="AE340:AL340"/>
    <mergeCell ref="AE341:AL341"/>
    <mergeCell ref="AT340:BA340"/>
    <mergeCell ref="AT341:BA341"/>
    <mergeCell ref="BE334:BG334"/>
    <mergeCell ref="BJ334:BL334"/>
    <mergeCell ref="BO334:BQ334"/>
    <mergeCell ref="BU334:CB334"/>
    <mergeCell ref="O375:X375"/>
    <mergeCell ref="AA375:AJ375"/>
    <mergeCell ref="AM375:AV375"/>
    <mergeCell ref="AY375:BH375"/>
    <mergeCell ref="AT369:BA369"/>
    <mergeCell ref="AA372:AH372"/>
    <mergeCell ref="AX372:BF372"/>
    <mergeCell ref="BW359:CF359"/>
    <mergeCell ref="BN372:BU372"/>
    <mergeCell ref="BN373:BU373"/>
    <mergeCell ref="BO361:BR361"/>
    <mergeCell ref="BU361:CB361"/>
    <mergeCell ref="BU362:CB362"/>
    <mergeCell ref="BJ361:BL361"/>
    <mergeCell ref="U361:Y361"/>
    <mergeCell ref="AE361:AL361"/>
    <mergeCell ref="AU361:AW361"/>
    <mergeCell ref="AZ361:BB361"/>
    <mergeCell ref="U367:Y367"/>
    <mergeCell ref="AE367:AL367"/>
    <mergeCell ref="BE361:BG361"/>
    <mergeCell ref="AE368:AL368"/>
    <mergeCell ref="AT367:BA367"/>
    <mergeCell ref="AT368:BA368"/>
    <mergeCell ref="D236:CO236"/>
    <mergeCell ref="BN183:BU183"/>
    <mergeCell ref="BN184:BU184"/>
    <mergeCell ref="A169:CP169"/>
    <mergeCell ref="BW170:CF170"/>
    <mergeCell ref="U178:Y178"/>
    <mergeCell ref="AE178:AL178"/>
    <mergeCell ref="AT178:BA178"/>
    <mergeCell ref="AE179:AL179"/>
    <mergeCell ref="AT179:BA179"/>
    <mergeCell ref="A223:CP223"/>
    <mergeCell ref="BW224:CF224"/>
    <mergeCell ref="U226:Y226"/>
    <mergeCell ref="AE226:AL226"/>
    <mergeCell ref="AU226:AW226"/>
    <mergeCell ref="AZ226:BB226"/>
    <mergeCell ref="BE226:BG226"/>
    <mergeCell ref="BJ226:BL226"/>
    <mergeCell ref="BO226:BQ226"/>
    <mergeCell ref="BU226:CB226"/>
    <mergeCell ref="D225:CO225"/>
    <mergeCell ref="BU7:CB7"/>
    <mergeCell ref="U12:Y12"/>
    <mergeCell ref="AE12:AL12"/>
    <mergeCell ref="AT12:BA12"/>
    <mergeCell ref="AE13:AL13"/>
    <mergeCell ref="AT13:BA13"/>
    <mergeCell ref="AT14:BA14"/>
    <mergeCell ref="AA17:AH17"/>
    <mergeCell ref="AK17:AU17"/>
    <mergeCell ref="D11:CO11"/>
    <mergeCell ref="D16:CO16"/>
    <mergeCell ref="AX17:BF17"/>
    <mergeCell ref="BN17:BU17"/>
    <mergeCell ref="A1:CP1"/>
    <mergeCell ref="BW4:CF4"/>
    <mergeCell ref="U6:Y6"/>
    <mergeCell ref="AE6:AL6"/>
    <mergeCell ref="AU6:AW6"/>
    <mergeCell ref="AZ6:BB6"/>
    <mergeCell ref="BE6:BG6"/>
    <mergeCell ref="BJ6:BL6"/>
    <mergeCell ref="BO6:BR6"/>
    <mergeCell ref="BU6:CB6"/>
    <mergeCell ref="D5:CO5"/>
    <mergeCell ref="BN18:BU18"/>
    <mergeCell ref="O20:X20"/>
    <mergeCell ref="AA20:AJ20"/>
    <mergeCell ref="AM20:AV20"/>
    <mergeCell ref="AY20:BH20"/>
    <mergeCell ref="BN238:BU238"/>
    <mergeCell ref="O240:X240"/>
    <mergeCell ref="AA240:AJ240"/>
    <mergeCell ref="AM240:AV240"/>
    <mergeCell ref="AY240:BH240"/>
    <mergeCell ref="BU227:CB227"/>
    <mergeCell ref="U232:Y232"/>
    <mergeCell ref="AE232:AL232"/>
    <mergeCell ref="AT232:BA232"/>
    <mergeCell ref="AE233:AL233"/>
    <mergeCell ref="AT233:BA233"/>
    <mergeCell ref="AT234:BA234"/>
    <mergeCell ref="AA237:AH237"/>
    <mergeCell ref="AK237:AU237"/>
    <mergeCell ref="AX237:BF237"/>
    <mergeCell ref="BN237:BU237"/>
    <mergeCell ref="D231:CO231"/>
    <mergeCell ref="D144:CO144"/>
    <mergeCell ref="D148:CO148"/>
    <mergeCell ref="A250:CP250"/>
    <mergeCell ref="BW251:CF251"/>
    <mergeCell ref="U253:Y253"/>
    <mergeCell ref="AE253:AL253"/>
    <mergeCell ref="AU253:AW253"/>
    <mergeCell ref="AZ253:BB253"/>
    <mergeCell ref="BE253:BG253"/>
    <mergeCell ref="BJ253:BL253"/>
    <mergeCell ref="BO253:BR253"/>
    <mergeCell ref="BU253:CB253"/>
    <mergeCell ref="D252:CO252"/>
    <mergeCell ref="D153:CO153"/>
    <mergeCell ref="D171:CO171"/>
    <mergeCell ref="D177:CO177"/>
    <mergeCell ref="D182:CO182"/>
    <mergeCell ref="D198:CO198"/>
    <mergeCell ref="D202:CO202"/>
    <mergeCell ref="D206:CO206"/>
    <mergeCell ref="U145:Y145"/>
    <mergeCell ref="AE145:AL145"/>
    <mergeCell ref="AU145:AW145"/>
    <mergeCell ref="AZ145:BB145"/>
    <mergeCell ref="BE145:BG145"/>
    <mergeCell ref="BJ145:BL145"/>
    <mergeCell ref="BO145:BR145"/>
    <mergeCell ref="BU145:CB145"/>
    <mergeCell ref="BN154:BU154"/>
    <mergeCell ref="BN155:BU155"/>
    <mergeCell ref="O157:X157"/>
    <mergeCell ref="AA157:AJ157"/>
    <mergeCell ref="AM157:AV157"/>
    <mergeCell ref="AY157:BH157"/>
    <mergeCell ref="D279:CO279"/>
    <mergeCell ref="D285:CO285"/>
    <mergeCell ref="D290:CO290"/>
    <mergeCell ref="D306:CO306"/>
    <mergeCell ref="D312:CO312"/>
    <mergeCell ref="D317:CO317"/>
    <mergeCell ref="AX264:BF264"/>
    <mergeCell ref="BN264:BU264"/>
    <mergeCell ref="BN265:BU265"/>
    <mergeCell ref="O267:X267"/>
    <mergeCell ref="AA267:AJ267"/>
    <mergeCell ref="AM267:AV267"/>
    <mergeCell ref="AY267:BH267"/>
    <mergeCell ref="AK264:AU264"/>
    <mergeCell ref="BN291:BU291"/>
    <mergeCell ref="U286:Y286"/>
    <mergeCell ref="AE286:AL286"/>
    <mergeCell ref="AE287:AL287"/>
    <mergeCell ref="AT286:BA286"/>
    <mergeCell ref="AT287:BA287"/>
    <mergeCell ref="AT288:BA288"/>
    <mergeCell ref="AA291:AH291"/>
    <mergeCell ref="AX291:BF291"/>
    <mergeCell ref="AE313:AL313"/>
    <mergeCell ref="BU254:CB254"/>
    <mergeCell ref="U259:Y259"/>
    <mergeCell ref="AE259:AL259"/>
    <mergeCell ref="AT259:BA259"/>
    <mergeCell ref="AE260:AL260"/>
    <mergeCell ref="AT260:BA260"/>
    <mergeCell ref="AT261:BA261"/>
    <mergeCell ref="AA264:AH264"/>
    <mergeCell ref="D258:CO258"/>
    <mergeCell ref="D263:CO263"/>
    <mergeCell ref="A385:CP385"/>
    <mergeCell ref="BW386:CF386"/>
    <mergeCell ref="D388:CO388"/>
    <mergeCell ref="U389:Y389"/>
    <mergeCell ref="AE389:AL389"/>
    <mergeCell ref="AU389:AW389"/>
    <mergeCell ref="BE389:BG389"/>
    <mergeCell ref="BJ389:BL389"/>
    <mergeCell ref="BO389:BR389"/>
    <mergeCell ref="BU389:CB389"/>
    <mergeCell ref="BU390:CB390"/>
    <mergeCell ref="D393:CO393"/>
    <mergeCell ref="U394:Y394"/>
    <mergeCell ref="AE394:AL394"/>
    <mergeCell ref="AT394:BA394"/>
    <mergeCell ref="AE395:AL395"/>
    <mergeCell ref="AT395:BA395"/>
    <mergeCell ref="AT396:BA396"/>
    <mergeCell ref="D398:CO398"/>
    <mergeCell ref="AA399:AH399"/>
    <mergeCell ref="AK399:AU399"/>
    <mergeCell ref="AX399:BF399"/>
    <mergeCell ref="BN399:BU399"/>
    <mergeCell ref="BN400:BU400"/>
    <mergeCell ref="O402:X402"/>
    <mergeCell ref="AA402:AJ402"/>
    <mergeCell ref="AM402:AV402"/>
    <mergeCell ref="AY402:BH402"/>
  </mergeCells>
  <phoneticPr fontId="4" type="noConversion"/>
  <printOptions horizontalCentered="1" verticalCentered="1"/>
  <pageMargins left="0.59055118110236227" right="0.39370078740157483" top="0.78740157480314965" bottom="0.39370078740157483" header="0.39370078740157483" footer="0.19685039370078741"/>
  <pageSetup paperSize="9" orientation="landscape" r:id="rId1"/>
  <headerFooter alignWithMargins="0">
    <oddHeader>&amp;C&amp;"맑은 고딕,굵게"&amp;20&amp;U기 계 경 비 산 출 서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29"/>
  <dimension ref="A1:BZ430"/>
  <sheetViews>
    <sheetView showZeros="0" view="pageBreakPreview" topLeftCell="A298" zoomScale="115" zoomScaleNormal="100" zoomScaleSheetLayoutView="115" workbookViewId="0">
      <selection activeCell="K60" sqref="K60"/>
    </sheetView>
  </sheetViews>
  <sheetFormatPr defaultColWidth="4.109375" defaultRowHeight="18" customHeight="1"/>
  <cols>
    <col min="1" max="68" width="1.21875" style="171" customWidth="1"/>
    <col min="69" max="72" width="8.77734375" style="171" customWidth="1"/>
    <col min="73" max="73" width="4.77734375" style="171" customWidth="1"/>
    <col min="74" max="74" width="7.5546875" style="171" bestFit="1" customWidth="1"/>
    <col min="75" max="75" width="6.33203125" style="171" bestFit="1" customWidth="1"/>
    <col min="76" max="79" width="4.77734375" style="171" customWidth="1"/>
    <col min="80" max="16384" width="4.109375" style="171"/>
  </cols>
  <sheetData>
    <row r="1" spans="1:76" ht="30.75" customHeight="1">
      <c r="A1" s="1499" t="s">
        <v>606</v>
      </c>
      <c r="B1" s="1500"/>
      <c r="C1" s="1500"/>
      <c r="D1" s="1500"/>
      <c r="E1" s="1500"/>
      <c r="F1" s="1500"/>
      <c r="G1" s="1500"/>
      <c r="H1" s="1500"/>
      <c r="I1" s="1500"/>
      <c r="J1" s="1500"/>
      <c r="K1" s="1500"/>
      <c r="L1" s="1500"/>
      <c r="M1" s="1500"/>
      <c r="N1" s="1500"/>
      <c r="O1" s="1500"/>
      <c r="P1" s="1500"/>
      <c r="Q1" s="1500"/>
      <c r="R1" s="1500"/>
      <c r="S1" s="1500"/>
      <c r="T1" s="1500"/>
      <c r="U1" s="1500"/>
      <c r="V1" s="1500"/>
      <c r="W1" s="1500"/>
      <c r="X1" s="1500"/>
      <c r="Y1" s="1500"/>
      <c r="Z1" s="1500"/>
      <c r="AA1" s="1500"/>
      <c r="AB1" s="1500"/>
      <c r="AC1" s="1500"/>
      <c r="AD1" s="1500"/>
      <c r="AE1" s="1500"/>
      <c r="AF1" s="1500"/>
      <c r="AG1" s="1500"/>
      <c r="AH1" s="1500"/>
      <c r="AI1" s="1500"/>
      <c r="AJ1" s="1500"/>
      <c r="AK1" s="1500"/>
      <c r="AL1" s="1500"/>
      <c r="AM1" s="1500"/>
      <c r="AN1" s="1500"/>
      <c r="AO1" s="1500"/>
      <c r="AP1" s="1500"/>
      <c r="AQ1" s="1500"/>
      <c r="AR1" s="1500"/>
      <c r="AS1" s="1500"/>
      <c r="AT1" s="1500"/>
      <c r="AU1" s="1500"/>
      <c r="AV1" s="1500"/>
      <c r="AW1" s="1500"/>
      <c r="AX1" s="1500"/>
      <c r="AY1" s="1500"/>
      <c r="AZ1" s="1500"/>
      <c r="BA1" s="1500"/>
      <c r="BB1" s="1500"/>
      <c r="BC1" s="1500"/>
      <c r="BD1" s="1500"/>
      <c r="BE1" s="1500"/>
      <c r="BF1" s="1500"/>
      <c r="BG1" s="1500"/>
      <c r="BH1" s="1500"/>
      <c r="BI1" s="1500"/>
      <c r="BJ1" s="1500"/>
      <c r="BK1" s="1500"/>
      <c r="BL1" s="1500"/>
      <c r="BM1" s="1500"/>
      <c r="BN1" s="1500"/>
      <c r="BO1" s="1500"/>
      <c r="BP1" s="1501"/>
      <c r="BQ1" s="452" t="s">
        <v>109</v>
      </c>
      <c r="BR1" s="452" t="s">
        <v>110</v>
      </c>
      <c r="BS1" s="452" t="s">
        <v>111</v>
      </c>
      <c r="BT1" s="452" t="s">
        <v>61</v>
      </c>
    </row>
    <row r="2" spans="1:76" ht="18" customHeight="1">
      <c r="A2" s="250"/>
      <c r="B2" s="57" t="s">
        <v>574</v>
      </c>
      <c r="C2" s="252"/>
      <c r="D2" s="252"/>
      <c r="E2" s="252"/>
      <c r="F2" s="252"/>
      <c r="G2" s="252"/>
      <c r="H2" s="252"/>
      <c r="I2" s="252"/>
      <c r="J2" s="252"/>
      <c r="K2" s="251"/>
      <c r="L2" s="252"/>
      <c r="M2" s="252"/>
      <c r="N2" s="252"/>
      <c r="O2" s="252"/>
      <c r="P2" s="57" t="s">
        <v>145</v>
      </c>
      <c r="Q2" s="252"/>
      <c r="R2" s="252"/>
      <c r="S2" s="252"/>
      <c r="T2" s="252"/>
      <c r="U2" s="252"/>
      <c r="V2" s="252"/>
      <c r="W2" s="252"/>
      <c r="X2" s="252"/>
      <c r="Y2" s="252"/>
      <c r="Z2" s="252"/>
      <c r="AA2" s="252"/>
      <c r="AB2" s="252"/>
      <c r="AC2" s="252"/>
      <c r="AD2" s="252"/>
      <c r="AE2" s="252"/>
      <c r="AF2" s="252"/>
      <c r="AG2" s="252"/>
      <c r="AH2" s="252"/>
      <c r="AI2" s="252"/>
      <c r="AJ2" s="252"/>
      <c r="AK2" s="252"/>
      <c r="AL2" s="252"/>
      <c r="AM2" s="252"/>
      <c r="AN2" s="252"/>
      <c r="AO2" s="252"/>
      <c r="AP2" s="252"/>
      <c r="AQ2" s="252"/>
      <c r="AR2" s="252"/>
      <c r="AS2" s="252"/>
      <c r="AT2" s="252"/>
      <c r="AU2" s="252"/>
      <c r="AV2" s="252"/>
      <c r="AW2" s="252"/>
      <c r="AX2" s="252"/>
      <c r="AY2" s="252"/>
      <c r="AZ2" s="252"/>
      <c r="BA2" s="252"/>
      <c r="BB2" s="252"/>
      <c r="BC2" s="252"/>
      <c r="BD2" s="252"/>
      <c r="BE2" s="252"/>
      <c r="BF2" s="252"/>
      <c r="BG2" s="252"/>
      <c r="BH2" s="252"/>
      <c r="BI2" s="252"/>
      <c r="BJ2" s="252"/>
      <c r="BK2" s="252"/>
      <c r="BL2" s="252"/>
      <c r="BM2" s="252"/>
      <c r="BN2" s="252"/>
      <c r="BO2" s="252"/>
      <c r="BP2" s="252"/>
      <c r="BQ2" s="253" t="e">
        <f>BQ46</f>
        <v>#REF!</v>
      </c>
      <c r="BR2" s="253">
        <f>BR46</f>
        <v>1613</v>
      </c>
      <c r="BS2" s="253" t="e">
        <f>BS46</f>
        <v>#REF!</v>
      </c>
      <c r="BT2" s="253">
        <f>BT46</f>
        <v>78</v>
      </c>
      <c r="BV2" s="171" t="s">
        <v>113</v>
      </c>
      <c r="BW2" s="249">
        <f>VLOOKUP(BV2,인건비!A:B,2,FALSE)</f>
        <v>228717</v>
      </c>
    </row>
    <row r="3" spans="1:76" ht="9.9499999999999993" customHeight="1">
      <c r="A3" s="490"/>
      <c r="B3" s="491"/>
      <c r="C3" s="492"/>
      <c r="D3" s="492"/>
      <c r="E3" s="492"/>
      <c r="F3" s="492"/>
      <c r="G3" s="492"/>
      <c r="H3" s="492"/>
      <c r="I3" s="492"/>
      <c r="J3" s="492"/>
      <c r="K3" s="492"/>
      <c r="L3" s="492"/>
      <c r="M3" s="491"/>
      <c r="N3" s="492"/>
      <c r="O3" s="492"/>
      <c r="P3" s="492"/>
      <c r="Q3" s="492"/>
      <c r="R3" s="492"/>
      <c r="S3" s="492"/>
      <c r="T3" s="492"/>
      <c r="U3" s="492"/>
      <c r="V3" s="492"/>
      <c r="W3" s="492"/>
      <c r="X3" s="492"/>
      <c r="Y3" s="492"/>
      <c r="Z3" s="492"/>
      <c r="AA3" s="492"/>
      <c r="AB3" s="492"/>
      <c r="AC3" s="492"/>
      <c r="AD3" s="492"/>
      <c r="AE3" s="492"/>
      <c r="AF3" s="492"/>
      <c r="AG3" s="492"/>
      <c r="AH3" s="492"/>
      <c r="AI3" s="492"/>
      <c r="AJ3" s="492"/>
      <c r="AK3" s="492"/>
      <c r="AL3" s="492"/>
      <c r="AM3" s="492"/>
      <c r="AN3" s="492"/>
      <c r="AO3" s="492"/>
      <c r="AP3" s="492"/>
      <c r="AQ3" s="492"/>
      <c r="AR3" s="492"/>
      <c r="AS3" s="492"/>
      <c r="AT3" s="492"/>
      <c r="AU3" s="492"/>
      <c r="AV3" s="492"/>
      <c r="AW3" s="492"/>
      <c r="AX3" s="492"/>
      <c r="AY3" s="492"/>
      <c r="AZ3" s="492"/>
      <c r="BA3" s="492"/>
      <c r="BB3" s="492"/>
      <c r="BC3" s="492"/>
      <c r="BD3" s="492"/>
      <c r="BE3" s="492"/>
      <c r="BF3" s="492"/>
      <c r="BG3" s="492"/>
      <c r="BH3" s="492"/>
      <c r="BI3" s="492"/>
      <c r="BJ3" s="492"/>
      <c r="BK3" s="492"/>
      <c r="BL3" s="492"/>
      <c r="BM3" s="492"/>
      <c r="BN3" s="492"/>
      <c r="BO3" s="492"/>
      <c r="BP3" s="492"/>
      <c r="BQ3" s="493"/>
      <c r="BR3" s="494"/>
      <c r="BS3" s="493"/>
      <c r="BT3" s="493"/>
      <c r="BV3" s="171" t="s">
        <v>114</v>
      </c>
      <c r="BW3" s="249">
        <f>VLOOKUP(BV3,인건비!A:B,2,FALSE)</f>
        <v>172698</v>
      </c>
    </row>
    <row r="4" spans="1:76" ht="9.9499999999999993" customHeight="1">
      <c r="A4" s="490"/>
      <c r="B4" s="492" t="s">
        <v>770</v>
      </c>
      <c r="C4" s="492"/>
      <c r="D4" s="492"/>
      <c r="E4" s="492"/>
      <c r="F4" s="492"/>
      <c r="G4" s="492"/>
      <c r="H4" s="492"/>
      <c r="I4" s="492"/>
      <c r="J4" s="492"/>
      <c r="K4" s="492"/>
      <c r="L4" s="492"/>
      <c r="M4" s="492"/>
      <c r="N4" s="492"/>
      <c r="O4" s="492"/>
      <c r="P4" s="492"/>
      <c r="Q4" s="492"/>
      <c r="R4" s="492"/>
      <c r="S4" s="492"/>
      <c r="T4" s="492"/>
      <c r="U4" s="492"/>
      <c r="V4" s="492"/>
      <c r="W4" s="492"/>
      <c r="X4" s="492"/>
      <c r="Y4" s="492"/>
      <c r="Z4" s="492"/>
      <c r="AA4" s="492"/>
      <c r="AB4" s="492"/>
      <c r="AC4" s="492"/>
      <c r="AD4" s="492"/>
      <c r="AE4" s="492"/>
      <c r="AF4" s="492"/>
      <c r="AG4" s="492"/>
      <c r="AH4" s="492"/>
      <c r="AI4" s="492"/>
      <c r="AJ4" s="492"/>
      <c r="AK4" s="492"/>
      <c r="AL4" s="492"/>
      <c r="AM4" s="492"/>
      <c r="AN4" s="492"/>
      <c r="AO4" s="492"/>
      <c r="AP4" s="492"/>
      <c r="AQ4" s="492"/>
      <c r="AR4" s="492"/>
      <c r="AS4" s="492"/>
      <c r="AT4" s="492"/>
      <c r="AU4" s="492"/>
      <c r="AV4" s="492"/>
      <c r="AW4" s="492"/>
      <c r="AX4" s="492"/>
      <c r="AY4" s="492"/>
      <c r="AZ4" s="492"/>
      <c r="BA4" s="492"/>
      <c r="BB4" s="492"/>
      <c r="BC4" s="492"/>
      <c r="BD4" s="492"/>
      <c r="BE4" s="492"/>
      <c r="BF4" s="492"/>
      <c r="BG4" s="492"/>
      <c r="BH4" s="492"/>
      <c r="BI4" s="492"/>
      <c r="BJ4" s="492"/>
      <c r="BK4" s="492"/>
      <c r="BL4" s="492"/>
      <c r="BM4" s="492"/>
      <c r="BN4" s="492"/>
      <c r="BO4" s="492"/>
      <c r="BP4" s="492"/>
      <c r="BQ4" s="493"/>
      <c r="BR4" s="493"/>
      <c r="BS4" s="493"/>
      <c r="BT4" s="493"/>
      <c r="BV4" s="171" t="s">
        <v>78</v>
      </c>
      <c r="BW4" s="249">
        <f>VLOOKUP(BV4,인건비!A:B,2,FALSE)</f>
        <v>274873</v>
      </c>
    </row>
    <row r="5" spans="1:76" ht="9.9499999999999993" customHeight="1">
      <c r="A5" s="490"/>
      <c r="B5" s="492"/>
      <c r="C5" s="492" t="s">
        <v>115</v>
      </c>
      <c r="D5" s="492"/>
      <c r="E5" s="492"/>
      <c r="F5" s="492"/>
      <c r="G5" s="495"/>
      <c r="H5" s="495"/>
      <c r="I5" s="495"/>
      <c r="J5" s="495"/>
      <c r="K5" s="495"/>
      <c r="L5" s="492"/>
      <c r="M5" s="492"/>
      <c r="N5" s="492"/>
      <c r="O5" s="492"/>
      <c r="P5" s="492"/>
      <c r="Q5" s="492"/>
      <c r="R5" s="495"/>
      <c r="S5" s="495"/>
      <c r="T5" s="495"/>
      <c r="U5" s="495"/>
      <c r="V5" s="495"/>
      <c r="W5" s="492"/>
      <c r="X5" s="492"/>
      <c r="Y5" s="492"/>
      <c r="Z5" s="492"/>
      <c r="AA5" s="492"/>
      <c r="AB5" s="492"/>
      <c r="AC5" s="492"/>
      <c r="AD5" s="492"/>
      <c r="AE5" s="492"/>
      <c r="AF5" s="496"/>
      <c r="AG5" s="492"/>
      <c r="AH5" s="495"/>
      <c r="AI5" s="495"/>
      <c r="AJ5" s="495"/>
      <c r="AK5" s="495"/>
      <c r="AL5" s="495"/>
      <c r="AM5" s="496"/>
      <c r="AN5" s="492"/>
      <c r="AO5" s="495"/>
      <c r="AP5" s="495"/>
      <c r="AQ5" s="495"/>
      <c r="AR5" s="495"/>
      <c r="AS5" s="495"/>
      <c r="AT5" s="495"/>
      <c r="AU5" s="492"/>
      <c r="AV5" s="492"/>
      <c r="AW5" s="492"/>
      <c r="AX5" s="492"/>
      <c r="AY5" s="492"/>
      <c r="AZ5" s="492"/>
      <c r="BA5" s="492"/>
      <c r="BB5" s="492"/>
      <c r="BC5" s="492"/>
      <c r="BD5" s="492"/>
      <c r="BE5" s="492"/>
      <c r="BF5" s="492"/>
      <c r="BG5" s="492"/>
      <c r="BH5" s="492"/>
      <c r="BI5" s="492"/>
      <c r="BJ5" s="492"/>
      <c r="BK5" s="492"/>
      <c r="BL5" s="492"/>
      <c r="BM5" s="492"/>
      <c r="BN5" s="492"/>
      <c r="BO5" s="492"/>
      <c r="BP5" s="492"/>
      <c r="BQ5" s="493"/>
      <c r="BR5" s="493"/>
      <c r="BS5" s="493"/>
      <c r="BT5" s="493"/>
      <c r="BV5" s="655" t="s">
        <v>772</v>
      </c>
      <c r="BW5" s="656" t="s">
        <v>774</v>
      </c>
      <c r="BX5" s="657"/>
    </row>
    <row r="6" spans="1:76" ht="9.9499999999999993" customHeight="1">
      <c r="A6" s="490"/>
      <c r="B6" s="492"/>
      <c r="C6" s="492"/>
      <c r="D6" s="1515" t="e">
        <f>#REF!</f>
        <v>#REF!</v>
      </c>
      <c r="E6" s="1498"/>
      <c r="F6" s="1498"/>
      <c r="G6" s="1498"/>
      <c r="H6" s="1498"/>
      <c r="I6" s="1498"/>
      <c r="J6" s="1498"/>
      <c r="K6" s="497" t="s">
        <v>100</v>
      </c>
      <c r="L6" s="497"/>
      <c r="M6" s="1507">
        <v>0.27</v>
      </c>
      <c r="N6" s="1508"/>
      <c r="O6" s="1508"/>
      <c r="P6" s="1508"/>
      <c r="Q6" s="1508"/>
      <c r="R6" s="492" t="s">
        <v>116</v>
      </c>
      <c r="S6" s="492"/>
      <c r="T6" s="492"/>
      <c r="U6" s="492"/>
      <c r="V6" s="492"/>
      <c r="W6" s="498">
        <v>100</v>
      </c>
      <c r="X6" s="498"/>
      <c r="Y6" s="498"/>
      <c r="Z6" s="498"/>
      <c r="AA6" s="498"/>
      <c r="AB6" s="492" t="s">
        <v>117</v>
      </c>
      <c r="AC6" s="492"/>
      <c r="AD6" s="492"/>
      <c r="AE6" s="492"/>
      <c r="AF6" s="498" t="e">
        <f>D6*M6/W6</f>
        <v>#REF!</v>
      </c>
      <c r="AG6" s="498"/>
      <c r="AH6" s="498"/>
      <c r="AI6" s="498"/>
      <c r="AJ6" s="498"/>
      <c r="AK6" s="498"/>
      <c r="AL6" s="492"/>
      <c r="AM6" s="496"/>
      <c r="AN6" s="492"/>
      <c r="AO6" s="492"/>
      <c r="AP6" s="492"/>
      <c r="AQ6" s="492"/>
      <c r="AR6" s="492"/>
      <c r="AS6" s="492"/>
      <c r="AT6" s="492"/>
      <c r="AU6" s="492"/>
      <c r="AV6" s="492"/>
      <c r="AW6" s="492"/>
      <c r="AX6" s="492"/>
      <c r="AY6" s="492"/>
      <c r="AZ6" s="492"/>
      <c r="BA6" s="492"/>
      <c r="BB6" s="492"/>
      <c r="BC6" s="492"/>
      <c r="BD6" s="492"/>
      <c r="BE6" s="492"/>
      <c r="BF6" s="492"/>
      <c r="BG6" s="492"/>
      <c r="BH6" s="492"/>
      <c r="BI6" s="492"/>
      <c r="BJ6" s="492"/>
      <c r="BK6" s="492"/>
      <c r="BL6" s="492"/>
      <c r="BM6" s="492"/>
      <c r="BN6" s="492"/>
      <c r="BO6" s="492"/>
      <c r="BP6" s="492"/>
      <c r="BQ6" s="499" t="e">
        <f>SUM(BR6:BT6)</f>
        <v>#REF!</v>
      </c>
      <c r="BR6" s="493"/>
      <c r="BS6" s="493" t="e">
        <f>INT(AF6)</f>
        <v>#REF!</v>
      </c>
      <c r="BT6" s="493"/>
      <c r="BV6" s="657" t="s">
        <v>773</v>
      </c>
      <c r="BW6" s="658"/>
      <c r="BX6" s="657"/>
    </row>
    <row r="7" spans="1:76" ht="9.9499999999999993" customHeight="1">
      <c r="A7" s="490"/>
      <c r="B7" s="492"/>
      <c r="C7" s="492" t="s">
        <v>542</v>
      </c>
      <c r="D7" s="492"/>
      <c r="E7" s="492"/>
      <c r="F7" s="492"/>
      <c r="G7" s="495"/>
      <c r="H7" s="495"/>
      <c r="I7" s="495"/>
      <c r="J7" s="495"/>
      <c r="K7" s="495"/>
      <c r="L7" s="492"/>
      <c r="M7" s="492"/>
      <c r="N7" s="492"/>
      <c r="O7" s="492"/>
      <c r="P7" s="492"/>
      <c r="Q7" s="492"/>
      <c r="R7" s="495"/>
      <c r="S7" s="495"/>
      <c r="T7" s="495"/>
      <c r="U7" s="495"/>
      <c r="V7" s="495"/>
      <c r="W7" s="492"/>
      <c r="X7" s="492"/>
      <c r="Y7" s="492"/>
      <c r="Z7" s="492"/>
      <c r="AA7" s="492"/>
      <c r="AB7" s="492"/>
      <c r="AC7" s="492"/>
      <c r="AD7" s="492"/>
      <c r="AE7" s="492"/>
      <c r="AF7" s="496"/>
      <c r="AG7" s="492"/>
      <c r="AH7" s="495"/>
      <c r="AI7" s="495"/>
      <c r="AJ7" s="495"/>
      <c r="AK7" s="495"/>
      <c r="AL7" s="495"/>
      <c r="AM7" s="496"/>
      <c r="AN7" s="492"/>
      <c r="AO7" s="495"/>
      <c r="AP7" s="495"/>
      <c r="AQ7" s="495"/>
      <c r="AR7" s="495"/>
      <c r="AS7" s="495"/>
      <c r="AT7" s="495"/>
      <c r="AU7" s="492"/>
      <c r="AV7" s="492"/>
      <c r="AW7" s="492"/>
      <c r="AX7" s="492"/>
      <c r="AY7" s="492"/>
      <c r="AZ7" s="492"/>
      <c r="BA7" s="492"/>
      <c r="BB7" s="492"/>
      <c r="BC7" s="492"/>
      <c r="BD7" s="492"/>
      <c r="BE7" s="492"/>
      <c r="BF7" s="492"/>
      <c r="BG7" s="492"/>
      <c r="BH7" s="492"/>
      <c r="BI7" s="492"/>
      <c r="BJ7" s="492"/>
      <c r="BK7" s="492"/>
      <c r="BL7" s="492"/>
      <c r="BM7" s="492"/>
      <c r="BN7" s="492"/>
      <c r="BO7" s="492"/>
      <c r="BP7" s="492"/>
      <c r="BQ7" s="493"/>
      <c r="BR7" s="493"/>
      <c r="BS7" s="493"/>
      <c r="BT7" s="493"/>
      <c r="BV7" s="657"/>
      <c r="BW7" s="658"/>
      <c r="BX7" s="657"/>
    </row>
    <row r="8" spans="1:76" ht="9.9499999999999993" customHeight="1">
      <c r="A8" s="490"/>
      <c r="B8" s="492"/>
      <c r="C8" s="492"/>
      <c r="D8" s="1516">
        <v>1.26</v>
      </c>
      <c r="E8" s="1517"/>
      <c r="F8" s="1517"/>
      <c r="G8" s="1517"/>
      <c r="H8" s="1517"/>
      <c r="I8" s="1517"/>
      <c r="J8" s="1517"/>
      <c r="K8" s="497" t="s">
        <v>100</v>
      </c>
      <c r="L8" s="497"/>
      <c r="M8" s="1507">
        <v>2000</v>
      </c>
      <c r="N8" s="1508"/>
      <c r="O8" s="1508"/>
      <c r="P8" s="1508"/>
      <c r="Q8" s="1508"/>
      <c r="R8" s="492" t="s">
        <v>543</v>
      </c>
      <c r="S8" s="492"/>
      <c r="T8" s="492"/>
      <c r="U8" s="492"/>
      <c r="V8" s="492"/>
      <c r="W8" s="498">
        <v>100</v>
      </c>
      <c r="X8" s="498"/>
      <c r="Y8" s="498"/>
      <c r="Z8" s="498"/>
      <c r="AA8" s="498"/>
      <c r="AB8" s="492" t="s">
        <v>117</v>
      </c>
      <c r="AC8" s="492"/>
      <c r="AD8" s="492"/>
      <c r="AE8" s="492"/>
      <c r="AF8" s="498">
        <f>D8*M8/W8</f>
        <v>25.2</v>
      </c>
      <c r="AG8" s="498"/>
      <c r="AH8" s="498"/>
      <c r="AI8" s="498"/>
      <c r="AJ8" s="498"/>
      <c r="AK8" s="498"/>
      <c r="AL8" s="492"/>
      <c r="AM8" s="496"/>
      <c r="AN8" s="492"/>
      <c r="AO8" s="492"/>
      <c r="AP8" s="492"/>
      <c r="AQ8" s="492"/>
      <c r="AR8" s="492"/>
      <c r="AS8" s="492"/>
      <c r="AT8" s="492"/>
      <c r="AU8" s="492"/>
      <c r="AV8" s="492"/>
      <c r="AW8" s="492"/>
      <c r="AX8" s="492"/>
      <c r="AY8" s="492"/>
      <c r="AZ8" s="492"/>
      <c r="BA8" s="492"/>
      <c r="BB8" s="492"/>
      <c r="BC8" s="492"/>
      <c r="BD8" s="492"/>
      <c r="BE8" s="492"/>
      <c r="BF8" s="492"/>
      <c r="BG8" s="492"/>
      <c r="BH8" s="492"/>
      <c r="BI8" s="492"/>
      <c r="BJ8" s="492"/>
      <c r="BK8" s="492"/>
      <c r="BL8" s="492"/>
      <c r="BM8" s="492"/>
      <c r="BN8" s="492"/>
      <c r="BO8" s="492"/>
      <c r="BP8" s="492"/>
      <c r="BQ8" s="499">
        <f>SUM(BR8:BT8)</f>
        <v>25</v>
      </c>
      <c r="BR8" s="493"/>
      <c r="BS8" s="493">
        <f>INT(AF8)</f>
        <v>25</v>
      </c>
      <c r="BT8" s="493"/>
      <c r="BW8" s="241"/>
    </row>
    <row r="9" spans="1:76" ht="9.9499999999999993" customHeight="1">
      <c r="A9" s="490"/>
      <c r="B9" s="492"/>
      <c r="C9" s="492" t="s">
        <v>548</v>
      </c>
      <c r="D9" s="492"/>
      <c r="E9" s="498"/>
      <c r="F9" s="498"/>
      <c r="G9" s="498"/>
      <c r="H9" s="498"/>
      <c r="I9" s="498"/>
      <c r="J9" s="498"/>
      <c r="K9" s="497"/>
      <c r="L9" s="497"/>
      <c r="M9" s="498"/>
      <c r="N9" s="498"/>
      <c r="O9" s="498"/>
      <c r="P9" s="498"/>
      <c r="Q9" s="498"/>
      <c r="R9" s="492"/>
      <c r="S9" s="492"/>
      <c r="T9" s="492"/>
      <c r="U9" s="492"/>
      <c r="V9" s="492"/>
      <c r="W9" s="498"/>
      <c r="X9" s="498"/>
      <c r="Y9" s="498"/>
      <c r="Z9" s="498"/>
      <c r="AA9" s="498"/>
      <c r="AB9" s="492"/>
      <c r="AC9" s="492"/>
      <c r="AD9" s="492"/>
      <c r="AE9" s="492"/>
      <c r="AF9" s="498"/>
      <c r="AG9" s="498"/>
      <c r="AH9" s="498"/>
      <c r="AI9" s="498"/>
      <c r="AJ9" s="498"/>
      <c r="AK9" s="498"/>
      <c r="AL9" s="492"/>
      <c r="AM9" s="496"/>
      <c r="AN9" s="492"/>
      <c r="AO9" s="492"/>
      <c r="AP9" s="492"/>
      <c r="AQ9" s="492"/>
      <c r="AR9" s="492"/>
      <c r="AS9" s="492"/>
      <c r="AT9" s="492"/>
      <c r="AU9" s="492"/>
      <c r="AV9" s="492"/>
      <c r="AW9" s="492"/>
      <c r="AX9" s="492"/>
      <c r="AY9" s="492"/>
      <c r="AZ9" s="492"/>
      <c r="BA9" s="492"/>
      <c r="BB9" s="492"/>
      <c r="BC9" s="492"/>
      <c r="BD9" s="492"/>
      <c r="BE9" s="492"/>
      <c r="BF9" s="492"/>
      <c r="BG9" s="492"/>
      <c r="BH9" s="492"/>
      <c r="BI9" s="492"/>
      <c r="BJ9" s="492"/>
      <c r="BK9" s="492"/>
      <c r="BL9" s="492"/>
      <c r="BM9" s="492"/>
      <c r="BN9" s="492"/>
      <c r="BO9" s="492"/>
      <c r="BP9" s="492"/>
      <c r="BQ9" s="493"/>
      <c r="BR9" s="493"/>
      <c r="BS9" s="493"/>
      <c r="BT9" s="493"/>
      <c r="BW9" s="241"/>
    </row>
    <row r="10" spans="1:76" ht="9.9499999999999993" customHeight="1">
      <c r="A10" s="490"/>
      <c r="B10" s="492"/>
      <c r="C10" s="492"/>
      <c r="D10" s="492"/>
      <c r="E10" s="492" t="s">
        <v>118</v>
      </c>
      <c r="F10" s="492"/>
      <c r="G10" s="492"/>
      <c r="H10" s="492"/>
      <c r="I10" s="492"/>
      <c r="J10" s="492"/>
      <c r="K10" s="492"/>
      <c r="L10" s="492"/>
      <c r="M10" s="492"/>
      <c r="N10" s="492"/>
      <c r="O10" s="500">
        <f>$BW$340</f>
        <v>228717</v>
      </c>
      <c r="P10" s="498"/>
      <c r="Q10" s="498"/>
      <c r="R10" s="498"/>
      <c r="S10" s="498"/>
      <c r="T10" s="498"/>
      <c r="U10" s="498"/>
      <c r="V10" s="497" t="s">
        <v>100</v>
      </c>
      <c r="W10" s="497"/>
      <c r="X10" s="498">
        <v>1</v>
      </c>
      <c r="Y10" s="498"/>
      <c r="Z10" s="498"/>
      <c r="AA10" s="498"/>
      <c r="AB10" s="498"/>
      <c r="AC10" s="492" t="s">
        <v>119</v>
      </c>
      <c r="AD10" s="492"/>
      <c r="AE10" s="492"/>
      <c r="AF10" s="492"/>
      <c r="AG10" s="492"/>
      <c r="AH10" s="498">
        <v>500</v>
      </c>
      <c r="AI10" s="498"/>
      <c r="AJ10" s="498"/>
      <c r="AK10" s="498"/>
      <c r="AL10" s="498"/>
      <c r="AM10" s="492" t="s">
        <v>117</v>
      </c>
      <c r="AN10" s="492"/>
      <c r="AO10" s="492"/>
      <c r="AP10" s="492"/>
      <c r="AQ10" s="501">
        <f>INT(O10*X10/AH10)</f>
        <v>457</v>
      </c>
      <c r="AR10" s="498"/>
      <c r="AS10" s="498"/>
      <c r="AT10" s="498"/>
      <c r="AU10" s="498"/>
      <c r="AV10" s="498"/>
      <c r="AW10" s="492"/>
      <c r="AX10" s="492"/>
      <c r="AY10" s="492"/>
      <c r="AZ10" s="492"/>
      <c r="BA10" s="492"/>
      <c r="BB10" s="492"/>
      <c r="BC10" s="492"/>
      <c r="BD10" s="492"/>
      <c r="BE10" s="492"/>
      <c r="BF10" s="492"/>
      <c r="BG10" s="492"/>
      <c r="BH10" s="492"/>
      <c r="BI10" s="492"/>
      <c r="BJ10" s="492"/>
      <c r="BK10" s="492"/>
      <c r="BL10" s="492"/>
      <c r="BM10" s="492"/>
      <c r="BN10" s="492"/>
      <c r="BO10" s="492"/>
      <c r="BP10" s="492"/>
      <c r="BQ10" s="499">
        <f>SUM(BR10:BT10)</f>
        <v>457</v>
      </c>
      <c r="BR10" s="493">
        <f>AQ10</f>
        <v>457</v>
      </c>
      <c r="BS10" s="493"/>
      <c r="BT10" s="493"/>
      <c r="BW10" s="241"/>
    </row>
    <row r="11" spans="1:76" ht="9.9499999999999993" customHeight="1">
      <c r="A11" s="490"/>
      <c r="B11" s="492"/>
      <c r="C11" s="492"/>
      <c r="D11" s="492"/>
      <c r="E11" s="492" t="s">
        <v>62</v>
      </c>
      <c r="F11" s="492"/>
      <c r="G11" s="492"/>
      <c r="H11" s="492"/>
      <c r="I11" s="492"/>
      <c r="J11" s="492"/>
      <c r="K11" s="492"/>
      <c r="L11" s="492"/>
      <c r="M11" s="492"/>
      <c r="N11" s="492"/>
      <c r="O11" s="500">
        <f>$BW$341</f>
        <v>172698</v>
      </c>
      <c r="P11" s="498"/>
      <c r="Q11" s="498"/>
      <c r="R11" s="498"/>
      <c r="S11" s="498"/>
      <c r="T11" s="498"/>
      <c r="U11" s="498"/>
      <c r="V11" s="497" t="s">
        <v>100</v>
      </c>
      <c r="W11" s="497"/>
      <c r="X11" s="498">
        <v>1</v>
      </c>
      <c r="Y11" s="498"/>
      <c r="Z11" s="498"/>
      <c r="AA11" s="498"/>
      <c r="AB11" s="498"/>
      <c r="AC11" s="492" t="s">
        <v>119</v>
      </c>
      <c r="AD11" s="492"/>
      <c r="AE11" s="492"/>
      <c r="AF11" s="492"/>
      <c r="AG11" s="492"/>
      <c r="AH11" s="498">
        <v>500</v>
      </c>
      <c r="AI11" s="498"/>
      <c r="AJ11" s="498"/>
      <c r="AK11" s="498"/>
      <c r="AL11" s="498"/>
      <c r="AM11" s="492" t="s">
        <v>117</v>
      </c>
      <c r="AN11" s="492"/>
      <c r="AO11" s="492"/>
      <c r="AP11" s="492"/>
      <c r="AQ11" s="501">
        <f>INT(O11*X11/AH11)</f>
        <v>345</v>
      </c>
      <c r="AR11" s="498"/>
      <c r="AS11" s="498"/>
      <c r="AT11" s="498"/>
      <c r="AU11" s="498"/>
      <c r="AV11" s="498"/>
      <c r="AW11" s="492"/>
      <c r="AX11" s="492"/>
      <c r="AY11" s="492"/>
      <c r="AZ11" s="492"/>
      <c r="BA11" s="492"/>
      <c r="BB11" s="492"/>
      <c r="BC11" s="492"/>
      <c r="BD11" s="492"/>
      <c r="BE11" s="492"/>
      <c r="BF11" s="492"/>
      <c r="BG11" s="492"/>
      <c r="BH11" s="492"/>
      <c r="BI11" s="492"/>
      <c r="BJ11" s="492"/>
      <c r="BK11" s="492"/>
      <c r="BL11" s="492"/>
      <c r="BM11" s="492"/>
      <c r="BN11" s="492"/>
      <c r="BO11" s="492"/>
      <c r="BP11" s="492"/>
      <c r="BQ11" s="499">
        <f>SUM(BR11:BT11)</f>
        <v>345</v>
      </c>
      <c r="BR11" s="493">
        <f>AQ11</f>
        <v>345</v>
      </c>
      <c r="BS11" s="493"/>
      <c r="BT11" s="493"/>
      <c r="BW11" s="241"/>
    </row>
    <row r="12" spans="1:76" ht="9.9499999999999993" customHeight="1">
      <c r="A12" s="490"/>
      <c r="B12" s="492"/>
      <c r="C12" s="492" t="s">
        <v>63</v>
      </c>
      <c r="D12" s="492"/>
      <c r="E12" s="492"/>
      <c r="F12" s="492"/>
      <c r="G12" s="492"/>
      <c r="H12" s="492"/>
      <c r="I12" s="492"/>
      <c r="J12" s="492"/>
      <c r="K12" s="492"/>
      <c r="L12" s="502"/>
      <c r="M12" s="492"/>
      <c r="N12" s="492"/>
      <c r="O12" s="492"/>
      <c r="P12" s="492"/>
      <c r="Q12" s="492"/>
      <c r="R12" s="492"/>
      <c r="S12" s="492"/>
      <c r="T12" s="496"/>
      <c r="U12" s="492"/>
      <c r="V12" s="492"/>
      <c r="W12" s="492"/>
      <c r="X12" s="492"/>
      <c r="Y12" s="492"/>
      <c r="Z12" s="492"/>
      <c r="AA12" s="492"/>
      <c r="AB12" s="492"/>
      <c r="AC12" s="492"/>
      <c r="AD12" s="492"/>
      <c r="AE12" s="492"/>
      <c r="AF12" s="492"/>
      <c r="AG12" s="492"/>
      <c r="AH12" s="492"/>
      <c r="AI12" s="496"/>
      <c r="AJ12" s="492"/>
      <c r="AK12" s="492"/>
      <c r="AL12" s="492"/>
      <c r="AM12" s="492"/>
      <c r="AN12" s="492"/>
      <c r="AO12" s="492"/>
      <c r="AP12" s="492"/>
      <c r="AQ12" s="492"/>
      <c r="AR12" s="492"/>
      <c r="AS12" s="492"/>
      <c r="AT12" s="492"/>
      <c r="AU12" s="492"/>
      <c r="AV12" s="492"/>
      <c r="AW12" s="492"/>
      <c r="AX12" s="492"/>
      <c r="AY12" s="492"/>
      <c r="AZ12" s="492"/>
      <c r="BA12" s="492"/>
      <c r="BB12" s="492"/>
      <c r="BC12" s="492"/>
      <c r="BD12" s="492"/>
      <c r="BE12" s="492"/>
      <c r="BF12" s="492"/>
      <c r="BG12" s="492"/>
      <c r="BH12" s="492"/>
      <c r="BI12" s="492"/>
      <c r="BJ12" s="492"/>
      <c r="BK12" s="492"/>
      <c r="BL12" s="492"/>
      <c r="BM12" s="492"/>
      <c r="BN12" s="492"/>
      <c r="BO12" s="492"/>
      <c r="BP12" s="492"/>
      <c r="BQ12" s="503" t="e">
        <f>SUM(BR12:BT12)</f>
        <v>#REF!</v>
      </c>
      <c r="BR12" s="503">
        <f>SUM(BR6:BR11)</f>
        <v>802</v>
      </c>
      <c r="BS12" s="503" t="e">
        <f>SUM(BS6:BS11)</f>
        <v>#REF!</v>
      </c>
      <c r="BT12" s="503">
        <f>SUM(BT6:BT11)</f>
        <v>0</v>
      </c>
    </row>
    <row r="13" spans="1:76" ht="9.9499999999999993" customHeight="1">
      <c r="A13" s="490"/>
      <c r="B13" s="492" t="s">
        <v>121</v>
      </c>
      <c r="C13" s="492"/>
      <c r="D13" s="492"/>
      <c r="E13" s="492"/>
      <c r="F13" s="492"/>
      <c r="G13" s="492"/>
      <c r="H13" s="492"/>
      <c r="I13" s="492"/>
      <c r="J13" s="492"/>
      <c r="K13" s="492"/>
      <c r="L13" s="492"/>
      <c r="M13" s="492"/>
      <c r="N13" s="492"/>
      <c r="O13" s="492"/>
      <c r="P13" s="492"/>
      <c r="Q13" s="492"/>
      <c r="R13" s="492"/>
      <c r="S13" s="492"/>
      <c r="T13" s="496"/>
      <c r="U13" s="492"/>
      <c r="V13" s="492"/>
      <c r="W13" s="492"/>
      <c r="X13" s="492"/>
      <c r="Y13" s="492"/>
      <c r="Z13" s="492"/>
      <c r="AA13" s="492"/>
      <c r="AB13" s="492"/>
      <c r="AC13" s="492"/>
      <c r="AD13" s="492"/>
      <c r="AE13" s="492"/>
      <c r="AF13" s="492"/>
      <c r="AG13" s="492"/>
      <c r="AH13" s="492"/>
      <c r="AI13" s="496"/>
      <c r="AJ13" s="492"/>
      <c r="AK13" s="492"/>
      <c r="AL13" s="492"/>
      <c r="AM13" s="492"/>
      <c r="AN13" s="492"/>
      <c r="AO13" s="492"/>
      <c r="AP13" s="492"/>
      <c r="AQ13" s="492"/>
      <c r="AR13" s="492"/>
      <c r="AS13" s="492"/>
      <c r="AT13" s="492"/>
      <c r="AU13" s="492"/>
      <c r="AV13" s="492"/>
      <c r="AW13" s="492"/>
      <c r="AX13" s="492"/>
      <c r="AY13" s="492"/>
      <c r="AZ13" s="492"/>
      <c r="BA13" s="492"/>
      <c r="BB13" s="492"/>
      <c r="BC13" s="492"/>
      <c r="BD13" s="492"/>
      <c r="BE13" s="492"/>
      <c r="BF13" s="492"/>
      <c r="BG13" s="492"/>
      <c r="BH13" s="492"/>
      <c r="BI13" s="492"/>
      <c r="BJ13" s="492"/>
      <c r="BK13" s="492"/>
      <c r="BL13" s="492"/>
      <c r="BM13" s="492"/>
      <c r="BN13" s="492"/>
      <c r="BO13" s="492"/>
      <c r="BP13" s="492"/>
      <c r="BQ13" s="499"/>
      <c r="BR13" s="499"/>
      <c r="BS13" s="499"/>
      <c r="BT13" s="499"/>
    </row>
    <row r="14" spans="1:76" ht="9.9499999999999993" customHeight="1">
      <c r="A14" s="490"/>
      <c r="B14" s="492"/>
      <c r="C14" s="492" t="s">
        <v>64</v>
      </c>
      <c r="D14" s="492"/>
      <c r="E14" s="500">
        <v>5500</v>
      </c>
      <c r="F14" s="498"/>
      <c r="G14" s="498"/>
      <c r="H14" s="498"/>
      <c r="I14" s="498"/>
      <c r="J14" s="492" t="s">
        <v>122</v>
      </c>
      <c r="K14" s="492"/>
      <c r="L14" s="502"/>
      <c r="M14" s="492"/>
      <c r="N14" s="492"/>
      <c r="O14" s="500">
        <v>3000</v>
      </c>
      <c r="P14" s="498"/>
      <c r="Q14" s="498"/>
      <c r="R14" s="498"/>
      <c r="S14" s="498"/>
      <c r="T14" s="492" t="s">
        <v>123</v>
      </c>
      <c r="U14" s="492"/>
      <c r="V14" s="502"/>
      <c r="W14" s="492"/>
      <c r="X14" s="492"/>
      <c r="Y14" s="492"/>
      <c r="Z14" s="492"/>
      <c r="AA14" s="492"/>
      <c r="AB14" s="492"/>
      <c r="AC14" s="492"/>
      <c r="AD14" s="492"/>
      <c r="AE14" s="492"/>
      <c r="AF14" s="492"/>
      <c r="AG14" s="492"/>
      <c r="AH14" s="492"/>
      <c r="AI14" s="496"/>
      <c r="AJ14" s="492"/>
      <c r="AK14" s="492"/>
      <c r="AL14" s="492"/>
      <c r="AM14" s="492"/>
      <c r="AN14" s="492"/>
      <c r="AO14" s="492"/>
      <c r="AP14" s="492"/>
      <c r="AQ14" s="492"/>
      <c r="AR14" s="492"/>
      <c r="AS14" s="492"/>
      <c r="AT14" s="492"/>
      <c r="AU14" s="492"/>
      <c r="AV14" s="492"/>
      <c r="AW14" s="492"/>
      <c r="AX14" s="492"/>
      <c r="AY14" s="492"/>
      <c r="AZ14" s="492"/>
      <c r="BA14" s="492"/>
      <c r="BB14" s="492"/>
      <c r="BC14" s="492"/>
      <c r="BD14" s="492"/>
      <c r="BE14" s="492"/>
      <c r="BF14" s="492"/>
      <c r="BG14" s="492"/>
      <c r="BH14" s="492"/>
      <c r="BI14" s="492"/>
      <c r="BJ14" s="492"/>
      <c r="BK14" s="492"/>
      <c r="BL14" s="492"/>
      <c r="BM14" s="492"/>
      <c r="BN14" s="492"/>
      <c r="BO14" s="492"/>
      <c r="BP14" s="492"/>
      <c r="BQ14" s="499"/>
      <c r="BR14" s="499"/>
      <c r="BS14" s="499"/>
      <c r="BT14" s="499"/>
    </row>
    <row r="15" spans="1:76" ht="9.9499999999999993" customHeight="1">
      <c r="A15" s="490"/>
      <c r="B15" s="492"/>
      <c r="C15" s="492" t="s">
        <v>124</v>
      </c>
      <c r="D15" s="492"/>
      <c r="E15" s="492"/>
      <c r="F15" s="492"/>
      <c r="G15" s="492"/>
      <c r="H15" s="500">
        <v>3000</v>
      </c>
      <c r="I15" s="498"/>
      <c r="J15" s="498"/>
      <c r="K15" s="498"/>
      <c r="L15" s="498"/>
      <c r="M15" s="498"/>
      <c r="N15" s="492"/>
      <c r="O15" s="492"/>
      <c r="P15" s="492"/>
      <c r="Q15" s="492"/>
      <c r="R15" s="492"/>
      <c r="S15" s="492"/>
      <c r="T15" s="496"/>
      <c r="U15" s="492"/>
      <c r="V15" s="492"/>
      <c r="W15" s="492"/>
      <c r="X15" s="492"/>
      <c r="Y15" s="492"/>
      <c r="Z15" s="492"/>
      <c r="AA15" s="492"/>
      <c r="AB15" s="492"/>
      <c r="AC15" s="492"/>
      <c r="AD15" s="492"/>
      <c r="AE15" s="492"/>
      <c r="AF15" s="492"/>
      <c r="AG15" s="492"/>
      <c r="AH15" s="492"/>
      <c r="AI15" s="496"/>
      <c r="AJ15" s="492"/>
      <c r="AK15" s="492"/>
      <c r="AL15" s="492"/>
      <c r="AM15" s="492"/>
      <c r="AN15" s="492"/>
      <c r="AO15" s="492"/>
      <c r="AP15" s="492"/>
      <c r="AQ15" s="492"/>
      <c r="AR15" s="492"/>
      <c r="AS15" s="492"/>
      <c r="AT15" s="492"/>
      <c r="AU15" s="492"/>
      <c r="AV15" s="492"/>
      <c r="AW15" s="492"/>
      <c r="AX15" s="492"/>
      <c r="AY15" s="492"/>
      <c r="AZ15" s="492"/>
      <c r="BA15" s="492"/>
      <c r="BB15" s="492"/>
      <c r="BC15" s="492"/>
      <c r="BD15" s="492"/>
      <c r="BE15" s="492"/>
      <c r="BF15" s="492"/>
      <c r="BG15" s="492"/>
      <c r="BH15" s="492"/>
      <c r="BI15" s="492"/>
      <c r="BJ15" s="492"/>
      <c r="BK15" s="492"/>
      <c r="BL15" s="492"/>
      <c r="BM15" s="492"/>
      <c r="BN15" s="492"/>
      <c r="BO15" s="492"/>
      <c r="BP15" s="492"/>
      <c r="BQ15" s="499"/>
      <c r="BR15" s="499"/>
      <c r="BS15" s="499"/>
      <c r="BT15" s="499"/>
    </row>
    <row r="16" spans="1:76" ht="9.9499999999999993" customHeight="1">
      <c r="A16" s="490"/>
      <c r="B16" s="492"/>
      <c r="C16" s="492" t="s">
        <v>125</v>
      </c>
      <c r="D16" s="492"/>
      <c r="E16" s="492"/>
      <c r="F16" s="492"/>
      <c r="G16" s="498">
        <v>1</v>
      </c>
      <c r="H16" s="498"/>
      <c r="I16" s="498"/>
      <c r="J16" s="498"/>
      <c r="K16" s="498"/>
      <c r="L16" s="492" t="s">
        <v>126</v>
      </c>
      <c r="M16" s="492"/>
      <c r="N16" s="492"/>
      <c r="O16" s="492"/>
      <c r="P16" s="492" t="s">
        <v>65</v>
      </c>
      <c r="Q16" s="492"/>
      <c r="R16" s="492"/>
      <c r="S16" s="492"/>
      <c r="T16" s="498">
        <v>20</v>
      </c>
      <c r="U16" s="498"/>
      <c r="V16" s="498"/>
      <c r="W16" s="498"/>
      <c r="X16" s="498"/>
      <c r="Y16" s="492" t="s">
        <v>127</v>
      </c>
      <c r="Z16" s="492"/>
      <c r="AA16" s="492"/>
      <c r="AB16" s="492"/>
      <c r="AC16" s="492"/>
      <c r="AD16" s="492"/>
      <c r="AE16" s="492"/>
      <c r="AF16" s="492"/>
      <c r="AG16" s="492"/>
      <c r="AH16" s="492"/>
      <c r="AI16" s="496"/>
      <c r="AJ16" s="492"/>
      <c r="AK16" s="492"/>
      <c r="AL16" s="492"/>
      <c r="AM16" s="492"/>
      <c r="AN16" s="492"/>
      <c r="AO16" s="492"/>
      <c r="AP16" s="492"/>
      <c r="AQ16" s="492"/>
      <c r="AR16" s="492"/>
      <c r="AS16" s="492"/>
      <c r="AT16" s="492"/>
      <c r="AU16" s="492"/>
      <c r="AV16" s="492"/>
      <c r="AW16" s="492"/>
      <c r="AX16" s="492"/>
      <c r="AY16" s="492"/>
      <c r="AZ16" s="492"/>
      <c r="BA16" s="492"/>
      <c r="BB16" s="492"/>
      <c r="BC16" s="492"/>
      <c r="BD16" s="492"/>
      <c r="BE16" s="492"/>
      <c r="BF16" s="492"/>
      <c r="BG16" s="492"/>
      <c r="BH16" s="492"/>
      <c r="BI16" s="492"/>
      <c r="BJ16" s="492"/>
      <c r="BK16" s="492"/>
      <c r="BL16" s="492"/>
      <c r="BM16" s="492"/>
      <c r="BN16" s="492"/>
      <c r="BO16" s="492"/>
      <c r="BP16" s="492"/>
      <c r="BQ16" s="499"/>
      <c r="BR16" s="499"/>
      <c r="BS16" s="499"/>
      <c r="BT16" s="499"/>
    </row>
    <row r="17" spans="1:72" ht="9.9499999999999993" customHeight="1">
      <c r="A17" s="490"/>
      <c r="B17" s="492"/>
      <c r="C17" s="492"/>
      <c r="D17" s="492"/>
      <c r="E17" s="492"/>
      <c r="F17" s="492"/>
      <c r="G17" s="492" t="s">
        <v>128</v>
      </c>
      <c r="H17" s="498"/>
      <c r="I17" s="498"/>
      <c r="J17" s="498"/>
      <c r="K17" s="498"/>
      <c r="L17" s="498"/>
      <c r="M17" s="498"/>
      <c r="N17" s="492"/>
      <c r="O17" s="492"/>
      <c r="P17" s="492"/>
      <c r="Q17" s="498">
        <v>5</v>
      </c>
      <c r="R17" s="498"/>
      <c r="S17" s="498"/>
      <c r="T17" s="498"/>
      <c r="U17" s="492" t="s">
        <v>129</v>
      </c>
      <c r="V17" s="492"/>
      <c r="W17" s="492"/>
      <c r="X17" s="492"/>
      <c r="Y17" s="492"/>
      <c r="Z17" s="492"/>
      <c r="AA17" s="492"/>
      <c r="AB17" s="492"/>
      <c r="AC17" s="492"/>
      <c r="AD17" s="492"/>
      <c r="AE17" s="492"/>
      <c r="AF17" s="492"/>
      <c r="AG17" s="492"/>
      <c r="AH17" s="492"/>
      <c r="AI17" s="496"/>
      <c r="AJ17" s="492"/>
      <c r="AK17" s="492"/>
      <c r="AL17" s="492"/>
      <c r="AM17" s="492"/>
      <c r="AN17" s="492"/>
      <c r="AO17" s="492"/>
      <c r="AP17" s="492"/>
      <c r="AQ17" s="492"/>
      <c r="AR17" s="492"/>
      <c r="AS17" s="492"/>
      <c r="AT17" s="492"/>
      <c r="AU17" s="492"/>
      <c r="AV17" s="492"/>
      <c r="AW17" s="492"/>
      <c r="AX17" s="492"/>
      <c r="AY17" s="492"/>
      <c r="AZ17" s="492"/>
      <c r="BA17" s="492"/>
      <c r="BB17" s="492"/>
      <c r="BC17" s="492"/>
      <c r="BD17" s="492"/>
      <c r="BE17" s="492"/>
      <c r="BF17" s="492"/>
      <c r="BG17" s="492"/>
      <c r="BH17" s="492"/>
      <c r="BI17" s="492"/>
      <c r="BJ17" s="492"/>
      <c r="BK17" s="492"/>
      <c r="BL17" s="492"/>
      <c r="BM17" s="492"/>
      <c r="BN17" s="492"/>
      <c r="BO17" s="492"/>
      <c r="BP17" s="492"/>
      <c r="BQ17" s="499"/>
      <c r="BR17" s="499"/>
      <c r="BS17" s="499"/>
      <c r="BT17" s="499"/>
    </row>
    <row r="18" spans="1:72" ht="9.9499999999999993" customHeight="1">
      <c r="A18" s="490"/>
      <c r="B18" s="492"/>
      <c r="C18" s="492"/>
      <c r="D18" s="492"/>
      <c r="E18" s="492"/>
      <c r="F18" s="492"/>
      <c r="G18" s="492" t="s">
        <v>130</v>
      </c>
      <c r="H18" s="498"/>
      <c r="I18" s="498"/>
      <c r="J18" s="498"/>
      <c r="K18" s="498"/>
      <c r="L18" s="498"/>
      <c r="M18" s="498"/>
      <c r="N18" s="492"/>
      <c r="O18" s="492"/>
      <c r="P18" s="492"/>
      <c r="Q18" s="498">
        <v>10</v>
      </c>
      <c r="R18" s="498"/>
      <c r="S18" s="498"/>
      <c r="T18" s="498"/>
      <c r="U18" s="492" t="s">
        <v>129</v>
      </c>
      <c r="V18" s="492"/>
      <c r="W18" s="492"/>
      <c r="X18" s="492"/>
      <c r="Y18" s="492"/>
      <c r="Z18" s="492"/>
      <c r="AA18" s="492"/>
      <c r="AB18" s="492"/>
      <c r="AC18" s="492"/>
      <c r="AD18" s="492"/>
      <c r="AE18" s="492"/>
      <c r="AF18" s="492"/>
      <c r="AG18" s="492"/>
      <c r="AH18" s="492"/>
      <c r="AI18" s="496"/>
      <c r="AJ18" s="492"/>
      <c r="AK18" s="492"/>
      <c r="AL18" s="492"/>
      <c r="AM18" s="492"/>
      <c r="AN18" s="492"/>
      <c r="AO18" s="492"/>
      <c r="AP18" s="492"/>
      <c r="AQ18" s="492"/>
      <c r="AR18" s="492"/>
      <c r="AS18" s="492"/>
      <c r="AT18" s="492"/>
      <c r="AU18" s="492"/>
      <c r="AV18" s="492"/>
      <c r="AW18" s="492"/>
      <c r="AX18" s="492"/>
      <c r="AY18" s="492"/>
      <c r="AZ18" s="492"/>
      <c r="BA18" s="492"/>
      <c r="BB18" s="492"/>
      <c r="BC18" s="492"/>
      <c r="BD18" s="492"/>
      <c r="BE18" s="492"/>
      <c r="BF18" s="492"/>
      <c r="BG18" s="492"/>
      <c r="BH18" s="492"/>
      <c r="BI18" s="492"/>
      <c r="BJ18" s="492"/>
      <c r="BK18" s="492"/>
      <c r="BL18" s="492"/>
      <c r="BM18" s="492"/>
      <c r="BN18" s="492"/>
      <c r="BO18" s="492"/>
      <c r="BP18" s="492"/>
      <c r="BQ18" s="499"/>
      <c r="BR18" s="499"/>
      <c r="BS18" s="499"/>
      <c r="BT18" s="499"/>
    </row>
    <row r="19" spans="1:72" ht="9.9499999999999993" customHeight="1">
      <c r="A19" s="490"/>
      <c r="B19" s="492"/>
      <c r="C19" s="492"/>
      <c r="D19" s="492"/>
      <c r="E19" s="492"/>
      <c r="F19" s="492"/>
      <c r="G19" s="492" t="s">
        <v>131</v>
      </c>
      <c r="H19" s="498"/>
      <c r="I19" s="498"/>
      <c r="J19" s="498"/>
      <c r="K19" s="498"/>
      <c r="L19" s="498"/>
      <c r="M19" s="498"/>
      <c r="N19" s="492"/>
      <c r="O19" s="492"/>
      <c r="P19" s="492"/>
      <c r="Q19" s="498">
        <v>5</v>
      </c>
      <c r="R19" s="498"/>
      <c r="S19" s="498"/>
      <c r="T19" s="498"/>
      <c r="U19" s="492" t="s">
        <v>129</v>
      </c>
      <c r="V19" s="492"/>
      <c r="W19" s="492"/>
      <c r="X19" s="492"/>
      <c r="Y19" s="492"/>
      <c r="Z19" s="492"/>
      <c r="AA19" s="492"/>
      <c r="AB19" s="492"/>
      <c r="AC19" s="492"/>
      <c r="AD19" s="492"/>
      <c r="AE19" s="492"/>
      <c r="AF19" s="492"/>
      <c r="AG19" s="492"/>
      <c r="AH19" s="492"/>
      <c r="AI19" s="496"/>
      <c r="AJ19" s="492"/>
      <c r="AK19" s="492"/>
      <c r="AL19" s="492"/>
      <c r="AM19" s="492"/>
      <c r="AN19" s="492"/>
      <c r="AO19" s="492"/>
      <c r="AP19" s="492"/>
      <c r="AQ19" s="492"/>
      <c r="AR19" s="492"/>
      <c r="AS19" s="492"/>
      <c r="AT19" s="492"/>
      <c r="AU19" s="492"/>
      <c r="AV19" s="492"/>
      <c r="AW19" s="492"/>
      <c r="AX19" s="492"/>
      <c r="AY19" s="492"/>
      <c r="AZ19" s="492"/>
      <c r="BA19" s="492"/>
      <c r="BB19" s="492"/>
      <c r="BC19" s="492"/>
      <c r="BD19" s="492"/>
      <c r="BE19" s="492"/>
      <c r="BF19" s="492"/>
      <c r="BG19" s="492"/>
      <c r="BH19" s="492"/>
      <c r="BI19" s="492"/>
      <c r="BJ19" s="492"/>
      <c r="BK19" s="492"/>
      <c r="BL19" s="492"/>
      <c r="BM19" s="492"/>
      <c r="BN19" s="492"/>
      <c r="BO19" s="492"/>
      <c r="BP19" s="492"/>
      <c r="BQ19" s="499"/>
      <c r="BR19" s="499"/>
      <c r="BS19" s="499"/>
      <c r="BT19" s="499"/>
    </row>
    <row r="20" spans="1:72" ht="9.9499999999999993" customHeight="1">
      <c r="A20" s="490"/>
      <c r="B20" s="492"/>
      <c r="C20" s="492"/>
      <c r="D20" s="492"/>
      <c r="E20" s="492"/>
      <c r="F20" s="504"/>
      <c r="G20" s="504" t="s">
        <v>132</v>
      </c>
      <c r="H20" s="505"/>
      <c r="I20" s="505"/>
      <c r="J20" s="505"/>
      <c r="K20" s="505"/>
      <c r="L20" s="505"/>
      <c r="M20" s="505"/>
      <c r="N20" s="504"/>
      <c r="O20" s="504"/>
      <c r="P20" s="504"/>
      <c r="Q20" s="505">
        <v>20</v>
      </c>
      <c r="R20" s="505"/>
      <c r="S20" s="505"/>
      <c r="T20" s="505"/>
      <c r="U20" s="504" t="s">
        <v>129</v>
      </c>
      <c r="V20" s="504"/>
      <c r="W20" s="504"/>
      <c r="X20" s="504"/>
      <c r="Y20" s="504"/>
      <c r="Z20" s="504"/>
      <c r="AA20" s="492"/>
      <c r="AB20" s="492"/>
      <c r="AC20" s="492"/>
      <c r="AD20" s="492"/>
      <c r="AE20" s="492"/>
      <c r="AF20" s="492"/>
      <c r="AG20" s="492"/>
      <c r="AH20" s="492"/>
      <c r="AI20" s="496"/>
      <c r="AJ20" s="492"/>
      <c r="AK20" s="492"/>
      <c r="AL20" s="492"/>
      <c r="AM20" s="492"/>
      <c r="AN20" s="492"/>
      <c r="AO20" s="492"/>
      <c r="AP20" s="492"/>
      <c r="AQ20" s="492"/>
      <c r="AR20" s="492"/>
      <c r="AS20" s="492"/>
      <c r="AT20" s="492"/>
      <c r="AU20" s="492"/>
      <c r="AV20" s="492"/>
      <c r="AW20" s="492"/>
      <c r="AX20" s="492"/>
      <c r="AY20" s="492"/>
      <c r="AZ20" s="492"/>
      <c r="BA20" s="492"/>
      <c r="BB20" s="492"/>
      <c r="BC20" s="492"/>
      <c r="BD20" s="492"/>
      <c r="BE20" s="492"/>
      <c r="BF20" s="492"/>
      <c r="BG20" s="492"/>
      <c r="BH20" s="492"/>
      <c r="BI20" s="492"/>
      <c r="BJ20" s="492"/>
      <c r="BK20" s="492"/>
      <c r="BL20" s="492"/>
      <c r="BM20" s="492"/>
      <c r="BN20" s="492"/>
      <c r="BO20" s="492"/>
      <c r="BP20" s="492"/>
      <c r="BQ20" s="499"/>
      <c r="BR20" s="499"/>
      <c r="BS20" s="499"/>
      <c r="BT20" s="499"/>
    </row>
    <row r="21" spans="1:72" ht="9.9499999999999993" customHeight="1">
      <c r="A21" s="490"/>
      <c r="B21" s="492"/>
      <c r="C21" s="492"/>
      <c r="D21" s="492"/>
      <c r="E21" s="492"/>
      <c r="F21" s="492"/>
      <c r="G21" s="492"/>
      <c r="H21" s="492"/>
      <c r="I21" s="492" t="s">
        <v>44</v>
      </c>
      <c r="J21" s="492"/>
      <c r="K21" s="492"/>
      <c r="L21" s="492"/>
      <c r="M21" s="492"/>
      <c r="N21" s="506"/>
      <c r="O21" s="492" t="s">
        <v>133</v>
      </c>
      <c r="P21" s="492"/>
      <c r="Q21" s="498">
        <f>SUM(Q17:Q20)</f>
        <v>40</v>
      </c>
      <c r="R21" s="498"/>
      <c r="S21" s="498"/>
      <c r="T21" s="498"/>
      <c r="U21" s="492" t="s">
        <v>129</v>
      </c>
      <c r="V21" s="492"/>
      <c r="W21" s="492"/>
      <c r="X21" s="492"/>
      <c r="Y21" s="492"/>
      <c r="Z21" s="492"/>
      <c r="AA21" s="492"/>
      <c r="AB21" s="492"/>
      <c r="AC21" s="492"/>
      <c r="AD21" s="492"/>
      <c r="AE21" s="492"/>
      <c r="AF21" s="492"/>
      <c r="AG21" s="492"/>
      <c r="AH21" s="492"/>
      <c r="AI21" s="496"/>
      <c r="AJ21" s="492"/>
      <c r="AK21" s="492"/>
      <c r="AL21" s="492"/>
      <c r="AM21" s="492"/>
      <c r="AN21" s="492"/>
      <c r="AO21" s="492"/>
      <c r="AP21" s="492"/>
      <c r="AQ21" s="492"/>
      <c r="AR21" s="492"/>
      <c r="AS21" s="492"/>
      <c r="AT21" s="492"/>
      <c r="AU21" s="492"/>
      <c r="AV21" s="492"/>
      <c r="AW21" s="492"/>
      <c r="AX21" s="492"/>
      <c r="AY21" s="492"/>
      <c r="AZ21" s="492"/>
      <c r="BA21" s="492"/>
      <c r="BB21" s="492"/>
      <c r="BC21" s="492"/>
      <c r="BD21" s="492"/>
      <c r="BE21" s="492"/>
      <c r="BF21" s="492"/>
      <c r="BG21" s="492"/>
      <c r="BH21" s="492"/>
      <c r="BI21" s="492"/>
      <c r="BJ21" s="492"/>
      <c r="BK21" s="492"/>
      <c r="BL21" s="492"/>
      <c r="BM21" s="492"/>
      <c r="BN21" s="492"/>
      <c r="BO21" s="492"/>
      <c r="BP21" s="492"/>
      <c r="BQ21" s="499"/>
      <c r="BR21" s="499"/>
      <c r="BS21" s="499"/>
      <c r="BT21" s="499"/>
    </row>
    <row r="22" spans="1:72" ht="9.9499999999999993" customHeight="1">
      <c r="A22" s="490"/>
      <c r="B22" s="492"/>
      <c r="C22" s="492" t="s">
        <v>134</v>
      </c>
      <c r="D22" s="492"/>
      <c r="E22" s="492"/>
      <c r="F22" s="492"/>
      <c r="G22" s="492"/>
      <c r="H22" s="498">
        <f>G16</f>
        <v>1</v>
      </c>
      <c r="I22" s="498"/>
      <c r="J22" s="498"/>
      <c r="K22" s="498"/>
      <c r="L22" s="507" t="s">
        <v>99</v>
      </c>
      <c r="M22" s="497"/>
      <c r="N22" s="498">
        <f>T16</f>
        <v>20</v>
      </c>
      <c r="O22" s="498"/>
      <c r="P22" s="498"/>
      <c r="Q22" s="498"/>
      <c r="R22" s="497" t="s">
        <v>100</v>
      </c>
      <c r="S22" s="497"/>
      <c r="T22" s="498">
        <v>2</v>
      </c>
      <c r="U22" s="498"/>
      <c r="V22" s="498"/>
      <c r="W22" s="498"/>
      <c r="X22" s="497" t="s">
        <v>100</v>
      </c>
      <c r="Y22" s="497"/>
      <c r="Z22" s="498">
        <v>60</v>
      </c>
      <c r="AA22" s="498"/>
      <c r="AB22" s="498"/>
      <c r="AC22" s="498"/>
      <c r="AD22" s="507" t="s">
        <v>103</v>
      </c>
      <c r="AE22" s="497"/>
      <c r="AF22" s="498">
        <f>H22/N22*T22*Z22</f>
        <v>6</v>
      </c>
      <c r="AG22" s="498"/>
      <c r="AH22" s="498"/>
      <c r="AI22" s="498"/>
      <c r="AJ22" s="498"/>
      <c r="AK22" s="492" t="s">
        <v>129</v>
      </c>
      <c r="AL22" s="492"/>
      <c r="AM22" s="492"/>
      <c r="AN22" s="492"/>
      <c r="AO22" s="492"/>
      <c r="AP22" s="492"/>
      <c r="AQ22" s="492"/>
      <c r="AR22" s="492"/>
      <c r="AS22" s="492"/>
      <c r="AT22" s="492"/>
      <c r="AU22" s="492"/>
      <c r="AV22" s="492"/>
      <c r="AW22" s="492"/>
      <c r="AX22" s="492"/>
      <c r="AY22" s="492"/>
      <c r="AZ22" s="492"/>
      <c r="BA22" s="492"/>
      <c r="BB22" s="492"/>
      <c r="BC22" s="492"/>
      <c r="BD22" s="492"/>
      <c r="BE22" s="492"/>
      <c r="BF22" s="492"/>
      <c r="BG22" s="492"/>
      <c r="BH22" s="492"/>
      <c r="BI22" s="492"/>
      <c r="BJ22" s="492"/>
      <c r="BK22" s="492"/>
      <c r="BL22" s="492"/>
      <c r="BM22" s="492"/>
      <c r="BN22" s="492"/>
      <c r="BO22" s="492"/>
      <c r="BP22" s="492"/>
      <c r="BQ22" s="499"/>
      <c r="BR22" s="499"/>
      <c r="BS22" s="499"/>
      <c r="BT22" s="499"/>
    </row>
    <row r="23" spans="1:72" ht="9.9499999999999993" customHeight="1">
      <c r="A23" s="490"/>
      <c r="B23" s="492"/>
      <c r="C23" s="492" t="s">
        <v>135</v>
      </c>
      <c r="D23" s="492"/>
      <c r="E23" s="492"/>
      <c r="F23" s="492"/>
      <c r="G23" s="492"/>
      <c r="H23" s="498">
        <f>Q21</f>
        <v>40</v>
      </c>
      <c r="I23" s="498"/>
      <c r="J23" s="498"/>
      <c r="K23" s="498"/>
      <c r="L23" s="507" t="s">
        <v>59</v>
      </c>
      <c r="M23" s="497"/>
      <c r="N23" s="498">
        <f>AF22</f>
        <v>6</v>
      </c>
      <c r="O23" s="498"/>
      <c r="P23" s="498"/>
      <c r="Q23" s="498"/>
      <c r="R23" s="507" t="s">
        <v>103</v>
      </c>
      <c r="S23" s="497"/>
      <c r="T23" s="498">
        <f>INT(H23+N23)</f>
        <v>46</v>
      </c>
      <c r="U23" s="498"/>
      <c r="V23" s="498"/>
      <c r="W23" s="498"/>
      <c r="X23" s="498"/>
      <c r="Y23" s="492" t="s">
        <v>129</v>
      </c>
      <c r="Z23" s="492"/>
      <c r="AA23" s="492"/>
      <c r="AB23" s="492"/>
      <c r="AC23" s="492"/>
      <c r="AD23" s="492"/>
      <c r="AE23" s="492"/>
      <c r="AF23" s="492"/>
      <c r="AG23" s="492"/>
      <c r="AH23" s="492"/>
      <c r="AI23" s="496"/>
      <c r="AJ23" s="492"/>
      <c r="AK23" s="492"/>
      <c r="AL23" s="492"/>
      <c r="AM23" s="492"/>
      <c r="AN23" s="492"/>
      <c r="AO23" s="492"/>
      <c r="AP23" s="492"/>
      <c r="AQ23" s="492"/>
      <c r="AR23" s="492"/>
      <c r="AS23" s="492"/>
      <c r="AT23" s="492"/>
      <c r="AU23" s="492"/>
      <c r="AV23" s="492"/>
      <c r="AW23" s="492"/>
      <c r="AX23" s="492"/>
      <c r="AY23" s="492"/>
      <c r="AZ23" s="492"/>
      <c r="BA23" s="492"/>
      <c r="BB23" s="492"/>
      <c r="BC23" s="492"/>
      <c r="BD23" s="492"/>
      <c r="BE23" s="492"/>
      <c r="BF23" s="492"/>
      <c r="BG23" s="492"/>
      <c r="BH23" s="492"/>
      <c r="BI23" s="492"/>
      <c r="BJ23" s="492"/>
      <c r="BK23" s="492"/>
      <c r="BL23" s="492"/>
      <c r="BM23" s="492"/>
      <c r="BN23" s="492"/>
      <c r="BO23" s="492"/>
      <c r="BP23" s="492"/>
      <c r="BQ23" s="499"/>
      <c r="BR23" s="499"/>
      <c r="BS23" s="499"/>
      <c r="BT23" s="499"/>
    </row>
    <row r="24" spans="1:72" ht="9.9499999999999993" customHeight="1">
      <c r="A24" s="490"/>
      <c r="B24" s="492"/>
      <c r="C24" s="492"/>
      <c r="D24" s="492" t="s">
        <v>136</v>
      </c>
      <c r="E24" s="492"/>
      <c r="F24" s="492"/>
      <c r="G24" s="492"/>
      <c r="H24" s="492"/>
      <c r="I24" s="498">
        <v>60</v>
      </c>
      <c r="J24" s="498"/>
      <c r="K24" s="498"/>
      <c r="L24" s="498"/>
      <c r="M24" s="497" t="s">
        <v>100</v>
      </c>
      <c r="N24" s="497"/>
      <c r="O24" s="500">
        <f>E14</f>
        <v>5500</v>
      </c>
      <c r="P24" s="498"/>
      <c r="Q24" s="498"/>
      <c r="R24" s="498"/>
      <c r="S24" s="498"/>
      <c r="T24" s="497" t="s">
        <v>100</v>
      </c>
      <c r="U24" s="497"/>
      <c r="V24" s="498">
        <v>0.9</v>
      </c>
      <c r="W24" s="498"/>
      <c r="X24" s="498"/>
      <c r="Y24" s="498"/>
      <c r="Z24" s="492" t="s">
        <v>137</v>
      </c>
      <c r="AA24" s="492"/>
      <c r="AB24" s="492"/>
      <c r="AC24" s="492"/>
      <c r="AD24" s="498">
        <f>T23</f>
        <v>46</v>
      </c>
      <c r="AE24" s="498"/>
      <c r="AF24" s="498"/>
      <c r="AG24" s="498"/>
      <c r="AH24" s="507" t="s">
        <v>103</v>
      </c>
      <c r="AI24" s="497"/>
      <c r="AJ24" s="498">
        <f>ROUNDDOWN((I24*O24*V24)/AD24,2)</f>
        <v>6456.52</v>
      </c>
      <c r="AK24" s="498"/>
      <c r="AL24" s="498"/>
      <c r="AM24" s="498"/>
      <c r="AN24" s="498"/>
      <c r="AO24" s="498"/>
      <c r="AP24" s="498"/>
      <c r="AQ24" s="492" t="s">
        <v>129</v>
      </c>
      <c r="AR24" s="492"/>
      <c r="AS24" s="492"/>
      <c r="AT24" s="492"/>
      <c r="AU24" s="492"/>
      <c r="AV24" s="492"/>
      <c r="AW24" s="492"/>
      <c r="AX24" s="492"/>
      <c r="AY24" s="492"/>
      <c r="AZ24" s="492"/>
      <c r="BA24" s="492"/>
      <c r="BB24" s="492"/>
      <c r="BC24" s="492"/>
      <c r="BD24" s="492"/>
      <c r="BE24" s="492"/>
      <c r="BF24" s="492"/>
      <c r="BG24" s="492"/>
      <c r="BH24" s="492"/>
      <c r="BI24" s="492"/>
      <c r="BJ24" s="492"/>
      <c r="BK24" s="492"/>
      <c r="BL24" s="492"/>
      <c r="BM24" s="492"/>
      <c r="BN24" s="492"/>
      <c r="BO24" s="492"/>
      <c r="BP24" s="492"/>
      <c r="BQ24" s="499"/>
      <c r="BR24" s="499"/>
      <c r="BS24" s="499"/>
      <c r="BT24" s="499"/>
    </row>
    <row r="25" spans="1:72" ht="9.9499999999999993" customHeight="1">
      <c r="A25" s="490"/>
      <c r="B25" s="492"/>
      <c r="C25" s="492"/>
      <c r="D25" s="492"/>
      <c r="E25" s="492" t="s">
        <v>138</v>
      </c>
      <c r="F25" s="492"/>
      <c r="G25" s="492"/>
      <c r="H25" s="492"/>
      <c r="I25" s="492"/>
      <c r="J25" s="492"/>
      <c r="K25" s="492"/>
      <c r="L25" s="492"/>
      <c r="M25" s="492"/>
      <c r="N25" s="492"/>
      <c r="O25" s="492"/>
      <c r="P25" s="492"/>
      <c r="Q25" s="1513" t="e">
        <f>'기계경비(OLD)'!$AT$124</f>
        <v>#REF!</v>
      </c>
      <c r="R25" s="1506"/>
      <c r="S25" s="1506"/>
      <c r="T25" s="1506"/>
      <c r="U25" s="1506"/>
      <c r="V25" s="1506"/>
      <c r="W25" s="1506"/>
      <c r="X25" s="507" t="s">
        <v>99</v>
      </c>
      <c r="Y25" s="497"/>
      <c r="Z25" s="498">
        <f>AJ24</f>
        <v>6456.52</v>
      </c>
      <c r="AA25" s="498"/>
      <c r="AB25" s="498"/>
      <c r="AC25" s="498"/>
      <c r="AD25" s="498"/>
      <c r="AE25" s="498"/>
      <c r="AF25" s="498"/>
      <c r="AG25" s="492" t="s">
        <v>579</v>
      </c>
      <c r="AH25" s="492"/>
      <c r="AI25" s="496"/>
      <c r="AJ25" s="492" t="s">
        <v>64</v>
      </c>
      <c r="AK25" s="498">
        <v>36</v>
      </c>
      <c r="AL25" s="498"/>
      <c r="AM25" s="498"/>
      <c r="AN25" s="498"/>
      <c r="AO25" s="507" t="s">
        <v>99</v>
      </c>
      <c r="AP25" s="497"/>
      <c r="AQ25" s="498">
        <f>T23</f>
        <v>46</v>
      </c>
      <c r="AR25" s="498"/>
      <c r="AS25" s="498"/>
      <c r="AT25" s="498"/>
      <c r="AU25" s="492" t="s">
        <v>139</v>
      </c>
      <c r="AV25" s="492"/>
      <c r="AW25" s="492"/>
      <c r="AX25" s="492"/>
      <c r="AY25" s="498" t="e">
        <f>ROUNDDOWN(Q25/Z25*(AK25/AQ25),3)</f>
        <v>#REF!</v>
      </c>
      <c r="AZ25" s="498"/>
      <c r="BA25" s="498"/>
      <c r="BB25" s="498"/>
      <c r="BC25" s="498"/>
      <c r="BD25" s="1496" t="s">
        <v>671</v>
      </c>
      <c r="BE25" s="1496"/>
      <c r="BF25" s="1496"/>
      <c r="BG25" s="1496"/>
      <c r="BH25" s="1496"/>
      <c r="BI25" s="1496"/>
      <c r="BJ25" s="1496"/>
      <c r="BK25" s="1496"/>
      <c r="BL25" s="1496"/>
      <c r="BM25" s="1496"/>
      <c r="BN25" s="1496"/>
      <c r="BO25" s="1496"/>
      <c r="BP25" s="492"/>
      <c r="BQ25" s="499"/>
      <c r="BR25" s="499"/>
      <c r="BS25" s="499"/>
      <c r="BT25" s="499"/>
    </row>
    <row r="26" spans="1:72" ht="9.9499999999999993" customHeight="1">
      <c r="A26" s="490"/>
      <c r="B26" s="492"/>
      <c r="C26" s="492"/>
      <c r="D26" s="492"/>
      <c r="E26" s="492" t="s">
        <v>140</v>
      </c>
      <c r="F26" s="492"/>
      <c r="G26" s="492"/>
      <c r="H26" s="492"/>
      <c r="I26" s="492"/>
      <c r="J26" s="492"/>
      <c r="K26" s="492"/>
      <c r="L26" s="492"/>
      <c r="M26" s="492"/>
      <c r="N26" s="492"/>
      <c r="O26" s="492"/>
      <c r="P26" s="492"/>
      <c r="Q26" s="1513">
        <f>'기계경비(OLD)'!$BU$119</f>
        <v>50008</v>
      </c>
      <c r="R26" s="1506"/>
      <c r="S26" s="1506"/>
      <c r="T26" s="1506"/>
      <c r="U26" s="1506"/>
      <c r="V26" s="1506"/>
      <c r="W26" s="1506"/>
      <c r="X26" s="507" t="s">
        <v>99</v>
      </c>
      <c r="Y26" s="497"/>
      <c r="Z26" s="498">
        <f>AJ24</f>
        <v>6456.52</v>
      </c>
      <c r="AA26" s="498"/>
      <c r="AB26" s="498"/>
      <c r="AC26" s="498"/>
      <c r="AD26" s="498"/>
      <c r="AE26" s="498"/>
      <c r="AF26" s="498"/>
      <c r="AG26" s="507" t="s">
        <v>103</v>
      </c>
      <c r="AH26" s="497"/>
      <c r="AI26" s="498">
        <f>ROUNDDOWN(Q26/Z26,3)</f>
        <v>7.7450000000000001</v>
      </c>
      <c r="AJ26" s="498"/>
      <c r="AK26" s="498"/>
      <c r="AL26" s="498"/>
      <c r="AM26" s="498"/>
      <c r="AN26" s="492"/>
      <c r="AO26" s="1496" t="s">
        <v>671</v>
      </c>
      <c r="AP26" s="1496"/>
      <c r="AQ26" s="1496"/>
      <c r="AR26" s="1496"/>
      <c r="AS26" s="1496"/>
      <c r="AT26" s="1496"/>
      <c r="AU26" s="1496"/>
      <c r="AV26" s="1496"/>
      <c r="AW26" s="1496"/>
      <c r="AX26" s="1496"/>
      <c r="AY26" s="1496"/>
      <c r="AZ26" s="492"/>
      <c r="BA26" s="492"/>
      <c r="BB26" s="492"/>
      <c r="BC26" s="492"/>
      <c r="BD26" s="492"/>
      <c r="BE26" s="492"/>
      <c r="BF26" s="492"/>
      <c r="BG26" s="492"/>
      <c r="BH26" s="492"/>
      <c r="BI26" s="492"/>
      <c r="BJ26" s="492"/>
      <c r="BK26" s="492"/>
      <c r="BL26" s="492"/>
      <c r="BM26" s="492"/>
      <c r="BN26" s="492"/>
      <c r="BO26" s="492"/>
      <c r="BP26" s="492"/>
      <c r="BQ26" s="499"/>
      <c r="BR26" s="499"/>
      <c r="BS26" s="499"/>
      <c r="BT26" s="499"/>
    </row>
    <row r="27" spans="1:72" ht="9.9499999999999993" customHeight="1">
      <c r="A27" s="490"/>
      <c r="B27" s="492"/>
      <c r="C27" s="492"/>
      <c r="D27" s="492"/>
      <c r="E27" s="492" t="s">
        <v>141</v>
      </c>
      <c r="F27" s="492"/>
      <c r="G27" s="492"/>
      <c r="H27" s="492"/>
      <c r="I27" s="492"/>
      <c r="J27" s="492"/>
      <c r="K27" s="492"/>
      <c r="L27" s="492"/>
      <c r="M27" s="492"/>
      <c r="N27" s="492"/>
      <c r="O27" s="492"/>
      <c r="P27" s="492"/>
      <c r="Q27" s="1513">
        <f>'기계경비(OLD)'!$BN$128</f>
        <v>9765</v>
      </c>
      <c r="R27" s="1506"/>
      <c r="S27" s="1506"/>
      <c r="T27" s="1506"/>
      <c r="U27" s="1506"/>
      <c r="V27" s="1506"/>
      <c r="W27" s="1506"/>
      <c r="X27" s="507" t="s">
        <v>99</v>
      </c>
      <c r="Y27" s="497"/>
      <c r="Z27" s="498">
        <f>AJ24</f>
        <v>6456.52</v>
      </c>
      <c r="AA27" s="498"/>
      <c r="AB27" s="498"/>
      <c r="AC27" s="498"/>
      <c r="AD27" s="498"/>
      <c r="AE27" s="498"/>
      <c r="AF27" s="498"/>
      <c r="AG27" s="507" t="s">
        <v>103</v>
      </c>
      <c r="AH27" s="497"/>
      <c r="AI27" s="498">
        <f>ROUNDDOWN(Q27/Z27,3)</f>
        <v>1.512</v>
      </c>
      <c r="AJ27" s="498"/>
      <c r="AK27" s="498"/>
      <c r="AL27" s="498"/>
      <c r="AM27" s="498"/>
      <c r="AN27" s="492"/>
      <c r="AO27" s="1496" t="s">
        <v>671</v>
      </c>
      <c r="AP27" s="1496"/>
      <c r="AQ27" s="1496"/>
      <c r="AR27" s="1496"/>
      <c r="AS27" s="1496"/>
      <c r="AT27" s="1496"/>
      <c r="AU27" s="1496"/>
      <c r="AV27" s="1496"/>
      <c r="AW27" s="1496"/>
      <c r="AX27" s="1496"/>
      <c r="AY27" s="1496"/>
      <c r="AZ27" s="492"/>
      <c r="BA27" s="492"/>
      <c r="BB27" s="492"/>
      <c r="BC27" s="492"/>
      <c r="BD27" s="492"/>
      <c r="BE27" s="492"/>
      <c r="BF27" s="492"/>
      <c r="BG27" s="492"/>
      <c r="BH27" s="492"/>
      <c r="BI27" s="492"/>
      <c r="BJ27" s="492"/>
      <c r="BK27" s="492"/>
      <c r="BL27" s="492"/>
      <c r="BM27" s="492"/>
      <c r="BN27" s="492"/>
      <c r="BO27" s="492"/>
      <c r="BP27" s="492"/>
      <c r="BQ27" s="499"/>
      <c r="BR27" s="499"/>
      <c r="BS27" s="499"/>
      <c r="BT27" s="499"/>
    </row>
    <row r="28" spans="1:72" ht="9.9499999999999993" customHeight="1">
      <c r="A28" s="490"/>
      <c r="B28" s="492"/>
      <c r="C28" s="492"/>
      <c r="D28" s="492" t="s">
        <v>142</v>
      </c>
      <c r="E28" s="492"/>
      <c r="F28" s="492"/>
      <c r="G28" s="492"/>
      <c r="H28" s="492"/>
      <c r="I28" s="492"/>
      <c r="J28" s="492"/>
      <c r="K28" s="492"/>
      <c r="L28" s="492"/>
      <c r="M28" s="492"/>
      <c r="N28" s="492"/>
      <c r="O28" s="492"/>
      <c r="P28" s="492"/>
      <c r="Q28" s="492"/>
      <c r="R28" s="492"/>
      <c r="S28" s="492"/>
      <c r="T28" s="492"/>
      <c r="U28" s="492"/>
      <c r="V28" s="492"/>
      <c r="W28" s="492"/>
      <c r="X28" s="492"/>
      <c r="Y28" s="492"/>
      <c r="Z28" s="492"/>
      <c r="AA28" s="492"/>
      <c r="AB28" s="492"/>
      <c r="AC28" s="492"/>
      <c r="AD28" s="492"/>
      <c r="AE28" s="492"/>
      <c r="AF28" s="492"/>
      <c r="AG28" s="492"/>
      <c r="AH28" s="492"/>
      <c r="AI28" s="496"/>
      <c r="AJ28" s="492"/>
      <c r="AK28" s="492"/>
      <c r="AL28" s="492"/>
      <c r="AM28" s="492"/>
      <c r="AN28" s="492"/>
      <c r="AO28" s="492"/>
      <c r="AP28" s="492"/>
      <c r="AQ28" s="492"/>
      <c r="AR28" s="492"/>
      <c r="AS28" s="492"/>
      <c r="AT28" s="492"/>
      <c r="AU28" s="492"/>
      <c r="AV28" s="492"/>
      <c r="AW28" s="492"/>
      <c r="AX28" s="492"/>
      <c r="AY28" s="492"/>
      <c r="AZ28" s="492"/>
      <c r="BA28" s="492"/>
      <c r="BB28" s="492"/>
      <c r="BC28" s="492"/>
      <c r="BD28" s="492"/>
      <c r="BE28" s="492"/>
      <c r="BF28" s="492"/>
      <c r="BG28" s="492"/>
      <c r="BH28" s="492"/>
      <c r="BI28" s="492"/>
      <c r="BJ28" s="492"/>
      <c r="BK28" s="492"/>
      <c r="BL28" s="492"/>
      <c r="BM28" s="492"/>
      <c r="BN28" s="492"/>
      <c r="BO28" s="492"/>
      <c r="BP28" s="492"/>
      <c r="BQ28" s="499"/>
      <c r="BR28" s="499"/>
      <c r="BS28" s="499"/>
      <c r="BT28" s="499"/>
    </row>
    <row r="29" spans="1:72" ht="9.9499999999999993" customHeight="1">
      <c r="A29" s="490"/>
      <c r="B29" s="492"/>
      <c r="C29" s="492"/>
      <c r="D29" s="492"/>
      <c r="E29" s="492" t="s">
        <v>66</v>
      </c>
      <c r="F29" s="492"/>
      <c r="G29" s="492"/>
      <c r="H29" s="492"/>
      <c r="I29" s="492"/>
      <c r="J29" s="492"/>
      <c r="K29" s="492"/>
      <c r="L29" s="492"/>
      <c r="M29" s="492"/>
      <c r="N29" s="492"/>
      <c r="O29" s="492"/>
      <c r="P29" s="500">
        <f>H15</f>
        <v>3000</v>
      </c>
      <c r="Q29" s="498"/>
      <c r="R29" s="498"/>
      <c r="S29" s="498"/>
      <c r="T29" s="498"/>
      <c r="U29" s="498"/>
      <c r="V29" s="507" t="s">
        <v>99</v>
      </c>
      <c r="W29" s="497"/>
      <c r="X29" s="500">
        <v>100</v>
      </c>
      <c r="Y29" s="498"/>
      <c r="Z29" s="498"/>
      <c r="AA29" s="498"/>
      <c r="AB29" s="498"/>
      <c r="AC29" s="507" t="s">
        <v>103</v>
      </c>
      <c r="AD29" s="497"/>
      <c r="AE29" s="498" t="e">
        <f>INT(AY25*P29/X29)</f>
        <v>#REF!</v>
      </c>
      <c r="AF29" s="498"/>
      <c r="AG29" s="498"/>
      <c r="AH29" s="498"/>
      <c r="AI29" s="498"/>
      <c r="AJ29" s="492"/>
      <c r="AK29" s="492"/>
      <c r="AL29" s="492"/>
      <c r="AM29" s="492"/>
      <c r="AN29" s="492"/>
      <c r="AO29" s="492"/>
      <c r="AP29" s="492"/>
      <c r="AQ29" s="492"/>
      <c r="AR29" s="492"/>
      <c r="AS29" s="492"/>
      <c r="AT29" s="492"/>
      <c r="AU29" s="492"/>
      <c r="AV29" s="492"/>
      <c r="AW29" s="492"/>
      <c r="AX29" s="492"/>
      <c r="AY29" s="492"/>
      <c r="AZ29" s="492"/>
      <c r="BA29" s="492"/>
      <c r="BB29" s="492"/>
      <c r="BC29" s="492"/>
      <c r="BD29" s="492"/>
      <c r="BE29" s="492"/>
      <c r="BF29" s="492"/>
      <c r="BG29" s="492"/>
      <c r="BH29" s="492"/>
      <c r="BI29" s="492"/>
      <c r="BJ29" s="492"/>
      <c r="BK29" s="492"/>
      <c r="BL29" s="492"/>
      <c r="BM29" s="492"/>
      <c r="BN29" s="492"/>
      <c r="BO29" s="492"/>
      <c r="BP29" s="492"/>
      <c r="BQ29" s="499" t="e">
        <f>SUM(BR29:BT29)</f>
        <v>#REF!</v>
      </c>
      <c r="BR29" s="493"/>
      <c r="BS29" s="493" t="e">
        <f>AE29</f>
        <v>#REF!</v>
      </c>
      <c r="BT29" s="493"/>
    </row>
    <row r="30" spans="1:72" ht="9.9499999999999993" customHeight="1">
      <c r="A30" s="490"/>
      <c r="B30" s="492"/>
      <c r="C30" s="492"/>
      <c r="D30" s="492"/>
      <c r="E30" s="492" t="s">
        <v>67</v>
      </c>
      <c r="F30" s="492"/>
      <c r="G30" s="492"/>
      <c r="H30" s="492"/>
      <c r="I30" s="492"/>
      <c r="J30" s="492"/>
      <c r="K30" s="492"/>
      <c r="L30" s="492"/>
      <c r="M30" s="492"/>
      <c r="N30" s="492"/>
      <c r="O30" s="492"/>
      <c r="P30" s="500">
        <f>H15</f>
        <v>3000</v>
      </c>
      <c r="Q30" s="498"/>
      <c r="R30" s="498"/>
      <c r="S30" s="498"/>
      <c r="T30" s="498"/>
      <c r="U30" s="498"/>
      <c r="V30" s="507" t="s">
        <v>99</v>
      </c>
      <c r="W30" s="497"/>
      <c r="X30" s="500">
        <v>100</v>
      </c>
      <c r="Y30" s="498"/>
      <c r="Z30" s="498"/>
      <c r="AA30" s="498"/>
      <c r="AB30" s="498"/>
      <c r="AC30" s="507" t="s">
        <v>103</v>
      </c>
      <c r="AD30" s="497"/>
      <c r="AE30" s="498">
        <f>INT(AI26*P30/X30)</f>
        <v>232</v>
      </c>
      <c r="AF30" s="498"/>
      <c r="AG30" s="498"/>
      <c r="AH30" s="498"/>
      <c r="AI30" s="498"/>
      <c r="AJ30" s="492"/>
      <c r="AK30" s="492"/>
      <c r="AL30" s="492"/>
      <c r="AM30" s="492"/>
      <c r="AN30" s="492"/>
      <c r="AO30" s="492"/>
      <c r="AP30" s="492"/>
      <c r="AQ30" s="492"/>
      <c r="AR30" s="492"/>
      <c r="AS30" s="492"/>
      <c r="AT30" s="492"/>
      <c r="AU30" s="492"/>
      <c r="AV30" s="492"/>
      <c r="AW30" s="492"/>
      <c r="AX30" s="492"/>
      <c r="AY30" s="492"/>
      <c r="AZ30" s="492"/>
      <c r="BA30" s="492"/>
      <c r="BB30" s="492"/>
      <c r="BC30" s="492"/>
      <c r="BD30" s="492"/>
      <c r="BE30" s="492"/>
      <c r="BF30" s="492"/>
      <c r="BG30" s="492"/>
      <c r="BH30" s="492"/>
      <c r="BI30" s="492"/>
      <c r="BJ30" s="492"/>
      <c r="BK30" s="492"/>
      <c r="BL30" s="492"/>
      <c r="BM30" s="492"/>
      <c r="BN30" s="492"/>
      <c r="BO30" s="492"/>
      <c r="BP30" s="492"/>
      <c r="BQ30" s="499">
        <f>SUM(BR30:BT30)</f>
        <v>232</v>
      </c>
      <c r="BR30" s="493">
        <f>AE30</f>
        <v>232</v>
      </c>
      <c r="BS30" s="493"/>
      <c r="BT30" s="493"/>
    </row>
    <row r="31" spans="1:72" ht="9.9499999999999993" customHeight="1">
      <c r="A31" s="490"/>
      <c r="B31" s="492"/>
      <c r="C31" s="492"/>
      <c r="D31" s="492"/>
      <c r="E31" s="492" t="s">
        <v>68</v>
      </c>
      <c r="F31" s="492"/>
      <c r="G31" s="492"/>
      <c r="H31" s="492"/>
      <c r="I31" s="492"/>
      <c r="J31" s="492"/>
      <c r="K31" s="492"/>
      <c r="L31" s="492"/>
      <c r="M31" s="492"/>
      <c r="N31" s="492"/>
      <c r="O31" s="492"/>
      <c r="P31" s="500">
        <f>H15</f>
        <v>3000</v>
      </c>
      <c r="Q31" s="498"/>
      <c r="R31" s="498"/>
      <c r="S31" s="498"/>
      <c r="T31" s="498"/>
      <c r="U31" s="498"/>
      <c r="V31" s="507" t="s">
        <v>99</v>
      </c>
      <c r="W31" s="497"/>
      <c r="X31" s="500">
        <v>100</v>
      </c>
      <c r="Y31" s="498"/>
      <c r="Z31" s="498"/>
      <c r="AA31" s="498"/>
      <c r="AB31" s="498"/>
      <c r="AC31" s="507" t="s">
        <v>103</v>
      </c>
      <c r="AD31" s="497"/>
      <c r="AE31" s="498">
        <f>INT(AI27*P31/X31)</f>
        <v>45</v>
      </c>
      <c r="AF31" s="498"/>
      <c r="AG31" s="498"/>
      <c r="AH31" s="498"/>
      <c r="AI31" s="498"/>
      <c r="AJ31" s="492"/>
      <c r="AK31" s="492"/>
      <c r="AL31" s="492"/>
      <c r="AM31" s="492"/>
      <c r="AN31" s="492"/>
      <c r="AO31" s="492"/>
      <c r="AP31" s="492"/>
      <c r="AQ31" s="492"/>
      <c r="AR31" s="492"/>
      <c r="AS31" s="492"/>
      <c r="AT31" s="492"/>
      <c r="AU31" s="492"/>
      <c r="AV31" s="492"/>
      <c r="AW31" s="492"/>
      <c r="AX31" s="492"/>
      <c r="AY31" s="492"/>
      <c r="AZ31" s="492"/>
      <c r="BA31" s="492"/>
      <c r="BB31" s="492"/>
      <c r="BC31" s="492"/>
      <c r="BD31" s="492"/>
      <c r="BE31" s="492"/>
      <c r="BF31" s="492"/>
      <c r="BG31" s="492"/>
      <c r="BH31" s="492"/>
      <c r="BI31" s="492"/>
      <c r="BJ31" s="492"/>
      <c r="BK31" s="492"/>
      <c r="BL31" s="492"/>
      <c r="BM31" s="492"/>
      <c r="BN31" s="492"/>
      <c r="BO31" s="492"/>
      <c r="BP31" s="492"/>
      <c r="BQ31" s="499">
        <f>SUM(BR31:BT31)</f>
        <v>45</v>
      </c>
      <c r="BR31" s="493"/>
      <c r="BS31" s="493"/>
      <c r="BT31" s="493">
        <f>AE31</f>
        <v>45</v>
      </c>
    </row>
    <row r="32" spans="1:72" ht="9.9499999999999993" customHeight="1">
      <c r="A32" s="490"/>
      <c r="B32" s="492"/>
      <c r="C32" s="492" t="s">
        <v>63</v>
      </c>
      <c r="D32" s="492"/>
      <c r="E32" s="492"/>
      <c r="F32" s="492"/>
      <c r="G32" s="492"/>
      <c r="H32" s="492"/>
      <c r="I32" s="492"/>
      <c r="J32" s="492"/>
      <c r="K32" s="492"/>
      <c r="L32" s="502"/>
      <c r="M32" s="492"/>
      <c r="N32" s="492"/>
      <c r="O32" s="492"/>
      <c r="P32" s="492"/>
      <c r="Q32" s="492"/>
      <c r="R32" s="492"/>
      <c r="S32" s="492"/>
      <c r="T32" s="496"/>
      <c r="U32" s="492"/>
      <c r="V32" s="492"/>
      <c r="W32" s="492"/>
      <c r="X32" s="492"/>
      <c r="Y32" s="492"/>
      <c r="Z32" s="492"/>
      <c r="AA32" s="492"/>
      <c r="AB32" s="492"/>
      <c r="AC32" s="492"/>
      <c r="AD32" s="492"/>
      <c r="AE32" s="492"/>
      <c r="AF32" s="492"/>
      <c r="AG32" s="492"/>
      <c r="AH32" s="492"/>
      <c r="AI32" s="496"/>
      <c r="AJ32" s="492"/>
      <c r="AK32" s="492"/>
      <c r="AL32" s="492"/>
      <c r="AM32" s="492"/>
      <c r="AN32" s="492"/>
      <c r="AO32" s="492"/>
      <c r="AP32" s="492"/>
      <c r="AQ32" s="492"/>
      <c r="AR32" s="492"/>
      <c r="AS32" s="492"/>
      <c r="AT32" s="492"/>
      <c r="AU32" s="492"/>
      <c r="AV32" s="492"/>
      <c r="AW32" s="492"/>
      <c r="AX32" s="492"/>
      <c r="AY32" s="492"/>
      <c r="AZ32" s="492"/>
      <c r="BA32" s="492"/>
      <c r="BB32" s="492"/>
      <c r="BC32" s="492"/>
      <c r="BD32" s="492"/>
      <c r="BE32" s="492"/>
      <c r="BF32" s="492"/>
      <c r="BG32" s="492"/>
      <c r="BH32" s="492"/>
      <c r="BI32" s="492"/>
      <c r="BJ32" s="492"/>
      <c r="BK32" s="492"/>
      <c r="BL32" s="492"/>
      <c r="BM32" s="492"/>
      <c r="BN32" s="492"/>
      <c r="BO32" s="492"/>
      <c r="BP32" s="492"/>
      <c r="BQ32" s="503" t="e">
        <f>SUM(BR32:BT32)</f>
        <v>#REF!</v>
      </c>
      <c r="BR32" s="503">
        <f>SUM(BR27:BR31)</f>
        <v>232</v>
      </c>
      <c r="BS32" s="503" t="e">
        <f>SUM(BS27:BS31)</f>
        <v>#REF!</v>
      </c>
      <c r="BT32" s="503">
        <f>SUM(BT27:BT31)</f>
        <v>45</v>
      </c>
    </row>
    <row r="33" spans="1:75" ht="9.9499999999999993" customHeight="1">
      <c r="A33" s="490"/>
      <c r="B33" s="492" t="s">
        <v>355</v>
      </c>
      <c r="C33" s="492"/>
      <c r="D33" s="492"/>
      <c r="E33" s="492"/>
      <c r="F33" s="492"/>
      <c r="G33" s="492"/>
      <c r="H33" s="492"/>
      <c r="I33" s="492"/>
      <c r="J33" s="492"/>
      <c r="K33" s="492"/>
      <c r="L33" s="502"/>
      <c r="M33" s="492"/>
      <c r="N33" s="492"/>
      <c r="O33" s="492"/>
      <c r="P33" s="492"/>
      <c r="Q33" s="492"/>
      <c r="R33" s="492"/>
      <c r="S33" s="492"/>
      <c r="T33" s="496"/>
      <c r="U33" s="492"/>
      <c r="V33" s="492"/>
      <c r="W33" s="492"/>
      <c r="X33" s="492"/>
      <c r="Y33" s="492"/>
      <c r="Z33" s="492"/>
      <c r="AA33" s="492"/>
      <c r="AB33" s="492"/>
      <c r="AC33" s="492"/>
      <c r="AD33" s="492"/>
      <c r="AE33" s="492"/>
      <c r="AF33" s="492"/>
      <c r="AG33" s="492"/>
      <c r="AH33" s="492"/>
      <c r="AI33" s="492"/>
      <c r="AJ33" s="492"/>
      <c r="AK33" s="492"/>
      <c r="AL33" s="492"/>
      <c r="AM33" s="492"/>
      <c r="AN33" s="492"/>
      <c r="AO33" s="492"/>
      <c r="AP33" s="492"/>
      <c r="AQ33" s="492"/>
      <c r="AR33" s="492"/>
      <c r="AS33" s="492"/>
      <c r="AT33" s="492"/>
      <c r="AU33" s="492"/>
      <c r="AV33" s="492"/>
      <c r="AW33" s="492"/>
      <c r="AX33" s="492"/>
      <c r="AY33" s="492"/>
      <c r="AZ33" s="492"/>
      <c r="BA33" s="492"/>
      <c r="BB33" s="492"/>
      <c r="BC33" s="492"/>
      <c r="BD33" s="492"/>
      <c r="BE33" s="492"/>
      <c r="BF33" s="492"/>
      <c r="BG33" s="492"/>
      <c r="BH33" s="492"/>
      <c r="BI33" s="492"/>
      <c r="BJ33" s="492"/>
      <c r="BK33" s="492"/>
      <c r="BL33" s="492"/>
      <c r="BM33" s="492"/>
      <c r="BN33" s="492"/>
      <c r="BO33" s="492"/>
      <c r="BP33" s="492"/>
      <c r="BQ33" s="499"/>
      <c r="BR33" s="499"/>
      <c r="BS33" s="499"/>
      <c r="BT33" s="499"/>
    </row>
    <row r="34" spans="1:75" ht="9.9499999999999993" customHeight="1">
      <c r="A34" s="490"/>
      <c r="B34" s="492"/>
      <c r="C34" s="492"/>
      <c r="D34" s="1497" t="s">
        <v>540</v>
      </c>
      <c r="E34" s="1498"/>
      <c r="F34" s="1498"/>
      <c r="G34" s="1498"/>
      <c r="H34" s="1498"/>
      <c r="I34" s="1498"/>
      <c r="J34" s="1498"/>
      <c r="K34" s="1498"/>
      <c r="L34" s="1498"/>
      <c r="M34" s="1498"/>
      <c r="N34" s="1498"/>
      <c r="O34" s="1498"/>
      <c r="P34" s="1498"/>
      <c r="Q34" s="1498"/>
      <c r="R34" s="1498"/>
      <c r="S34" s="1498"/>
      <c r="T34" s="1498"/>
      <c r="U34" s="1498"/>
      <c r="V34" s="1498"/>
      <c r="W34" s="1498"/>
      <c r="X34" s="1498"/>
      <c r="Y34" s="1498"/>
      <c r="Z34" s="1498"/>
      <c r="AA34" s="1498"/>
      <c r="AB34" s="1498"/>
      <c r="AC34" s="1498"/>
      <c r="AD34" s="1498"/>
      <c r="AE34" s="1498"/>
      <c r="AF34" s="1498"/>
      <c r="AG34" s="1498"/>
      <c r="AH34" s="1498"/>
      <c r="AI34" s="1498"/>
      <c r="AJ34" s="1498"/>
      <c r="AK34" s="1498"/>
      <c r="AL34" s="1498"/>
      <c r="AM34" s="1498"/>
      <c r="AN34" s="1498"/>
      <c r="AO34" s="1498"/>
      <c r="AP34" s="1498"/>
      <c r="AQ34" s="492"/>
      <c r="AR34" s="492"/>
      <c r="AS34" s="492"/>
      <c r="AT34" s="492"/>
      <c r="AU34" s="492"/>
      <c r="AV34" s="492"/>
      <c r="AW34" s="492"/>
      <c r="AX34" s="492"/>
      <c r="AY34" s="492"/>
      <c r="AZ34" s="492"/>
      <c r="BA34" s="492"/>
      <c r="BB34" s="492"/>
      <c r="BC34" s="492"/>
      <c r="BD34" s="492"/>
      <c r="BE34" s="492"/>
      <c r="BF34" s="492"/>
      <c r="BG34" s="492"/>
      <c r="BH34" s="492"/>
      <c r="BI34" s="492"/>
      <c r="BJ34" s="492"/>
      <c r="BK34" s="492"/>
      <c r="BL34" s="492"/>
      <c r="BM34" s="492"/>
      <c r="BN34" s="492"/>
      <c r="BO34" s="492"/>
      <c r="BP34" s="492"/>
      <c r="BQ34" s="499"/>
      <c r="BR34" s="499"/>
      <c r="BS34" s="499"/>
      <c r="BT34" s="499"/>
    </row>
    <row r="35" spans="1:75" ht="9.9499999999999993" customHeight="1">
      <c r="A35" s="490"/>
      <c r="B35" s="492"/>
      <c r="C35" s="492"/>
      <c r="D35" s="1497" t="s">
        <v>541</v>
      </c>
      <c r="E35" s="1498"/>
      <c r="F35" s="1498"/>
      <c r="G35" s="1498"/>
      <c r="H35" s="1498"/>
      <c r="I35" s="1498"/>
      <c r="J35" s="1498"/>
      <c r="K35" s="1498"/>
      <c r="L35" s="1498"/>
      <c r="M35" s="1498"/>
      <c r="N35" s="1498"/>
      <c r="O35" s="1498"/>
      <c r="P35" s="1498"/>
      <c r="Q35" s="1498"/>
      <c r="R35" s="1498"/>
      <c r="S35" s="1498"/>
      <c r="T35" s="1498"/>
      <c r="U35" s="1498"/>
      <c r="V35" s="1498"/>
      <c r="W35" s="1498"/>
      <c r="X35" s="1498"/>
      <c r="Y35" s="1498"/>
      <c r="Z35" s="1498"/>
      <c r="AA35" s="1498"/>
      <c r="AB35" s="1498"/>
      <c r="AC35" s="1498"/>
      <c r="AD35" s="1498"/>
      <c r="AE35" s="1498"/>
      <c r="AF35" s="1498"/>
      <c r="AG35" s="1498"/>
      <c r="AH35" s="1498"/>
      <c r="AI35" s="1498"/>
      <c r="AJ35" s="1498"/>
      <c r="AK35" s="1498"/>
      <c r="AL35" s="1498"/>
      <c r="AM35" s="1498"/>
      <c r="AN35" s="1498"/>
      <c r="AO35" s="1498"/>
      <c r="AP35" s="1498"/>
      <c r="AQ35" s="492"/>
      <c r="AR35" s="492"/>
      <c r="AS35" s="492"/>
      <c r="AT35" s="492"/>
      <c r="AU35" s="492"/>
      <c r="AV35" s="492"/>
      <c r="AW35" s="492"/>
      <c r="AX35" s="492"/>
      <c r="AY35" s="492"/>
      <c r="AZ35" s="492"/>
      <c r="BA35" s="492"/>
      <c r="BB35" s="492"/>
      <c r="BC35" s="492"/>
      <c r="BD35" s="492"/>
      <c r="BE35" s="492"/>
      <c r="BF35" s="492"/>
      <c r="BG35" s="492"/>
      <c r="BH35" s="492"/>
      <c r="BI35" s="492"/>
      <c r="BJ35" s="492"/>
      <c r="BK35" s="492"/>
      <c r="BL35" s="492"/>
      <c r="BM35" s="492"/>
      <c r="BN35" s="492"/>
      <c r="BO35" s="492"/>
      <c r="BP35" s="492"/>
      <c r="BQ35" s="499"/>
      <c r="BR35" s="499"/>
      <c r="BS35" s="499"/>
      <c r="BT35" s="499"/>
    </row>
    <row r="36" spans="1:75" ht="9.9499999999999993" customHeight="1">
      <c r="A36" s="490"/>
      <c r="B36" s="492"/>
      <c r="C36" s="492"/>
      <c r="D36" s="492"/>
      <c r="E36" s="492" t="s">
        <v>66</v>
      </c>
      <c r="F36" s="492"/>
      <c r="G36" s="492"/>
      <c r="H36" s="492"/>
      <c r="I36" s="492"/>
      <c r="J36" s="492"/>
      <c r="K36" s="492"/>
      <c r="L36" s="502"/>
      <c r="M36" s="492"/>
      <c r="N36" s="492"/>
      <c r="O36" s="492"/>
      <c r="P36" s="1505" t="e">
        <f>'기계경비(OLD)'!$AT$97</f>
        <v>#REF!</v>
      </c>
      <c r="Q36" s="1506"/>
      <c r="R36" s="1506"/>
      <c r="S36" s="1506"/>
      <c r="T36" s="1506"/>
      <c r="U36" s="1506"/>
      <c r="V36" s="507" t="s">
        <v>99</v>
      </c>
      <c r="W36" s="497"/>
      <c r="X36" s="1495">
        <v>62.5</v>
      </c>
      <c r="Y36" s="1494"/>
      <c r="Z36" s="1494"/>
      <c r="AA36" s="1494"/>
      <c r="AB36" s="1494"/>
      <c r="AC36" s="492" t="s">
        <v>144</v>
      </c>
      <c r="AD36" s="492"/>
      <c r="AE36" s="492"/>
      <c r="AF36" s="492"/>
      <c r="AG36" s="492"/>
      <c r="AH36" s="492"/>
      <c r="AI36" s="492"/>
      <c r="AJ36" s="498" t="e">
        <f>INT(P36/X36)</f>
        <v>#REF!</v>
      </c>
      <c r="AK36" s="498"/>
      <c r="AL36" s="498"/>
      <c r="AM36" s="498"/>
      <c r="AN36" s="498"/>
      <c r="AO36" s="1496" t="s">
        <v>672</v>
      </c>
      <c r="AP36" s="1496"/>
      <c r="AQ36" s="1496"/>
      <c r="AR36" s="1496"/>
      <c r="AS36" s="1496"/>
      <c r="AT36" s="1496"/>
      <c r="AU36" s="1496"/>
      <c r="AV36" s="1496"/>
      <c r="AW36" s="1496"/>
      <c r="AX36" s="1496"/>
      <c r="AY36" s="1496"/>
      <c r="AZ36" s="492"/>
      <c r="BA36" s="492"/>
      <c r="BB36" s="492"/>
      <c r="BC36" s="492"/>
      <c r="BD36" s="492"/>
      <c r="BE36" s="492"/>
      <c r="BF36" s="492"/>
      <c r="BG36" s="492"/>
      <c r="BH36" s="492"/>
      <c r="BI36" s="492"/>
      <c r="BJ36" s="492"/>
      <c r="BK36" s="492"/>
      <c r="BL36" s="492"/>
      <c r="BM36" s="492"/>
      <c r="BN36" s="492"/>
      <c r="BO36" s="492"/>
      <c r="BP36" s="492"/>
      <c r="BQ36" s="499" t="e">
        <f>SUM(BR36:BT36)</f>
        <v>#REF!</v>
      </c>
      <c r="BR36" s="493"/>
      <c r="BS36" s="493" t="e">
        <f>AJ36</f>
        <v>#REF!</v>
      </c>
      <c r="BT36" s="493"/>
    </row>
    <row r="37" spans="1:75" ht="9.9499999999999993" customHeight="1">
      <c r="A37" s="490"/>
      <c r="B37" s="492"/>
      <c r="C37" s="492"/>
      <c r="D37" s="492"/>
      <c r="E37" s="492" t="s">
        <v>67</v>
      </c>
      <c r="F37" s="492"/>
      <c r="G37" s="492"/>
      <c r="H37" s="492"/>
      <c r="I37" s="492"/>
      <c r="J37" s="492"/>
      <c r="K37" s="492"/>
      <c r="L37" s="502"/>
      <c r="M37" s="492"/>
      <c r="N37" s="492"/>
      <c r="O37" s="492"/>
      <c r="P37" s="1505">
        <f>'기계경비(OLD)'!$BU$92</f>
        <v>36248</v>
      </c>
      <c r="Q37" s="1506"/>
      <c r="R37" s="1506"/>
      <c r="S37" s="1506"/>
      <c r="T37" s="1506"/>
      <c r="U37" s="1506"/>
      <c r="V37" s="507" t="s">
        <v>99</v>
      </c>
      <c r="W37" s="497"/>
      <c r="X37" s="1495">
        <v>62.5</v>
      </c>
      <c r="Y37" s="1494"/>
      <c r="Z37" s="1494"/>
      <c r="AA37" s="1494"/>
      <c r="AB37" s="1494"/>
      <c r="AC37" s="492" t="s">
        <v>144</v>
      </c>
      <c r="AD37" s="492"/>
      <c r="AE37" s="492"/>
      <c r="AF37" s="492"/>
      <c r="AG37" s="492"/>
      <c r="AH37" s="492"/>
      <c r="AI37" s="492"/>
      <c r="AJ37" s="498">
        <f>INT(P37/X37)</f>
        <v>579</v>
      </c>
      <c r="AK37" s="498"/>
      <c r="AL37" s="498"/>
      <c r="AM37" s="498"/>
      <c r="AN37" s="498"/>
      <c r="AO37" s="1496" t="s">
        <v>672</v>
      </c>
      <c r="AP37" s="1496"/>
      <c r="AQ37" s="1496"/>
      <c r="AR37" s="1496"/>
      <c r="AS37" s="1496"/>
      <c r="AT37" s="1496"/>
      <c r="AU37" s="1496"/>
      <c r="AV37" s="1496"/>
      <c r="AW37" s="1496"/>
      <c r="AX37" s="1496"/>
      <c r="AY37" s="1496"/>
      <c r="AZ37" s="492"/>
      <c r="BA37" s="492"/>
      <c r="BB37" s="492"/>
      <c r="BC37" s="492"/>
      <c r="BD37" s="492"/>
      <c r="BE37" s="492"/>
      <c r="BF37" s="492"/>
      <c r="BG37" s="492"/>
      <c r="BH37" s="492"/>
      <c r="BI37" s="492"/>
      <c r="BJ37" s="492"/>
      <c r="BK37" s="492"/>
      <c r="BL37" s="492"/>
      <c r="BM37" s="492"/>
      <c r="BN37" s="492"/>
      <c r="BO37" s="492"/>
      <c r="BP37" s="492"/>
      <c r="BQ37" s="499">
        <f>SUM(BR37:BT37)</f>
        <v>579</v>
      </c>
      <c r="BR37" s="493">
        <f>AJ37</f>
        <v>579</v>
      </c>
      <c r="BS37" s="493"/>
      <c r="BT37" s="493"/>
    </row>
    <row r="38" spans="1:75" ht="9.9499999999999993" customHeight="1">
      <c r="A38" s="490"/>
      <c r="B38" s="492"/>
      <c r="C38" s="492"/>
      <c r="D38" s="492"/>
      <c r="E38" s="492" t="s">
        <v>68</v>
      </c>
      <c r="F38" s="492"/>
      <c r="G38" s="492"/>
      <c r="H38" s="492"/>
      <c r="I38" s="492"/>
      <c r="J38" s="492"/>
      <c r="K38" s="492"/>
      <c r="L38" s="502"/>
      <c r="M38" s="492"/>
      <c r="N38" s="492"/>
      <c r="O38" s="492"/>
      <c r="P38" s="1505">
        <f>'기계경비(OLD)'!$BN$101</f>
        <v>1981</v>
      </c>
      <c r="Q38" s="1506"/>
      <c r="R38" s="1506"/>
      <c r="S38" s="1506"/>
      <c r="T38" s="1506"/>
      <c r="U38" s="1506"/>
      <c r="V38" s="507" t="s">
        <v>99</v>
      </c>
      <c r="W38" s="497"/>
      <c r="X38" s="1495">
        <v>62.5</v>
      </c>
      <c r="Y38" s="1494"/>
      <c r="Z38" s="1494"/>
      <c r="AA38" s="1494"/>
      <c r="AB38" s="1494"/>
      <c r="AC38" s="492" t="s">
        <v>144</v>
      </c>
      <c r="AD38" s="492"/>
      <c r="AE38" s="492"/>
      <c r="AF38" s="492"/>
      <c r="AG38" s="492"/>
      <c r="AH38" s="492"/>
      <c r="AI38" s="492"/>
      <c r="AJ38" s="498">
        <f>INT(P38/X38)</f>
        <v>31</v>
      </c>
      <c r="AK38" s="498"/>
      <c r="AL38" s="498"/>
      <c r="AM38" s="498"/>
      <c r="AN38" s="498"/>
      <c r="AO38" s="1496" t="s">
        <v>672</v>
      </c>
      <c r="AP38" s="1496"/>
      <c r="AQ38" s="1496"/>
      <c r="AR38" s="1496"/>
      <c r="AS38" s="1496"/>
      <c r="AT38" s="1496"/>
      <c r="AU38" s="1496"/>
      <c r="AV38" s="1496"/>
      <c r="AW38" s="1496"/>
      <c r="AX38" s="1496"/>
      <c r="AY38" s="1496"/>
      <c r="AZ38" s="492"/>
      <c r="BA38" s="492"/>
      <c r="BB38" s="492"/>
      <c r="BC38" s="492"/>
      <c r="BD38" s="492"/>
      <c r="BE38" s="492"/>
      <c r="BF38" s="492"/>
      <c r="BG38" s="492"/>
      <c r="BH38" s="492"/>
      <c r="BI38" s="492"/>
      <c r="BJ38" s="492"/>
      <c r="BK38" s="492"/>
      <c r="BL38" s="492"/>
      <c r="BM38" s="492"/>
      <c r="BN38" s="492"/>
      <c r="BO38" s="492"/>
      <c r="BP38" s="492"/>
      <c r="BQ38" s="499">
        <f>SUM(BR38:BT38)</f>
        <v>31</v>
      </c>
      <c r="BR38" s="493"/>
      <c r="BS38" s="493"/>
      <c r="BT38" s="493">
        <f>AJ38</f>
        <v>31</v>
      </c>
    </row>
    <row r="39" spans="1:75" ht="9.9499999999999993" customHeight="1">
      <c r="A39" s="490"/>
      <c r="B39" s="492"/>
      <c r="C39" s="492" t="s">
        <v>63</v>
      </c>
      <c r="D39" s="492"/>
      <c r="E39" s="492"/>
      <c r="F39" s="492"/>
      <c r="G39" s="492"/>
      <c r="H39" s="492"/>
      <c r="I39" s="492"/>
      <c r="J39" s="492"/>
      <c r="K39" s="492"/>
      <c r="L39" s="502"/>
      <c r="M39" s="492"/>
      <c r="N39" s="492"/>
      <c r="O39" s="492"/>
      <c r="P39" s="492"/>
      <c r="Q39" s="492"/>
      <c r="R39" s="492"/>
      <c r="S39" s="492"/>
      <c r="T39" s="496"/>
      <c r="U39" s="492"/>
      <c r="V39" s="492"/>
      <c r="W39" s="492"/>
      <c r="X39" s="492"/>
      <c r="Y39" s="492"/>
      <c r="Z39" s="492"/>
      <c r="AA39" s="492"/>
      <c r="AB39" s="492"/>
      <c r="AC39" s="492"/>
      <c r="AD39" s="492"/>
      <c r="AE39" s="492"/>
      <c r="AF39" s="492"/>
      <c r="AG39" s="492"/>
      <c r="AH39" s="492"/>
      <c r="AI39" s="496"/>
      <c r="AJ39" s="492"/>
      <c r="AK39" s="492"/>
      <c r="AL39" s="492"/>
      <c r="AM39" s="492"/>
      <c r="AN39" s="492"/>
      <c r="AO39" s="492"/>
      <c r="AP39" s="492"/>
      <c r="AQ39" s="492"/>
      <c r="AR39" s="492"/>
      <c r="AS39" s="492"/>
      <c r="AT39" s="492"/>
      <c r="AU39" s="492"/>
      <c r="AV39" s="492"/>
      <c r="AW39" s="492"/>
      <c r="AX39" s="492"/>
      <c r="AY39" s="492"/>
      <c r="AZ39" s="492"/>
      <c r="BA39" s="492"/>
      <c r="BB39" s="492"/>
      <c r="BC39" s="492"/>
      <c r="BD39" s="492"/>
      <c r="BE39" s="492"/>
      <c r="BF39" s="492"/>
      <c r="BG39" s="492"/>
      <c r="BH39" s="492"/>
      <c r="BI39" s="492"/>
      <c r="BJ39" s="492"/>
      <c r="BK39" s="492"/>
      <c r="BL39" s="492"/>
      <c r="BM39" s="492"/>
      <c r="BN39" s="492"/>
      <c r="BO39" s="492"/>
      <c r="BP39" s="492"/>
      <c r="BQ39" s="503" t="e">
        <f>SUM(BR39:BT39)</f>
        <v>#REF!</v>
      </c>
      <c r="BR39" s="503">
        <f>SUM(BR33:BR38)</f>
        <v>579</v>
      </c>
      <c r="BS39" s="503" t="e">
        <f>SUM(BS33:BS38)</f>
        <v>#REF!</v>
      </c>
      <c r="BT39" s="503">
        <f>SUM(BT33:BT38)</f>
        <v>31</v>
      </c>
    </row>
    <row r="40" spans="1:75" ht="9.9499999999999993" customHeight="1">
      <c r="A40" s="490"/>
      <c r="B40" s="492" t="s">
        <v>534</v>
      </c>
      <c r="C40" s="492"/>
      <c r="D40" s="492"/>
      <c r="E40" s="492"/>
      <c r="F40" s="492"/>
      <c r="G40" s="492"/>
      <c r="H40" s="492"/>
      <c r="I40" s="492"/>
      <c r="J40" s="492"/>
      <c r="K40" s="492"/>
      <c r="L40" s="502"/>
      <c r="M40" s="492"/>
      <c r="N40" s="492"/>
      <c r="O40" s="492"/>
      <c r="P40" s="492"/>
      <c r="Q40" s="492"/>
      <c r="R40" s="492"/>
      <c r="S40" s="492"/>
      <c r="T40" s="496"/>
      <c r="U40" s="492"/>
      <c r="V40" s="492"/>
      <c r="W40" s="492"/>
      <c r="X40" s="492"/>
      <c r="Y40" s="492"/>
      <c r="Z40" s="492"/>
      <c r="AA40" s="492"/>
      <c r="AB40" s="492"/>
      <c r="AC40" s="492"/>
      <c r="AD40" s="492"/>
      <c r="AE40" s="492"/>
      <c r="AF40" s="492"/>
      <c r="AG40" s="492"/>
      <c r="AH40" s="492"/>
      <c r="AI40" s="492"/>
      <c r="AJ40" s="492"/>
      <c r="AK40" s="492"/>
      <c r="AL40" s="492"/>
      <c r="AM40" s="492"/>
      <c r="AN40" s="492"/>
      <c r="AO40" s="492"/>
      <c r="AP40" s="492"/>
      <c r="AQ40" s="492"/>
      <c r="AR40" s="492"/>
      <c r="AS40" s="492"/>
      <c r="AT40" s="492"/>
      <c r="AU40" s="492"/>
      <c r="AV40" s="492"/>
      <c r="AW40" s="492"/>
      <c r="AX40" s="492"/>
      <c r="AY40" s="492"/>
      <c r="AZ40" s="492"/>
      <c r="BA40" s="492"/>
      <c r="BB40" s="492"/>
      <c r="BC40" s="492"/>
      <c r="BD40" s="492"/>
      <c r="BE40" s="492"/>
      <c r="BF40" s="492"/>
      <c r="BG40" s="492"/>
      <c r="BH40" s="492"/>
      <c r="BI40" s="492"/>
      <c r="BJ40" s="492"/>
      <c r="BK40" s="492"/>
      <c r="BL40" s="492"/>
      <c r="BM40" s="492"/>
      <c r="BN40" s="492"/>
      <c r="BO40" s="492"/>
      <c r="BP40" s="492"/>
      <c r="BQ40" s="499"/>
      <c r="BR40" s="499"/>
      <c r="BS40" s="499"/>
      <c r="BT40" s="499"/>
    </row>
    <row r="41" spans="1:75" ht="9.9499999999999993" customHeight="1">
      <c r="A41" s="490"/>
      <c r="B41" s="492"/>
      <c r="C41" s="492"/>
      <c r="D41" s="492" t="s">
        <v>143</v>
      </c>
      <c r="E41" s="492"/>
      <c r="F41" s="492"/>
      <c r="G41" s="492"/>
      <c r="H41" s="498">
        <v>500</v>
      </c>
      <c r="I41" s="498"/>
      <c r="J41" s="498"/>
      <c r="K41" s="498"/>
      <c r="L41" s="502" t="s">
        <v>528</v>
      </c>
      <c r="M41" s="492"/>
      <c r="N41" s="492"/>
      <c r="O41" s="492"/>
      <c r="P41" s="492"/>
      <c r="Q41" s="492"/>
      <c r="R41" s="492"/>
      <c r="S41" s="498">
        <v>8</v>
      </c>
      <c r="T41" s="498"/>
      <c r="U41" s="498"/>
      <c r="V41" s="498"/>
      <c r="W41" s="492" t="s">
        <v>529</v>
      </c>
      <c r="X41" s="492"/>
      <c r="Y41" s="492"/>
      <c r="Z41" s="492"/>
      <c r="AA41" s="492"/>
      <c r="AB41" s="492"/>
      <c r="AC41" s="492"/>
      <c r="AD41" s="492"/>
      <c r="AE41" s="492"/>
      <c r="AF41" s="498">
        <f>H41/S41</f>
        <v>62.5</v>
      </c>
      <c r="AG41" s="498"/>
      <c r="AH41" s="498"/>
      <c r="AI41" s="498"/>
      <c r="AJ41" s="492" t="s">
        <v>530</v>
      </c>
      <c r="AK41" s="492"/>
      <c r="AL41" s="492"/>
      <c r="AM41" s="492"/>
      <c r="AN41" s="492"/>
      <c r="AO41" s="492"/>
      <c r="AP41" s="492"/>
      <c r="AQ41" s="492"/>
      <c r="AR41" s="492"/>
      <c r="AS41" s="492"/>
      <c r="AT41" s="492"/>
      <c r="AU41" s="492"/>
      <c r="AV41" s="492"/>
      <c r="AW41" s="492"/>
      <c r="AX41" s="492"/>
      <c r="AY41" s="492"/>
      <c r="AZ41" s="492"/>
      <c r="BA41" s="492"/>
      <c r="BB41" s="492"/>
      <c r="BC41" s="492"/>
      <c r="BD41" s="492"/>
      <c r="BE41" s="492"/>
      <c r="BF41" s="492"/>
      <c r="BG41" s="492"/>
      <c r="BH41" s="492"/>
      <c r="BI41" s="492"/>
      <c r="BJ41" s="492"/>
      <c r="BK41" s="492"/>
      <c r="BL41" s="492"/>
      <c r="BM41" s="492"/>
      <c r="BN41" s="492"/>
      <c r="BO41" s="492"/>
      <c r="BP41" s="492"/>
      <c r="BQ41" s="499"/>
      <c r="BR41" s="499"/>
      <c r="BS41" s="499"/>
      <c r="BT41" s="499"/>
    </row>
    <row r="42" spans="1:75" ht="9.9499999999999993" customHeight="1">
      <c r="A42" s="490"/>
      <c r="B42" s="492"/>
      <c r="C42" s="492"/>
      <c r="D42" s="492"/>
      <c r="E42" s="492" t="s">
        <v>66</v>
      </c>
      <c r="F42" s="492"/>
      <c r="G42" s="492"/>
      <c r="H42" s="492"/>
      <c r="I42" s="492"/>
      <c r="J42" s="492"/>
      <c r="K42" s="492"/>
      <c r="L42" s="502"/>
      <c r="M42" s="492"/>
      <c r="N42" s="492"/>
      <c r="O42" s="492"/>
      <c r="P42" s="1505" t="e">
        <f>'기계경비(OLD)'!$AT$180</f>
        <v>#REF!</v>
      </c>
      <c r="Q42" s="1506"/>
      <c r="R42" s="1506"/>
      <c r="S42" s="1506"/>
      <c r="T42" s="1506"/>
      <c r="U42" s="1506"/>
      <c r="V42" s="507" t="s">
        <v>99</v>
      </c>
      <c r="W42" s="497"/>
      <c r="X42" s="498">
        <f>AF41</f>
        <v>62.5</v>
      </c>
      <c r="Y42" s="498"/>
      <c r="Z42" s="498"/>
      <c r="AA42" s="498"/>
      <c r="AB42" s="498"/>
      <c r="AC42" s="492" t="s">
        <v>144</v>
      </c>
      <c r="AD42" s="492"/>
      <c r="AE42" s="492"/>
      <c r="AF42" s="492"/>
      <c r="AG42" s="492"/>
      <c r="AH42" s="492"/>
      <c r="AI42" s="492"/>
      <c r="AJ42" s="498" t="e">
        <f>INT((P42/X42)*0.5)</f>
        <v>#REF!</v>
      </c>
      <c r="AK42" s="498"/>
      <c r="AL42" s="498"/>
      <c r="AM42" s="498"/>
      <c r="AN42" s="498"/>
      <c r="AO42" s="1496" t="s">
        <v>673</v>
      </c>
      <c r="AP42" s="1496"/>
      <c r="AQ42" s="1496"/>
      <c r="AR42" s="1496"/>
      <c r="AS42" s="1496"/>
      <c r="AT42" s="1496"/>
      <c r="AU42" s="1496"/>
      <c r="AV42" s="1496"/>
      <c r="AW42" s="1496"/>
      <c r="AX42" s="1496"/>
      <c r="AY42" s="1496"/>
      <c r="AZ42" s="1498"/>
      <c r="BA42" s="1498"/>
      <c r="BB42" s="1498"/>
      <c r="BC42" s="1498"/>
      <c r="BD42" s="1498"/>
      <c r="BE42" s="1498"/>
      <c r="BF42" s="1498"/>
      <c r="BG42" s="492"/>
      <c r="BH42" s="492"/>
      <c r="BI42" s="492"/>
      <c r="BJ42" s="492"/>
      <c r="BK42" s="492"/>
      <c r="BL42" s="492"/>
      <c r="BM42" s="492"/>
      <c r="BN42" s="492"/>
      <c r="BO42" s="492"/>
      <c r="BP42" s="492"/>
      <c r="BQ42" s="499" t="e">
        <f>SUM(BR42:BT42)</f>
        <v>#REF!</v>
      </c>
      <c r="BR42" s="493"/>
      <c r="BS42" s="493" t="e">
        <f>INT(AJ42)</f>
        <v>#REF!</v>
      </c>
      <c r="BT42" s="493"/>
    </row>
    <row r="43" spans="1:75" ht="9.9499999999999993" customHeight="1">
      <c r="A43" s="490"/>
      <c r="B43" s="492"/>
      <c r="C43" s="492"/>
      <c r="D43" s="492"/>
      <c r="E43" s="492" t="s">
        <v>67</v>
      </c>
      <c r="F43" s="492"/>
      <c r="G43" s="492"/>
      <c r="H43" s="492"/>
      <c r="I43" s="492"/>
      <c r="J43" s="492"/>
      <c r="K43" s="492"/>
      <c r="L43" s="502"/>
      <c r="M43" s="492"/>
      <c r="N43" s="492"/>
      <c r="O43" s="492"/>
      <c r="P43" s="1505"/>
      <c r="Q43" s="1506"/>
      <c r="R43" s="1506"/>
      <c r="S43" s="1506"/>
      <c r="T43" s="1506"/>
      <c r="U43" s="1506"/>
      <c r="V43" s="507" t="s">
        <v>99</v>
      </c>
      <c r="W43" s="497"/>
      <c r="X43" s="498">
        <f>AF41</f>
        <v>62.5</v>
      </c>
      <c r="Y43" s="498"/>
      <c r="Z43" s="498"/>
      <c r="AA43" s="498"/>
      <c r="AB43" s="498"/>
      <c r="AC43" s="492" t="s">
        <v>144</v>
      </c>
      <c r="AD43" s="492"/>
      <c r="AE43" s="492"/>
      <c r="AF43" s="492"/>
      <c r="AG43" s="492"/>
      <c r="AH43" s="492"/>
      <c r="AI43" s="492"/>
      <c r="AJ43" s="498">
        <f>INT(P43/X43)*0.5</f>
        <v>0</v>
      </c>
      <c r="AK43" s="498"/>
      <c r="AL43" s="498"/>
      <c r="AM43" s="498"/>
      <c r="AN43" s="498"/>
      <c r="AO43" s="1496" t="s">
        <v>673</v>
      </c>
      <c r="AP43" s="1496"/>
      <c r="AQ43" s="1496"/>
      <c r="AR43" s="1496"/>
      <c r="AS43" s="1496"/>
      <c r="AT43" s="1496"/>
      <c r="AU43" s="1496"/>
      <c r="AV43" s="1496"/>
      <c r="AW43" s="1496"/>
      <c r="AX43" s="1496"/>
      <c r="AY43" s="1496"/>
      <c r="AZ43" s="1498"/>
      <c r="BA43" s="1498"/>
      <c r="BB43" s="1498"/>
      <c r="BC43" s="1498"/>
      <c r="BD43" s="1498"/>
      <c r="BE43" s="1498"/>
      <c r="BF43" s="1498"/>
      <c r="BG43" s="492"/>
      <c r="BH43" s="492"/>
      <c r="BI43" s="492"/>
      <c r="BJ43" s="492"/>
      <c r="BK43" s="492"/>
      <c r="BL43" s="492"/>
      <c r="BM43" s="492"/>
      <c r="BN43" s="492"/>
      <c r="BO43" s="492"/>
      <c r="BP43" s="492"/>
      <c r="BQ43" s="499">
        <f>SUM(BR43:BT43)</f>
        <v>0</v>
      </c>
      <c r="BR43" s="493">
        <f>AJ43</f>
        <v>0</v>
      </c>
      <c r="BS43" s="493"/>
      <c r="BT43" s="493"/>
    </row>
    <row r="44" spans="1:75" ht="9.9499999999999993" customHeight="1">
      <c r="A44" s="490"/>
      <c r="B44" s="492"/>
      <c r="C44" s="492"/>
      <c r="D44" s="492"/>
      <c r="E44" s="492" t="s">
        <v>68</v>
      </c>
      <c r="F44" s="492"/>
      <c r="G44" s="492"/>
      <c r="H44" s="492"/>
      <c r="I44" s="492"/>
      <c r="J44" s="492"/>
      <c r="K44" s="492"/>
      <c r="L44" s="502"/>
      <c r="M44" s="492"/>
      <c r="N44" s="492"/>
      <c r="O44" s="492"/>
      <c r="P44" s="1505">
        <f>'기계경비(OLD)'!$BN$184</f>
        <v>252</v>
      </c>
      <c r="Q44" s="1506"/>
      <c r="R44" s="1506"/>
      <c r="S44" s="1506"/>
      <c r="T44" s="1506"/>
      <c r="U44" s="1506"/>
      <c r="V44" s="507" t="s">
        <v>99</v>
      </c>
      <c r="W44" s="497"/>
      <c r="X44" s="498">
        <f>AF41</f>
        <v>62.5</v>
      </c>
      <c r="Y44" s="498"/>
      <c r="Z44" s="498"/>
      <c r="AA44" s="498"/>
      <c r="AB44" s="498"/>
      <c r="AC44" s="492" t="s">
        <v>144</v>
      </c>
      <c r="AD44" s="492"/>
      <c r="AE44" s="492"/>
      <c r="AF44" s="492"/>
      <c r="AG44" s="492"/>
      <c r="AH44" s="492"/>
      <c r="AI44" s="492"/>
      <c r="AJ44" s="508">
        <f>INT((P44/X44)*0.5)</f>
        <v>2</v>
      </c>
      <c r="AK44" s="498"/>
      <c r="AL44" s="498"/>
      <c r="AM44" s="498"/>
      <c r="AN44" s="498"/>
      <c r="AO44" s="1496" t="s">
        <v>673</v>
      </c>
      <c r="AP44" s="1496"/>
      <c r="AQ44" s="1496"/>
      <c r="AR44" s="1496"/>
      <c r="AS44" s="1496"/>
      <c r="AT44" s="1496"/>
      <c r="AU44" s="1496"/>
      <c r="AV44" s="1496"/>
      <c r="AW44" s="1496"/>
      <c r="AX44" s="1496"/>
      <c r="AY44" s="1496"/>
      <c r="AZ44" s="1498"/>
      <c r="BA44" s="1498"/>
      <c r="BB44" s="1498"/>
      <c r="BC44" s="1498"/>
      <c r="BD44" s="1498"/>
      <c r="BE44" s="1498"/>
      <c r="BF44" s="1498"/>
      <c r="BG44" s="492"/>
      <c r="BH44" s="492"/>
      <c r="BI44" s="492"/>
      <c r="BJ44" s="492"/>
      <c r="BK44" s="492"/>
      <c r="BL44" s="492"/>
      <c r="BM44" s="492"/>
      <c r="BN44" s="492"/>
      <c r="BO44" s="492"/>
      <c r="BP44" s="492"/>
      <c r="BQ44" s="499">
        <f>SUM(BR44:BT44)</f>
        <v>2</v>
      </c>
      <c r="BR44" s="493"/>
      <c r="BS44" s="493"/>
      <c r="BT44" s="509">
        <f>AJ44</f>
        <v>2</v>
      </c>
    </row>
    <row r="45" spans="1:75" ht="9.9499999999999993" customHeight="1">
      <c r="A45" s="490"/>
      <c r="B45" s="492"/>
      <c r="C45" s="492" t="s">
        <v>63</v>
      </c>
      <c r="D45" s="492"/>
      <c r="E45" s="492"/>
      <c r="F45" s="492"/>
      <c r="G45" s="492"/>
      <c r="H45" s="492"/>
      <c r="I45" s="492"/>
      <c r="J45" s="492"/>
      <c r="K45" s="492"/>
      <c r="L45" s="502"/>
      <c r="M45" s="492"/>
      <c r="N45" s="492"/>
      <c r="O45" s="492"/>
      <c r="P45" s="492"/>
      <c r="Q45" s="492"/>
      <c r="R45" s="492"/>
      <c r="S45" s="492"/>
      <c r="T45" s="496"/>
      <c r="U45" s="492"/>
      <c r="V45" s="492"/>
      <c r="W45" s="492"/>
      <c r="X45" s="492"/>
      <c r="Y45" s="492"/>
      <c r="Z45" s="492"/>
      <c r="AA45" s="492"/>
      <c r="AB45" s="492"/>
      <c r="AC45" s="492"/>
      <c r="AD45" s="492"/>
      <c r="AE45" s="492"/>
      <c r="AF45" s="492"/>
      <c r="AG45" s="492"/>
      <c r="AH45" s="492"/>
      <c r="AI45" s="496"/>
      <c r="AJ45" s="492"/>
      <c r="AK45" s="492"/>
      <c r="AL45" s="492"/>
      <c r="AM45" s="492"/>
      <c r="AN45" s="492"/>
      <c r="AO45" s="492"/>
      <c r="AP45" s="492"/>
      <c r="AQ45" s="492"/>
      <c r="AR45" s="492"/>
      <c r="AS45" s="492"/>
      <c r="AT45" s="492"/>
      <c r="AU45" s="492"/>
      <c r="AV45" s="492"/>
      <c r="AW45" s="492"/>
      <c r="AX45" s="492"/>
      <c r="AY45" s="492"/>
      <c r="AZ45" s="492"/>
      <c r="BA45" s="492"/>
      <c r="BB45" s="492"/>
      <c r="BC45" s="492"/>
      <c r="BD45" s="492"/>
      <c r="BE45" s="492"/>
      <c r="BF45" s="492"/>
      <c r="BG45" s="492"/>
      <c r="BH45" s="492"/>
      <c r="BI45" s="492"/>
      <c r="BJ45" s="492"/>
      <c r="BK45" s="492"/>
      <c r="BL45" s="492"/>
      <c r="BM45" s="492"/>
      <c r="BN45" s="492"/>
      <c r="BO45" s="492"/>
      <c r="BP45" s="492"/>
      <c r="BQ45" s="503" t="e">
        <f>SUM(BR45:BT45)</f>
        <v>#REF!</v>
      </c>
      <c r="BR45" s="503">
        <f>SUM(BR40:BR44)</f>
        <v>0</v>
      </c>
      <c r="BS45" s="503" t="e">
        <f>SUM(BS40:BS44)</f>
        <v>#REF!</v>
      </c>
      <c r="BT45" s="503">
        <f>SUM(BT40:BT44)</f>
        <v>2</v>
      </c>
    </row>
    <row r="46" spans="1:75" ht="9.9499999999999993" customHeight="1">
      <c r="A46" s="510"/>
      <c r="B46" s="511"/>
      <c r="C46" s="511" t="s">
        <v>69</v>
      </c>
      <c r="D46" s="511"/>
      <c r="E46" s="511"/>
      <c r="F46" s="511"/>
      <c r="G46" s="511"/>
      <c r="H46" s="511"/>
      <c r="I46" s="511"/>
      <c r="J46" s="511"/>
      <c r="K46" s="511"/>
      <c r="L46" s="512"/>
      <c r="M46" s="511"/>
      <c r="N46" s="511"/>
      <c r="O46" s="511"/>
      <c r="P46" s="511"/>
      <c r="Q46" s="511"/>
      <c r="R46" s="511"/>
      <c r="S46" s="511"/>
      <c r="T46" s="513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  <c r="AG46" s="511"/>
      <c r="AH46" s="511"/>
      <c r="AI46" s="513"/>
      <c r="AJ46" s="511"/>
      <c r="AK46" s="511"/>
      <c r="AL46" s="511"/>
      <c r="AM46" s="511"/>
      <c r="AN46" s="511"/>
      <c r="AO46" s="511"/>
      <c r="AP46" s="511"/>
      <c r="AQ46" s="511"/>
      <c r="AR46" s="511"/>
      <c r="AS46" s="511"/>
      <c r="AT46" s="511"/>
      <c r="AU46" s="511"/>
      <c r="AV46" s="511"/>
      <c r="AW46" s="511"/>
      <c r="AX46" s="511"/>
      <c r="AY46" s="511"/>
      <c r="AZ46" s="511"/>
      <c r="BA46" s="511"/>
      <c r="BB46" s="511"/>
      <c r="BC46" s="511"/>
      <c r="BD46" s="511"/>
      <c r="BE46" s="511"/>
      <c r="BF46" s="511"/>
      <c r="BG46" s="511"/>
      <c r="BH46" s="511"/>
      <c r="BI46" s="511"/>
      <c r="BJ46" s="511"/>
      <c r="BK46" s="511"/>
      <c r="BL46" s="511"/>
      <c r="BM46" s="511"/>
      <c r="BN46" s="511"/>
      <c r="BO46" s="511"/>
      <c r="BP46" s="511"/>
      <c r="BQ46" s="514" t="e">
        <f>BQ12+BQ32+BQ39</f>
        <v>#REF!</v>
      </c>
      <c r="BR46" s="514">
        <f>BR12+BR32+BR39+BR45</f>
        <v>1613</v>
      </c>
      <c r="BS46" s="514" t="e">
        <f>BS12+BS32+BS39+BS45</f>
        <v>#REF!</v>
      </c>
      <c r="BT46" s="514">
        <f>BT12+BT32+BT39+BT45</f>
        <v>78</v>
      </c>
    </row>
    <row r="47" spans="1:75" ht="30.75" customHeight="1">
      <c r="A47" s="1499" t="s">
        <v>605</v>
      </c>
      <c r="B47" s="1500"/>
      <c r="C47" s="1500"/>
      <c r="D47" s="1500"/>
      <c r="E47" s="1500"/>
      <c r="F47" s="1500"/>
      <c r="G47" s="1500"/>
      <c r="H47" s="1500"/>
      <c r="I47" s="1500"/>
      <c r="J47" s="1500"/>
      <c r="K47" s="1500"/>
      <c r="L47" s="1500"/>
      <c r="M47" s="1500"/>
      <c r="N47" s="1500"/>
      <c r="O47" s="1500"/>
      <c r="P47" s="1500"/>
      <c r="Q47" s="1500"/>
      <c r="R47" s="1500"/>
      <c r="S47" s="1500"/>
      <c r="T47" s="1500"/>
      <c r="U47" s="1500"/>
      <c r="V47" s="1500"/>
      <c r="W47" s="1500"/>
      <c r="X47" s="1500"/>
      <c r="Y47" s="1500"/>
      <c r="Z47" s="1500"/>
      <c r="AA47" s="1500"/>
      <c r="AB47" s="1500"/>
      <c r="AC47" s="1500"/>
      <c r="AD47" s="1500"/>
      <c r="AE47" s="1500"/>
      <c r="AF47" s="1500"/>
      <c r="AG47" s="1500"/>
      <c r="AH47" s="1500"/>
      <c r="AI47" s="1500"/>
      <c r="AJ47" s="1500"/>
      <c r="AK47" s="1500"/>
      <c r="AL47" s="1500"/>
      <c r="AM47" s="1500"/>
      <c r="AN47" s="1500"/>
      <c r="AO47" s="1500"/>
      <c r="AP47" s="1500"/>
      <c r="AQ47" s="1500"/>
      <c r="AR47" s="1500"/>
      <c r="AS47" s="1500"/>
      <c r="AT47" s="1500"/>
      <c r="AU47" s="1500"/>
      <c r="AV47" s="1500"/>
      <c r="AW47" s="1500"/>
      <c r="AX47" s="1500"/>
      <c r="AY47" s="1500"/>
      <c r="AZ47" s="1500"/>
      <c r="BA47" s="1500"/>
      <c r="BB47" s="1500"/>
      <c r="BC47" s="1500"/>
      <c r="BD47" s="1500"/>
      <c r="BE47" s="1500"/>
      <c r="BF47" s="1500"/>
      <c r="BG47" s="1500"/>
      <c r="BH47" s="1500"/>
      <c r="BI47" s="1500"/>
      <c r="BJ47" s="1500"/>
      <c r="BK47" s="1500"/>
      <c r="BL47" s="1500"/>
      <c r="BM47" s="1500"/>
      <c r="BN47" s="1500"/>
      <c r="BO47" s="1500"/>
      <c r="BP47" s="1501"/>
      <c r="BQ47" s="452" t="s">
        <v>109</v>
      </c>
      <c r="BR47" s="452" t="s">
        <v>110</v>
      </c>
      <c r="BS47" s="452" t="s">
        <v>111</v>
      </c>
      <c r="BT47" s="452" t="s">
        <v>61</v>
      </c>
    </row>
    <row r="48" spans="1:75" ht="18" customHeight="1">
      <c r="A48" s="200"/>
      <c r="B48" s="51" t="s">
        <v>574</v>
      </c>
      <c r="K48" s="201"/>
      <c r="Q48" s="201" t="s">
        <v>152</v>
      </c>
      <c r="BQ48" s="202" t="e">
        <f>BQ73</f>
        <v>#REF!</v>
      </c>
      <c r="BR48" s="202">
        <f>BR73</f>
        <v>27076</v>
      </c>
      <c r="BS48" s="202" t="e">
        <f>BS73</f>
        <v>#REF!</v>
      </c>
      <c r="BT48" s="202">
        <f>BT73</f>
        <v>6000</v>
      </c>
      <c r="BV48" s="171" t="s">
        <v>113</v>
      </c>
      <c r="BW48" s="249">
        <f>VLOOKUP(BV48,인건비!A:B,2,FALSE)</f>
        <v>228717</v>
      </c>
    </row>
    <row r="49" spans="1:76" ht="9.9499999999999993" customHeight="1">
      <c r="A49" s="490"/>
      <c r="B49" s="491"/>
      <c r="C49" s="492"/>
      <c r="D49" s="492"/>
      <c r="E49" s="492"/>
      <c r="F49" s="492"/>
      <c r="G49" s="492"/>
      <c r="H49" s="492"/>
      <c r="I49" s="492"/>
      <c r="J49" s="492"/>
      <c r="K49" s="492"/>
      <c r="L49" s="492"/>
      <c r="M49" s="491"/>
      <c r="N49" s="492"/>
      <c r="O49" s="492"/>
      <c r="P49" s="492"/>
      <c r="Q49" s="492"/>
      <c r="R49" s="492"/>
      <c r="S49" s="492"/>
      <c r="T49" s="492"/>
      <c r="U49" s="492"/>
      <c r="V49" s="492"/>
      <c r="W49" s="492"/>
      <c r="X49" s="492"/>
      <c r="Y49" s="492"/>
      <c r="Z49" s="492"/>
      <c r="AA49" s="492"/>
      <c r="AB49" s="492"/>
      <c r="AC49" s="492"/>
      <c r="AD49" s="492"/>
      <c r="AE49" s="492"/>
      <c r="AF49" s="492"/>
      <c r="AG49" s="492"/>
      <c r="AH49" s="492"/>
      <c r="AI49" s="492"/>
      <c r="AJ49" s="492"/>
      <c r="AK49" s="492"/>
      <c r="AL49" s="492"/>
      <c r="AM49" s="492"/>
      <c r="AN49" s="492"/>
      <c r="AO49" s="492"/>
      <c r="AP49" s="492"/>
      <c r="AQ49" s="492"/>
      <c r="AR49" s="492"/>
      <c r="AS49" s="492"/>
      <c r="AT49" s="492"/>
      <c r="AU49" s="492"/>
      <c r="AV49" s="492"/>
      <c r="AW49" s="492"/>
      <c r="AX49" s="492"/>
      <c r="AY49" s="492"/>
      <c r="AZ49" s="492"/>
      <c r="BA49" s="492"/>
      <c r="BB49" s="492"/>
      <c r="BC49" s="492"/>
      <c r="BD49" s="492"/>
      <c r="BE49" s="492"/>
      <c r="BF49" s="492"/>
      <c r="BG49" s="492"/>
      <c r="BH49" s="492"/>
      <c r="BI49" s="492"/>
      <c r="BJ49" s="492"/>
      <c r="BK49" s="492"/>
      <c r="BL49" s="492"/>
      <c r="BM49" s="492"/>
      <c r="BN49" s="492"/>
      <c r="BO49" s="492"/>
      <c r="BP49" s="492"/>
      <c r="BQ49" s="493"/>
      <c r="BR49" s="494"/>
      <c r="BS49" s="493"/>
      <c r="BT49" s="493"/>
      <c r="BV49" s="171" t="s">
        <v>114</v>
      </c>
      <c r="BW49" s="249">
        <f>VLOOKUP(BV49,인건비!A:B,2,FALSE)</f>
        <v>172698</v>
      </c>
    </row>
    <row r="50" spans="1:76" ht="9.9499999999999993" customHeight="1">
      <c r="A50" s="490"/>
      <c r="B50" s="492" t="s">
        <v>674</v>
      </c>
      <c r="C50" s="492"/>
      <c r="D50" s="492"/>
      <c r="E50" s="492"/>
      <c r="F50" s="492"/>
      <c r="G50" s="492"/>
      <c r="H50" s="492"/>
      <c r="I50" s="492"/>
      <c r="J50" s="492"/>
      <c r="K50" s="492"/>
      <c r="L50" s="492"/>
      <c r="M50" s="492"/>
      <c r="N50" s="492"/>
      <c r="O50" s="492"/>
      <c r="P50" s="492"/>
      <c r="Q50" s="492"/>
      <c r="R50" s="492"/>
      <c r="S50" s="492"/>
      <c r="T50" s="492"/>
      <c r="U50" s="492"/>
      <c r="V50" s="492"/>
      <c r="W50" s="492"/>
      <c r="X50" s="492"/>
      <c r="Y50" s="492"/>
      <c r="Z50" s="492"/>
      <c r="AA50" s="492"/>
      <c r="AB50" s="492"/>
      <c r="AC50" s="492"/>
      <c r="AD50" s="492"/>
      <c r="AE50" s="492"/>
      <c r="AF50" s="492"/>
      <c r="AG50" s="492"/>
      <c r="AH50" s="492"/>
      <c r="AI50" s="492"/>
      <c r="AJ50" s="492"/>
      <c r="AK50" s="492"/>
      <c r="AL50" s="492"/>
      <c r="AM50" s="492"/>
      <c r="AN50" s="492"/>
      <c r="AO50" s="492"/>
      <c r="AP50" s="492"/>
      <c r="AQ50" s="492"/>
      <c r="AR50" s="492"/>
      <c r="AS50" s="492"/>
      <c r="AT50" s="492"/>
      <c r="AU50" s="492"/>
      <c r="AV50" s="492"/>
      <c r="AW50" s="492"/>
      <c r="AX50" s="492"/>
      <c r="AY50" s="492"/>
      <c r="AZ50" s="492"/>
      <c r="BA50" s="492"/>
      <c r="BB50" s="492"/>
      <c r="BC50" s="492"/>
      <c r="BD50" s="492"/>
      <c r="BE50" s="492"/>
      <c r="BF50" s="492"/>
      <c r="BG50" s="492"/>
      <c r="BH50" s="492"/>
      <c r="BI50" s="492"/>
      <c r="BJ50" s="492"/>
      <c r="BK50" s="492"/>
      <c r="BL50" s="492"/>
      <c r="BM50" s="492"/>
      <c r="BN50" s="492"/>
      <c r="BO50" s="492"/>
      <c r="BP50" s="492"/>
      <c r="BQ50" s="493"/>
      <c r="BR50" s="493"/>
      <c r="BS50" s="493"/>
      <c r="BT50" s="493"/>
      <c r="BV50" s="171" t="s">
        <v>78</v>
      </c>
      <c r="BW50" s="249">
        <f>VLOOKUP(BV50,인건비!A:B,2,FALSE)</f>
        <v>274873</v>
      </c>
    </row>
    <row r="51" spans="1:76" ht="9.9499999999999993" customHeight="1">
      <c r="A51" s="490"/>
      <c r="B51" s="492"/>
      <c r="C51" s="492" t="s">
        <v>146</v>
      </c>
      <c r="D51" s="492"/>
      <c r="E51" s="492"/>
      <c r="F51" s="492"/>
      <c r="G51" s="495"/>
      <c r="H51" s="495"/>
      <c r="I51" s="495"/>
      <c r="J51" s="495"/>
      <c r="K51" s="495"/>
      <c r="L51" s="492"/>
      <c r="M51" s="492"/>
      <c r="N51" s="492"/>
      <c r="O51" s="492"/>
      <c r="P51" s="492"/>
      <c r="Q51" s="492"/>
      <c r="R51" s="495"/>
      <c r="S51" s="495"/>
      <c r="T51" s="495"/>
      <c r="U51" s="495"/>
      <c r="V51" s="495"/>
      <c r="W51" s="492"/>
      <c r="X51" s="492"/>
      <c r="Y51" s="492"/>
      <c r="Z51" s="492"/>
      <c r="AA51" s="492"/>
      <c r="AB51" s="492"/>
      <c r="AC51" s="492"/>
      <c r="AD51" s="492"/>
      <c r="AE51" s="492"/>
      <c r="AF51" s="496"/>
      <c r="AG51" s="492"/>
      <c r="AH51" s="495"/>
      <c r="AI51" s="495"/>
      <c r="AJ51" s="495"/>
      <c r="AK51" s="495"/>
      <c r="AL51" s="495"/>
      <c r="AM51" s="496"/>
      <c r="AN51" s="492"/>
      <c r="AO51" s="495"/>
      <c r="AP51" s="495"/>
      <c r="AQ51" s="495"/>
      <c r="AR51" s="495"/>
      <c r="AS51" s="495"/>
      <c r="AT51" s="495"/>
      <c r="AU51" s="492"/>
      <c r="AV51" s="492"/>
      <c r="AW51" s="492"/>
      <c r="AX51" s="492"/>
      <c r="AY51" s="492"/>
      <c r="AZ51" s="492"/>
      <c r="BA51" s="492"/>
      <c r="BB51" s="492"/>
      <c r="BC51" s="492"/>
      <c r="BD51" s="492"/>
      <c r="BE51" s="492"/>
      <c r="BF51" s="492"/>
      <c r="BG51" s="492"/>
      <c r="BH51" s="492"/>
      <c r="BI51" s="492"/>
      <c r="BJ51" s="492"/>
      <c r="BK51" s="492"/>
      <c r="BL51" s="492"/>
      <c r="BM51" s="492"/>
      <c r="BN51" s="492"/>
      <c r="BO51" s="492"/>
      <c r="BP51" s="492"/>
      <c r="BQ51" s="493"/>
      <c r="BR51" s="493"/>
      <c r="BS51" s="493"/>
      <c r="BT51" s="493"/>
      <c r="BV51" s="655" t="s">
        <v>775</v>
      </c>
      <c r="BW51" s="656" t="s">
        <v>626</v>
      </c>
      <c r="BX51" s="657"/>
    </row>
    <row r="52" spans="1:76" ht="9.9499999999999993" customHeight="1">
      <c r="A52" s="490"/>
      <c r="B52" s="492"/>
      <c r="C52" s="492"/>
      <c r="D52" s="492" t="s">
        <v>143</v>
      </c>
      <c r="E52" s="492"/>
      <c r="F52" s="492"/>
      <c r="G52" s="492"/>
      <c r="H52" s="1495">
        <v>4.0999999999999996</v>
      </c>
      <c r="I52" s="1494"/>
      <c r="J52" s="1494"/>
      <c r="K52" s="1494"/>
      <c r="L52" s="1494"/>
      <c r="M52" s="502" t="s">
        <v>70</v>
      </c>
      <c r="N52" s="492"/>
      <c r="O52" s="492"/>
      <c r="P52" s="492"/>
      <c r="Q52" s="492"/>
      <c r="R52" s="492"/>
      <c r="S52" s="492"/>
      <c r="T52" s="492"/>
      <c r="U52" s="492"/>
      <c r="V52" s="492"/>
      <c r="W52" s="492"/>
      <c r="X52" s="492"/>
      <c r="Y52" s="492"/>
      <c r="Z52" s="492"/>
      <c r="AA52" s="492"/>
      <c r="AB52" s="492"/>
      <c r="AC52" s="492"/>
      <c r="AD52" s="492"/>
      <c r="AE52" s="492"/>
      <c r="AF52" s="492"/>
      <c r="AG52" s="492"/>
      <c r="AH52" s="492"/>
      <c r="AI52" s="492"/>
      <c r="AJ52" s="492"/>
      <c r="AK52" s="492"/>
      <c r="AL52" s="492"/>
      <c r="AM52" s="492"/>
      <c r="AN52" s="492"/>
      <c r="AO52" s="492"/>
      <c r="AP52" s="492"/>
      <c r="AQ52" s="492"/>
      <c r="AR52" s="492"/>
      <c r="AS52" s="492"/>
      <c r="AT52" s="492"/>
      <c r="AU52" s="492"/>
      <c r="AV52" s="492"/>
      <c r="AW52" s="492"/>
      <c r="AX52" s="492"/>
      <c r="AY52" s="492"/>
      <c r="AZ52" s="492"/>
      <c r="BA52" s="492"/>
      <c r="BB52" s="492"/>
      <c r="BC52" s="492"/>
      <c r="BD52" s="492"/>
      <c r="BE52" s="492"/>
      <c r="BF52" s="492"/>
      <c r="BG52" s="492"/>
      <c r="BH52" s="492"/>
      <c r="BI52" s="492"/>
      <c r="BJ52" s="492"/>
      <c r="BK52" s="492"/>
      <c r="BL52" s="492"/>
      <c r="BM52" s="492"/>
      <c r="BN52" s="492"/>
      <c r="BO52" s="492"/>
      <c r="BP52" s="492"/>
      <c r="BQ52" s="499"/>
      <c r="BR52" s="499"/>
      <c r="BS52" s="499"/>
      <c r="BT52" s="499"/>
    </row>
    <row r="53" spans="1:76" ht="9.9499999999999993" customHeight="1">
      <c r="A53" s="490"/>
      <c r="B53" s="492"/>
      <c r="C53" s="492"/>
      <c r="D53" s="492"/>
      <c r="E53" s="492" t="s">
        <v>66</v>
      </c>
      <c r="F53" s="492"/>
      <c r="G53" s="492"/>
      <c r="H53" s="492"/>
      <c r="I53" s="492"/>
      <c r="J53" s="492"/>
      <c r="K53" s="492"/>
      <c r="L53" s="502"/>
      <c r="M53" s="492"/>
      <c r="N53" s="492"/>
      <c r="O53" s="492"/>
      <c r="P53" s="1513" t="e">
        <f>'기계경비(OLD)'!$AT$41</f>
        <v>#REF!</v>
      </c>
      <c r="Q53" s="1506"/>
      <c r="R53" s="1506"/>
      <c r="S53" s="1506"/>
      <c r="T53" s="1506"/>
      <c r="U53" s="1506"/>
      <c r="V53" s="1506"/>
      <c r="W53" s="507" t="s">
        <v>99</v>
      </c>
      <c r="X53" s="497"/>
      <c r="Y53" s="1495">
        <f>H52</f>
        <v>4.0999999999999996</v>
      </c>
      <c r="Z53" s="1494"/>
      <c r="AA53" s="1494"/>
      <c r="AB53" s="1494"/>
      <c r="AC53" s="1494"/>
      <c r="AD53" s="507" t="s">
        <v>103</v>
      </c>
      <c r="AE53" s="497"/>
      <c r="AF53" s="498" t="e">
        <f>INT(P53/Y53)</f>
        <v>#REF!</v>
      </c>
      <c r="AG53" s="498"/>
      <c r="AH53" s="498"/>
      <c r="AI53" s="498"/>
      <c r="AJ53" s="498"/>
      <c r="AK53" s="498"/>
      <c r="AL53" s="498"/>
      <c r="AM53" s="1496" t="s">
        <v>580</v>
      </c>
      <c r="AN53" s="1496"/>
      <c r="AO53" s="1496"/>
      <c r="AP53" s="1496"/>
      <c r="AQ53" s="1496"/>
      <c r="AR53" s="1496"/>
      <c r="AS53" s="1496"/>
      <c r="AT53" s="1496"/>
      <c r="AU53" s="1496"/>
      <c r="AV53" s="1496"/>
      <c r="AW53" s="1496"/>
      <c r="AX53" s="1496"/>
      <c r="AY53" s="492"/>
      <c r="AZ53" s="492"/>
      <c r="BA53" s="492"/>
      <c r="BB53" s="492"/>
      <c r="BC53" s="492"/>
      <c r="BD53" s="492"/>
      <c r="BE53" s="492"/>
      <c r="BF53" s="492"/>
      <c r="BG53" s="492"/>
      <c r="BH53" s="492"/>
      <c r="BI53" s="492"/>
      <c r="BJ53" s="492"/>
      <c r="BK53" s="492"/>
      <c r="BL53" s="492"/>
      <c r="BM53" s="492"/>
      <c r="BN53" s="492"/>
      <c r="BO53" s="492"/>
      <c r="BP53" s="492"/>
      <c r="BQ53" s="499" t="e">
        <f>SUM(BR53:BT53)</f>
        <v>#REF!</v>
      </c>
      <c r="BR53" s="499"/>
      <c r="BS53" s="499" t="e">
        <f>AF53</f>
        <v>#REF!</v>
      </c>
      <c r="BT53" s="499"/>
    </row>
    <row r="54" spans="1:76" ht="9.9499999999999993" customHeight="1">
      <c r="A54" s="490"/>
      <c r="B54" s="492"/>
      <c r="C54" s="492"/>
      <c r="D54" s="492"/>
      <c r="E54" s="492" t="s">
        <v>67</v>
      </c>
      <c r="F54" s="492"/>
      <c r="G54" s="492"/>
      <c r="H54" s="492"/>
      <c r="I54" s="492"/>
      <c r="J54" s="492"/>
      <c r="K54" s="492"/>
      <c r="L54" s="502"/>
      <c r="M54" s="492"/>
      <c r="N54" s="492"/>
      <c r="O54" s="492"/>
      <c r="P54" s="1513">
        <f>'기계경비(OLD)'!$BU$34</f>
        <v>59025</v>
      </c>
      <c r="Q54" s="1506"/>
      <c r="R54" s="1506"/>
      <c r="S54" s="1506"/>
      <c r="T54" s="1506"/>
      <c r="U54" s="1506"/>
      <c r="V54" s="1506"/>
      <c r="W54" s="507" t="s">
        <v>99</v>
      </c>
      <c r="X54" s="497"/>
      <c r="Y54" s="1495">
        <f>H52</f>
        <v>4.0999999999999996</v>
      </c>
      <c r="Z54" s="1494"/>
      <c r="AA54" s="1494"/>
      <c r="AB54" s="1494"/>
      <c r="AC54" s="1494"/>
      <c r="AD54" s="507" t="s">
        <v>103</v>
      </c>
      <c r="AE54" s="497"/>
      <c r="AF54" s="498">
        <f>INT(P54/Y54)</f>
        <v>14396</v>
      </c>
      <c r="AG54" s="498"/>
      <c r="AH54" s="498"/>
      <c r="AI54" s="498"/>
      <c r="AJ54" s="498"/>
      <c r="AK54" s="498"/>
      <c r="AL54" s="498"/>
      <c r="AM54" s="1496" t="s">
        <v>580</v>
      </c>
      <c r="AN54" s="1496"/>
      <c r="AO54" s="1496"/>
      <c r="AP54" s="1496"/>
      <c r="AQ54" s="1496"/>
      <c r="AR54" s="1496"/>
      <c r="AS54" s="1496"/>
      <c r="AT54" s="1496"/>
      <c r="AU54" s="1496"/>
      <c r="AV54" s="1496"/>
      <c r="AW54" s="1496"/>
      <c r="AX54" s="1496"/>
      <c r="AY54" s="492"/>
      <c r="AZ54" s="492"/>
      <c r="BA54" s="492"/>
      <c r="BB54" s="492"/>
      <c r="BC54" s="492"/>
      <c r="BD54" s="492"/>
      <c r="BE54" s="492"/>
      <c r="BF54" s="492"/>
      <c r="BG54" s="492"/>
      <c r="BH54" s="492"/>
      <c r="BI54" s="492"/>
      <c r="BJ54" s="492"/>
      <c r="BK54" s="492"/>
      <c r="BL54" s="492"/>
      <c r="BM54" s="492"/>
      <c r="BN54" s="492"/>
      <c r="BO54" s="492"/>
      <c r="BP54" s="492"/>
      <c r="BQ54" s="499">
        <f>SUM(BR54:BT54)</f>
        <v>14396</v>
      </c>
      <c r="BR54" s="499">
        <f>AF54</f>
        <v>14396</v>
      </c>
      <c r="BS54" s="499"/>
      <c r="BT54" s="499"/>
    </row>
    <row r="55" spans="1:76" ht="9.9499999999999993" customHeight="1">
      <c r="A55" s="490"/>
      <c r="B55" s="492"/>
      <c r="C55" s="492"/>
      <c r="D55" s="492"/>
      <c r="E55" s="492" t="s">
        <v>68</v>
      </c>
      <c r="F55" s="492"/>
      <c r="G55" s="492"/>
      <c r="H55" s="492"/>
      <c r="I55" s="492"/>
      <c r="J55" s="492"/>
      <c r="K55" s="492"/>
      <c r="L55" s="502"/>
      <c r="M55" s="492"/>
      <c r="N55" s="492"/>
      <c r="O55" s="492"/>
      <c r="P55" s="492" t="s">
        <v>64</v>
      </c>
      <c r="Q55" s="492"/>
      <c r="R55" s="1505">
        <f>'기계경비(OLD)'!$BN$45</f>
        <v>13873</v>
      </c>
      <c r="S55" s="1506"/>
      <c r="T55" s="1506"/>
      <c r="U55" s="1506"/>
      <c r="V55" s="1506"/>
      <c r="W55" s="1506"/>
      <c r="X55" s="507" t="s">
        <v>59</v>
      </c>
      <c r="Y55" s="497"/>
      <c r="Z55" s="1505">
        <f>'기계경비(OLD)'!$BN$208</f>
        <v>2926</v>
      </c>
      <c r="AA55" s="1494"/>
      <c r="AB55" s="1494"/>
      <c r="AC55" s="1494"/>
      <c r="AD55" s="1494"/>
      <c r="AE55" s="492" t="s">
        <v>137</v>
      </c>
      <c r="AF55" s="492"/>
      <c r="AG55" s="492"/>
      <c r="AH55" s="492"/>
      <c r="AI55" s="1495">
        <f>H52</f>
        <v>4.0999999999999996</v>
      </c>
      <c r="AJ55" s="1494"/>
      <c r="AK55" s="1494"/>
      <c r="AL55" s="1494"/>
      <c r="AM55" s="1494"/>
      <c r="AN55" s="507" t="s">
        <v>103</v>
      </c>
      <c r="AO55" s="497"/>
      <c r="AP55" s="500">
        <f>INT((R55+Z55)/AI55)</f>
        <v>4097</v>
      </c>
      <c r="AQ55" s="498"/>
      <c r="AR55" s="498"/>
      <c r="AS55" s="498"/>
      <c r="AT55" s="498"/>
      <c r="AU55" s="498"/>
      <c r="AV55" s="498"/>
      <c r="AW55" s="1496" t="s">
        <v>675</v>
      </c>
      <c r="AX55" s="1496"/>
      <c r="AY55" s="1496"/>
      <c r="AZ55" s="1496"/>
      <c r="BA55" s="1496"/>
      <c r="BB55" s="1496"/>
      <c r="BC55" s="1496"/>
      <c r="BD55" s="1496"/>
      <c r="BE55" s="1496"/>
      <c r="BF55" s="1496"/>
      <c r="BG55" s="1496"/>
      <c r="BH55" s="1496"/>
      <c r="BI55" s="1496"/>
      <c r="BJ55" s="1496"/>
      <c r="BK55" s="1496"/>
      <c r="BL55" s="1496"/>
      <c r="BM55" s="1496"/>
      <c r="BN55" s="1496"/>
      <c r="BO55" s="1496"/>
      <c r="BP55" s="1514"/>
      <c r="BQ55" s="499">
        <f>SUM(BR55:BT55)</f>
        <v>4097</v>
      </c>
      <c r="BR55" s="499"/>
      <c r="BS55" s="499"/>
      <c r="BT55" s="499">
        <f>AP55</f>
        <v>4097</v>
      </c>
    </row>
    <row r="56" spans="1:76" ht="9.9499999999999993" customHeight="1">
      <c r="A56" s="490"/>
      <c r="B56" s="492"/>
      <c r="C56" s="492" t="s">
        <v>63</v>
      </c>
      <c r="D56" s="492"/>
      <c r="E56" s="492"/>
      <c r="F56" s="492"/>
      <c r="G56" s="492"/>
      <c r="H56" s="492"/>
      <c r="I56" s="492"/>
      <c r="J56" s="492"/>
      <c r="K56" s="492"/>
      <c r="L56" s="502"/>
      <c r="M56" s="492"/>
      <c r="N56" s="492"/>
      <c r="O56" s="492"/>
      <c r="P56" s="492"/>
      <c r="Q56" s="492"/>
      <c r="R56" s="492"/>
      <c r="S56" s="492"/>
      <c r="T56" s="496"/>
      <c r="U56" s="492"/>
      <c r="V56" s="492"/>
      <c r="W56" s="492"/>
      <c r="X56" s="492"/>
      <c r="Y56" s="492"/>
      <c r="Z56" s="492"/>
      <c r="AA56" s="492"/>
      <c r="AB56" s="492"/>
      <c r="AC56" s="492"/>
      <c r="AD56" s="492"/>
      <c r="AE56" s="492"/>
      <c r="AF56" s="492"/>
      <c r="AG56" s="492"/>
      <c r="AH56" s="492"/>
      <c r="AI56" s="496"/>
      <c r="AJ56" s="492"/>
      <c r="AK56" s="492"/>
      <c r="AL56" s="492"/>
      <c r="AM56" s="492"/>
      <c r="AN56" s="492"/>
      <c r="AO56" s="492"/>
      <c r="AP56" s="492"/>
      <c r="AQ56" s="492"/>
      <c r="AR56" s="492"/>
      <c r="AS56" s="492"/>
      <c r="AT56" s="492"/>
      <c r="AU56" s="492"/>
      <c r="AV56" s="492"/>
      <c r="AW56" s="492"/>
      <c r="AX56" s="492"/>
      <c r="AY56" s="492"/>
      <c r="AZ56" s="492"/>
      <c r="BA56" s="492"/>
      <c r="BB56" s="492"/>
      <c r="BC56" s="492"/>
      <c r="BD56" s="492"/>
      <c r="BE56" s="492"/>
      <c r="BF56" s="492"/>
      <c r="BG56" s="492"/>
      <c r="BH56" s="492"/>
      <c r="BI56" s="492"/>
      <c r="BJ56" s="492"/>
      <c r="BK56" s="492"/>
      <c r="BL56" s="492"/>
      <c r="BM56" s="492"/>
      <c r="BN56" s="492"/>
      <c r="BO56" s="492"/>
      <c r="BP56" s="492"/>
      <c r="BQ56" s="503" t="e">
        <f>SUM(BR56:BT56)</f>
        <v>#REF!</v>
      </c>
      <c r="BR56" s="503">
        <f>SUM(BR52:BR55)</f>
        <v>14396</v>
      </c>
      <c r="BS56" s="503" t="e">
        <f>SUM(BS52:BS55)</f>
        <v>#REF!</v>
      </c>
      <c r="BT56" s="503">
        <f>SUM(BT52:BT55)</f>
        <v>4097</v>
      </c>
    </row>
    <row r="57" spans="1:76" ht="9.9499999999999993" customHeight="1">
      <c r="A57" s="490"/>
      <c r="B57" s="492"/>
      <c r="C57" s="492"/>
      <c r="D57" s="492"/>
      <c r="E57" s="492"/>
      <c r="F57" s="492"/>
      <c r="G57" s="492"/>
      <c r="H57" s="492"/>
      <c r="I57" s="492"/>
      <c r="J57" s="492"/>
      <c r="K57" s="492"/>
      <c r="L57" s="502"/>
      <c r="M57" s="492"/>
      <c r="N57" s="492"/>
      <c r="O57" s="492"/>
      <c r="P57" s="492"/>
      <c r="Q57" s="492"/>
      <c r="R57" s="492"/>
      <c r="S57" s="492"/>
      <c r="T57" s="496"/>
      <c r="U57" s="492"/>
      <c r="V57" s="492"/>
      <c r="W57" s="492"/>
      <c r="X57" s="492"/>
      <c r="Y57" s="492"/>
      <c r="Z57" s="492"/>
      <c r="AA57" s="492"/>
      <c r="AB57" s="492"/>
      <c r="AC57" s="492"/>
      <c r="AD57" s="492"/>
      <c r="AE57" s="492"/>
      <c r="AF57" s="492"/>
      <c r="AG57" s="492"/>
      <c r="AH57" s="492"/>
      <c r="AI57" s="496"/>
      <c r="AJ57" s="492"/>
      <c r="AK57" s="492"/>
      <c r="AL57" s="492"/>
      <c r="AM57" s="492"/>
      <c r="AN57" s="492"/>
      <c r="AO57" s="492"/>
      <c r="AP57" s="492"/>
      <c r="AQ57" s="492"/>
      <c r="AR57" s="492"/>
      <c r="AS57" s="492"/>
      <c r="AT57" s="492"/>
      <c r="AU57" s="492"/>
      <c r="AV57" s="492"/>
      <c r="AW57" s="492"/>
      <c r="AX57" s="492"/>
      <c r="AY57" s="492"/>
      <c r="AZ57" s="492"/>
      <c r="BA57" s="492"/>
      <c r="BB57" s="492"/>
      <c r="BC57" s="492"/>
      <c r="BD57" s="492"/>
      <c r="BE57" s="492"/>
      <c r="BF57" s="492"/>
      <c r="BG57" s="492"/>
      <c r="BH57" s="492"/>
      <c r="BI57" s="492"/>
      <c r="BJ57" s="492"/>
      <c r="BK57" s="492"/>
      <c r="BL57" s="492"/>
      <c r="BM57" s="492"/>
      <c r="BN57" s="492"/>
      <c r="BO57" s="492"/>
      <c r="BP57" s="492"/>
      <c r="BQ57" s="499"/>
      <c r="BR57" s="499"/>
      <c r="BS57" s="499"/>
      <c r="BT57" s="499"/>
    </row>
    <row r="58" spans="1:76" ht="9.9499999999999993" customHeight="1">
      <c r="A58" s="490"/>
      <c r="B58" s="492"/>
      <c r="C58" s="492" t="s">
        <v>147</v>
      </c>
      <c r="D58" s="492"/>
      <c r="E58" s="492"/>
      <c r="F58" s="492"/>
      <c r="G58" s="495"/>
      <c r="H58" s="495"/>
      <c r="I58" s="495"/>
      <c r="J58" s="495"/>
      <c r="K58" s="495"/>
      <c r="L58" s="492"/>
      <c r="M58" s="492"/>
      <c r="N58" s="492"/>
      <c r="O58" s="492"/>
      <c r="P58" s="492"/>
      <c r="Q58" s="492"/>
      <c r="R58" s="495"/>
      <c r="S58" s="495"/>
      <c r="T58" s="495"/>
      <c r="U58" s="495"/>
      <c r="V58" s="495"/>
      <c r="W58" s="492"/>
      <c r="X58" s="492"/>
      <c r="Y58" s="492"/>
      <c r="Z58" s="492"/>
      <c r="AA58" s="492"/>
      <c r="AB58" s="492"/>
      <c r="AC58" s="492"/>
      <c r="AD58" s="492"/>
      <c r="AE58" s="492"/>
      <c r="AF58" s="496"/>
      <c r="AG58" s="492"/>
      <c r="AH58" s="495"/>
      <c r="AI58" s="495"/>
      <c r="AJ58" s="495"/>
      <c r="AK58" s="495"/>
      <c r="AL58" s="495"/>
      <c r="AM58" s="496"/>
      <c r="AN58" s="492"/>
      <c r="AO58" s="495"/>
      <c r="AP58" s="495"/>
      <c r="AQ58" s="495"/>
      <c r="AR58" s="495"/>
      <c r="AS58" s="495"/>
      <c r="AT58" s="495"/>
      <c r="AU58" s="492"/>
      <c r="AV58" s="492"/>
      <c r="AW58" s="492"/>
      <c r="AX58" s="492"/>
      <c r="AY58" s="492"/>
      <c r="AZ58" s="492"/>
      <c r="BA58" s="492"/>
      <c r="BB58" s="492"/>
      <c r="BC58" s="492"/>
      <c r="BD58" s="492"/>
      <c r="BE58" s="492"/>
      <c r="BF58" s="492"/>
      <c r="BG58" s="492"/>
      <c r="BH58" s="492"/>
      <c r="BI58" s="492"/>
      <c r="BJ58" s="492"/>
      <c r="BK58" s="492"/>
      <c r="BL58" s="492"/>
      <c r="BM58" s="492"/>
      <c r="BN58" s="492"/>
      <c r="BO58" s="492"/>
      <c r="BP58" s="492"/>
      <c r="BQ58" s="493"/>
      <c r="BR58" s="493"/>
      <c r="BS58" s="493"/>
      <c r="BT58" s="493"/>
      <c r="BW58" s="241"/>
    </row>
    <row r="59" spans="1:76" ht="9.9499999999999993" customHeight="1">
      <c r="A59" s="490"/>
      <c r="B59" s="492"/>
      <c r="C59" s="492"/>
      <c r="D59" s="492" t="s">
        <v>64</v>
      </c>
      <c r="E59" s="492"/>
      <c r="F59" s="1512">
        <v>1</v>
      </c>
      <c r="G59" s="1494"/>
      <c r="H59" s="1494"/>
      <c r="I59" s="492" t="s">
        <v>105</v>
      </c>
      <c r="J59" s="492"/>
      <c r="K59" s="497"/>
      <c r="L59" s="497"/>
      <c r="M59" s="492"/>
      <c r="N59" s="1511">
        <f>$BW$49</f>
        <v>172698</v>
      </c>
      <c r="O59" s="1494"/>
      <c r="P59" s="1494"/>
      <c r="Q59" s="1494"/>
      <c r="R59" s="1494"/>
      <c r="S59" s="1494"/>
      <c r="T59" s="492" t="s">
        <v>148</v>
      </c>
      <c r="U59" s="492"/>
      <c r="V59" s="492"/>
      <c r="W59" s="496"/>
      <c r="X59" s="492"/>
      <c r="Y59" s="492"/>
      <c r="Z59" s="492"/>
      <c r="AA59" s="492"/>
      <c r="AB59" s="492"/>
      <c r="AC59" s="515">
        <v>8</v>
      </c>
      <c r="AD59" s="498"/>
      <c r="AE59" s="498"/>
      <c r="AF59" s="492" t="s">
        <v>149</v>
      </c>
      <c r="AG59" s="492"/>
      <c r="AH59" s="492"/>
      <c r="AI59" s="492"/>
      <c r="AJ59" s="492"/>
      <c r="AK59" s="492"/>
      <c r="AL59" s="500">
        <f>INT((F59*N59)/(H52*AC59))</f>
        <v>5265</v>
      </c>
      <c r="AM59" s="498"/>
      <c r="AN59" s="498"/>
      <c r="AO59" s="498"/>
      <c r="AP59" s="498"/>
      <c r="AQ59" s="498"/>
      <c r="AR59" s="498"/>
      <c r="AS59" s="492"/>
      <c r="AT59" s="492"/>
      <c r="AU59" s="492"/>
      <c r="AV59" s="492"/>
      <c r="AW59" s="492"/>
      <c r="AX59" s="492"/>
      <c r="AY59" s="492"/>
      <c r="AZ59" s="492"/>
      <c r="BA59" s="492"/>
      <c r="BB59" s="492"/>
      <c r="BC59" s="492"/>
      <c r="BD59" s="492"/>
      <c r="BE59" s="492"/>
      <c r="BF59" s="492"/>
      <c r="BG59" s="492"/>
      <c r="BH59" s="492"/>
      <c r="BI59" s="492"/>
      <c r="BJ59" s="492"/>
      <c r="BK59" s="492"/>
      <c r="BL59" s="492"/>
      <c r="BM59" s="492"/>
      <c r="BN59" s="492"/>
      <c r="BO59" s="492"/>
      <c r="BP59" s="492"/>
      <c r="BQ59" s="499">
        <f>SUM(BR59:BT59)</f>
        <v>5265</v>
      </c>
      <c r="BR59" s="499">
        <f>AL59</f>
        <v>5265</v>
      </c>
      <c r="BS59" s="499"/>
      <c r="BT59" s="499"/>
    </row>
    <row r="60" spans="1:76" ht="9.9499999999999993" customHeight="1">
      <c r="A60" s="490"/>
      <c r="B60" s="492"/>
      <c r="C60" s="492"/>
      <c r="D60" s="492"/>
      <c r="E60" s="492"/>
      <c r="F60" s="492"/>
      <c r="G60" s="492"/>
      <c r="H60" s="492"/>
      <c r="I60" s="492"/>
      <c r="J60" s="492"/>
      <c r="K60" s="492"/>
      <c r="L60" s="502"/>
      <c r="M60" s="492"/>
      <c r="N60" s="492"/>
      <c r="O60" s="492"/>
      <c r="P60" s="492"/>
      <c r="Q60" s="492"/>
      <c r="R60" s="492"/>
      <c r="S60" s="492"/>
      <c r="T60" s="496"/>
      <c r="U60" s="492"/>
      <c r="V60" s="492"/>
      <c r="W60" s="492"/>
      <c r="X60" s="492"/>
      <c r="Y60" s="492"/>
      <c r="Z60" s="492"/>
      <c r="AA60" s="492"/>
      <c r="AB60" s="492"/>
      <c r="AC60" s="492"/>
      <c r="AD60" s="492"/>
      <c r="AE60" s="492"/>
      <c r="AF60" s="492"/>
      <c r="AG60" s="492"/>
      <c r="AH60" s="492"/>
      <c r="AI60" s="496"/>
      <c r="AJ60" s="492"/>
      <c r="AK60" s="492"/>
      <c r="AL60" s="492"/>
      <c r="AM60" s="492"/>
      <c r="AN60" s="492"/>
      <c r="AO60" s="492"/>
      <c r="AP60" s="492"/>
      <c r="AQ60" s="492"/>
      <c r="AR60" s="492"/>
      <c r="AS60" s="492"/>
      <c r="AT60" s="492"/>
      <c r="AU60" s="492"/>
      <c r="AV60" s="492"/>
      <c r="AW60" s="492"/>
      <c r="AX60" s="492"/>
      <c r="AY60" s="492"/>
      <c r="AZ60" s="492"/>
      <c r="BA60" s="492"/>
      <c r="BB60" s="492"/>
      <c r="BC60" s="492"/>
      <c r="BD60" s="492"/>
      <c r="BE60" s="492"/>
      <c r="BF60" s="492"/>
      <c r="BG60" s="492"/>
      <c r="BH60" s="492"/>
      <c r="BI60" s="492"/>
      <c r="BJ60" s="492"/>
      <c r="BK60" s="492"/>
      <c r="BL60" s="492"/>
      <c r="BM60" s="492"/>
      <c r="BN60" s="492"/>
      <c r="BO60" s="492"/>
      <c r="BP60" s="492"/>
      <c r="BQ60" s="499"/>
      <c r="BR60" s="499"/>
      <c r="BS60" s="499"/>
      <c r="BT60" s="499"/>
    </row>
    <row r="61" spans="1:76" ht="9.9499999999999993" customHeight="1">
      <c r="A61" s="490"/>
      <c r="B61" s="492"/>
      <c r="C61" s="492" t="s">
        <v>676</v>
      </c>
      <c r="D61" s="492"/>
      <c r="E61" s="492"/>
      <c r="F61" s="492"/>
      <c r="G61" s="495"/>
      <c r="H61" s="495"/>
      <c r="I61" s="495"/>
      <c r="J61" s="495"/>
      <c r="K61" s="495"/>
      <c r="L61" s="492"/>
      <c r="M61" s="492"/>
      <c r="N61" s="492"/>
      <c r="O61" s="492"/>
      <c r="P61" s="492"/>
      <c r="Q61" s="492"/>
      <c r="R61" s="495"/>
      <c r="S61" s="495"/>
      <c r="T61" s="495"/>
      <c r="U61" s="495"/>
      <c r="V61" s="495"/>
      <c r="W61" s="492"/>
      <c r="X61" s="492"/>
      <c r="Y61" s="492"/>
      <c r="Z61" s="492"/>
      <c r="AA61" s="492"/>
      <c r="AB61" s="492"/>
      <c r="AC61" s="492"/>
      <c r="AD61" s="492"/>
      <c r="AE61" s="492"/>
      <c r="AF61" s="496"/>
      <c r="AG61" s="492"/>
      <c r="AH61" s="495"/>
      <c r="AI61" s="495"/>
      <c r="AJ61" s="495"/>
      <c r="AK61" s="495"/>
      <c r="AL61" s="495"/>
      <c r="AM61" s="496"/>
      <c r="AN61" s="492"/>
      <c r="AO61" s="495"/>
      <c r="AP61" s="495"/>
      <c r="AQ61" s="495"/>
      <c r="AR61" s="495"/>
      <c r="AS61" s="495"/>
      <c r="AT61" s="495"/>
      <c r="AU61" s="492"/>
      <c r="AV61" s="492"/>
      <c r="AW61" s="492"/>
      <c r="AX61" s="492"/>
      <c r="AY61" s="492"/>
      <c r="AZ61" s="492"/>
      <c r="BA61" s="492"/>
      <c r="BB61" s="492"/>
      <c r="BC61" s="492"/>
      <c r="BD61" s="492"/>
      <c r="BE61" s="492"/>
      <c r="BF61" s="492"/>
      <c r="BG61" s="492"/>
      <c r="BH61" s="492"/>
      <c r="BI61" s="492"/>
      <c r="BJ61" s="492"/>
      <c r="BK61" s="492"/>
      <c r="BL61" s="492"/>
      <c r="BM61" s="492"/>
      <c r="BN61" s="492"/>
      <c r="BO61" s="492"/>
      <c r="BP61" s="492"/>
      <c r="BQ61" s="493"/>
      <c r="BR61" s="493"/>
      <c r="BS61" s="493"/>
      <c r="BT61" s="493"/>
      <c r="BW61" s="241"/>
    </row>
    <row r="62" spans="1:76" ht="9.9499999999999993" customHeight="1">
      <c r="A62" s="490"/>
      <c r="B62" s="492"/>
      <c r="C62" s="492"/>
      <c r="D62" s="492" t="s">
        <v>64</v>
      </c>
      <c r="E62" s="492"/>
      <c r="F62" s="515">
        <v>8.0000000000000002E-3</v>
      </c>
      <c r="G62" s="498"/>
      <c r="H62" s="498"/>
      <c r="I62" s="498"/>
      <c r="J62" s="497"/>
      <c r="K62" s="497" t="s">
        <v>100</v>
      </c>
      <c r="L62" s="497"/>
      <c r="M62" s="516">
        <v>83000</v>
      </c>
      <c r="N62" s="498"/>
      <c r="O62" s="498"/>
      <c r="P62" s="498"/>
      <c r="Q62" s="498"/>
      <c r="R62" s="498"/>
      <c r="S62" s="498"/>
      <c r="T62" s="492" t="s">
        <v>150</v>
      </c>
      <c r="U62" s="492"/>
      <c r="V62" s="492"/>
      <c r="W62" s="492"/>
      <c r="X62" s="492"/>
      <c r="Y62" s="492"/>
      <c r="Z62" s="492"/>
      <c r="AA62" s="492"/>
      <c r="AB62" s="500">
        <f>INT((F62*M62)/H52)</f>
        <v>161</v>
      </c>
      <c r="AC62" s="498"/>
      <c r="AD62" s="498"/>
      <c r="AE62" s="498"/>
      <c r="AF62" s="498"/>
      <c r="AG62" s="498"/>
      <c r="AH62" s="498"/>
      <c r="AI62" s="492"/>
      <c r="AJ62" s="492"/>
      <c r="AK62" s="492"/>
      <c r="AL62" s="492"/>
      <c r="AM62" s="492"/>
      <c r="AN62" s="492"/>
      <c r="AO62" s="492"/>
      <c r="AP62" s="492"/>
      <c r="AQ62" s="492"/>
      <c r="AR62" s="492"/>
      <c r="AS62" s="492"/>
      <c r="AT62" s="492"/>
      <c r="AU62" s="492"/>
      <c r="AV62" s="492"/>
      <c r="AW62" s="492"/>
      <c r="AX62" s="492"/>
      <c r="AY62" s="492"/>
      <c r="AZ62" s="492"/>
      <c r="BA62" s="492"/>
      <c r="BB62" s="492"/>
      <c r="BC62" s="492"/>
      <c r="BD62" s="492"/>
      <c r="BE62" s="492"/>
      <c r="BF62" s="492"/>
      <c r="BG62" s="492"/>
      <c r="BH62" s="492"/>
      <c r="BI62" s="492"/>
      <c r="BJ62" s="492"/>
      <c r="BK62" s="492"/>
      <c r="BL62" s="492"/>
      <c r="BM62" s="492"/>
      <c r="BN62" s="492"/>
      <c r="BO62" s="492"/>
      <c r="BP62" s="492"/>
      <c r="BQ62" s="499">
        <f>SUM(BR62:BT62)</f>
        <v>161</v>
      </c>
      <c r="BR62" s="499"/>
      <c r="BS62" s="499"/>
      <c r="BT62" s="499">
        <f>AB62</f>
        <v>161</v>
      </c>
    </row>
    <row r="63" spans="1:76" ht="9.9499999999999993" customHeight="1">
      <c r="A63" s="490"/>
      <c r="B63" s="492"/>
      <c r="C63" s="492"/>
      <c r="D63" s="492"/>
      <c r="E63" s="492"/>
      <c r="F63" s="492"/>
      <c r="G63" s="492"/>
      <c r="H63" s="492"/>
      <c r="I63" s="492"/>
      <c r="J63" s="492"/>
      <c r="K63" s="492"/>
      <c r="L63" s="502"/>
      <c r="M63" s="492"/>
      <c r="N63" s="492"/>
      <c r="O63" s="492"/>
      <c r="P63" s="492"/>
      <c r="Q63" s="492"/>
      <c r="R63" s="492"/>
      <c r="S63" s="492"/>
      <c r="T63" s="496"/>
      <c r="U63" s="492"/>
      <c r="V63" s="492"/>
      <c r="W63" s="492"/>
      <c r="X63" s="492"/>
      <c r="Y63" s="492"/>
      <c r="Z63" s="492"/>
      <c r="AA63" s="492"/>
      <c r="AB63" s="492"/>
      <c r="AC63" s="492"/>
      <c r="AD63" s="492"/>
      <c r="AE63" s="492"/>
      <c r="AF63" s="492"/>
      <c r="AG63" s="492"/>
      <c r="AH63" s="492"/>
      <c r="AI63" s="496"/>
      <c r="AJ63" s="492"/>
      <c r="AK63" s="492"/>
      <c r="AL63" s="492"/>
      <c r="AM63" s="492"/>
      <c r="AN63" s="492"/>
      <c r="AO63" s="492"/>
      <c r="AP63" s="492"/>
      <c r="AQ63" s="492"/>
      <c r="AR63" s="492"/>
      <c r="AS63" s="492"/>
      <c r="AT63" s="492"/>
      <c r="AU63" s="492"/>
      <c r="AV63" s="492"/>
      <c r="AW63" s="492"/>
      <c r="AX63" s="492"/>
      <c r="AY63" s="492"/>
      <c r="AZ63" s="492"/>
      <c r="BA63" s="492"/>
      <c r="BB63" s="492"/>
      <c r="BC63" s="492"/>
      <c r="BD63" s="492"/>
      <c r="BE63" s="492"/>
      <c r="BF63" s="492"/>
      <c r="BG63" s="492"/>
      <c r="BH63" s="492"/>
      <c r="BI63" s="492"/>
      <c r="BJ63" s="492"/>
      <c r="BK63" s="492"/>
      <c r="BL63" s="492"/>
      <c r="BM63" s="492"/>
      <c r="BN63" s="492"/>
      <c r="BO63" s="492"/>
      <c r="BP63" s="492"/>
      <c r="BQ63" s="499"/>
      <c r="BR63" s="499"/>
      <c r="BS63" s="499"/>
      <c r="BT63" s="499"/>
    </row>
    <row r="64" spans="1:76" ht="9.9499999999999993" customHeight="1">
      <c r="A64" s="490"/>
      <c r="B64" s="492" t="s">
        <v>151</v>
      </c>
      <c r="C64" s="492"/>
      <c r="D64" s="492"/>
      <c r="E64" s="492"/>
      <c r="F64" s="492"/>
      <c r="G64" s="492"/>
      <c r="H64" s="492"/>
      <c r="I64" s="492"/>
      <c r="J64" s="492"/>
      <c r="K64" s="492"/>
      <c r="L64" s="492"/>
      <c r="M64" s="492"/>
      <c r="N64" s="492"/>
      <c r="O64" s="492"/>
      <c r="P64" s="492"/>
      <c r="Q64" s="492"/>
      <c r="R64" s="492"/>
      <c r="S64" s="492"/>
      <c r="T64" s="492"/>
      <c r="U64" s="492"/>
      <c r="V64" s="492"/>
      <c r="W64" s="492"/>
      <c r="X64" s="517"/>
      <c r="Y64" s="497"/>
      <c r="Z64" s="497"/>
      <c r="AA64" s="497"/>
      <c r="AB64" s="492"/>
      <c r="AC64" s="492"/>
      <c r="AD64" s="492"/>
      <c r="AE64" s="492"/>
      <c r="AF64" s="492"/>
      <c r="AG64" s="492"/>
      <c r="AH64" s="492"/>
      <c r="AI64" s="492"/>
      <c r="AJ64" s="492"/>
      <c r="AK64" s="492"/>
      <c r="AL64" s="492"/>
      <c r="AM64" s="492"/>
      <c r="AN64" s="492"/>
      <c r="AO64" s="492"/>
      <c r="AP64" s="492"/>
      <c r="AQ64" s="492"/>
      <c r="AR64" s="492"/>
      <c r="AS64" s="492"/>
      <c r="AT64" s="492"/>
      <c r="AU64" s="492"/>
      <c r="AV64" s="492"/>
      <c r="AW64" s="492"/>
      <c r="AX64" s="492"/>
      <c r="AY64" s="492"/>
      <c r="AZ64" s="492"/>
      <c r="BA64" s="492"/>
      <c r="BB64" s="492"/>
      <c r="BC64" s="492"/>
      <c r="BD64" s="492"/>
      <c r="BE64" s="492"/>
      <c r="BF64" s="492"/>
      <c r="BG64" s="492"/>
      <c r="BH64" s="492"/>
      <c r="BI64" s="492"/>
      <c r="BJ64" s="492"/>
      <c r="BK64" s="492"/>
      <c r="BL64" s="492"/>
      <c r="BM64" s="492"/>
      <c r="BN64" s="492"/>
      <c r="BO64" s="492"/>
      <c r="BP64" s="492"/>
      <c r="BQ64" s="493"/>
      <c r="BR64" s="493"/>
      <c r="BS64" s="493"/>
      <c r="BT64" s="493"/>
      <c r="BW64" s="210"/>
    </row>
    <row r="65" spans="1:75" ht="9.9499999999999993" customHeight="1">
      <c r="A65" s="490"/>
      <c r="B65" s="492"/>
      <c r="C65" s="492" t="s">
        <v>71</v>
      </c>
      <c r="D65" s="492"/>
      <c r="E65" s="492"/>
      <c r="F65" s="492"/>
      <c r="G65" s="498">
        <v>0.2</v>
      </c>
      <c r="H65" s="498"/>
      <c r="I65" s="498"/>
      <c r="J65" s="498"/>
      <c r="K65" s="498"/>
      <c r="L65" s="492" t="s">
        <v>72</v>
      </c>
      <c r="M65" s="492"/>
      <c r="N65" s="492" t="s">
        <v>73</v>
      </c>
      <c r="O65" s="492"/>
      <c r="P65" s="492"/>
      <c r="Q65" s="492"/>
      <c r="R65" s="498">
        <v>0.55000000000000004</v>
      </c>
      <c r="S65" s="498"/>
      <c r="T65" s="498"/>
      <c r="U65" s="498"/>
      <c r="V65" s="498"/>
      <c r="W65" s="492" t="s">
        <v>72</v>
      </c>
      <c r="X65" s="492"/>
      <c r="Y65" s="492" t="s">
        <v>74</v>
      </c>
      <c r="Z65" s="492"/>
      <c r="AA65" s="492"/>
      <c r="AB65" s="492"/>
      <c r="AC65" s="498">
        <v>1</v>
      </c>
      <c r="AD65" s="498"/>
      <c r="AE65" s="498"/>
      <c r="AF65" s="507" t="s">
        <v>99</v>
      </c>
      <c r="AG65" s="497"/>
      <c r="AH65" s="498">
        <v>1.5</v>
      </c>
      <c r="AI65" s="498"/>
      <c r="AJ65" s="498"/>
      <c r="AK65" s="498"/>
      <c r="AL65" s="498"/>
      <c r="AM65" s="507" t="s">
        <v>103</v>
      </c>
      <c r="AN65" s="497"/>
      <c r="AO65" s="498">
        <f>ROUND(AC65/AH65,2)</f>
        <v>0.67</v>
      </c>
      <c r="AP65" s="498"/>
      <c r="AQ65" s="498"/>
      <c r="AR65" s="498"/>
      <c r="AS65" s="498"/>
      <c r="AT65" s="498"/>
      <c r="AU65" s="492"/>
      <c r="AV65" s="492"/>
      <c r="AW65" s="492"/>
      <c r="AX65" s="492"/>
      <c r="AY65" s="492"/>
      <c r="AZ65" s="492"/>
      <c r="BA65" s="492"/>
      <c r="BB65" s="492"/>
      <c r="BC65" s="492"/>
      <c r="BD65" s="492"/>
      <c r="BE65" s="492"/>
      <c r="BF65" s="492"/>
      <c r="BG65" s="492"/>
      <c r="BH65" s="492"/>
      <c r="BI65" s="492"/>
      <c r="BJ65" s="492"/>
      <c r="BK65" s="492"/>
      <c r="BL65" s="492"/>
      <c r="BM65" s="492"/>
      <c r="BN65" s="492"/>
      <c r="BO65" s="492"/>
      <c r="BP65" s="492"/>
      <c r="BQ65" s="493"/>
      <c r="BR65" s="493"/>
      <c r="BS65" s="493"/>
      <c r="BT65" s="493"/>
      <c r="BW65" s="210"/>
    </row>
    <row r="66" spans="1:75" ht="9.9499999999999993" customHeight="1">
      <c r="A66" s="490"/>
      <c r="B66" s="492"/>
      <c r="C66" s="492" t="s">
        <v>74</v>
      </c>
      <c r="D66" s="492"/>
      <c r="E66" s="492"/>
      <c r="F66" s="492"/>
      <c r="G66" s="498">
        <v>0.45</v>
      </c>
      <c r="H66" s="498"/>
      <c r="I66" s="498"/>
      <c r="J66" s="498"/>
      <c r="K66" s="498"/>
      <c r="L66" s="492"/>
      <c r="M66" s="492"/>
      <c r="N66" s="492" t="s">
        <v>75</v>
      </c>
      <c r="O66" s="492"/>
      <c r="P66" s="492"/>
      <c r="Q66" s="492"/>
      <c r="R66" s="492"/>
      <c r="S66" s="515">
        <v>15</v>
      </c>
      <c r="T66" s="498"/>
      <c r="U66" s="498"/>
      <c r="V66" s="498"/>
      <c r="W66" s="492" t="s">
        <v>76</v>
      </c>
      <c r="X66" s="492"/>
      <c r="Y66" s="492"/>
      <c r="Z66" s="492"/>
      <c r="AA66" s="492"/>
      <c r="AB66" s="492"/>
      <c r="AC66" s="492"/>
      <c r="AD66" s="492"/>
      <c r="AE66" s="492"/>
      <c r="AF66" s="492"/>
      <c r="AG66" s="492"/>
      <c r="AH66" s="492"/>
      <c r="AI66" s="492"/>
      <c r="AJ66" s="492"/>
      <c r="AK66" s="492"/>
      <c r="AL66" s="492"/>
      <c r="AM66" s="492"/>
      <c r="AN66" s="492"/>
      <c r="AO66" s="492"/>
      <c r="AP66" s="492"/>
      <c r="AQ66" s="492"/>
      <c r="AR66" s="492"/>
      <c r="AS66" s="492"/>
      <c r="AT66" s="492"/>
      <c r="AU66" s="492"/>
      <c r="AV66" s="492"/>
      <c r="AW66" s="492"/>
      <c r="AX66" s="492"/>
      <c r="AY66" s="492"/>
      <c r="AZ66" s="492"/>
      <c r="BA66" s="492"/>
      <c r="BB66" s="492"/>
      <c r="BC66" s="492"/>
      <c r="BD66" s="492"/>
      <c r="BE66" s="492"/>
      <c r="BF66" s="492"/>
      <c r="BG66" s="492"/>
      <c r="BH66" s="492"/>
      <c r="BI66" s="492"/>
      <c r="BJ66" s="492"/>
      <c r="BK66" s="492"/>
      <c r="BL66" s="492"/>
      <c r="BM66" s="492"/>
      <c r="BN66" s="492"/>
      <c r="BO66" s="492"/>
      <c r="BP66" s="492"/>
      <c r="BQ66" s="493"/>
      <c r="BR66" s="493"/>
      <c r="BS66" s="493"/>
      <c r="BT66" s="493"/>
      <c r="BW66" s="210"/>
    </row>
    <row r="67" spans="1:75" ht="9.9499999999999993" customHeight="1">
      <c r="A67" s="490"/>
      <c r="B67" s="492"/>
      <c r="C67" s="492" t="s">
        <v>143</v>
      </c>
      <c r="D67" s="492"/>
      <c r="E67" s="492"/>
      <c r="F67" s="492"/>
      <c r="G67" s="498">
        <v>3600</v>
      </c>
      <c r="H67" s="498"/>
      <c r="I67" s="498"/>
      <c r="J67" s="498"/>
      <c r="K67" s="498"/>
      <c r="L67" s="497" t="s">
        <v>100</v>
      </c>
      <c r="M67" s="497"/>
      <c r="N67" s="498">
        <f>G65</f>
        <v>0.2</v>
      </c>
      <c r="O67" s="498"/>
      <c r="P67" s="498"/>
      <c r="Q67" s="498"/>
      <c r="R67" s="497" t="s">
        <v>100</v>
      </c>
      <c r="S67" s="497"/>
      <c r="T67" s="498">
        <f>R65</f>
        <v>0.55000000000000004</v>
      </c>
      <c r="U67" s="498"/>
      <c r="V67" s="498"/>
      <c r="W67" s="498"/>
      <c r="X67" s="497" t="s">
        <v>100</v>
      </c>
      <c r="Y67" s="497"/>
      <c r="Z67" s="498">
        <f>AO65</f>
        <v>0.67</v>
      </c>
      <c r="AA67" s="498"/>
      <c r="AB67" s="498"/>
      <c r="AC67" s="498"/>
      <c r="AD67" s="497" t="s">
        <v>100</v>
      </c>
      <c r="AE67" s="497"/>
      <c r="AF67" s="498">
        <f>G66</f>
        <v>0.45</v>
      </c>
      <c r="AG67" s="498"/>
      <c r="AH67" s="498"/>
      <c r="AI67" s="498"/>
      <c r="AJ67" s="498"/>
      <c r="AK67" s="507" t="s">
        <v>99</v>
      </c>
      <c r="AL67" s="497"/>
      <c r="AM67" s="498">
        <f>S66</f>
        <v>15</v>
      </c>
      <c r="AN67" s="498"/>
      <c r="AO67" s="498"/>
      <c r="AP67" s="498"/>
      <c r="AQ67" s="507" t="s">
        <v>103</v>
      </c>
      <c r="AR67" s="497"/>
      <c r="AS67" s="498">
        <f>ROUND(G67*N67*T67*Z67*AF67/AM67,2)</f>
        <v>7.96</v>
      </c>
      <c r="AT67" s="498"/>
      <c r="AU67" s="498"/>
      <c r="AV67" s="498"/>
      <c r="AW67" s="498"/>
      <c r="AX67" s="492" t="s">
        <v>70</v>
      </c>
      <c r="AY67" s="492"/>
      <c r="AZ67" s="492"/>
      <c r="BA67" s="492"/>
      <c r="BB67" s="492"/>
      <c r="BC67" s="492"/>
      <c r="BD67" s="492"/>
      <c r="BE67" s="492"/>
      <c r="BF67" s="492"/>
      <c r="BG67" s="492"/>
      <c r="BH67" s="492"/>
      <c r="BI67" s="492"/>
      <c r="BJ67" s="492"/>
      <c r="BK67" s="492"/>
      <c r="BL67" s="492"/>
      <c r="BM67" s="492"/>
      <c r="BN67" s="492"/>
      <c r="BO67" s="492"/>
      <c r="BP67" s="492"/>
      <c r="BQ67" s="493"/>
      <c r="BR67" s="493"/>
      <c r="BS67" s="493"/>
      <c r="BT67" s="493"/>
      <c r="BW67" s="241"/>
    </row>
    <row r="68" spans="1:75" ht="9.9499999999999993" customHeight="1">
      <c r="A68" s="490"/>
      <c r="B68" s="492"/>
      <c r="C68" s="492" t="s">
        <v>66</v>
      </c>
      <c r="D68" s="492"/>
      <c r="E68" s="492"/>
      <c r="F68" s="492"/>
      <c r="G68" s="497"/>
      <c r="H68" s="497"/>
      <c r="I68" s="497"/>
      <c r="J68" s="497"/>
      <c r="K68" s="497"/>
      <c r="L68" s="492"/>
      <c r="M68" s="492"/>
      <c r="N68" s="1493" t="e">
        <f>'기계경비(OLD)'!$AT$41</f>
        <v>#REF!</v>
      </c>
      <c r="O68" s="1506"/>
      <c r="P68" s="1506"/>
      <c r="Q68" s="1506"/>
      <c r="R68" s="1506"/>
      <c r="S68" s="1506"/>
      <c r="T68" s="1506"/>
      <c r="U68" s="1506"/>
      <c r="V68" s="507" t="s">
        <v>99</v>
      </c>
      <c r="W68" s="497"/>
      <c r="X68" s="498">
        <f>AS67</f>
        <v>7.96</v>
      </c>
      <c r="Y68" s="498"/>
      <c r="Z68" s="498"/>
      <c r="AA68" s="498"/>
      <c r="AB68" s="498"/>
      <c r="AC68" s="498"/>
      <c r="AD68" s="507" t="s">
        <v>103</v>
      </c>
      <c r="AE68" s="497"/>
      <c r="AF68" s="498" t="e">
        <f>INT(N68/X68)</f>
        <v>#REF!</v>
      </c>
      <c r="AG68" s="498"/>
      <c r="AH68" s="498"/>
      <c r="AI68" s="498"/>
      <c r="AJ68" s="498"/>
      <c r="AK68" s="498"/>
      <c r="AL68" s="498"/>
      <c r="AM68" s="1496" t="s">
        <v>580</v>
      </c>
      <c r="AN68" s="1496"/>
      <c r="AO68" s="1496"/>
      <c r="AP68" s="1496"/>
      <c r="AQ68" s="1496"/>
      <c r="AR68" s="1496"/>
      <c r="AS68" s="1496"/>
      <c r="AT68" s="1496"/>
      <c r="AU68" s="1496"/>
      <c r="AV68" s="1496"/>
      <c r="AW68" s="1496"/>
      <c r="AX68" s="492"/>
      <c r="AY68" s="492"/>
      <c r="AZ68" s="492"/>
      <c r="BA68" s="492"/>
      <c r="BB68" s="492"/>
      <c r="BC68" s="492"/>
      <c r="BD68" s="492"/>
      <c r="BE68" s="492"/>
      <c r="BF68" s="492"/>
      <c r="BG68" s="492"/>
      <c r="BH68" s="492"/>
      <c r="BI68" s="492"/>
      <c r="BJ68" s="492"/>
      <c r="BK68" s="492"/>
      <c r="BL68" s="492"/>
      <c r="BM68" s="492"/>
      <c r="BN68" s="492"/>
      <c r="BO68" s="492"/>
      <c r="BP68" s="492"/>
      <c r="BQ68" s="499" t="e">
        <f>SUM(BR68:BT68)</f>
        <v>#REF!</v>
      </c>
      <c r="BR68" s="499"/>
      <c r="BS68" s="499" t="e">
        <f>AF68</f>
        <v>#REF!</v>
      </c>
      <c r="BT68" s="499"/>
      <c r="BW68" s="241"/>
    </row>
    <row r="69" spans="1:75" ht="9.9499999999999993" customHeight="1">
      <c r="A69" s="490"/>
      <c r="B69" s="492"/>
      <c r="C69" s="492" t="s">
        <v>67</v>
      </c>
      <c r="D69" s="492"/>
      <c r="E69" s="492"/>
      <c r="F69" s="492"/>
      <c r="G69" s="497"/>
      <c r="H69" s="497"/>
      <c r="I69" s="497"/>
      <c r="J69" s="497"/>
      <c r="K69" s="492"/>
      <c r="L69" s="492"/>
      <c r="M69" s="492"/>
      <c r="N69" s="1493">
        <f>'기계경비(OLD)'!$BU$34</f>
        <v>59025</v>
      </c>
      <c r="O69" s="1506"/>
      <c r="P69" s="1506"/>
      <c r="Q69" s="1506"/>
      <c r="R69" s="1506"/>
      <c r="S69" s="1506"/>
      <c r="T69" s="1506"/>
      <c r="U69" s="1506"/>
      <c r="V69" s="507" t="s">
        <v>99</v>
      </c>
      <c r="W69" s="497"/>
      <c r="X69" s="498">
        <f>X68</f>
        <v>7.96</v>
      </c>
      <c r="Y69" s="498"/>
      <c r="Z69" s="498"/>
      <c r="AA69" s="498"/>
      <c r="AB69" s="498"/>
      <c r="AC69" s="498"/>
      <c r="AD69" s="507" t="s">
        <v>103</v>
      </c>
      <c r="AE69" s="497"/>
      <c r="AF69" s="498">
        <f>INT(N69/X69)</f>
        <v>7415</v>
      </c>
      <c r="AG69" s="498"/>
      <c r="AH69" s="498"/>
      <c r="AI69" s="498"/>
      <c r="AJ69" s="498"/>
      <c r="AK69" s="498"/>
      <c r="AL69" s="498"/>
      <c r="AM69" s="1496" t="s">
        <v>580</v>
      </c>
      <c r="AN69" s="1496"/>
      <c r="AO69" s="1496"/>
      <c r="AP69" s="1496"/>
      <c r="AQ69" s="1496"/>
      <c r="AR69" s="1496"/>
      <c r="AS69" s="1496"/>
      <c r="AT69" s="1496"/>
      <c r="AU69" s="1496"/>
      <c r="AV69" s="1496"/>
      <c r="AW69" s="1496"/>
      <c r="AX69" s="492"/>
      <c r="AY69" s="492"/>
      <c r="AZ69" s="492"/>
      <c r="BA69" s="492"/>
      <c r="BB69" s="492"/>
      <c r="BC69" s="492"/>
      <c r="BD69" s="492"/>
      <c r="BE69" s="492"/>
      <c r="BF69" s="492"/>
      <c r="BG69" s="492"/>
      <c r="BH69" s="492"/>
      <c r="BI69" s="492"/>
      <c r="BJ69" s="492"/>
      <c r="BK69" s="492"/>
      <c r="BL69" s="492"/>
      <c r="BM69" s="492"/>
      <c r="BN69" s="492"/>
      <c r="BO69" s="492"/>
      <c r="BP69" s="492"/>
      <c r="BQ69" s="499">
        <f>SUM(BR69:BT69)</f>
        <v>7415</v>
      </c>
      <c r="BR69" s="499">
        <f>AF69</f>
        <v>7415</v>
      </c>
      <c r="BS69" s="499"/>
      <c r="BT69" s="499"/>
      <c r="BW69" s="241"/>
    </row>
    <row r="70" spans="1:75" ht="9.9499999999999993" customHeight="1">
      <c r="A70" s="490"/>
      <c r="B70" s="492"/>
      <c r="C70" s="492" t="s">
        <v>68</v>
      </c>
      <c r="D70" s="492"/>
      <c r="E70" s="492"/>
      <c r="F70" s="492"/>
      <c r="G70" s="492"/>
      <c r="H70" s="492"/>
      <c r="I70" s="492"/>
      <c r="J70" s="492"/>
      <c r="K70" s="492"/>
      <c r="L70" s="492"/>
      <c r="M70" s="492"/>
      <c r="N70" s="1493">
        <f>'기계경비(OLD)'!$BN$45</f>
        <v>13873</v>
      </c>
      <c r="O70" s="1506"/>
      <c r="P70" s="1506"/>
      <c r="Q70" s="1506"/>
      <c r="R70" s="1506"/>
      <c r="S70" s="1506"/>
      <c r="T70" s="1506"/>
      <c r="U70" s="1506"/>
      <c r="V70" s="507" t="s">
        <v>99</v>
      </c>
      <c r="W70" s="497"/>
      <c r="X70" s="498">
        <f>X69</f>
        <v>7.96</v>
      </c>
      <c r="Y70" s="498"/>
      <c r="Z70" s="498"/>
      <c r="AA70" s="498"/>
      <c r="AB70" s="498"/>
      <c r="AC70" s="498"/>
      <c r="AD70" s="507" t="s">
        <v>103</v>
      </c>
      <c r="AE70" s="497"/>
      <c r="AF70" s="498">
        <f>INT(N70/X70)</f>
        <v>1742</v>
      </c>
      <c r="AG70" s="498"/>
      <c r="AH70" s="498"/>
      <c r="AI70" s="498"/>
      <c r="AJ70" s="498"/>
      <c r="AK70" s="498"/>
      <c r="AL70" s="498"/>
      <c r="AM70" s="1496" t="s">
        <v>580</v>
      </c>
      <c r="AN70" s="1496"/>
      <c r="AO70" s="1496"/>
      <c r="AP70" s="1496"/>
      <c r="AQ70" s="1496"/>
      <c r="AR70" s="1496"/>
      <c r="AS70" s="1496"/>
      <c r="AT70" s="1496"/>
      <c r="AU70" s="1496"/>
      <c r="AV70" s="1496"/>
      <c r="AW70" s="1496"/>
      <c r="AX70" s="492"/>
      <c r="AY70" s="492"/>
      <c r="AZ70" s="492"/>
      <c r="BA70" s="492"/>
      <c r="BB70" s="492"/>
      <c r="BC70" s="492"/>
      <c r="BD70" s="492"/>
      <c r="BE70" s="492"/>
      <c r="BF70" s="492"/>
      <c r="BG70" s="492"/>
      <c r="BH70" s="492"/>
      <c r="BI70" s="492"/>
      <c r="BJ70" s="492"/>
      <c r="BK70" s="492"/>
      <c r="BL70" s="492"/>
      <c r="BM70" s="492"/>
      <c r="BN70" s="492"/>
      <c r="BO70" s="492"/>
      <c r="BP70" s="492"/>
      <c r="BQ70" s="499">
        <f>SUM(BR70:BT70)</f>
        <v>1742</v>
      </c>
      <c r="BR70" s="499"/>
      <c r="BS70" s="499"/>
      <c r="BT70" s="499">
        <f>AF70</f>
        <v>1742</v>
      </c>
    </row>
    <row r="71" spans="1:75" ht="9.9499999999999993" customHeight="1">
      <c r="A71" s="490"/>
      <c r="B71" s="492"/>
      <c r="C71" s="492" t="s">
        <v>63</v>
      </c>
      <c r="D71" s="492"/>
      <c r="E71" s="492"/>
      <c r="F71" s="492"/>
      <c r="G71" s="492"/>
      <c r="H71" s="492"/>
      <c r="I71" s="492"/>
      <c r="J71" s="492"/>
      <c r="K71" s="492"/>
      <c r="L71" s="502"/>
      <c r="M71" s="492"/>
      <c r="N71" s="492"/>
      <c r="O71" s="492"/>
      <c r="P71" s="492"/>
      <c r="Q71" s="492"/>
      <c r="R71" s="492"/>
      <c r="S71" s="492"/>
      <c r="T71" s="496"/>
      <c r="U71" s="492"/>
      <c r="V71" s="492"/>
      <c r="W71" s="492"/>
      <c r="X71" s="492"/>
      <c r="Y71" s="492"/>
      <c r="Z71" s="492"/>
      <c r="AA71" s="492"/>
      <c r="AB71" s="492"/>
      <c r="AC71" s="492"/>
      <c r="AD71" s="492"/>
      <c r="AE71" s="492"/>
      <c r="AF71" s="492"/>
      <c r="AG71" s="492"/>
      <c r="AH71" s="492"/>
      <c r="AI71" s="496"/>
      <c r="AJ71" s="492"/>
      <c r="AK71" s="492"/>
      <c r="AL71" s="492"/>
      <c r="AM71" s="492"/>
      <c r="AN71" s="492"/>
      <c r="AO71" s="492"/>
      <c r="AP71" s="492"/>
      <c r="AQ71" s="492"/>
      <c r="AR71" s="492"/>
      <c r="AS71" s="492"/>
      <c r="AT71" s="492"/>
      <c r="AU71" s="492"/>
      <c r="AV71" s="492"/>
      <c r="AW71" s="492"/>
      <c r="AX71" s="492"/>
      <c r="AY71" s="492"/>
      <c r="AZ71" s="492"/>
      <c r="BA71" s="492"/>
      <c r="BB71" s="492"/>
      <c r="BC71" s="492"/>
      <c r="BD71" s="492"/>
      <c r="BE71" s="492"/>
      <c r="BF71" s="492"/>
      <c r="BG71" s="492"/>
      <c r="BH71" s="492"/>
      <c r="BI71" s="492"/>
      <c r="BJ71" s="492"/>
      <c r="BK71" s="492"/>
      <c r="BL71" s="492"/>
      <c r="BM71" s="492"/>
      <c r="BN71" s="492"/>
      <c r="BO71" s="492"/>
      <c r="BP71" s="492"/>
      <c r="BQ71" s="503" t="e">
        <f>SUM(BQ59:BQ70)</f>
        <v>#REF!</v>
      </c>
      <c r="BR71" s="503">
        <f>SUM(BR59:BR70)</f>
        <v>12680</v>
      </c>
      <c r="BS71" s="503" t="e">
        <f>SUM(BS59:BS70)</f>
        <v>#REF!</v>
      </c>
      <c r="BT71" s="503">
        <f>SUM(BT59:BT70)</f>
        <v>1903</v>
      </c>
    </row>
    <row r="72" spans="1:75" ht="9.9499999999999993" customHeight="1">
      <c r="A72" s="490"/>
      <c r="B72" s="492"/>
      <c r="C72" s="492"/>
      <c r="D72" s="492"/>
      <c r="E72" s="492"/>
      <c r="F72" s="492"/>
      <c r="G72" s="492"/>
      <c r="H72" s="492"/>
      <c r="I72" s="492"/>
      <c r="J72" s="492"/>
      <c r="K72" s="492"/>
      <c r="L72" s="502"/>
      <c r="M72" s="492"/>
      <c r="N72" s="492"/>
      <c r="O72" s="492"/>
      <c r="P72" s="492"/>
      <c r="Q72" s="492"/>
      <c r="R72" s="492"/>
      <c r="S72" s="492"/>
      <c r="T72" s="496"/>
      <c r="U72" s="492"/>
      <c r="V72" s="492"/>
      <c r="W72" s="492"/>
      <c r="X72" s="492"/>
      <c r="Y72" s="492"/>
      <c r="Z72" s="492"/>
      <c r="AA72" s="492"/>
      <c r="AB72" s="492"/>
      <c r="AC72" s="492"/>
      <c r="AD72" s="492"/>
      <c r="AE72" s="492"/>
      <c r="AF72" s="492"/>
      <c r="AG72" s="492"/>
      <c r="AH72" s="492"/>
      <c r="AI72" s="496"/>
      <c r="AJ72" s="492"/>
      <c r="AK72" s="492"/>
      <c r="AL72" s="492"/>
      <c r="AM72" s="492"/>
      <c r="AN72" s="492"/>
      <c r="AO72" s="492"/>
      <c r="AP72" s="492"/>
      <c r="AQ72" s="492"/>
      <c r="AR72" s="492"/>
      <c r="AS72" s="492"/>
      <c r="AT72" s="492"/>
      <c r="AU72" s="492"/>
      <c r="AV72" s="492"/>
      <c r="AW72" s="492"/>
      <c r="AX72" s="492"/>
      <c r="AY72" s="492"/>
      <c r="AZ72" s="492"/>
      <c r="BA72" s="492"/>
      <c r="BB72" s="492"/>
      <c r="BC72" s="492"/>
      <c r="BD72" s="492"/>
      <c r="BE72" s="492"/>
      <c r="BF72" s="492"/>
      <c r="BG72" s="492"/>
      <c r="BH72" s="492"/>
      <c r="BI72" s="492"/>
      <c r="BJ72" s="492"/>
      <c r="BK72" s="492"/>
      <c r="BL72" s="492"/>
      <c r="BM72" s="492"/>
      <c r="BN72" s="492"/>
      <c r="BO72" s="492"/>
      <c r="BP72" s="492"/>
      <c r="BQ72" s="499"/>
      <c r="BR72" s="499"/>
      <c r="BS72" s="499"/>
      <c r="BT72" s="499"/>
    </row>
    <row r="73" spans="1:75" ht="9.9499999999999993" customHeight="1" thickBot="1">
      <c r="A73" s="490"/>
      <c r="B73" s="492"/>
      <c r="C73" s="518" t="s">
        <v>69</v>
      </c>
      <c r="D73" s="518"/>
      <c r="E73" s="518"/>
      <c r="F73" s="518"/>
      <c r="G73" s="518"/>
      <c r="H73" s="518"/>
      <c r="I73" s="518"/>
      <c r="J73" s="518"/>
      <c r="K73" s="518"/>
      <c r="L73" s="519"/>
      <c r="M73" s="518"/>
      <c r="N73" s="518"/>
      <c r="O73" s="518"/>
      <c r="P73" s="518"/>
      <c r="Q73" s="518"/>
      <c r="R73" s="518"/>
      <c r="S73" s="518"/>
      <c r="T73" s="520"/>
      <c r="U73" s="518"/>
      <c r="V73" s="518"/>
      <c r="W73" s="518"/>
      <c r="X73" s="518"/>
      <c r="Y73" s="518"/>
      <c r="Z73" s="518"/>
      <c r="AA73" s="518"/>
      <c r="AB73" s="518"/>
      <c r="AC73" s="518"/>
      <c r="AD73" s="518"/>
      <c r="AE73" s="518"/>
      <c r="AF73" s="518"/>
      <c r="AG73" s="518"/>
      <c r="AH73" s="518"/>
      <c r="AI73" s="520"/>
      <c r="AJ73" s="518"/>
      <c r="AK73" s="518"/>
      <c r="AL73" s="518"/>
      <c r="AM73" s="518"/>
      <c r="AN73" s="518"/>
      <c r="AO73" s="518"/>
      <c r="AP73" s="518"/>
      <c r="AQ73" s="518"/>
      <c r="AR73" s="518"/>
      <c r="AS73" s="518"/>
      <c r="AT73" s="518"/>
      <c r="AU73" s="518"/>
      <c r="AV73" s="518"/>
      <c r="AW73" s="518"/>
      <c r="AX73" s="518"/>
      <c r="AY73" s="518"/>
      <c r="AZ73" s="518"/>
      <c r="BA73" s="518"/>
      <c r="BB73" s="518"/>
      <c r="BC73" s="518"/>
      <c r="BD73" s="518"/>
      <c r="BE73" s="518"/>
      <c r="BF73" s="518"/>
      <c r="BG73" s="518"/>
      <c r="BH73" s="518"/>
      <c r="BI73" s="518"/>
      <c r="BJ73" s="518"/>
      <c r="BK73" s="518"/>
      <c r="BL73" s="518"/>
      <c r="BM73" s="518"/>
      <c r="BN73" s="518"/>
      <c r="BO73" s="518"/>
      <c r="BP73" s="518"/>
      <c r="BQ73" s="521" t="e">
        <f>BQ56+BQ71</f>
        <v>#REF!</v>
      </c>
      <c r="BR73" s="521">
        <f>BR56+BR71</f>
        <v>27076</v>
      </c>
      <c r="BS73" s="521" t="e">
        <f>BS56+BS71</f>
        <v>#REF!</v>
      </c>
      <c r="BT73" s="521">
        <f>BT56+BT71</f>
        <v>6000</v>
      </c>
    </row>
    <row r="74" spans="1:75" ht="9.9499999999999993" customHeight="1" thickTop="1">
      <c r="A74" s="490"/>
      <c r="B74" s="492"/>
      <c r="C74" s="492"/>
      <c r="D74" s="492"/>
      <c r="E74" s="492"/>
      <c r="F74" s="492"/>
      <c r="G74" s="492"/>
      <c r="H74" s="492"/>
      <c r="I74" s="492"/>
      <c r="J74" s="492"/>
      <c r="K74" s="492"/>
      <c r="L74" s="502"/>
      <c r="M74" s="492"/>
      <c r="N74" s="492"/>
      <c r="O74" s="492"/>
      <c r="P74" s="492"/>
      <c r="Q74" s="492"/>
      <c r="R74" s="492"/>
      <c r="S74" s="492"/>
      <c r="T74" s="496"/>
      <c r="U74" s="492"/>
      <c r="V74" s="492"/>
      <c r="W74" s="492"/>
      <c r="X74" s="492"/>
      <c r="Y74" s="492"/>
      <c r="Z74" s="492"/>
      <c r="AA74" s="492"/>
      <c r="AB74" s="492"/>
      <c r="AC74" s="492"/>
      <c r="AD74" s="492"/>
      <c r="AE74" s="492"/>
      <c r="AF74" s="492"/>
      <c r="AG74" s="492"/>
      <c r="AH74" s="492"/>
      <c r="AI74" s="496"/>
      <c r="AJ74" s="492"/>
      <c r="AK74" s="492"/>
      <c r="AL74" s="492"/>
      <c r="AM74" s="492"/>
      <c r="AN74" s="492"/>
      <c r="AO74" s="492"/>
      <c r="AP74" s="492"/>
      <c r="AQ74" s="492"/>
      <c r="AR74" s="492"/>
      <c r="AS74" s="492"/>
      <c r="AT74" s="492"/>
      <c r="AU74" s="492"/>
      <c r="AV74" s="492"/>
      <c r="AW74" s="492"/>
      <c r="AX74" s="492"/>
      <c r="AY74" s="492"/>
      <c r="AZ74" s="492"/>
      <c r="BA74" s="492"/>
      <c r="BB74" s="492"/>
      <c r="BC74" s="492"/>
      <c r="BD74" s="492"/>
      <c r="BE74" s="492"/>
      <c r="BF74" s="492"/>
      <c r="BG74" s="492"/>
      <c r="BH74" s="492"/>
      <c r="BI74" s="492"/>
      <c r="BJ74" s="492"/>
      <c r="BK74" s="492"/>
      <c r="BL74" s="492"/>
      <c r="BM74" s="492"/>
      <c r="BN74" s="492"/>
      <c r="BO74" s="492"/>
      <c r="BP74" s="492"/>
      <c r="BQ74" s="499"/>
      <c r="BR74" s="499"/>
      <c r="BS74" s="499"/>
      <c r="BT74" s="499"/>
    </row>
    <row r="75" spans="1:75" ht="9.9499999999999993" customHeight="1">
      <c r="A75" s="490"/>
      <c r="B75" s="492"/>
      <c r="C75" s="492"/>
      <c r="D75" s="492"/>
      <c r="E75" s="492"/>
      <c r="F75" s="492"/>
      <c r="G75" s="492"/>
      <c r="H75" s="492"/>
      <c r="I75" s="492"/>
      <c r="J75" s="492"/>
      <c r="K75" s="492"/>
      <c r="L75" s="502"/>
      <c r="M75" s="492"/>
      <c r="N75" s="492"/>
      <c r="O75" s="492"/>
      <c r="P75" s="492"/>
      <c r="Q75" s="492"/>
      <c r="R75" s="492"/>
      <c r="S75" s="492"/>
      <c r="T75" s="496"/>
      <c r="U75" s="492"/>
      <c r="V75" s="492"/>
      <c r="W75" s="492"/>
      <c r="X75" s="492"/>
      <c r="Y75" s="492"/>
      <c r="Z75" s="492"/>
      <c r="AA75" s="492"/>
      <c r="AB75" s="492"/>
      <c r="AC75" s="492"/>
      <c r="AD75" s="492"/>
      <c r="AE75" s="492"/>
      <c r="AF75" s="492"/>
      <c r="AG75" s="492"/>
      <c r="AH75" s="492"/>
      <c r="AI75" s="496"/>
      <c r="AJ75" s="492"/>
      <c r="AK75" s="492"/>
      <c r="AL75" s="492"/>
      <c r="AM75" s="492"/>
      <c r="AN75" s="492"/>
      <c r="AO75" s="492"/>
      <c r="AP75" s="492"/>
      <c r="AQ75" s="492"/>
      <c r="AR75" s="492"/>
      <c r="AS75" s="492"/>
      <c r="AT75" s="492"/>
      <c r="AU75" s="492"/>
      <c r="AV75" s="492"/>
      <c r="AW75" s="492"/>
      <c r="AX75" s="492"/>
      <c r="AY75" s="492"/>
      <c r="AZ75" s="492"/>
      <c r="BA75" s="492"/>
      <c r="BB75" s="492"/>
      <c r="BC75" s="492"/>
      <c r="BD75" s="492"/>
      <c r="BE75" s="492"/>
      <c r="BF75" s="492"/>
      <c r="BG75" s="492"/>
      <c r="BH75" s="492"/>
      <c r="BI75" s="492"/>
      <c r="BJ75" s="492"/>
      <c r="BK75" s="492"/>
      <c r="BL75" s="492"/>
      <c r="BM75" s="492"/>
      <c r="BN75" s="492"/>
      <c r="BO75" s="492"/>
      <c r="BP75" s="492"/>
      <c r="BQ75" s="499"/>
      <c r="BR75" s="499"/>
      <c r="BS75" s="499"/>
      <c r="BT75" s="499"/>
    </row>
    <row r="76" spans="1:75" ht="9.9499999999999993" customHeight="1">
      <c r="A76" s="490"/>
      <c r="B76" s="492"/>
      <c r="C76" s="492"/>
      <c r="D76" s="492"/>
      <c r="E76" s="492"/>
      <c r="F76" s="492"/>
      <c r="G76" s="492"/>
      <c r="H76" s="492"/>
      <c r="I76" s="492"/>
      <c r="J76" s="492"/>
      <c r="K76" s="492"/>
      <c r="L76" s="502"/>
      <c r="M76" s="492"/>
      <c r="N76" s="492"/>
      <c r="O76" s="492"/>
      <c r="P76" s="492"/>
      <c r="Q76" s="492"/>
      <c r="R76" s="492"/>
      <c r="S76" s="492"/>
      <c r="T76" s="496"/>
      <c r="U76" s="492"/>
      <c r="V76" s="492"/>
      <c r="W76" s="492"/>
      <c r="X76" s="492"/>
      <c r="Y76" s="492"/>
      <c r="Z76" s="492"/>
      <c r="AA76" s="492"/>
      <c r="AB76" s="492"/>
      <c r="AC76" s="492"/>
      <c r="AD76" s="492"/>
      <c r="AE76" s="492"/>
      <c r="AF76" s="492"/>
      <c r="AG76" s="492"/>
      <c r="AH76" s="492"/>
      <c r="AI76" s="496"/>
      <c r="AJ76" s="492"/>
      <c r="AK76" s="492"/>
      <c r="AL76" s="492"/>
      <c r="AM76" s="492"/>
      <c r="AN76" s="492"/>
      <c r="AO76" s="492"/>
      <c r="AP76" s="492"/>
      <c r="AQ76" s="492"/>
      <c r="AR76" s="492"/>
      <c r="AS76" s="492"/>
      <c r="AT76" s="492"/>
      <c r="AU76" s="492"/>
      <c r="AV76" s="492"/>
      <c r="AW76" s="492"/>
      <c r="AX76" s="492"/>
      <c r="AY76" s="492"/>
      <c r="AZ76" s="492"/>
      <c r="BA76" s="492"/>
      <c r="BB76" s="492"/>
      <c r="BC76" s="492"/>
      <c r="BD76" s="492"/>
      <c r="BE76" s="492"/>
      <c r="BF76" s="492"/>
      <c r="BG76" s="492"/>
      <c r="BH76" s="492"/>
      <c r="BI76" s="492"/>
      <c r="BJ76" s="492"/>
      <c r="BK76" s="492"/>
      <c r="BL76" s="492"/>
      <c r="BM76" s="492"/>
      <c r="BN76" s="492"/>
      <c r="BO76" s="492"/>
      <c r="BP76" s="492"/>
      <c r="BQ76" s="499"/>
      <c r="BR76" s="499"/>
      <c r="BS76" s="499"/>
      <c r="BT76" s="499"/>
    </row>
    <row r="77" spans="1:75" ht="9.9499999999999993" customHeight="1">
      <c r="A77" s="490"/>
      <c r="B77" s="492"/>
      <c r="C77" s="492"/>
      <c r="D77" s="492"/>
      <c r="E77" s="492"/>
      <c r="F77" s="492"/>
      <c r="G77" s="492"/>
      <c r="H77" s="492"/>
      <c r="I77" s="492"/>
      <c r="J77" s="492"/>
      <c r="K77" s="492"/>
      <c r="L77" s="502"/>
      <c r="M77" s="492"/>
      <c r="N77" s="492"/>
      <c r="O77" s="492"/>
      <c r="P77" s="492"/>
      <c r="Q77" s="492"/>
      <c r="R77" s="492"/>
      <c r="S77" s="492"/>
      <c r="T77" s="496"/>
      <c r="U77" s="492"/>
      <c r="V77" s="492"/>
      <c r="W77" s="492"/>
      <c r="X77" s="492"/>
      <c r="Y77" s="492"/>
      <c r="Z77" s="492"/>
      <c r="AA77" s="492"/>
      <c r="AB77" s="492"/>
      <c r="AC77" s="492"/>
      <c r="AD77" s="492"/>
      <c r="AE77" s="492"/>
      <c r="AF77" s="492"/>
      <c r="AG77" s="492"/>
      <c r="AH77" s="492"/>
      <c r="AI77" s="496"/>
      <c r="AJ77" s="492"/>
      <c r="AK77" s="492"/>
      <c r="AL77" s="492"/>
      <c r="AM77" s="492"/>
      <c r="AN77" s="492"/>
      <c r="AO77" s="492"/>
      <c r="AP77" s="492"/>
      <c r="AQ77" s="492"/>
      <c r="AR77" s="492"/>
      <c r="AS77" s="492"/>
      <c r="AT77" s="492"/>
      <c r="AU77" s="492"/>
      <c r="AV77" s="492"/>
      <c r="AW77" s="492"/>
      <c r="AX77" s="492"/>
      <c r="AY77" s="492"/>
      <c r="AZ77" s="492"/>
      <c r="BA77" s="492"/>
      <c r="BB77" s="492"/>
      <c r="BC77" s="492"/>
      <c r="BD77" s="492"/>
      <c r="BE77" s="492"/>
      <c r="BF77" s="492"/>
      <c r="BG77" s="492"/>
      <c r="BH77" s="492"/>
      <c r="BI77" s="492"/>
      <c r="BJ77" s="492"/>
      <c r="BK77" s="492"/>
      <c r="BL77" s="492"/>
      <c r="BM77" s="492"/>
      <c r="BN77" s="492"/>
      <c r="BO77" s="492"/>
      <c r="BP77" s="492"/>
      <c r="BQ77" s="499"/>
      <c r="BR77" s="499"/>
      <c r="BS77" s="499"/>
      <c r="BT77" s="499"/>
    </row>
    <row r="78" spans="1:75" ht="9.9499999999999993" customHeight="1">
      <c r="A78" s="490"/>
      <c r="B78" s="492"/>
      <c r="C78" s="492"/>
      <c r="D78" s="492"/>
      <c r="E78" s="492"/>
      <c r="F78" s="492"/>
      <c r="G78" s="492"/>
      <c r="H78" s="492"/>
      <c r="I78" s="492"/>
      <c r="J78" s="492"/>
      <c r="K78" s="492"/>
      <c r="L78" s="502"/>
      <c r="M78" s="492"/>
      <c r="N78" s="492"/>
      <c r="O78" s="492"/>
      <c r="P78" s="492"/>
      <c r="Q78" s="492"/>
      <c r="R78" s="492"/>
      <c r="S78" s="492"/>
      <c r="T78" s="496"/>
      <c r="U78" s="492"/>
      <c r="V78" s="492"/>
      <c r="W78" s="492"/>
      <c r="X78" s="492"/>
      <c r="Y78" s="492"/>
      <c r="Z78" s="492"/>
      <c r="AA78" s="492"/>
      <c r="AB78" s="492"/>
      <c r="AC78" s="492"/>
      <c r="AD78" s="492"/>
      <c r="AE78" s="492"/>
      <c r="AF78" s="492"/>
      <c r="AG78" s="492"/>
      <c r="AH78" s="492"/>
      <c r="AI78" s="496"/>
      <c r="AJ78" s="492"/>
      <c r="AK78" s="492"/>
      <c r="AL78" s="492"/>
      <c r="AM78" s="492"/>
      <c r="AN78" s="492"/>
      <c r="AO78" s="492"/>
      <c r="AP78" s="492"/>
      <c r="AQ78" s="492"/>
      <c r="AR78" s="492"/>
      <c r="AS78" s="492"/>
      <c r="AT78" s="492"/>
      <c r="AU78" s="492"/>
      <c r="AV78" s="492"/>
      <c r="AW78" s="492"/>
      <c r="AX78" s="492"/>
      <c r="AY78" s="492"/>
      <c r="AZ78" s="492"/>
      <c r="BA78" s="492"/>
      <c r="BB78" s="492"/>
      <c r="BC78" s="492"/>
      <c r="BD78" s="492"/>
      <c r="BE78" s="492"/>
      <c r="BF78" s="492"/>
      <c r="BG78" s="492"/>
      <c r="BH78" s="492"/>
      <c r="BI78" s="492"/>
      <c r="BJ78" s="492"/>
      <c r="BK78" s="492"/>
      <c r="BL78" s="492"/>
      <c r="BM78" s="492"/>
      <c r="BN78" s="492"/>
      <c r="BO78" s="492"/>
      <c r="BP78" s="492"/>
      <c r="BQ78" s="499"/>
      <c r="BR78" s="499"/>
      <c r="BS78" s="499"/>
      <c r="BT78" s="499"/>
    </row>
    <row r="79" spans="1:75" ht="9.9499999999999993" customHeight="1">
      <c r="A79" s="490"/>
      <c r="B79" s="492"/>
      <c r="C79" s="492"/>
      <c r="D79" s="492"/>
      <c r="E79" s="492"/>
      <c r="F79" s="492"/>
      <c r="G79" s="492"/>
      <c r="H79" s="492"/>
      <c r="I79" s="492"/>
      <c r="J79" s="492"/>
      <c r="K79" s="492"/>
      <c r="L79" s="502"/>
      <c r="M79" s="492"/>
      <c r="N79" s="492"/>
      <c r="O79" s="492"/>
      <c r="P79" s="492"/>
      <c r="Q79" s="492"/>
      <c r="R79" s="492"/>
      <c r="S79" s="492"/>
      <c r="T79" s="496"/>
      <c r="U79" s="492"/>
      <c r="V79" s="492"/>
      <c r="W79" s="492"/>
      <c r="X79" s="492"/>
      <c r="Y79" s="492"/>
      <c r="Z79" s="492"/>
      <c r="AA79" s="492"/>
      <c r="AB79" s="492"/>
      <c r="AC79" s="492"/>
      <c r="AD79" s="492"/>
      <c r="AE79" s="492"/>
      <c r="AF79" s="492"/>
      <c r="AG79" s="492"/>
      <c r="AH79" s="492"/>
      <c r="AI79" s="496"/>
      <c r="AJ79" s="492"/>
      <c r="AK79" s="492"/>
      <c r="AL79" s="492"/>
      <c r="AM79" s="492"/>
      <c r="AN79" s="492"/>
      <c r="AO79" s="492"/>
      <c r="AP79" s="492"/>
      <c r="AQ79" s="492"/>
      <c r="AR79" s="492"/>
      <c r="AS79" s="492"/>
      <c r="AT79" s="492"/>
      <c r="AU79" s="492"/>
      <c r="AV79" s="492"/>
      <c r="AW79" s="492"/>
      <c r="AX79" s="492"/>
      <c r="AY79" s="492"/>
      <c r="AZ79" s="492"/>
      <c r="BA79" s="492"/>
      <c r="BB79" s="492"/>
      <c r="BC79" s="492"/>
      <c r="BD79" s="492"/>
      <c r="BE79" s="492"/>
      <c r="BF79" s="492"/>
      <c r="BG79" s="492"/>
      <c r="BH79" s="492"/>
      <c r="BI79" s="492"/>
      <c r="BJ79" s="492"/>
      <c r="BK79" s="492"/>
      <c r="BL79" s="492"/>
      <c r="BM79" s="492"/>
      <c r="BN79" s="492"/>
      <c r="BO79" s="492"/>
      <c r="BP79" s="492"/>
      <c r="BQ79" s="499"/>
      <c r="BR79" s="499"/>
      <c r="BS79" s="499"/>
      <c r="BT79" s="499"/>
    </row>
    <row r="80" spans="1:75" ht="9.9499999999999993" customHeight="1">
      <c r="A80" s="490"/>
      <c r="B80" s="492"/>
      <c r="C80" s="492"/>
      <c r="D80" s="492"/>
      <c r="E80" s="492"/>
      <c r="F80" s="492"/>
      <c r="G80" s="492"/>
      <c r="H80" s="492"/>
      <c r="I80" s="492"/>
      <c r="J80" s="492"/>
      <c r="K80" s="492"/>
      <c r="L80" s="502"/>
      <c r="M80" s="492"/>
      <c r="N80" s="492"/>
      <c r="O80" s="492"/>
      <c r="P80" s="492"/>
      <c r="Q80" s="492"/>
      <c r="R80" s="492"/>
      <c r="S80" s="492"/>
      <c r="T80" s="496"/>
      <c r="U80" s="492"/>
      <c r="V80" s="492"/>
      <c r="W80" s="492"/>
      <c r="X80" s="492"/>
      <c r="Y80" s="492"/>
      <c r="Z80" s="492"/>
      <c r="AA80" s="492"/>
      <c r="AB80" s="492"/>
      <c r="AC80" s="492"/>
      <c r="AD80" s="492"/>
      <c r="AE80" s="492"/>
      <c r="AF80" s="492"/>
      <c r="AG80" s="492"/>
      <c r="AH80" s="492"/>
      <c r="AI80" s="496"/>
      <c r="AJ80" s="492"/>
      <c r="AK80" s="492"/>
      <c r="AL80" s="492"/>
      <c r="AM80" s="492"/>
      <c r="AN80" s="492"/>
      <c r="AO80" s="492"/>
      <c r="AP80" s="492"/>
      <c r="AQ80" s="492"/>
      <c r="AR80" s="492"/>
      <c r="AS80" s="492"/>
      <c r="AT80" s="492"/>
      <c r="AU80" s="492"/>
      <c r="AV80" s="492"/>
      <c r="AW80" s="492"/>
      <c r="AX80" s="492"/>
      <c r="AY80" s="492"/>
      <c r="AZ80" s="492"/>
      <c r="BA80" s="492"/>
      <c r="BB80" s="492"/>
      <c r="BC80" s="492"/>
      <c r="BD80" s="492"/>
      <c r="BE80" s="492"/>
      <c r="BF80" s="492"/>
      <c r="BG80" s="492"/>
      <c r="BH80" s="492"/>
      <c r="BI80" s="492"/>
      <c r="BJ80" s="492"/>
      <c r="BK80" s="492"/>
      <c r="BL80" s="492"/>
      <c r="BM80" s="492"/>
      <c r="BN80" s="492"/>
      <c r="BO80" s="492"/>
      <c r="BP80" s="492"/>
      <c r="BQ80" s="499"/>
      <c r="BR80" s="499"/>
      <c r="BS80" s="499"/>
      <c r="BT80" s="499"/>
    </row>
    <row r="81" spans="1:75" ht="9.9499999999999993" customHeight="1">
      <c r="A81" s="490"/>
      <c r="B81" s="492"/>
      <c r="C81" s="492"/>
      <c r="D81" s="492"/>
      <c r="E81" s="492"/>
      <c r="F81" s="492"/>
      <c r="G81" s="492"/>
      <c r="H81" s="492"/>
      <c r="I81" s="492"/>
      <c r="J81" s="492"/>
      <c r="K81" s="492"/>
      <c r="L81" s="502"/>
      <c r="M81" s="492"/>
      <c r="N81" s="492"/>
      <c r="O81" s="492"/>
      <c r="P81" s="492"/>
      <c r="Q81" s="492"/>
      <c r="R81" s="492"/>
      <c r="S81" s="492"/>
      <c r="T81" s="496"/>
      <c r="U81" s="492"/>
      <c r="V81" s="492"/>
      <c r="W81" s="492"/>
      <c r="X81" s="492"/>
      <c r="Y81" s="492"/>
      <c r="Z81" s="492"/>
      <c r="AA81" s="492"/>
      <c r="AB81" s="492"/>
      <c r="AC81" s="492"/>
      <c r="AD81" s="492"/>
      <c r="AE81" s="492"/>
      <c r="AF81" s="492"/>
      <c r="AG81" s="492"/>
      <c r="AH81" s="492"/>
      <c r="AI81" s="496"/>
      <c r="AJ81" s="492"/>
      <c r="AK81" s="492"/>
      <c r="AL81" s="492"/>
      <c r="AM81" s="492"/>
      <c r="AN81" s="492"/>
      <c r="AO81" s="492"/>
      <c r="AP81" s="492"/>
      <c r="AQ81" s="492"/>
      <c r="AR81" s="492"/>
      <c r="AS81" s="492"/>
      <c r="AT81" s="492"/>
      <c r="AU81" s="492"/>
      <c r="AV81" s="492"/>
      <c r="AW81" s="492"/>
      <c r="AX81" s="492"/>
      <c r="AY81" s="492"/>
      <c r="AZ81" s="492"/>
      <c r="BA81" s="492"/>
      <c r="BB81" s="492"/>
      <c r="BC81" s="492"/>
      <c r="BD81" s="492"/>
      <c r="BE81" s="492"/>
      <c r="BF81" s="492"/>
      <c r="BG81" s="492"/>
      <c r="BH81" s="492"/>
      <c r="BI81" s="492"/>
      <c r="BJ81" s="492"/>
      <c r="BK81" s="492"/>
      <c r="BL81" s="492"/>
      <c r="BM81" s="492"/>
      <c r="BN81" s="492"/>
      <c r="BO81" s="492"/>
      <c r="BP81" s="492"/>
      <c r="BQ81" s="499"/>
      <c r="BR81" s="499"/>
      <c r="BS81" s="499"/>
      <c r="BT81" s="499"/>
    </row>
    <row r="82" spans="1:75" ht="9.9499999999999993" customHeight="1">
      <c r="A82" s="490"/>
      <c r="B82" s="492"/>
      <c r="C82" s="492"/>
      <c r="D82" s="492"/>
      <c r="E82" s="492"/>
      <c r="F82" s="492"/>
      <c r="G82" s="492"/>
      <c r="H82" s="492"/>
      <c r="I82" s="492"/>
      <c r="J82" s="492"/>
      <c r="K82" s="492"/>
      <c r="L82" s="502"/>
      <c r="M82" s="492"/>
      <c r="N82" s="492"/>
      <c r="O82" s="492"/>
      <c r="P82" s="492"/>
      <c r="Q82" s="492"/>
      <c r="R82" s="492"/>
      <c r="S82" s="492"/>
      <c r="T82" s="496"/>
      <c r="U82" s="492"/>
      <c r="V82" s="492"/>
      <c r="W82" s="492"/>
      <c r="X82" s="492"/>
      <c r="Y82" s="492"/>
      <c r="Z82" s="492"/>
      <c r="AA82" s="492"/>
      <c r="AB82" s="492"/>
      <c r="AC82" s="492"/>
      <c r="AD82" s="492"/>
      <c r="AE82" s="492"/>
      <c r="AF82" s="492"/>
      <c r="AG82" s="492"/>
      <c r="AH82" s="492"/>
      <c r="AI82" s="496"/>
      <c r="AJ82" s="492"/>
      <c r="AK82" s="492"/>
      <c r="AL82" s="492"/>
      <c r="AM82" s="492"/>
      <c r="AN82" s="492"/>
      <c r="AO82" s="492"/>
      <c r="AP82" s="492"/>
      <c r="AQ82" s="492"/>
      <c r="AR82" s="492"/>
      <c r="AS82" s="492"/>
      <c r="AT82" s="492"/>
      <c r="AU82" s="492"/>
      <c r="AV82" s="492"/>
      <c r="AW82" s="492"/>
      <c r="AX82" s="492"/>
      <c r="AY82" s="492"/>
      <c r="AZ82" s="492"/>
      <c r="BA82" s="492"/>
      <c r="BB82" s="492"/>
      <c r="BC82" s="492"/>
      <c r="BD82" s="492"/>
      <c r="BE82" s="492"/>
      <c r="BF82" s="492"/>
      <c r="BG82" s="492"/>
      <c r="BH82" s="492"/>
      <c r="BI82" s="492"/>
      <c r="BJ82" s="492"/>
      <c r="BK82" s="492"/>
      <c r="BL82" s="492"/>
      <c r="BM82" s="492"/>
      <c r="BN82" s="492"/>
      <c r="BO82" s="492"/>
      <c r="BP82" s="492"/>
      <c r="BQ82" s="499"/>
      <c r="BR82" s="499"/>
      <c r="BS82" s="499"/>
      <c r="BT82" s="499"/>
    </row>
    <row r="83" spans="1:75" ht="9.9499999999999993" customHeight="1">
      <c r="A83" s="490"/>
      <c r="B83" s="492"/>
      <c r="C83" s="492"/>
      <c r="D83" s="492"/>
      <c r="E83" s="492"/>
      <c r="F83" s="492"/>
      <c r="G83" s="492"/>
      <c r="H83" s="492"/>
      <c r="I83" s="492"/>
      <c r="J83" s="492"/>
      <c r="K83" s="492"/>
      <c r="L83" s="502"/>
      <c r="M83" s="492"/>
      <c r="N83" s="492"/>
      <c r="O83" s="492"/>
      <c r="P83" s="492"/>
      <c r="Q83" s="492"/>
      <c r="R83" s="492"/>
      <c r="S83" s="492"/>
      <c r="T83" s="496"/>
      <c r="U83" s="492"/>
      <c r="V83" s="492"/>
      <c r="W83" s="492"/>
      <c r="X83" s="492"/>
      <c r="Y83" s="492"/>
      <c r="Z83" s="492"/>
      <c r="AA83" s="492"/>
      <c r="AB83" s="492"/>
      <c r="AC83" s="492"/>
      <c r="AD83" s="492"/>
      <c r="AE83" s="492"/>
      <c r="AF83" s="492"/>
      <c r="AG83" s="492"/>
      <c r="AH83" s="492"/>
      <c r="AI83" s="496"/>
      <c r="AJ83" s="492"/>
      <c r="AK83" s="492"/>
      <c r="AL83" s="492"/>
      <c r="AM83" s="492"/>
      <c r="AN83" s="492"/>
      <c r="AO83" s="492"/>
      <c r="AP83" s="492"/>
      <c r="AQ83" s="492"/>
      <c r="AR83" s="492"/>
      <c r="AS83" s="492"/>
      <c r="AT83" s="492"/>
      <c r="AU83" s="492"/>
      <c r="AV83" s="492"/>
      <c r="AW83" s="492"/>
      <c r="AX83" s="492"/>
      <c r="AY83" s="492"/>
      <c r="AZ83" s="492"/>
      <c r="BA83" s="492"/>
      <c r="BB83" s="492"/>
      <c r="BC83" s="492"/>
      <c r="BD83" s="492"/>
      <c r="BE83" s="492"/>
      <c r="BF83" s="492"/>
      <c r="BG83" s="492"/>
      <c r="BH83" s="492"/>
      <c r="BI83" s="492"/>
      <c r="BJ83" s="492"/>
      <c r="BK83" s="492"/>
      <c r="BL83" s="492"/>
      <c r="BM83" s="492"/>
      <c r="BN83" s="492"/>
      <c r="BO83" s="492"/>
      <c r="BP83" s="492"/>
      <c r="BQ83" s="499"/>
      <c r="BR83" s="499"/>
      <c r="BS83" s="499"/>
      <c r="BT83" s="499"/>
    </row>
    <row r="84" spans="1:75" ht="9.9499999999999993" customHeight="1">
      <c r="A84" s="490"/>
      <c r="B84" s="492"/>
      <c r="C84" s="492"/>
      <c r="D84" s="492"/>
      <c r="E84" s="492"/>
      <c r="F84" s="492"/>
      <c r="G84" s="492"/>
      <c r="H84" s="492"/>
      <c r="I84" s="492"/>
      <c r="J84" s="492"/>
      <c r="K84" s="492"/>
      <c r="L84" s="502"/>
      <c r="M84" s="492"/>
      <c r="N84" s="492"/>
      <c r="O84" s="492"/>
      <c r="P84" s="492"/>
      <c r="Q84" s="492"/>
      <c r="R84" s="492"/>
      <c r="S84" s="492"/>
      <c r="T84" s="496"/>
      <c r="U84" s="492"/>
      <c r="V84" s="492"/>
      <c r="W84" s="492"/>
      <c r="X84" s="492"/>
      <c r="Y84" s="492"/>
      <c r="Z84" s="492"/>
      <c r="AA84" s="492"/>
      <c r="AB84" s="492"/>
      <c r="AC84" s="492"/>
      <c r="AD84" s="492"/>
      <c r="AE84" s="492"/>
      <c r="AF84" s="492"/>
      <c r="AG84" s="492"/>
      <c r="AH84" s="492"/>
      <c r="AI84" s="496"/>
      <c r="AJ84" s="492"/>
      <c r="AK84" s="492"/>
      <c r="AL84" s="492"/>
      <c r="AM84" s="492"/>
      <c r="AN84" s="492"/>
      <c r="AO84" s="492"/>
      <c r="AP84" s="492"/>
      <c r="AQ84" s="492"/>
      <c r="AR84" s="492"/>
      <c r="AS84" s="492"/>
      <c r="AT84" s="492"/>
      <c r="AU84" s="492"/>
      <c r="AV84" s="492"/>
      <c r="AW84" s="492"/>
      <c r="AX84" s="492"/>
      <c r="AY84" s="492"/>
      <c r="AZ84" s="492"/>
      <c r="BA84" s="492"/>
      <c r="BB84" s="492"/>
      <c r="BC84" s="492"/>
      <c r="BD84" s="492"/>
      <c r="BE84" s="492"/>
      <c r="BF84" s="492"/>
      <c r="BG84" s="492"/>
      <c r="BH84" s="492"/>
      <c r="BI84" s="492"/>
      <c r="BJ84" s="492"/>
      <c r="BK84" s="492"/>
      <c r="BL84" s="492"/>
      <c r="BM84" s="492"/>
      <c r="BN84" s="492"/>
      <c r="BO84" s="492"/>
      <c r="BP84" s="492"/>
      <c r="BQ84" s="499"/>
      <c r="BR84" s="499"/>
      <c r="BS84" s="499"/>
      <c r="BT84" s="499"/>
    </row>
    <row r="85" spans="1:75" ht="9.9499999999999993" customHeight="1">
      <c r="A85" s="490"/>
      <c r="B85" s="492"/>
      <c r="C85" s="492"/>
      <c r="D85" s="492"/>
      <c r="E85" s="492"/>
      <c r="F85" s="492"/>
      <c r="G85" s="492"/>
      <c r="H85" s="492"/>
      <c r="I85" s="492"/>
      <c r="J85" s="492"/>
      <c r="K85" s="492"/>
      <c r="L85" s="502"/>
      <c r="M85" s="492"/>
      <c r="N85" s="492"/>
      <c r="O85" s="492"/>
      <c r="P85" s="492"/>
      <c r="Q85" s="492"/>
      <c r="R85" s="492"/>
      <c r="S85" s="492"/>
      <c r="T85" s="496"/>
      <c r="U85" s="492"/>
      <c r="V85" s="492"/>
      <c r="W85" s="492"/>
      <c r="X85" s="492"/>
      <c r="Y85" s="492"/>
      <c r="Z85" s="492"/>
      <c r="AA85" s="492"/>
      <c r="AB85" s="492"/>
      <c r="AC85" s="492"/>
      <c r="AD85" s="492"/>
      <c r="AE85" s="492"/>
      <c r="AF85" s="492"/>
      <c r="AG85" s="492"/>
      <c r="AH85" s="492"/>
      <c r="AI85" s="496"/>
      <c r="AJ85" s="492"/>
      <c r="AK85" s="492"/>
      <c r="AL85" s="492"/>
      <c r="AM85" s="492"/>
      <c r="AN85" s="492"/>
      <c r="AO85" s="492"/>
      <c r="AP85" s="492"/>
      <c r="AQ85" s="492"/>
      <c r="AR85" s="492"/>
      <c r="AS85" s="492"/>
      <c r="AT85" s="492"/>
      <c r="AU85" s="492"/>
      <c r="AV85" s="492"/>
      <c r="AW85" s="492"/>
      <c r="AX85" s="492"/>
      <c r="AY85" s="492"/>
      <c r="AZ85" s="492"/>
      <c r="BA85" s="492"/>
      <c r="BB85" s="492"/>
      <c r="BC85" s="492"/>
      <c r="BD85" s="492"/>
      <c r="BE85" s="492"/>
      <c r="BF85" s="492"/>
      <c r="BG85" s="492"/>
      <c r="BH85" s="492"/>
      <c r="BI85" s="492"/>
      <c r="BJ85" s="492"/>
      <c r="BK85" s="492"/>
      <c r="BL85" s="492"/>
      <c r="BM85" s="492"/>
      <c r="BN85" s="492"/>
      <c r="BO85" s="492"/>
      <c r="BP85" s="492"/>
      <c r="BQ85" s="499"/>
      <c r="BR85" s="499"/>
      <c r="BS85" s="499"/>
      <c r="BT85" s="499"/>
    </row>
    <row r="86" spans="1:75" ht="9.9499999999999993" customHeight="1">
      <c r="A86" s="490"/>
      <c r="B86" s="492"/>
      <c r="C86" s="492"/>
      <c r="D86" s="492"/>
      <c r="E86" s="492"/>
      <c r="F86" s="492"/>
      <c r="G86" s="492"/>
      <c r="H86" s="492"/>
      <c r="I86" s="492"/>
      <c r="J86" s="492"/>
      <c r="K86" s="492"/>
      <c r="L86" s="502"/>
      <c r="M86" s="492"/>
      <c r="N86" s="492"/>
      <c r="O86" s="492"/>
      <c r="P86" s="492"/>
      <c r="Q86" s="492"/>
      <c r="R86" s="492"/>
      <c r="S86" s="492"/>
      <c r="T86" s="496"/>
      <c r="U86" s="492"/>
      <c r="V86" s="492"/>
      <c r="W86" s="492"/>
      <c r="X86" s="492"/>
      <c r="Y86" s="492"/>
      <c r="Z86" s="492"/>
      <c r="AA86" s="492"/>
      <c r="AB86" s="492"/>
      <c r="AC86" s="492"/>
      <c r="AD86" s="492"/>
      <c r="AE86" s="492"/>
      <c r="AF86" s="492"/>
      <c r="AG86" s="492"/>
      <c r="AH86" s="492"/>
      <c r="AI86" s="496"/>
      <c r="AJ86" s="492"/>
      <c r="AK86" s="492"/>
      <c r="AL86" s="492"/>
      <c r="AM86" s="492"/>
      <c r="AN86" s="492"/>
      <c r="AO86" s="492"/>
      <c r="AP86" s="492"/>
      <c r="AQ86" s="492"/>
      <c r="AR86" s="492"/>
      <c r="AS86" s="492"/>
      <c r="AT86" s="492"/>
      <c r="AU86" s="492"/>
      <c r="AV86" s="492"/>
      <c r="AW86" s="492"/>
      <c r="AX86" s="492"/>
      <c r="AY86" s="492"/>
      <c r="AZ86" s="492"/>
      <c r="BA86" s="492"/>
      <c r="BB86" s="492"/>
      <c r="BC86" s="492"/>
      <c r="BD86" s="492"/>
      <c r="BE86" s="492"/>
      <c r="BF86" s="492"/>
      <c r="BG86" s="492"/>
      <c r="BH86" s="492"/>
      <c r="BI86" s="492"/>
      <c r="BJ86" s="492"/>
      <c r="BK86" s="492"/>
      <c r="BL86" s="492"/>
      <c r="BM86" s="492"/>
      <c r="BN86" s="492"/>
      <c r="BO86" s="492"/>
      <c r="BP86" s="492"/>
      <c r="BQ86" s="499"/>
      <c r="BR86" s="499"/>
      <c r="BS86" s="499"/>
      <c r="BT86" s="499"/>
    </row>
    <row r="87" spans="1:75" ht="9.9499999999999993" customHeight="1">
      <c r="A87" s="490"/>
      <c r="B87" s="492"/>
      <c r="C87" s="492"/>
      <c r="D87" s="492"/>
      <c r="E87" s="492"/>
      <c r="F87" s="492"/>
      <c r="G87" s="492"/>
      <c r="H87" s="492"/>
      <c r="I87" s="492"/>
      <c r="J87" s="492"/>
      <c r="K87" s="492"/>
      <c r="L87" s="502"/>
      <c r="M87" s="492"/>
      <c r="N87" s="492"/>
      <c r="O87" s="492"/>
      <c r="P87" s="492"/>
      <c r="Q87" s="492"/>
      <c r="R87" s="492"/>
      <c r="S87" s="492"/>
      <c r="T87" s="496"/>
      <c r="U87" s="492"/>
      <c r="V87" s="492"/>
      <c r="W87" s="492"/>
      <c r="X87" s="492"/>
      <c r="Y87" s="492"/>
      <c r="Z87" s="492"/>
      <c r="AA87" s="492"/>
      <c r="AB87" s="492"/>
      <c r="AC87" s="492"/>
      <c r="AD87" s="492"/>
      <c r="AE87" s="492"/>
      <c r="AF87" s="492"/>
      <c r="AG87" s="492"/>
      <c r="AH87" s="492"/>
      <c r="AI87" s="496"/>
      <c r="AJ87" s="492"/>
      <c r="AK87" s="492"/>
      <c r="AL87" s="492"/>
      <c r="AM87" s="492"/>
      <c r="AN87" s="492"/>
      <c r="AO87" s="492"/>
      <c r="AP87" s="492"/>
      <c r="AQ87" s="492"/>
      <c r="AR87" s="492"/>
      <c r="AS87" s="492"/>
      <c r="AT87" s="492"/>
      <c r="AU87" s="492"/>
      <c r="AV87" s="492"/>
      <c r="AW87" s="492"/>
      <c r="AX87" s="492"/>
      <c r="AY87" s="492"/>
      <c r="AZ87" s="492"/>
      <c r="BA87" s="492"/>
      <c r="BB87" s="492"/>
      <c r="BC87" s="492"/>
      <c r="BD87" s="492"/>
      <c r="BE87" s="492"/>
      <c r="BF87" s="492"/>
      <c r="BG87" s="492"/>
      <c r="BH87" s="492"/>
      <c r="BI87" s="492"/>
      <c r="BJ87" s="492"/>
      <c r="BK87" s="492"/>
      <c r="BL87" s="492"/>
      <c r="BM87" s="492"/>
      <c r="BN87" s="492"/>
      <c r="BO87" s="492"/>
      <c r="BP87" s="492"/>
      <c r="BQ87" s="499"/>
      <c r="BR87" s="499"/>
      <c r="BS87" s="499"/>
      <c r="BT87" s="499"/>
    </row>
    <row r="88" spans="1:75" ht="9.9499999999999993" customHeight="1">
      <c r="A88" s="490"/>
      <c r="B88" s="492"/>
      <c r="C88" s="492"/>
      <c r="D88" s="492"/>
      <c r="E88" s="492"/>
      <c r="F88" s="492"/>
      <c r="G88" s="492"/>
      <c r="H88" s="492"/>
      <c r="I88" s="492"/>
      <c r="J88" s="492"/>
      <c r="K88" s="492"/>
      <c r="L88" s="502"/>
      <c r="M88" s="492"/>
      <c r="N88" s="492"/>
      <c r="O88" s="492"/>
      <c r="P88" s="492"/>
      <c r="Q88" s="492"/>
      <c r="R88" s="492"/>
      <c r="S88" s="492"/>
      <c r="T88" s="496"/>
      <c r="U88" s="492"/>
      <c r="V88" s="492"/>
      <c r="W88" s="492"/>
      <c r="X88" s="492"/>
      <c r="Y88" s="492"/>
      <c r="Z88" s="492"/>
      <c r="AA88" s="492"/>
      <c r="AB88" s="492"/>
      <c r="AC88" s="492"/>
      <c r="AD88" s="492"/>
      <c r="AE88" s="492"/>
      <c r="AF88" s="492"/>
      <c r="AG88" s="492"/>
      <c r="AH88" s="492"/>
      <c r="AI88" s="496"/>
      <c r="AJ88" s="492"/>
      <c r="AK88" s="492"/>
      <c r="AL88" s="492"/>
      <c r="AM88" s="492"/>
      <c r="AN88" s="492"/>
      <c r="AO88" s="492"/>
      <c r="AP88" s="492"/>
      <c r="AQ88" s="492"/>
      <c r="AR88" s="492"/>
      <c r="AS88" s="492"/>
      <c r="AT88" s="492"/>
      <c r="AU88" s="492"/>
      <c r="AV88" s="492"/>
      <c r="AW88" s="492"/>
      <c r="AX88" s="492"/>
      <c r="AY88" s="492"/>
      <c r="AZ88" s="492"/>
      <c r="BA88" s="492"/>
      <c r="BB88" s="492"/>
      <c r="BC88" s="492"/>
      <c r="BD88" s="492"/>
      <c r="BE88" s="492"/>
      <c r="BF88" s="492"/>
      <c r="BG88" s="492"/>
      <c r="BH88" s="492"/>
      <c r="BI88" s="492"/>
      <c r="BJ88" s="492"/>
      <c r="BK88" s="492"/>
      <c r="BL88" s="492"/>
      <c r="BM88" s="492"/>
      <c r="BN88" s="492"/>
      <c r="BO88" s="492"/>
      <c r="BP88" s="492"/>
      <c r="BQ88" s="499"/>
      <c r="BR88" s="499"/>
      <c r="BS88" s="499"/>
      <c r="BT88" s="499"/>
    </row>
    <row r="89" spans="1:75" ht="9.9499999999999993" customHeight="1">
      <c r="A89" s="490"/>
      <c r="B89" s="492"/>
      <c r="C89" s="492"/>
      <c r="D89" s="492"/>
      <c r="E89" s="492"/>
      <c r="F89" s="492"/>
      <c r="G89" s="492"/>
      <c r="H89" s="492"/>
      <c r="I89" s="492"/>
      <c r="J89" s="492"/>
      <c r="K89" s="492"/>
      <c r="L89" s="502"/>
      <c r="M89" s="492"/>
      <c r="N89" s="492"/>
      <c r="O89" s="492"/>
      <c r="P89" s="492"/>
      <c r="Q89" s="492"/>
      <c r="R89" s="492"/>
      <c r="S89" s="492"/>
      <c r="T89" s="496"/>
      <c r="U89" s="492"/>
      <c r="V89" s="492"/>
      <c r="W89" s="492"/>
      <c r="X89" s="492"/>
      <c r="Y89" s="492"/>
      <c r="Z89" s="492"/>
      <c r="AA89" s="492"/>
      <c r="AB89" s="492"/>
      <c r="AC89" s="492"/>
      <c r="AD89" s="492"/>
      <c r="AE89" s="492"/>
      <c r="AF89" s="492"/>
      <c r="AG89" s="492"/>
      <c r="AH89" s="492"/>
      <c r="AI89" s="496"/>
      <c r="AJ89" s="492"/>
      <c r="AK89" s="492"/>
      <c r="AL89" s="492"/>
      <c r="AM89" s="492"/>
      <c r="AN89" s="492"/>
      <c r="AO89" s="492"/>
      <c r="AP89" s="492"/>
      <c r="AQ89" s="492"/>
      <c r="AR89" s="492"/>
      <c r="AS89" s="492"/>
      <c r="AT89" s="492"/>
      <c r="AU89" s="492"/>
      <c r="AV89" s="492"/>
      <c r="AW89" s="492"/>
      <c r="AX89" s="492"/>
      <c r="AY89" s="492"/>
      <c r="AZ89" s="492"/>
      <c r="BA89" s="492"/>
      <c r="BB89" s="492"/>
      <c r="BC89" s="492"/>
      <c r="BD89" s="492"/>
      <c r="BE89" s="492"/>
      <c r="BF89" s="492"/>
      <c r="BG89" s="492"/>
      <c r="BH89" s="492"/>
      <c r="BI89" s="492"/>
      <c r="BJ89" s="492"/>
      <c r="BK89" s="492"/>
      <c r="BL89" s="492"/>
      <c r="BM89" s="492"/>
      <c r="BN89" s="492"/>
      <c r="BO89" s="492"/>
      <c r="BP89" s="492"/>
      <c r="BQ89" s="499"/>
      <c r="BR89" s="499"/>
      <c r="BS89" s="499"/>
      <c r="BT89" s="499"/>
    </row>
    <row r="90" spans="1:75" ht="9.9499999999999993" customHeight="1">
      <c r="A90" s="490"/>
      <c r="B90" s="492"/>
      <c r="C90" s="492"/>
      <c r="D90" s="492"/>
      <c r="E90" s="492"/>
      <c r="F90" s="492"/>
      <c r="G90" s="492"/>
      <c r="H90" s="492"/>
      <c r="I90" s="492"/>
      <c r="J90" s="492"/>
      <c r="K90" s="492"/>
      <c r="L90" s="502"/>
      <c r="M90" s="492"/>
      <c r="N90" s="492"/>
      <c r="O90" s="492"/>
      <c r="P90" s="492"/>
      <c r="Q90" s="492"/>
      <c r="R90" s="492"/>
      <c r="S90" s="492"/>
      <c r="T90" s="496"/>
      <c r="U90" s="492"/>
      <c r="V90" s="492"/>
      <c r="W90" s="492"/>
      <c r="X90" s="492"/>
      <c r="Y90" s="492"/>
      <c r="Z90" s="492"/>
      <c r="AA90" s="492"/>
      <c r="AB90" s="492"/>
      <c r="AC90" s="492"/>
      <c r="AD90" s="492"/>
      <c r="AE90" s="492"/>
      <c r="AF90" s="492"/>
      <c r="AG90" s="492"/>
      <c r="AH90" s="492"/>
      <c r="AI90" s="496"/>
      <c r="AJ90" s="492"/>
      <c r="AK90" s="492"/>
      <c r="AL90" s="492"/>
      <c r="AM90" s="492"/>
      <c r="AN90" s="492"/>
      <c r="AO90" s="492"/>
      <c r="AP90" s="492"/>
      <c r="AQ90" s="492"/>
      <c r="AR90" s="492"/>
      <c r="AS90" s="492"/>
      <c r="AT90" s="492"/>
      <c r="AU90" s="492"/>
      <c r="AV90" s="492"/>
      <c r="AW90" s="492"/>
      <c r="AX90" s="492"/>
      <c r="AY90" s="492"/>
      <c r="AZ90" s="492"/>
      <c r="BA90" s="492"/>
      <c r="BB90" s="492"/>
      <c r="BC90" s="492"/>
      <c r="BD90" s="492"/>
      <c r="BE90" s="492"/>
      <c r="BF90" s="492"/>
      <c r="BG90" s="492"/>
      <c r="BH90" s="492"/>
      <c r="BI90" s="492"/>
      <c r="BJ90" s="492"/>
      <c r="BK90" s="492"/>
      <c r="BL90" s="492"/>
      <c r="BM90" s="492"/>
      <c r="BN90" s="492"/>
      <c r="BO90" s="492"/>
      <c r="BP90" s="492"/>
      <c r="BQ90" s="499"/>
      <c r="BR90" s="499"/>
      <c r="BS90" s="499"/>
      <c r="BT90" s="499"/>
    </row>
    <row r="91" spans="1:75" ht="9.9499999999999993" customHeight="1">
      <c r="A91" s="490"/>
      <c r="B91" s="492"/>
      <c r="C91" s="492"/>
      <c r="D91" s="492"/>
      <c r="E91" s="492"/>
      <c r="F91" s="492"/>
      <c r="G91" s="492"/>
      <c r="H91" s="492"/>
      <c r="I91" s="492"/>
      <c r="J91" s="492"/>
      <c r="K91" s="492"/>
      <c r="L91" s="502"/>
      <c r="M91" s="492"/>
      <c r="N91" s="492"/>
      <c r="O91" s="492"/>
      <c r="P91" s="492"/>
      <c r="Q91" s="492"/>
      <c r="R91" s="492"/>
      <c r="S91" s="492"/>
      <c r="T91" s="496"/>
      <c r="U91" s="492"/>
      <c r="V91" s="492"/>
      <c r="W91" s="492"/>
      <c r="X91" s="492"/>
      <c r="Y91" s="492"/>
      <c r="Z91" s="492"/>
      <c r="AA91" s="492"/>
      <c r="AB91" s="492"/>
      <c r="AC91" s="492"/>
      <c r="AD91" s="492"/>
      <c r="AE91" s="492"/>
      <c r="AF91" s="492"/>
      <c r="AG91" s="492"/>
      <c r="AH91" s="492"/>
      <c r="AI91" s="496"/>
      <c r="AJ91" s="492"/>
      <c r="AK91" s="492"/>
      <c r="AL91" s="492"/>
      <c r="AM91" s="492"/>
      <c r="AN91" s="492"/>
      <c r="AO91" s="492"/>
      <c r="AP91" s="492"/>
      <c r="AQ91" s="492"/>
      <c r="AR91" s="492"/>
      <c r="AS91" s="492"/>
      <c r="AT91" s="492"/>
      <c r="AU91" s="492"/>
      <c r="AV91" s="492"/>
      <c r="AW91" s="492"/>
      <c r="AX91" s="492"/>
      <c r="AY91" s="492"/>
      <c r="AZ91" s="492"/>
      <c r="BA91" s="492"/>
      <c r="BB91" s="492"/>
      <c r="BC91" s="492"/>
      <c r="BD91" s="492"/>
      <c r="BE91" s="492"/>
      <c r="BF91" s="492"/>
      <c r="BG91" s="492"/>
      <c r="BH91" s="492"/>
      <c r="BI91" s="492"/>
      <c r="BJ91" s="492"/>
      <c r="BK91" s="492"/>
      <c r="BL91" s="492"/>
      <c r="BM91" s="492"/>
      <c r="BN91" s="492"/>
      <c r="BO91" s="492"/>
      <c r="BP91" s="492"/>
      <c r="BQ91" s="499"/>
      <c r="BR91" s="499"/>
      <c r="BS91" s="499"/>
      <c r="BT91" s="499"/>
    </row>
    <row r="92" spans="1:75" ht="9.9499999999999993" customHeight="1">
      <c r="A92" s="510"/>
      <c r="B92" s="511"/>
      <c r="C92" s="511"/>
      <c r="D92" s="511"/>
      <c r="E92" s="511"/>
      <c r="F92" s="511"/>
      <c r="G92" s="511"/>
      <c r="H92" s="511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511"/>
      <c r="U92" s="511"/>
      <c r="V92" s="511"/>
      <c r="W92" s="511"/>
      <c r="X92" s="511"/>
      <c r="Y92" s="511"/>
      <c r="Z92" s="511"/>
      <c r="AA92" s="511"/>
      <c r="AB92" s="511"/>
      <c r="AC92" s="511"/>
      <c r="AD92" s="511"/>
      <c r="AE92" s="511"/>
      <c r="AF92" s="511"/>
      <c r="AG92" s="511"/>
      <c r="AH92" s="511"/>
      <c r="AI92" s="511"/>
      <c r="AJ92" s="511"/>
      <c r="AK92" s="511"/>
      <c r="AL92" s="511"/>
      <c r="AM92" s="511"/>
      <c r="AN92" s="511"/>
      <c r="AO92" s="511"/>
      <c r="AP92" s="511"/>
      <c r="AQ92" s="511"/>
      <c r="AR92" s="511"/>
      <c r="AS92" s="511"/>
      <c r="AT92" s="511"/>
      <c r="AU92" s="511"/>
      <c r="AV92" s="511"/>
      <c r="AW92" s="511"/>
      <c r="AX92" s="511"/>
      <c r="AY92" s="511"/>
      <c r="AZ92" s="511"/>
      <c r="BA92" s="511"/>
      <c r="BB92" s="511"/>
      <c r="BC92" s="511"/>
      <c r="BD92" s="511"/>
      <c r="BE92" s="511"/>
      <c r="BF92" s="511"/>
      <c r="BG92" s="511"/>
      <c r="BH92" s="511"/>
      <c r="BI92" s="511"/>
      <c r="BJ92" s="511"/>
      <c r="BK92" s="511"/>
      <c r="BL92" s="511"/>
      <c r="BM92" s="511"/>
      <c r="BN92" s="511"/>
      <c r="BO92" s="511"/>
      <c r="BP92" s="511"/>
      <c r="BQ92" s="522"/>
      <c r="BR92" s="522"/>
      <c r="BS92" s="522"/>
      <c r="BT92" s="522"/>
    </row>
    <row r="93" spans="1:75" ht="30.75" customHeight="1">
      <c r="A93" s="1499" t="s">
        <v>607</v>
      </c>
      <c r="B93" s="1500"/>
      <c r="C93" s="1500"/>
      <c r="D93" s="1500"/>
      <c r="E93" s="1500"/>
      <c r="F93" s="1500"/>
      <c r="G93" s="1500"/>
      <c r="H93" s="1500"/>
      <c r="I93" s="1500"/>
      <c r="J93" s="1500"/>
      <c r="K93" s="1500"/>
      <c r="L93" s="1500"/>
      <c r="M93" s="1500"/>
      <c r="N93" s="1500"/>
      <c r="O93" s="1500"/>
      <c r="P93" s="1500"/>
      <c r="Q93" s="1500"/>
      <c r="R93" s="1500"/>
      <c r="S93" s="1500"/>
      <c r="T93" s="1500"/>
      <c r="U93" s="1500"/>
      <c r="V93" s="1500"/>
      <c r="W93" s="1500"/>
      <c r="X93" s="1500"/>
      <c r="Y93" s="1500"/>
      <c r="Z93" s="1500"/>
      <c r="AA93" s="1500"/>
      <c r="AB93" s="1500"/>
      <c r="AC93" s="1500"/>
      <c r="AD93" s="1500"/>
      <c r="AE93" s="1500"/>
      <c r="AF93" s="1500"/>
      <c r="AG93" s="1500"/>
      <c r="AH93" s="1500"/>
      <c r="AI93" s="1500"/>
      <c r="AJ93" s="1500"/>
      <c r="AK93" s="1500"/>
      <c r="AL93" s="1500"/>
      <c r="AM93" s="1500"/>
      <c r="AN93" s="1500"/>
      <c r="AO93" s="1500"/>
      <c r="AP93" s="1500"/>
      <c r="AQ93" s="1500"/>
      <c r="AR93" s="1500"/>
      <c r="AS93" s="1500"/>
      <c r="AT93" s="1500"/>
      <c r="AU93" s="1500"/>
      <c r="AV93" s="1500"/>
      <c r="AW93" s="1500"/>
      <c r="AX93" s="1500"/>
      <c r="AY93" s="1500"/>
      <c r="AZ93" s="1500"/>
      <c r="BA93" s="1500"/>
      <c r="BB93" s="1500"/>
      <c r="BC93" s="1500"/>
      <c r="BD93" s="1500"/>
      <c r="BE93" s="1500"/>
      <c r="BF93" s="1500"/>
      <c r="BG93" s="1500"/>
      <c r="BH93" s="1500"/>
      <c r="BI93" s="1500"/>
      <c r="BJ93" s="1500"/>
      <c r="BK93" s="1500"/>
      <c r="BL93" s="1500"/>
      <c r="BM93" s="1500"/>
      <c r="BN93" s="1500"/>
      <c r="BO93" s="1500"/>
      <c r="BP93" s="1501"/>
      <c r="BQ93" s="452" t="s">
        <v>109</v>
      </c>
      <c r="BR93" s="452" t="s">
        <v>110</v>
      </c>
      <c r="BS93" s="452" t="s">
        <v>111</v>
      </c>
      <c r="BT93" s="452" t="s">
        <v>61</v>
      </c>
    </row>
    <row r="94" spans="1:75" ht="18" customHeight="1">
      <c r="A94" s="250"/>
      <c r="B94" s="57" t="s">
        <v>574</v>
      </c>
      <c r="C94" s="252"/>
      <c r="D94" s="252"/>
      <c r="E94" s="252"/>
      <c r="F94" s="252"/>
      <c r="G94" s="252"/>
      <c r="H94" s="252"/>
      <c r="I94" s="252"/>
      <c r="J94" s="252"/>
      <c r="K94" s="251"/>
      <c r="L94" s="252"/>
      <c r="M94" s="252"/>
      <c r="N94" s="252"/>
      <c r="O94" s="252"/>
      <c r="P94" s="252"/>
      <c r="Q94" s="57" t="s">
        <v>570</v>
      </c>
      <c r="R94" s="252"/>
      <c r="S94" s="252"/>
      <c r="T94" s="252"/>
      <c r="U94" s="252"/>
      <c r="V94" s="252"/>
      <c r="W94" s="252"/>
      <c r="X94" s="252"/>
      <c r="Y94" s="252"/>
      <c r="Z94" s="252"/>
      <c r="AA94" s="252"/>
      <c r="AB94" s="252"/>
      <c r="AC94" s="252"/>
      <c r="AD94" s="252"/>
      <c r="AE94" s="252"/>
      <c r="AF94" s="252"/>
      <c r="AG94" s="252"/>
      <c r="AH94" s="252"/>
      <c r="AI94" s="252"/>
      <c r="AJ94" s="252"/>
      <c r="AK94" s="252"/>
      <c r="AL94" s="252"/>
      <c r="AM94" s="252"/>
      <c r="AN94" s="252"/>
      <c r="AO94" s="252"/>
      <c r="AP94" s="252"/>
      <c r="AQ94" s="252"/>
      <c r="AR94" s="252"/>
      <c r="AS94" s="252"/>
      <c r="AT94" s="252"/>
      <c r="AU94" s="252"/>
      <c r="AV94" s="252"/>
      <c r="AW94" s="252"/>
      <c r="AX94" s="252"/>
      <c r="AY94" s="252"/>
      <c r="AZ94" s="252"/>
      <c r="BA94" s="252"/>
      <c r="BB94" s="252"/>
      <c r="BC94" s="252"/>
      <c r="BD94" s="252"/>
      <c r="BE94" s="252"/>
      <c r="BF94" s="252"/>
      <c r="BG94" s="252"/>
      <c r="BH94" s="252"/>
      <c r="BI94" s="252"/>
      <c r="BJ94" s="252"/>
      <c r="BK94" s="252"/>
      <c r="BL94" s="252"/>
      <c r="BM94" s="252"/>
      <c r="BN94" s="252"/>
      <c r="BO94" s="252"/>
      <c r="BP94" s="252"/>
      <c r="BQ94" s="253" t="e">
        <f>BQ145</f>
        <v>#REF!</v>
      </c>
      <c r="BR94" s="253">
        <f>BR145</f>
        <v>2222</v>
      </c>
      <c r="BS94" s="253" t="e">
        <f>BS145</f>
        <v>#REF!</v>
      </c>
      <c r="BT94" s="253">
        <f>BT145</f>
        <v>529</v>
      </c>
      <c r="BV94" s="171" t="s">
        <v>113</v>
      </c>
      <c r="BW94" s="249">
        <f>VLOOKUP(BV94,인건비!A:B,2,FALSE)</f>
        <v>228717</v>
      </c>
    </row>
    <row r="95" spans="1:75" ht="9" customHeight="1">
      <c r="A95" s="490"/>
      <c r="B95" s="492" t="s">
        <v>153</v>
      </c>
      <c r="C95" s="492"/>
      <c r="D95" s="492"/>
      <c r="E95" s="492" t="s">
        <v>154</v>
      </c>
      <c r="F95" s="492"/>
      <c r="G95" s="492"/>
      <c r="H95" s="492"/>
      <c r="I95" s="492"/>
      <c r="J95" s="492"/>
      <c r="K95" s="492"/>
      <c r="L95" s="492"/>
      <c r="M95" s="492"/>
      <c r="N95" s="492"/>
      <c r="O95" s="498">
        <v>5</v>
      </c>
      <c r="P95" s="498"/>
      <c r="Q95" s="498"/>
      <c r="R95" s="498"/>
      <c r="S95" s="492" t="s">
        <v>155</v>
      </c>
      <c r="T95" s="492"/>
      <c r="U95" s="492"/>
      <c r="V95" s="492"/>
      <c r="W95" s="492"/>
      <c r="X95" s="498">
        <f>O95</f>
        <v>5</v>
      </c>
      <c r="Y95" s="498"/>
      <c r="Z95" s="498"/>
      <c r="AA95" s="492" t="s">
        <v>156</v>
      </c>
      <c r="AB95" s="492"/>
      <c r="AC95" s="492"/>
      <c r="AD95" s="492"/>
      <c r="AE95" s="492"/>
      <c r="AF95" s="492"/>
      <c r="AG95" s="492"/>
      <c r="AH95" s="492"/>
      <c r="AI95" s="492"/>
      <c r="AJ95" s="492"/>
      <c r="AK95" s="492"/>
      <c r="AL95" s="492"/>
      <c r="AM95" s="492"/>
      <c r="AN95" s="492"/>
      <c r="AO95" s="492"/>
      <c r="AP95" s="492"/>
      <c r="AQ95" s="492"/>
      <c r="AR95" s="492"/>
      <c r="AS95" s="492"/>
      <c r="AT95" s="492"/>
      <c r="AU95" s="492"/>
      <c r="AV95" s="492"/>
      <c r="AW95" s="492"/>
      <c r="AX95" s="492"/>
      <c r="AY95" s="492"/>
      <c r="AZ95" s="492"/>
      <c r="BA95" s="492"/>
      <c r="BB95" s="492"/>
      <c r="BC95" s="492"/>
      <c r="BD95" s="492"/>
      <c r="BE95" s="492"/>
      <c r="BF95" s="492"/>
      <c r="BG95" s="492"/>
      <c r="BH95" s="492"/>
      <c r="BI95" s="492"/>
      <c r="BJ95" s="492"/>
      <c r="BK95" s="492"/>
      <c r="BL95" s="492"/>
      <c r="BM95" s="492"/>
      <c r="BN95" s="492"/>
      <c r="BO95" s="492"/>
      <c r="BP95" s="492"/>
      <c r="BQ95" s="499"/>
      <c r="BR95" s="499"/>
      <c r="BS95" s="499"/>
      <c r="BT95" s="499"/>
      <c r="BV95" s="171" t="s">
        <v>114</v>
      </c>
      <c r="BW95" s="249">
        <f>VLOOKUP(BV95,인건비!A:B,2,FALSE)</f>
        <v>172698</v>
      </c>
    </row>
    <row r="96" spans="1:75" ht="9" customHeight="1">
      <c r="A96" s="490"/>
      <c r="B96" s="492" t="s">
        <v>153</v>
      </c>
      <c r="C96" s="492"/>
      <c r="D96" s="492"/>
      <c r="E96" s="492" t="s">
        <v>157</v>
      </c>
      <c r="F96" s="492"/>
      <c r="G96" s="492"/>
      <c r="H96" s="492"/>
      <c r="I96" s="492"/>
      <c r="J96" s="492"/>
      <c r="K96" s="492"/>
      <c r="L96" s="492"/>
      <c r="M96" s="492"/>
      <c r="N96" s="492"/>
      <c r="O96" s="492"/>
      <c r="P96" s="492"/>
      <c r="Q96" s="492"/>
      <c r="R96" s="492"/>
      <c r="S96" s="492"/>
      <c r="T96" s="492"/>
      <c r="U96" s="492"/>
      <c r="V96" s="492"/>
      <c r="W96" s="492"/>
      <c r="X96" s="492"/>
      <c r="Y96" s="492"/>
      <c r="Z96" s="492"/>
      <c r="AA96" s="492"/>
      <c r="AB96" s="492"/>
      <c r="AC96" s="492"/>
      <c r="AD96" s="492"/>
      <c r="AE96" s="492"/>
      <c r="AF96" s="492"/>
      <c r="AG96" s="492"/>
      <c r="AH96" s="492"/>
      <c r="AI96" s="492"/>
      <c r="AJ96" s="492"/>
      <c r="AK96" s="492"/>
      <c r="AL96" s="492"/>
      <c r="AM96" s="492"/>
      <c r="AN96" s="492"/>
      <c r="AO96" s="492"/>
      <c r="AP96" s="492"/>
      <c r="AQ96" s="492"/>
      <c r="AR96" s="492"/>
      <c r="AS96" s="492"/>
      <c r="AT96" s="492"/>
      <c r="AU96" s="492"/>
      <c r="AV96" s="492"/>
      <c r="AW96" s="492"/>
      <c r="AX96" s="492"/>
      <c r="AY96" s="492"/>
      <c r="AZ96" s="492"/>
      <c r="BA96" s="492"/>
      <c r="BB96" s="492"/>
      <c r="BC96" s="492"/>
      <c r="BD96" s="492"/>
      <c r="BE96" s="492"/>
      <c r="BF96" s="492"/>
      <c r="BG96" s="492"/>
      <c r="BH96" s="492"/>
      <c r="BI96" s="492"/>
      <c r="BJ96" s="492"/>
      <c r="BK96" s="492"/>
      <c r="BL96" s="492"/>
      <c r="BM96" s="492"/>
      <c r="BN96" s="492"/>
      <c r="BO96" s="492"/>
      <c r="BP96" s="492"/>
      <c r="BQ96" s="499"/>
      <c r="BR96" s="499"/>
      <c r="BS96" s="499"/>
      <c r="BT96" s="499"/>
      <c r="BV96" s="171" t="s">
        <v>78</v>
      </c>
      <c r="BW96" s="249">
        <f>VLOOKUP(BV96,인건비!A:B,2,FALSE)</f>
        <v>274873</v>
      </c>
    </row>
    <row r="97" spans="1:76" ht="9" customHeight="1">
      <c r="A97" s="490"/>
      <c r="B97" s="492"/>
      <c r="C97" s="492"/>
      <c r="D97" s="492"/>
      <c r="E97" s="1497" t="s">
        <v>549</v>
      </c>
      <c r="F97" s="1498"/>
      <c r="G97" s="1498"/>
      <c r="H97" s="1498"/>
      <c r="I97" s="1498"/>
      <c r="J97" s="1498"/>
      <c r="K97" s="1498"/>
      <c r="L97" s="1498"/>
      <c r="M97" s="1498"/>
      <c r="N97" s="1498"/>
      <c r="O97" s="1498"/>
      <c r="P97" s="1498"/>
      <c r="Q97" s="1498"/>
      <c r="R97" s="1498"/>
      <c r="S97" s="1498"/>
      <c r="T97" s="1498"/>
      <c r="U97" s="1498"/>
      <c r="V97" s="1498"/>
      <c r="W97" s="1498"/>
      <c r="X97" s="1498"/>
      <c r="Y97" s="1498"/>
      <c r="Z97" s="1498"/>
      <c r="AA97" s="1498"/>
      <c r="AB97" s="1498"/>
      <c r="AC97" s="1498"/>
      <c r="AD97" s="1498"/>
      <c r="AE97" s="1498"/>
      <c r="AF97" s="1498"/>
      <c r="AG97" s="1498"/>
      <c r="AH97" s="1498"/>
      <c r="AI97" s="1498"/>
      <c r="AJ97" s="1498"/>
      <c r="AK97" s="1498"/>
      <c r="AL97" s="1498"/>
      <c r="AM97" s="1498"/>
      <c r="AN97" s="1498"/>
      <c r="AO97" s="1498"/>
      <c r="AP97" s="1498"/>
      <c r="AQ97" s="1498"/>
      <c r="AR97" s="492"/>
      <c r="AS97" s="492"/>
      <c r="AT97" s="492"/>
      <c r="AU97" s="492"/>
      <c r="AV97" s="492"/>
      <c r="AW97" s="492"/>
      <c r="AX97" s="492"/>
      <c r="AY97" s="492"/>
      <c r="AZ97" s="492"/>
      <c r="BA97" s="492"/>
      <c r="BB97" s="492"/>
      <c r="BC97" s="492"/>
      <c r="BD97" s="492"/>
      <c r="BE97" s="492"/>
      <c r="BF97" s="492"/>
      <c r="BG97" s="492"/>
      <c r="BH97" s="492"/>
      <c r="BI97" s="492"/>
      <c r="BJ97" s="492"/>
      <c r="BK97" s="492"/>
      <c r="BL97" s="492"/>
      <c r="BM97" s="492"/>
      <c r="BN97" s="492"/>
      <c r="BO97" s="492"/>
      <c r="BP97" s="492"/>
      <c r="BQ97" s="499"/>
      <c r="BR97" s="499"/>
      <c r="BS97" s="499"/>
      <c r="BT97" s="499"/>
      <c r="BV97" s="655" t="s">
        <v>776</v>
      </c>
      <c r="BW97" s="656" t="s">
        <v>777</v>
      </c>
      <c r="BX97" s="657"/>
    </row>
    <row r="98" spans="1:76" ht="9" customHeight="1">
      <c r="A98" s="490"/>
      <c r="B98" s="492"/>
      <c r="C98" s="492"/>
      <c r="D98" s="492"/>
      <c r="E98" s="1497" t="s">
        <v>550</v>
      </c>
      <c r="F98" s="1498"/>
      <c r="G98" s="1498"/>
      <c r="H98" s="1498"/>
      <c r="I98" s="1498"/>
      <c r="J98" s="1498"/>
      <c r="K98" s="1498"/>
      <c r="L98" s="1498"/>
      <c r="M98" s="1498"/>
      <c r="N98" s="1498"/>
      <c r="O98" s="1498"/>
      <c r="P98" s="1498"/>
      <c r="Q98" s="1498"/>
      <c r="R98" s="1498"/>
      <c r="S98" s="1498"/>
      <c r="T98" s="1498"/>
      <c r="U98" s="1498"/>
      <c r="V98" s="1498"/>
      <c r="W98" s="1498"/>
      <c r="X98" s="1498"/>
      <c r="Y98" s="1498"/>
      <c r="Z98" s="1498"/>
      <c r="AA98" s="1498"/>
      <c r="AB98" s="1498"/>
      <c r="AC98" s="1498"/>
      <c r="AD98" s="1498"/>
      <c r="AE98" s="1498"/>
      <c r="AF98" s="1498"/>
      <c r="AG98" s="1498"/>
      <c r="AH98" s="1498"/>
      <c r="AI98" s="1498"/>
      <c r="AJ98" s="1498"/>
      <c r="AK98" s="1498"/>
      <c r="AL98" s="1498"/>
      <c r="AM98" s="1498"/>
      <c r="AN98" s="1498"/>
      <c r="AO98" s="1498"/>
      <c r="AP98" s="1498"/>
      <c r="AQ98" s="1498"/>
      <c r="AR98" s="492"/>
      <c r="AS98" s="492"/>
      <c r="AT98" s="492"/>
      <c r="AU98" s="492"/>
      <c r="AV98" s="492"/>
      <c r="AW98" s="492"/>
      <c r="AX98" s="492"/>
      <c r="AY98" s="492"/>
      <c r="AZ98" s="492"/>
      <c r="BA98" s="492"/>
      <c r="BB98" s="492"/>
      <c r="BC98" s="492"/>
      <c r="BD98" s="492"/>
      <c r="BE98" s="492"/>
      <c r="BF98" s="492"/>
      <c r="BG98" s="492"/>
      <c r="BH98" s="492"/>
      <c r="BI98" s="492"/>
      <c r="BJ98" s="492"/>
      <c r="BK98" s="492"/>
      <c r="BL98" s="492"/>
      <c r="BM98" s="492"/>
      <c r="BN98" s="492"/>
      <c r="BO98" s="492"/>
      <c r="BP98" s="492"/>
      <c r="BQ98" s="499"/>
      <c r="BR98" s="499"/>
      <c r="BS98" s="499"/>
      <c r="BT98" s="499"/>
      <c r="BW98" s="249"/>
    </row>
    <row r="99" spans="1:76" ht="9" customHeight="1">
      <c r="A99" s="490"/>
      <c r="B99" s="492" t="s">
        <v>778</v>
      </c>
      <c r="C99" s="492"/>
      <c r="D99" s="492"/>
      <c r="E99" s="492"/>
      <c r="F99" s="492"/>
      <c r="G99" s="492"/>
      <c r="H99" s="492"/>
      <c r="I99" s="492"/>
      <c r="J99" s="492"/>
      <c r="K99" s="492"/>
      <c r="L99" s="492"/>
      <c r="M99" s="492"/>
      <c r="N99" s="492"/>
      <c r="O99" s="492"/>
      <c r="P99" s="492"/>
      <c r="Q99" s="492"/>
      <c r="R99" s="492"/>
      <c r="S99" s="492"/>
      <c r="T99" s="492"/>
      <c r="U99" s="492"/>
      <c r="V99" s="492"/>
      <c r="W99" s="492"/>
      <c r="X99" s="492"/>
      <c r="Y99" s="492"/>
      <c r="Z99" s="492"/>
      <c r="AA99" s="492"/>
      <c r="AB99" s="492"/>
      <c r="AC99" s="492"/>
      <c r="AD99" s="492"/>
      <c r="AE99" s="492"/>
      <c r="AF99" s="492"/>
      <c r="AG99" s="492"/>
      <c r="AH99" s="492"/>
      <c r="AI99" s="492"/>
      <c r="AJ99" s="492"/>
      <c r="AK99" s="492"/>
      <c r="AL99" s="492"/>
      <c r="AM99" s="492"/>
      <c r="AN99" s="492"/>
      <c r="AO99" s="492"/>
      <c r="AP99" s="492"/>
      <c r="AQ99" s="492"/>
      <c r="AR99" s="492"/>
      <c r="AS99" s="492"/>
      <c r="AT99" s="492"/>
      <c r="AU99" s="492"/>
      <c r="AV99" s="492"/>
      <c r="AW99" s="492"/>
      <c r="AX99" s="492"/>
      <c r="AY99" s="492"/>
      <c r="AZ99" s="492"/>
      <c r="BA99" s="492"/>
      <c r="BB99" s="492"/>
      <c r="BC99" s="492"/>
      <c r="BD99" s="492"/>
      <c r="BE99" s="492"/>
      <c r="BF99" s="492"/>
      <c r="BG99" s="492"/>
      <c r="BH99" s="492"/>
      <c r="BI99" s="492"/>
      <c r="BJ99" s="492"/>
      <c r="BK99" s="492"/>
      <c r="BL99" s="492"/>
      <c r="BM99" s="492"/>
      <c r="BN99" s="492"/>
      <c r="BO99" s="492"/>
      <c r="BP99" s="492"/>
      <c r="BQ99" s="493"/>
      <c r="BR99" s="493"/>
      <c r="BS99" s="493"/>
      <c r="BT99" s="493"/>
      <c r="BW99" s="210"/>
    </row>
    <row r="100" spans="1:76" ht="9" customHeight="1">
      <c r="A100" s="490"/>
      <c r="B100" s="492"/>
      <c r="C100" s="492" t="s">
        <v>677</v>
      </c>
      <c r="D100" s="492"/>
      <c r="E100" s="492"/>
      <c r="F100" s="492"/>
      <c r="G100" s="495"/>
      <c r="H100" s="495"/>
      <c r="I100" s="495"/>
      <c r="J100" s="495"/>
      <c r="K100" s="495"/>
      <c r="L100" s="492"/>
      <c r="M100" s="492"/>
      <c r="N100" s="492"/>
      <c r="O100" s="492"/>
      <c r="P100" s="492"/>
      <c r="Q100" s="492"/>
      <c r="R100" s="495"/>
      <c r="S100" s="495"/>
      <c r="T100" s="495"/>
      <c r="U100" s="495"/>
      <c r="V100" s="495"/>
      <c r="W100" s="492"/>
      <c r="X100" s="492"/>
      <c r="Y100" s="492"/>
      <c r="Z100" s="492"/>
      <c r="AA100" s="492"/>
      <c r="AB100" s="492"/>
      <c r="AC100" s="492"/>
      <c r="AD100" s="492"/>
      <c r="AE100" s="492"/>
      <c r="AF100" s="496"/>
      <c r="AG100" s="492"/>
      <c r="AH100" s="495"/>
      <c r="AI100" s="495"/>
      <c r="AJ100" s="495"/>
      <c r="AK100" s="495"/>
      <c r="AL100" s="495"/>
      <c r="AM100" s="496"/>
      <c r="AN100" s="492"/>
      <c r="AO100" s="495"/>
      <c r="AP100" s="495"/>
      <c r="AQ100" s="495"/>
      <c r="AR100" s="495"/>
      <c r="AS100" s="495"/>
      <c r="AT100" s="495"/>
      <c r="AU100" s="492"/>
      <c r="AV100" s="492"/>
      <c r="AW100" s="492"/>
      <c r="AX100" s="492"/>
      <c r="AY100" s="492"/>
      <c r="AZ100" s="492"/>
      <c r="BA100" s="492"/>
      <c r="BB100" s="492"/>
      <c r="BC100" s="492"/>
      <c r="BD100" s="492"/>
      <c r="BE100" s="492"/>
      <c r="BF100" s="492"/>
      <c r="BG100" s="492"/>
      <c r="BH100" s="492"/>
      <c r="BI100" s="492"/>
      <c r="BJ100" s="492"/>
      <c r="BK100" s="492"/>
      <c r="BL100" s="492"/>
      <c r="BM100" s="492"/>
      <c r="BN100" s="492"/>
      <c r="BO100" s="492"/>
      <c r="BP100" s="492"/>
      <c r="BQ100" s="493"/>
      <c r="BR100" s="493"/>
      <c r="BS100" s="493"/>
      <c r="BT100" s="493"/>
      <c r="BW100" s="241"/>
    </row>
    <row r="101" spans="1:76" ht="9" customHeight="1">
      <c r="A101" s="490"/>
      <c r="B101" s="492"/>
      <c r="C101" s="492"/>
      <c r="D101" s="492"/>
      <c r="E101" s="492" t="s">
        <v>66</v>
      </c>
      <c r="F101" s="492"/>
      <c r="G101" s="492"/>
      <c r="H101" s="492"/>
      <c r="I101" s="492"/>
      <c r="J101" s="492"/>
      <c r="K101" s="492"/>
      <c r="L101" s="502"/>
      <c r="M101" s="492"/>
      <c r="N101" s="492"/>
      <c r="O101" s="492"/>
      <c r="P101" s="1505" t="e">
        <f>'기계경비(OLD)'!$AT$234</f>
        <v>#REF!</v>
      </c>
      <c r="Q101" s="1498"/>
      <c r="R101" s="1498"/>
      <c r="S101" s="1498"/>
      <c r="T101" s="1498"/>
      <c r="U101" s="1498"/>
      <c r="V101" s="1498"/>
      <c r="W101" s="507" t="s">
        <v>99</v>
      </c>
      <c r="X101" s="497"/>
      <c r="Y101" s="1502">
        <v>200</v>
      </c>
      <c r="Z101" s="1503"/>
      <c r="AA101" s="1503"/>
      <c r="AB101" s="1503"/>
      <c r="AC101" s="1503"/>
      <c r="AD101" s="1503"/>
      <c r="AE101" s="1503"/>
      <c r="AF101" s="1503"/>
      <c r="AG101" s="507" t="s">
        <v>103</v>
      </c>
      <c r="AH101" s="497"/>
      <c r="AI101" s="1504" t="e">
        <f>INT(P101/Y101)</f>
        <v>#REF!</v>
      </c>
      <c r="AJ101" s="1494"/>
      <c r="AK101" s="1494"/>
      <c r="AL101" s="1494"/>
      <c r="AM101" s="1494"/>
      <c r="AN101" s="1494"/>
      <c r="AO101" s="1494"/>
      <c r="AP101" s="1496" t="s">
        <v>678</v>
      </c>
      <c r="AQ101" s="1496"/>
      <c r="AR101" s="1496"/>
      <c r="AS101" s="1496"/>
      <c r="AT101" s="1496"/>
      <c r="AU101" s="1496"/>
      <c r="AV101" s="1496"/>
      <c r="AW101" s="1496"/>
      <c r="AX101" s="1496"/>
      <c r="AY101" s="1496"/>
      <c r="AZ101" s="1496"/>
      <c r="BA101" s="492"/>
      <c r="BB101" s="492"/>
      <c r="BC101" s="492"/>
      <c r="BD101" s="492"/>
      <c r="BE101" s="492"/>
      <c r="BF101" s="492"/>
      <c r="BG101" s="492"/>
      <c r="BH101" s="492"/>
      <c r="BI101" s="492"/>
      <c r="BJ101" s="492"/>
      <c r="BK101" s="492"/>
      <c r="BL101" s="492"/>
      <c r="BM101" s="492"/>
      <c r="BN101" s="492"/>
      <c r="BO101" s="492"/>
      <c r="BP101" s="492"/>
      <c r="BQ101" s="499" t="e">
        <f>SUM(BR101:BT101)</f>
        <v>#REF!</v>
      </c>
      <c r="BR101" s="499"/>
      <c r="BS101" s="499" t="e">
        <f>AI101</f>
        <v>#REF!</v>
      </c>
      <c r="BT101" s="499"/>
    </row>
    <row r="102" spans="1:76" ht="9" customHeight="1">
      <c r="A102" s="490"/>
      <c r="B102" s="492"/>
      <c r="C102" s="492"/>
      <c r="D102" s="492"/>
      <c r="E102" s="492" t="s">
        <v>67</v>
      </c>
      <c r="F102" s="492"/>
      <c r="G102" s="492"/>
      <c r="H102" s="492"/>
      <c r="I102" s="492"/>
      <c r="J102" s="492"/>
      <c r="K102" s="492"/>
      <c r="L102" s="502"/>
      <c r="M102" s="492"/>
      <c r="N102" s="492"/>
      <c r="O102" s="492"/>
      <c r="P102" s="1505">
        <f>'기계경비(OLD)'!$BU$227</f>
        <v>59025</v>
      </c>
      <c r="Q102" s="1498"/>
      <c r="R102" s="1498"/>
      <c r="S102" s="1498"/>
      <c r="T102" s="1498"/>
      <c r="U102" s="1498"/>
      <c r="V102" s="1498"/>
      <c r="W102" s="507" t="s">
        <v>99</v>
      </c>
      <c r="X102" s="497"/>
      <c r="Y102" s="1502">
        <v>200</v>
      </c>
      <c r="Z102" s="1503"/>
      <c r="AA102" s="1503"/>
      <c r="AB102" s="1503"/>
      <c r="AC102" s="1503"/>
      <c r="AD102" s="1503"/>
      <c r="AE102" s="1503"/>
      <c r="AF102" s="1503"/>
      <c r="AG102" s="507" t="s">
        <v>103</v>
      </c>
      <c r="AH102" s="497"/>
      <c r="AI102" s="1504">
        <f>INT(P102/Y102)</f>
        <v>295</v>
      </c>
      <c r="AJ102" s="1494"/>
      <c r="AK102" s="1494"/>
      <c r="AL102" s="1494"/>
      <c r="AM102" s="1494"/>
      <c r="AN102" s="1494"/>
      <c r="AO102" s="1494"/>
      <c r="AP102" s="1496" t="s">
        <v>678</v>
      </c>
      <c r="AQ102" s="1496"/>
      <c r="AR102" s="1496"/>
      <c r="AS102" s="1496"/>
      <c r="AT102" s="1496"/>
      <c r="AU102" s="1496"/>
      <c r="AV102" s="1496"/>
      <c r="AW102" s="1496"/>
      <c r="AX102" s="1496"/>
      <c r="AY102" s="1496"/>
      <c r="AZ102" s="1496"/>
      <c r="BA102" s="492"/>
      <c r="BB102" s="492"/>
      <c r="BC102" s="492"/>
      <c r="BD102" s="492"/>
      <c r="BE102" s="492"/>
      <c r="BF102" s="492"/>
      <c r="BG102" s="492"/>
      <c r="BH102" s="492"/>
      <c r="BI102" s="492"/>
      <c r="BJ102" s="492"/>
      <c r="BK102" s="492"/>
      <c r="BL102" s="492"/>
      <c r="BM102" s="492"/>
      <c r="BN102" s="492"/>
      <c r="BO102" s="492"/>
      <c r="BP102" s="492"/>
      <c r="BQ102" s="499">
        <f>SUM(BR102:BT102)</f>
        <v>295</v>
      </c>
      <c r="BR102" s="499">
        <f>AI102</f>
        <v>295</v>
      </c>
      <c r="BS102" s="499"/>
      <c r="BT102" s="499"/>
    </row>
    <row r="103" spans="1:76" ht="9" customHeight="1">
      <c r="A103" s="490"/>
      <c r="B103" s="492"/>
      <c r="C103" s="492"/>
      <c r="D103" s="492"/>
      <c r="E103" s="492" t="s">
        <v>68</v>
      </c>
      <c r="F103" s="492"/>
      <c r="G103" s="492"/>
      <c r="H103" s="492"/>
      <c r="I103" s="492"/>
      <c r="J103" s="492"/>
      <c r="K103" s="492"/>
      <c r="L103" s="502"/>
      <c r="M103" s="492"/>
      <c r="N103" s="492"/>
      <c r="O103" s="492"/>
      <c r="P103" s="1505">
        <f>'기계경비(OLD)'!$BN$238</f>
        <v>50015</v>
      </c>
      <c r="Q103" s="1498"/>
      <c r="R103" s="1498"/>
      <c r="S103" s="1498"/>
      <c r="T103" s="1498"/>
      <c r="U103" s="1498"/>
      <c r="V103" s="1498"/>
      <c r="W103" s="507" t="s">
        <v>99</v>
      </c>
      <c r="X103" s="497"/>
      <c r="Y103" s="1502">
        <v>200</v>
      </c>
      <c r="Z103" s="1503"/>
      <c r="AA103" s="1503"/>
      <c r="AB103" s="1503"/>
      <c r="AC103" s="1503"/>
      <c r="AD103" s="1503"/>
      <c r="AE103" s="1503"/>
      <c r="AF103" s="1503"/>
      <c r="AG103" s="507" t="s">
        <v>103</v>
      </c>
      <c r="AH103" s="497"/>
      <c r="AI103" s="1504">
        <f>INT(P103/Y103)</f>
        <v>250</v>
      </c>
      <c r="AJ103" s="1494"/>
      <c r="AK103" s="1494"/>
      <c r="AL103" s="1494"/>
      <c r="AM103" s="1494"/>
      <c r="AN103" s="1494"/>
      <c r="AO103" s="1494"/>
      <c r="AP103" s="1496" t="s">
        <v>678</v>
      </c>
      <c r="AQ103" s="1496"/>
      <c r="AR103" s="1496"/>
      <c r="AS103" s="1496"/>
      <c r="AT103" s="1496"/>
      <c r="AU103" s="1496"/>
      <c r="AV103" s="1496"/>
      <c r="AW103" s="1496"/>
      <c r="AX103" s="1496"/>
      <c r="AY103" s="1496"/>
      <c r="AZ103" s="1496"/>
      <c r="BA103" s="492"/>
      <c r="BB103" s="492"/>
      <c r="BC103" s="492"/>
      <c r="BD103" s="492"/>
      <c r="BE103" s="492"/>
      <c r="BF103" s="492"/>
      <c r="BG103" s="492"/>
      <c r="BH103" s="492"/>
      <c r="BI103" s="492"/>
      <c r="BJ103" s="492"/>
      <c r="BK103" s="492"/>
      <c r="BL103" s="492"/>
      <c r="BM103" s="492"/>
      <c r="BN103" s="492"/>
      <c r="BO103" s="492"/>
      <c r="BP103" s="492"/>
      <c r="BQ103" s="499">
        <f>SUM(BR103:BT103)</f>
        <v>250</v>
      </c>
      <c r="BR103" s="499"/>
      <c r="BS103" s="499"/>
      <c r="BT103" s="499">
        <f>AI103</f>
        <v>250</v>
      </c>
    </row>
    <row r="104" spans="1:76" ht="9" customHeight="1">
      <c r="A104" s="490"/>
      <c r="B104" s="492"/>
      <c r="C104" s="492" t="s">
        <v>557</v>
      </c>
      <c r="D104" s="492"/>
      <c r="E104" s="492"/>
      <c r="F104" s="492"/>
      <c r="G104" s="495"/>
      <c r="H104" s="495"/>
      <c r="I104" s="495"/>
      <c r="J104" s="495"/>
      <c r="K104" s="495"/>
      <c r="L104" s="492"/>
      <c r="M104" s="492"/>
      <c r="N104" s="492"/>
      <c r="O104" s="492"/>
      <c r="P104" s="492"/>
      <c r="Q104" s="492"/>
      <c r="R104" s="495"/>
      <c r="S104" s="495"/>
      <c r="T104" s="495"/>
      <c r="U104" s="495"/>
      <c r="V104" s="495"/>
      <c r="W104" s="492"/>
      <c r="X104" s="492"/>
      <c r="Y104" s="492"/>
      <c r="Z104" s="492"/>
      <c r="AA104" s="492"/>
      <c r="AB104" s="492"/>
      <c r="AC104" s="492"/>
      <c r="AD104" s="492"/>
      <c r="AE104" s="492"/>
      <c r="AF104" s="496"/>
      <c r="AG104" s="492"/>
      <c r="AH104" s="495"/>
      <c r="AI104" s="495"/>
      <c r="AJ104" s="495"/>
      <c r="AK104" s="495"/>
      <c r="AL104" s="495"/>
      <c r="AM104" s="496"/>
      <c r="AN104" s="492"/>
      <c r="AO104" s="495"/>
      <c r="AP104" s="495"/>
      <c r="AQ104" s="495"/>
      <c r="AR104" s="495"/>
      <c r="AS104" s="495"/>
      <c r="AT104" s="495"/>
      <c r="AU104" s="492"/>
      <c r="AV104" s="492"/>
      <c r="AW104" s="492"/>
      <c r="AX104" s="492"/>
      <c r="AY104" s="492"/>
      <c r="AZ104" s="492"/>
      <c r="BA104" s="492"/>
      <c r="BB104" s="492"/>
      <c r="BC104" s="492"/>
      <c r="BD104" s="492"/>
      <c r="BE104" s="492"/>
      <c r="BF104" s="492"/>
      <c r="BG104" s="492"/>
      <c r="BH104" s="492"/>
      <c r="BI104" s="492"/>
      <c r="BJ104" s="492"/>
      <c r="BK104" s="492"/>
      <c r="BL104" s="492"/>
      <c r="BM104" s="492"/>
      <c r="BN104" s="492"/>
      <c r="BO104" s="492"/>
      <c r="BP104" s="492"/>
      <c r="BQ104" s="493"/>
      <c r="BR104" s="493"/>
      <c r="BS104" s="493"/>
      <c r="BT104" s="493"/>
      <c r="BW104" s="241"/>
    </row>
    <row r="105" spans="1:76" ht="9" customHeight="1">
      <c r="A105" s="490"/>
      <c r="B105" s="492"/>
      <c r="C105" s="492"/>
      <c r="D105" s="492"/>
      <c r="E105" s="492" t="s">
        <v>66</v>
      </c>
      <c r="F105" s="492"/>
      <c r="G105" s="492"/>
      <c r="H105" s="492"/>
      <c r="I105" s="492"/>
      <c r="J105" s="492"/>
      <c r="K105" s="492"/>
      <c r="L105" s="502"/>
      <c r="M105" s="492"/>
      <c r="N105" s="492"/>
      <c r="O105" s="492"/>
      <c r="P105" s="1505" t="e">
        <f>'기계경비(OLD)'!$AT$14</f>
        <v>#REF!</v>
      </c>
      <c r="Q105" s="1498"/>
      <c r="R105" s="1498"/>
      <c r="S105" s="1498"/>
      <c r="T105" s="1498"/>
      <c r="U105" s="1498"/>
      <c r="V105" s="1498"/>
      <c r="W105" s="507" t="s">
        <v>99</v>
      </c>
      <c r="X105" s="497"/>
      <c r="Y105" s="1502">
        <v>200</v>
      </c>
      <c r="Z105" s="1503"/>
      <c r="AA105" s="1503"/>
      <c r="AB105" s="1503"/>
      <c r="AC105" s="1503"/>
      <c r="AD105" s="1503"/>
      <c r="AE105" s="1503"/>
      <c r="AF105" s="1503"/>
      <c r="AG105" s="507" t="s">
        <v>103</v>
      </c>
      <c r="AH105" s="497"/>
      <c r="AI105" s="1504" t="e">
        <f>INT(P105/Y105)</f>
        <v>#REF!</v>
      </c>
      <c r="AJ105" s="1494"/>
      <c r="AK105" s="1494"/>
      <c r="AL105" s="1494"/>
      <c r="AM105" s="1494"/>
      <c r="AN105" s="1494"/>
      <c r="AO105" s="1494"/>
      <c r="AP105" s="1496" t="s">
        <v>679</v>
      </c>
      <c r="AQ105" s="1496"/>
      <c r="AR105" s="1496"/>
      <c r="AS105" s="1496"/>
      <c r="AT105" s="1496"/>
      <c r="AU105" s="1496"/>
      <c r="AV105" s="1496"/>
      <c r="AW105" s="1496"/>
      <c r="AX105" s="1496"/>
      <c r="AY105" s="1496"/>
      <c r="AZ105" s="1496"/>
      <c r="BA105" s="492"/>
      <c r="BB105" s="492"/>
      <c r="BC105" s="492"/>
      <c r="BD105" s="492"/>
      <c r="BE105" s="492"/>
      <c r="BF105" s="492"/>
      <c r="BG105" s="492"/>
      <c r="BH105" s="492"/>
      <c r="BI105" s="492"/>
      <c r="BJ105" s="492"/>
      <c r="BK105" s="492"/>
      <c r="BL105" s="492"/>
      <c r="BM105" s="492"/>
      <c r="BN105" s="492"/>
      <c r="BO105" s="492"/>
      <c r="BP105" s="492"/>
      <c r="BQ105" s="499" t="e">
        <f>SUM(BR105:BT105)</f>
        <v>#REF!</v>
      </c>
      <c r="BR105" s="499"/>
      <c r="BS105" s="499" t="e">
        <f>AI105</f>
        <v>#REF!</v>
      </c>
      <c r="BT105" s="499"/>
    </row>
    <row r="106" spans="1:76" ht="9" customHeight="1">
      <c r="A106" s="490"/>
      <c r="B106" s="492"/>
      <c r="C106" s="492"/>
      <c r="D106" s="492"/>
      <c r="E106" s="492" t="s">
        <v>67</v>
      </c>
      <c r="F106" s="492"/>
      <c r="G106" s="492"/>
      <c r="H106" s="492"/>
      <c r="I106" s="492"/>
      <c r="J106" s="492"/>
      <c r="K106" s="492"/>
      <c r="L106" s="502"/>
      <c r="M106" s="492"/>
      <c r="N106" s="492"/>
      <c r="O106" s="492"/>
      <c r="P106" s="1505">
        <f>'기계경비(OLD)'!$BU$7</f>
        <v>59025</v>
      </c>
      <c r="Q106" s="1498"/>
      <c r="R106" s="1498"/>
      <c r="S106" s="1498"/>
      <c r="T106" s="1498"/>
      <c r="U106" s="1498"/>
      <c r="V106" s="1498"/>
      <c r="W106" s="507" t="s">
        <v>99</v>
      </c>
      <c r="X106" s="497"/>
      <c r="Y106" s="1502">
        <v>200</v>
      </c>
      <c r="Z106" s="1503"/>
      <c r="AA106" s="1503"/>
      <c r="AB106" s="1503"/>
      <c r="AC106" s="1503"/>
      <c r="AD106" s="1503"/>
      <c r="AE106" s="1503"/>
      <c r="AF106" s="1503"/>
      <c r="AG106" s="507" t="s">
        <v>103</v>
      </c>
      <c r="AH106" s="497"/>
      <c r="AI106" s="1504">
        <f>INT(P106/Y106)</f>
        <v>295</v>
      </c>
      <c r="AJ106" s="1494"/>
      <c r="AK106" s="1494"/>
      <c r="AL106" s="1494"/>
      <c r="AM106" s="1494"/>
      <c r="AN106" s="1494"/>
      <c r="AO106" s="1494"/>
      <c r="AP106" s="1496" t="s">
        <v>679</v>
      </c>
      <c r="AQ106" s="1496"/>
      <c r="AR106" s="1496"/>
      <c r="AS106" s="1496"/>
      <c r="AT106" s="1496"/>
      <c r="AU106" s="1496"/>
      <c r="AV106" s="1496"/>
      <c r="AW106" s="1496"/>
      <c r="AX106" s="1496"/>
      <c r="AY106" s="1496"/>
      <c r="AZ106" s="1496"/>
      <c r="BA106" s="492"/>
      <c r="BB106" s="492"/>
      <c r="BC106" s="492"/>
      <c r="BD106" s="492"/>
      <c r="BE106" s="492"/>
      <c r="BF106" s="492"/>
      <c r="BG106" s="492"/>
      <c r="BH106" s="492"/>
      <c r="BI106" s="492"/>
      <c r="BJ106" s="492"/>
      <c r="BK106" s="492"/>
      <c r="BL106" s="492"/>
      <c r="BM106" s="492"/>
      <c r="BN106" s="492"/>
      <c r="BO106" s="492"/>
      <c r="BP106" s="492"/>
      <c r="BQ106" s="499">
        <f>SUM(BR106:BT106)</f>
        <v>295</v>
      </c>
      <c r="BR106" s="499">
        <f>AI106</f>
        <v>295</v>
      </c>
      <c r="BS106" s="499"/>
      <c r="BT106" s="499"/>
    </row>
    <row r="107" spans="1:76" ht="9" customHeight="1">
      <c r="A107" s="490"/>
      <c r="B107" s="492"/>
      <c r="C107" s="492"/>
      <c r="D107" s="492"/>
      <c r="E107" s="492" t="s">
        <v>68</v>
      </c>
      <c r="F107" s="492"/>
      <c r="G107" s="492"/>
      <c r="H107" s="492"/>
      <c r="I107" s="492"/>
      <c r="J107" s="492"/>
      <c r="K107" s="492"/>
      <c r="L107" s="502"/>
      <c r="M107" s="492"/>
      <c r="N107" s="492"/>
      <c r="O107" s="492"/>
      <c r="P107" s="1505">
        <f>'기계경비(OLD)'!$BN$18</f>
        <v>20900</v>
      </c>
      <c r="Q107" s="1498"/>
      <c r="R107" s="1498"/>
      <c r="S107" s="1498"/>
      <c r="T107" s="1498"/>
      <c r="U107" s="1498"/>
      <c r="V107" s="1498"/>
      <c r="W107" s="507" t="s">
        <v>99</v>
      </c>
      <c r="X107" s="497"/>
      <c r="Y107" s="1502">
        <v>200</v>
      </c>
      <c r="Z107" s="1503"/>
      <c r="AA107" s="1503"/>
      <c r="AB107" s="1503"/>
      <c r="AC107" s="1503"/>
      <c r="AD107" s="1503"/>
      <c r="AE107" s="1503"/>
      <c r="AF107" s="1503"/>
      <c r="AG107" s="507" t="s">
        <v>103</v>
      </c>
      <c r="AH107" s="497"/>
      <c r="AI107" s="1504">
        <f>INT(P107/Y107)</f>
        <v>104</v>
      </c>
      <c r="AJ107" s="1494"/>
      <c r="AK107" s="1494"/>
      <c r="AL107" s="1494"/>
      <c r="AM107" s="1494"/>
      <c r="AN107" s="1494"/>
      <c r="AO107" s="1494"/>
      <c r="AP107" s="1496" t="s">
        <v>679</v>
      </c>
      <c r="AQ107" s="1496"/>
      <c r="AR107" s="1496"/>
      <c r="AS107" s="1496"/>
      <c r="AT107" s="1496"/>
      <c r="AU107" s="1496"/>
      <c r="AV107" s="1496"/>
      <c r="AW107" s="1496"/>
      <c r="AX107" s="1496"/>
      <c r="AY107" s="1496"/>
      <c r="AZ107" s="1496"/>
      <c r="BA107" s="492"/>
      <c r="BB107" s="492"/>
      <c r="BC107" s="492"/>
      <c r="BD107" s="492"/>
      <c r="BE107" s="492"/>
      <c r="BF107" s="492"/>
      <c r="BG107" s="492"/>
      <c r="BH107" s="492"/>
      <c r="BI107" s="492"/>
      <c r="BJ107" s="492"/>
      <c r="BK107" s="492"/>
      <c r="BL107" s="492"/>
      <c r="BM107" s="492"/>
      <c r="BN107" s="492"/>
      <c r="BO107" s="492"/>
      <c r="BP107" s="492"/>
      <c r="BQ107" s="499">
        <f>SUM(BR107:BT107)</f>
        <v>104</v>
      </c>
      <c r="BR107" s="499"/>
      <c r="BS107" s="499"/>
      <c r="BT107" s="499">
        <f>AI107</f>
        <v>104</v>
      </c>
    </row>
    <row r="108" spans="1:76" ht="9" customHeight="1">
      <c r="A108" s="490"/>
      <c r="B108" s="492"/>
      <c r="C108" s="492" t="s">
        <v>63</v>
      </c>
      <c r="D108" s="492"/>
      <c r="E108" s="492"/>
      <c r="F108" s="492"/>
      <c r="G108" s="492"/>
      <c r="H108" s="492"/>
      <c r="I108" s="492"/>
      <c r="J108" s="492"/>
      <c r="K108" s="492"/>
      <c r="L108" s="502"/>
      <c r="M108" s="492"/>
      <c r="N108" s="492"/>
      <c r="O108" s="492"/>
      <c r="P108" s="492"/>
      <c r="Q108" s="492"/>
      <c r="R108" s="492"/>
      <c r="S108" s="492"/>
      <c r="T108" s="496"/>
      <c r="U108" s="492"/>
      <c r="V108" s="492"/>
      <c r="W108" s="492"/>
      <c r="X108" s="492"/>
      <c r="Y108" s="492"/>
      <c r="Z108" s="492"/>
      <c r="AA108" s="492"/>
      <c r="AB108" s="492"/>
      <c r="AC108" s="492"/>
      <c r="AD108" s="492"/>
      <c r="AE108" s="492"/>
      <c r="AF108" s="492"/>
      <c r="AG108" s="492"/>
      <c r="AH108" s="492"/>
      <c r="AI108" s="496"/>
      <c r="AJ108" s="492"/>
      <c r="AK108" s="492"/>
      <c r="AL108" s="492"/>
      <c r="AM108" s="492"/>
      <c r="AN108" s="492"/>
      <c r="AO108" s="492"/>
      <c r="AP108" s="492"/>
      <c r="AQ108" s="492"/>
      <c r="AR108" s="492"/>
      <c r="AS108" s="492"/>
      <c r="AT108" s="492"/>
      <c r="AU108" s="492"/>
      <c r="AV108" s="492"/>
      <c r="AW108" s="492"/>
      <c r="AX108" s="492"/>
      <c r="AY108" s="492"/>
      <c r="AZ108" s="492"/>
      <c r="BA108" s="492"/>
      <c r="BB108" s="492"/>
      <c r="BC108" s="492"/>
      <c r="BD108" s="492"/>
      <c r="BE108" s="492"/>
      <c r="BF108" s="492"/>
      <c r="BG108" s="492"/>
      <c r="BH108" s="492"/>
      <c r="BI108" s="492"/>
      <c r="BJ108" s="492"/>
      <c r="BK108" s="492"/>
      <c r="BL108" s="492"/>
      <c r="BM108" s="492"/>
      <c r="BN108" s="492"/>
      <c r="BO108" s="492"/>
      <c r="BP108" s="492"/>
      <c r="BQ108" s="503" t="e">
        <f>SUM(BR108:BT108)</f>
        <v>#REF!</v>
      </c>
      <c r="BR108" s="503">
        <f>SUM(BR101:BR107)</f>
        <v>590</v>
      </c>
      <c r="BS108" s="503" t="e">
        <f>SUM(BS101:BS107)</f>
        <v>#REF!</v>
      </c>
      <c r="BT108" s="503">
        <f>SUM(BT101:BT107)</f>
        <v>354</v>
      </c>
    </row>
    <row r="109" spans="1:76" ht="9" customHeight="1">
      <c r="A109" s="490"/>
      <c r="B109" s="492" t="s">
        <v>158</v>
      </c>
      <c r="C109" s="492"/>
      <c r="D109" s="492"/>
      <c r="E109" s="492"/>
      <c r="F109" s="492"/>
      <c r="G109" s="492"/>
      <c r="H109" s="492"/>
      <c r="I109" s="492"/>
      <c r="J109" s="492"/>
      <c r="K109" s="492"/>
      <c r="L109" s="492"/>
      <c r="M109" s="492"/>
      <c r="N109" s="492"/>
      <c r="O109" s="492"/>
      <c r="P109" s="492"/>
      <c r="Q109" s="492"/>
      <c r="R109" s="492"/>
      <c r="S109" s="492"/>
      <c r="T109" s="492"/>
      <c r="U109" s="492"/>
      <c r="V109" s="492"/>
      <c r="W109" s="492"/>
      <c r="X109" s="492"/>
      <c r="Y109" s="492"/>
      <c r="Z109" s="492"/>
      <c r="AA109" s="492"/>
      <c r="AB109" s="492"/>
      <c r="AC109" s="492"/>
      <c r="AD109" s="492"/>
      <c r="AE109" s="492"/>
      <c r="AF109" s="492"/>
      <c r="AG109" s="492"/>
      <c r="AH109" s="492"/>
      <c r="AI109" s="492"/>
      <c r="AJ109" s="492"/>
      <c r="AK109" s="492"/>
      <c r="AL109" s="492"/>
      <c r="AM109" s="492"/>
      <c r="AN109" s="492"/>
      <c r="AO109" s="492"/>
      <c r="AP109" s="492"/>
      <c r="AQ109" s="492"/>
      <c r="AR109" s="492"/>
      <c r="AS109" s="492"/>
      <c r="AT109" s="492"/>
      <c r="AU109" s="492"/>
      <c r="AV109" s="492"/>
      <c r="AW109" s="492"/>
      <c r="AX109" s="492"/>
      <c r="AY109" s="492"/>
      <c r="AZ109" s="492"/>
      <c r="BA109" s="492"/>
      <c r="BB109" s="492"/>
      <c r="BC109" s="492"/>
      <c r="BD109" s="492"/>
      <c r="BE109" s="492"/>
      <c r="BF109" s="492"/>
      <c r="BG109" s="492"/>
      <c r="BH109" s="492"/>
      <c r="BI109" s="492"/>
      <c r="BJ109" s="492"/>
      <c r="BK109" s="492"/>
      <c r="BL109" s="492"/>
      <c r="BM109" s="492"/>
      <c r="BN109" s="492"/>
      <c r="BO109" s="492"/>
      <c r="BP109" s="492"/>
      <c r="BQ109" s="493"/>
      <c r="BR109" s="493"/>
      <c r="BS109" s="493"/>
      <c r="BT109" s="493"/>
      <c r="BW109" s="210"/>
    </row>
    <row r="110" spans="1:76" ht="9" customHeight="1">
      <c r="A110" s="490"/>
      <c r="B110" s="492"/>
      <c r="C110" s="496" t="s">
        <v>159</v>
      </c>
      <c r="D110" s="492"/>
      <c r="E110" s="492"/>
      <c r="F110" s="492"/>
      <c r="G110" s="492"/>
      <c r="H110" s="492"/>
      <c r="I110" s="492"/>
      <c r="J110" s="492"/>
      <c r="K110" s="492"/>
      <c r="L110" s="502"/>
      <c r="M110" s="492"/>
      <c r="N110" s="492"/>
      <c r="O110" s="1512">
        <v>3</v>
      </c>
      <c r="P110" s="1494"/>
      <c r="Q110" s="1494"/>
      <c r="R110" s="492" t="s">
        <v>105</v>
      </c>
      <c r="S110" s="492"/>
      <c r="T110" s="497"/>
      <c r="U110" s="497"/>
      <c r="V110" s="492"/>
      <c r="W110" s="1511">
        <f>$BW$96</f>
        <v>274873</v>
      </c>
      <c r="X110" s="1494"/>
      <c r="Y110" s="1494"/>
      <c r="Z110" s="1494"/>
      <c r="AA110" s="1494"/>
      <c r="AB110" s="1494"/>
      <c r="AC110" s="1497" t="s">
        <v>680</v>
      </c>
      <c r="AD110" s="1498"/>
      <c r="AE110" s="1498"/>
      <c r="AF110" s="1498"/>
      <c r="AG110" s="1498"/>
      <c r="AH110" s="1497" t="s">
        <v>103</v>
      </c>
      <c r="AI110" s="1498"/>
      <c r="AJ110" s="1497">
        <f>INT(O110*W110/(1600))</f>
        <v>515</v>
      </c>
      <c r="AK110" s="1498"/>
      <c r="AL110" s="1498"/>
      <c r="AM110" s="1498"/>
      <c r="AN110" s="1498"/>
      <c r="AO110" s="1498"/>
      <c r="AP110" s="1498"/>
      <c r="AQ110" s="492"/>
      <c r="AR110" s="492"/>
      <c r="AS110" s="492"/>
      <c r="AT110" s="492"/>
      <c r="AU110" s="492"/>
      <c r="AV110" s="492"/>
      <c r="AW110" s="492"/>
      <c r="AX110" s="492"/>
      <c r="AY110" s="492"/>
      <c r="AZ110" s="492"/>
      <c r="BA110" s="492"/>
      <c r="BB110" s="492"/>
      <c r="BC110" s="492"/>
      <c r="BD110" s="492"/>
      <c r="BE110" s="492"/>
      <c r="BF110" s="492"/>
      <c r="BG110" s="492"/>
      <c r="BH110" s="492"/>
      <c r="BI110" s="492"/>
      <c r="BJ110" s="492"/>
      <c r="BK110" s="492"/>
      <c r="BL110" s="492"/>
      <c r="BM110" s="492"/>
      <c r="BN110" s="492"/>
      <c r="BO110" s="492"/>
      <c r="BP110" s="492"/>
      <c r="BQ110" s="499">
        <f>SUM(BR110:BT110)</f>
        <v>515</v>
      </c>
      <c r="BR110" s="499">
        <f>AJ110</f>
        <v>515</v>
      </c>
      <c r="BS110" s="499"/>
      <c r="BT110" s="499"/>
    </row>
    <row r="111" spans="1:76" ht="9" customHeight="1">
      <c r="A111" s="490"/>
      <c r="B111" s="492"/>
      <c r="C111" s="496" t="s">
        <v>160</v>
      </c>
      <c r="D111" s="492"/>
      <c r="E111" s="492"/>
      <c r="F111" s="492"/>
      <c r="G111" s="492"/>
      <c r="H111" s="492"/>
      <c r="I111" s="492"/>
      <c r="J111" s="492"/>
      <c r="K111" s="492"/>
      <c r="L111" s="502"/>
      <c r="M111" s="492"/>
      <c r="N111" s="492"/>
      <c r="O111" s="1512">
        <v>1</v>
      </c>
      <c r="P111" s="1494"/>
      <c r="Q111" s="1494"/>
      <c r="R111" s="492" t="s">
        <v>105</v>
      </c>
      <c r="S111" s="492"/>
      <c r="T111" s="497"/>
      <c r="U111" s="497"/>
      <c r="V111" s="492"/>
      <c r="W111" s="1511">
        <f>$BW$95</f>
        <v>172698</v>
      </c>
      <c r="X111" s="1494"/>
      <c r="Y111" s="1494"/>
      <c r="Z111" s="1494"/>
      <c r="AA111" s="1494"/>
      <c r="AB111" s="1494"/>
      <c r="AC111" s="1497" t="s">
        <v>680</v>
      </c>
      <c r="AD111" s="1498"/>
      <c r="AE111" s="1498"/>
      <c r="AF111" s="1498"/>
      <c r="AG111" s="1498"/>
      <c r="AH111" s="1497" t="s">
        <v>103</v>
      </c>
      <c r="AI111" s="1498"/>
      <c r="AJ111" s="1497">
        <f>INT(O111*W111/(1600))</f>
        <v>107</v>
      </c>
      <c r="AK111" s="1498"/>
      <c r="AL111" s="1498"/>
      <c r="AM111" s="1498"/>
      <c r="AN111" s="1498"/>
      <c r="AO111" s="1498"/>
      <c r="AP111" s="1498"/>
      <c r="AQ111" s="492"/>
      <c r="AR111" s="492"/>
      <c r="AS111" s="492"/>
      <c r="AT111" s="492"/>
      <c r="AU111" s="492"/>
      <c r="AV111" s="492"/>
      <c r="AW111" s="492"/>
      <c r="AX111" s="492"/>
      <c r="AY111" s="492"/>
      <c r="AZ111" s="492"/>
      <c r="BA111" s="492"/>
      <c r="BB111" s="492"/>
      <c r="BC111" s="492"/>
      <c r="BD111" s="492"/>
      <c r="BE111" s="492"/>
      <c r="BF111" s="492"/>
      <c r="BG111" s="492"/>
      <c r="BH111" s="492"/>
      <c r="BI111" s="492"/>
      <c r="BJ111" s="492"/>
      <c r="BK111" s="492"/>
      <c r="BL111" s="492"/>
      <c r="BM111" s="492"/>
      <c r="BN111" s="492"/>
      <c r="BO111" s="492"/>
      <c r="BP111" s="492"/>
      <c r="BQ111" s="499">
        <f>SUM(BR111:BT111)</f>
        <v>107</v>
      </c>
      <c r="BR111" s="499">
        <f>AJ111</f>
        <v>107</v>
      </c>
      <c r="BS111" s="499"/>
      <c r="BT111" s="499"/>
    </row>
    <row r="112" spans="1:76" ht="9" customHeight="1">
      <c r="A112" s="490"/>
      <c r="B112" s="492"/>
      <c r="C112" s="492" t="s">
        <v>63</v>
      </c>
      <c r="D112" s="492"/>
      <c r="E112" s="492"/>
      <c r="F112" s="492"/>
      <c r="G112" s="492"/>
      <c r="H112" s="492"/>
      <c r="I112" s="492"/>
      <c r="J112" s="492"/>
      <c r="K112" s="492"/>
      <c r="L112" s="502"/>
      <c r="M112" s="492"/>
      <c r="N112" s="492"/>
      <c r="O112" s="492"/>
      <c r="P112" s="492"/>
      <c r="Q112" s="492"/>
      <c r="R112" s="492"/>
      <c r="S112" s="492"/>
      <c r="T112" s="496"/>
      <c r="U112" s="492"/>
      <c r="V112" s="492"/>
      <c r="W112" s="492"/>
      <c r="X112" s="492"/>
      <c r="Y112" s="492"/>
      <c r="Z112" s="492"/>
      <c r="AA112" s="492"/>
      <c r="AB112" s="492"/>
      <c r="AC112" s="492"/>
      <c r="AD112" s="492"/>
      <c r="AE112" s="492"/>
      <c r="AF112" s="492"/>
      <c r="AG112" s="492"/>
      <c r="AH112" s="492"/>
      <c r="AI112" s="496"/>
      <c r="AJ112" s="492"/>
      <c r="AK112" s="492"/>
      <c r="AL112" s="492"/>
      <c r="AM112" s="492"/>
      <c r="AN112" s="492"/>
      <c r="AO112" s="492"/>
      <c r="AP112" s="492"/>
      <c r="AQ112" s="492"/>
      <c r="AR112" s="492"/>
      <c r="AS112" s="492"/>
      <c r="AT112" s="492"/>
      <c r="AU112" s="492"/>
      <c r="AV112" s="492"/>
      <c r="AW112" s="492"/>
      <c r="AX112" s="492"/>
      <c r="AY112" s="492"/>
      <c r="AZ112" s="492"/>
      <c r="BA112" s="492"/>
      <c r="BB112" s="492"/>
      <c r="BC112" s="492"/>
      <c r="BD112" s="492"/>
      <c r="BE112" s="492"/>
      <c r="BF112" s="492"/>
      <c r="BG112" s="492"/>
      <c r="BH112" s="492"/>
      <c r="BI112" s="492"/>
      <c r="BJ112" s="492"/>
      <c r="BK112" s="492"/>
      <c r="BL112" s="492"/>
      <c r="BM112" s="492"/>
      <c r="BN112" s="492"/>
      <c r="BO112" s="492"/>
      <c r="BP112" s="492"/>
      <c r="BQ112" s="503">
        <f>SUM(BR112:BT112)</f>
        <v>622</v>
      </c>
      <c r="BR112" s="503">
        <f>SUM(BR110:BR111)</f>
        <v>622</v>
      </c>
      <c r="BS112" s="503">
        <f>SUM(BS110:BS111)</f>
        <v>0</v>
      </c>
      <c r="BT112" s="503">
        <f>SUM(BT110:BT111)</f>
        <v>0</v>
      </c>
    </row>
    <row r="113" spans="1:75" ht="9" customHeight="1">
      <c r="A113" s="490"/>
      <c r="B113" s="492" t="s">
        <v>552</v>
      </c>
      <c r="C113" s="492"/>
      <c r="D113" s="492"/>
      <c r="E113" s="492"/>
      <c r="F113" s="492"/>
      <c r="G113" s="492"/>
      <c r="H113" s="492"/>
      <c r="I113" s="492"/>
      <c r="J113" s="492"/>
      <c r="K113" s="492"/>
      <c r="L113" s="492"/>
      <c r="M113" s="492"/>
      <c r="N113" s="492"/>
      <c r="O113" s="492"/>
      <c r="P113" s="492"/>
      <c r="Q113" s="492"/>
      <c r="R113" s="492"/>
      <c r="S113" s="492"/>
      <c r="T113" s="492"/>
      <c r="U113" s="492"/>
      <c r="V113" s="492"/>
      <c r="W113" s="492"/>
      <c r="X113" s="492"/>
      <c r="Y113" s="492"/>
      <c r="Z113" s="492"/>
      <c r="AA113" s="492"/>
      <c r="AB113" s="492"/>
      <c r="AC113" s="492"/>
      <c r="AD113" s="492"/>
      <c r="AE113" s="492"/>
      <c r="AF113" s="492"/>
      <c r="AG113" s="492"/>
      <c r="AH113" s="492"/>
      <c r="AI113" s="492"/>
      <c r="AJ113" s="492"/>
      <c r="AK113" s="492"/>
      <c r="AL113" s="492"/>
      <c r="AM113" s="492"/>
      <c r="AN113" s="492"/>
      <c r="AO113" s="492"/>
      <c r="AP113" s="492"/>
      <c r="AQ113" s="492"/>
      <c r="AR113" s="492"/>
      <c r="AS113" s="492"/>
      <c r="AT113" s="492"/>
      <c r="AU113" s="492"/>
      <c r="AV113" s="492"/>
      <c r="AW113" s="492"/>
      <c r="AX113" s="492"/>
      <c r="AY113" s="492"/>
      <c r="AZ113" s="492"/>
      <c r="BA113" s="492"/>
      <c r="BB113" s="492"/>
      <c r="BC113" s="492"/>
      <c r="BD113" s="492"/>
      <c r="BE113" s="492"/>
      <c r="BF113" s="492"/>
      <c r="BG113" s="492"/>
      <c r="BH113" s="492"/>
      <c r="BI113" s="492"/>
      <c r="BJ113" s="492"/>
      <c r="BK113" s="492"/>
      <c r="BL113" s="492"/>
      <c r="BM113" s="492"/>
      <c r="BN113" s="492"/>
      <c r="BO113" s="492"/>
      <c r="BP113" s="492"/>
      <c r="BQ113" s="493"/>
      <c r="BR113" s="493"/>
      <c r="BS113" s="493"/>
      <c r="BT113" s="493"/>
      <c r="BW113" s="210"/>
    </row>
    <row r="114" spans="1:75" ht="9" customHeight="1">
      <c r="A114" s="490"/>
      <c r="B114" s="492"/>
      <c r="C114" s="492" t="s">
        <v>161</v>
      </c>
      <c r="D114" s="492"/>
      <c r="E114" s="492"/>
      <c r="F114" s="492"/>
      <c r="G114" s="492"/>
      <c r="H114" s="492"/>
      <c r="I114" s="492"/>
      <c r="J114" s="492"/>
      <c r="K114" s="492"/>
      <c r="L114" s="502"/>
      <c r="M114" s="492"/>
      <c r="N114" s="492"/>
      <c r="O114" s="492"/>
      <c r="P114" s="492"/>
      <c r="Q114" s="492"/>
      <c r="R114" s="492"/>
      <c r="S114" s="492"/>
      <c r="T114" s="496"/>
      <c r="U114" s="492"/>
      <c r="V114" s="492"/>
      <c r="W114" s="1496" t="s">
        <v>681</v>
      </c>
      <c r="X114" s="1496"/>
      <c r="Y114" s="1496"/>
      <c r="Z114" s="1496"/>
      <c r="AA114" s="1496"/>
      <c r="AB114" s="1496"/>
      <c r="AC114" s="1496"/>
      <c r="AD114" s="1496"/>
      <c r="AE114" s="1496"/>
      <c r="AF114" s="1496"/>
      <c r="AG114" s="1496"/>
      <c r="AH114" s="492"/>
      <c r="AI114" s="496"/>
      <c r="AJ114" s="492"/>
      <c r="AK114" s="492"/>
      <c r="AL114" s="492"/>
      <c r="AM114" s="492"/>
      <c r="AN114" s="492"/>
      <c r="AO114" s="492"/>
      <c r="AP114" s="492"/>
      <c r="AQ114" s="492"/>
      <c r="AR114" s="492"/>
      <c r="AS114" s="492"/>
      <c r="AT114" s="492"/>
      <c r="AU114" s="492"/>
      <c r="AV114" s="492"/>
      <c r="AW114" s="492"/>
      <c r="AX114" s="492"/>
      <c r="AY114" s="492"/>
      <c r="AZ114" s="492"/>
      <c r="BA114" s="492"/>
      <c r="BB114" s="492"/>
      <c r="BC114" s="492"/>
      <c r="BD114" s="492"/>
      <c r="BE114" s="492"/>
      <c r="BF114" s="492"/>
      <c r="BG114" s="492"/>
      <c r="BH114" s="492"/>
      <c r="BI114" s="492"/>
      <c r="BJ114" s="492"/>
      <c r="BK114" s="492"/>
      <c r="BL114" s="492"/>
      <c r="BM114" s="492"/>
      <c r="BN114" s="492"/>
      <c r="BO114" s="492"/>
      <c r="BP114" s="492"/>
      <c r="BQ114" s="499"/>
      <c r="BR114" s="499"/>
      <c r="BS114" s="499"/>
      <c r="BT114" s="499"/>
    </row>
    <row r="115" spans="1:75" ht="9" customHeight="1">
      <c r="A115" s="490"/>
      <c r="B115" s="492"/>
      <c r="C115" s="1497" t="s">
        <v>549</v>
      </c>
      <c r="D115" s="1498"/>
      <c r="E115" s="1498"/>
      <c r="F115" s="1498"/>
      <c r="G115" s="1498"/>
      <c r="H115" s="1498"/>
      <c r="I115" s="1498"/>
      <c r="J115" s="1498"/>
      <c r="K115" s="1498"/>
      <c r="L115" s="1498"/>
      <c r="M115" s="1498"/>
      <c r="N115" s="1498"/>
      <c r="O115" s="1498"/>
      <c r="P115" s="1498"/>
      <c r="Q115" s="1498"/>
      <c r="R115" s="1498"/>
      <c r="S115" s="1498"/>
      <c r="T115" s="1498"/>
      <c r="U115" s="1498"/>
      <c r="V115" s="1498"/>
      <c r="W115" s="1498"/>
      <c r="X115" s="1498"/>
      <c r="Y115" s="1498"/>
      <c r="Z115" s="1498"/>
      <c r="AA115" s="1498"/>
      <c r="AB115" s="1498"/>
      <c r="AC115" s="1498"/>
      <c r="AD115" s="1498"/>
      <c r="AE115" s="1498"/>
      <c r="AF115" s="1498"/>
      <c r="AG115" s="1498"/>
      <c r="AH115" s="1498"/>
      <c r="AI115" s="1498"/>
      <c r="AJ115" s="1498"/>
      <c r="AK115" s="1498"/>
      <c r="AL115" s="1498"/>
      <c r="AM115" s="1498"/>
      <c r="AN115" s="1498"/>
      <c r="AO115" s="1498"/>
      <c r="AP115" s="498"/>
      <c r="AQ115" s="498"/>
      <c r="AR115" s="498"/>
      <c r="AS115" s="492"/>
      <c r="AT115" s="492"/>
      <c r="AU115" s="492"/>
      <c r="AV115" s="492"/>
      <c r="AW115" s="492"/>
      <c r="AX115" s="492"/>
      <c r="AY115" s="492"/>
      <c r="AZ115" s="492"/>
      <c r="BA115" s="492"/>
      <c r="BB115" s="492"/>
      <c r="BC115" s="492"/>
      <c r="BD115" s="492"/>
      <c r="BE115" s="492"/>
      <c r="BF115" s="492"/>
      <c r="BG115" s="492"/>
      <c r="BH115" s="492"/>
      <c r="BI115" s="492"/>
      <c r="BJ115" s="492"/>
      <c r="BK115" s="492"/>
      <c r="BL115" s="492"/>
      <c r="BM115" s="492"/>
      <c r="BN115" s="492"/>
      <c r="BO115" s="492"/>
      <c r="BP115" s="492"/>
      <c r="BQ115" s="499"/>
      <c r="BR115" s="499"/>
      <c r="BS115" s="499"/>
      <c r="BT115" s="499"/>
    </row>
    <row r="116" spans="1:75" ht="9" customHeight="1">
      <c r="A116" s="490"/>
      <c r="B116" s="492"/>
      <c r="C116" s="1497" t="s">
        <v>550</v>
      </c>
      <c r="D116" s="1498"/>
      <c r="E116" s="1498"/>
      <c r="F116" s="1498"/>
      <c r="G116" s="1498"/>
      <c r="H116" s="1498"/>
      <c r="I116" s="1498"/>
      <c r="J116" s="1498"/>
      <c r="K116" s="1498"/>
      <c r="L116" s="1498"/>
      <c r="M116" s="1498"/>
      <c r="N116" s="1498"/>
      <c r="O116" s="1498"/>
      <c r="P116" s="1498"/>
      <c r="Q116" s="1498"/>
      <c r="R116" s="1498"/>
      <c r="S116" s="1498"/>
      <c r="T116" s="1498"/>
      <c r="U116" s="1498"/>
      <c r="V116" s="1498"/>
      <c r="W116" s="1498"/>
      <c r="X116" s="1498"/>
      <c r="Y116" s="1498"/>
      <c r="Z116" s="1498"/>
      <c r="AA116" s="1498"/>
      <c r="AB116" s="1498"/>
      <c r="AC116" s="1498"/>
      <c r="AD116" s="1498"/>
      <c r="AE116" s="1498"/>
      <c r="AF116" s="1498"/>
      <c r="AG116" s="1498"/>
      <c r="AH116" s="1498"/>
      <c r="AI116" s="1498"/>
      <c r="AJ116" s="1498"/>
      <c r="AK116" s="1498"/>
      <c r="AL116" s="1498"/>
      <c r="AM116" s="1498"/>
      <c r="AN116" s="1498"/>
      <c r="AO116" s="1498"/>
      <c r="AP116" s="498"/>
      <c r="AQ116" s="498"/>
      <c r="AR116" s="498"/>
      <c r="AS116" s="492"/>
      <c r="AT116" s="492"/>
      <c r="AU116" s="492"/>
      <c r="AV116" s="492"/>
      <c r="AW116" s="492"/>
      <c r="AX116" s="492"/>
      <c r="AY116" s="492"/>
      <c r="AZ116" s="492"/>
      <c r="BA116" s="492"/>
      <c r="BB116" s="492"/>
      <c r="BC116" s="492"/>
      <c r="BD116" s="492"/>
      <c r="BE116" s="492"/>
      <c r="BF116" s="492"/>
      <c r="BG116" s="492"/>
      <c r="BH116" s="492"/>
      <c r="BI116" s="492"/>
      <c r="BJ116" s="492"/>
      <c r="BK116" s="492"/>
      <c r="BL116" s="492"/>
      <c r="BM116" s="492"/>
      <c r="BN116" s="492"/>
      <c r="BO116" s="492"/>
      <c r="BP116" s="492"/>
      <c r="BQ116" s="499"/>
      <c r="BR116" s="499"/>
      <c r="BS116" s="499"/>
      <c r="BT116" s="499"/>
    </row>
    <row r="117" spans="1:75" ht="9" customHeight="1">
      <c r="A117" s="490"/>
      <c r="B117" s="492"/>
      <c r="C117" s="492" t="s">
        <v>66</v>
      </c>
      <c r="D117" s="492"/>
      <c r="E117" s="492"/>
      <c r="F117" s="492"/>
      <c r="G117" s="497"/>
      <c r="H117" s="497"/>
      <c r="I117" s="497"/>
      <c r="J117" s="497"/>
      <c r="K117" s="497"/>
      <c r="L117" s="492"/>
      <c r="M117" s="492"/>
      <c r="N117" s="1493" t="e">
        <f>'기계경비(OLD)'!$AT$288</f>
        <v>#REF!</v>
      </c>
      <c r="O117" s="1494"/>
      <c r="P117" s="1494"/>
      <c r="Q117" s="1494"/>
      <c r="R117" s="1494"/>
      <c r="S117" s="1494"/>
      <c r="T117" s="1494"/>
      <c r="U117" s="1494"/>
      <c r="V117" s="507" t="s">
        <v>99</v>
      </c>
      <c r="W117" s="497"/>
      <c r="X117" s="1495" t="s">
        <v>551</v>
      </c>
      <c r="Y117" s="1494"/>
      <c r="Z117" s="1494"/>
      <c r="AA117" s="1494"/>
      <c r="AB117" s="507" t="s">
        <v>103</v>
      </c>
      <c r="AC117" s="497"/>
      <c r="AD117" s="1495" t="e">
        <f>INT(N117/200)</f>
        <v>#REF!</v>
      </c>
      <c r="AE117" s="1494"/>
      <c r="AF117" s="1494"/>
      <c r="AG117" s="1494"/>
      <c r="AH117" s="1494"/>
      <c r="AI117" s="1494"/>
      <c r="AJ117" s="1494"/>
      <c r="AK117" s="523"/>
      <c r="AL117" s="492"/>
      <c r="AM117" s="492"/>
      <c r="AN117" s="492"/>
      <c r="AO117" s="492"/>
      <c r="AP117" s="492"/>
      <c r="AQ117" s="492"/>
      <c r="AR117" s="492"/>
      <c r="AS117" s="492"/>
      <c r="AT117" s="492"/>
      <c r="AU117" s="492"/>
      <c r="AV117" s="492"/>
      <c r="AW117" s="492"/>
      <c r="AX117" s="492"/>
      <c r="AY117" s="492"/>
      <c r="AZ117" s="492"/>
      <c r="BA117" s="492"/>
      <c r="BB117" s="492"/>
      <c r="BC117" s="492"/>
      <c r="BD117" s="492"/>
      <c r="BE117" s="492"/>
      <c r="BF117" s="492"/>
      <c r="BG117" s="492"/>
      <c r="BH117" s="492"/>
      <c r="BI117" s="492"/>
      <c r="BJ117" s="492"/>
      <c r="BK117" s="492"/>
      <c r="BL117" s="492"/>
      <c r="BM117" s="492"/>
      <c r="BN117" s="492"/>
      <c r="BO117" s="492"/>
      <c r="BP117" s="492"/>
      <c r="BQ117" s="499" t="e">
        <f>SUM(BR117:BT117)</f>
        <v>#REF!</v>
      </c>
      <c r="BR117" s="499"/>
      <c r="BS117" s="499" t="e">
        <f>AD117</f>
        <v>#REF!</v>
      </c>
      <c r="BT117" s="499"/>
      <c r="BW117" s="241"/>
    </row>
    <row r="118" spans="1:75" ht="9" customHeight="1">
      <c r="A118" s="490"/>
      <c r="B118" s="492"/>
      <c r="C118" s="492" t="s">
        <v>67</v>
      </c>
      <c r="D118" s="492"/>
      <c r="E118" s="492"/>
      <c r="F118" s="492"/>
      <c r="G118" s="497"/>
      <c r="H118" s="497"/>
      <c r="I118" s="497"/>
      <c r="J118" s="497"/>
      <c r="K118" s="492"/>
      <c r="L118" s="492"/>
      <c r="M118" s="492"/>
      <c r="N118" s="1493">
        <f>'기계경비(OLD)'!$BU$282</f>
        <v>59025</v>
      </c>
      <c r="O118" s="1494"/>
      <c r="P118" s="1494"/>
      <c r="Q118" s="1494"/>
      <c r="R118" s="1494"/>
      <c r="S118" s="1494"/>
      <c r="T118" s="1494"/>
      <c r="U118" s="1494"/>
      <c r="V118" s="507" t="s">
        <v>99</v>
      </c>
      <c r="W118" s="497"/>
      <c r="X118" s="1495" t="s">
        <v>551</v>
      </c>
      <c r="Y118" s="1494"/>
      <c r="Z118" s="1494"/>
      <c r="AA118" s="1494"/>
      <c r="AB118" s="507" t="s">
        <v>103</v>
      </c>
      <c r="AC118" s="497"/>
      <c r="AD118" s="1495">
        <f>INT(N118/200)</f>
        <v>295</v>
      </c>
      <c r="AE118" s="1494"/>
      <c r="AF118" s="1494"/>
      <c r="AG118" s="1494"/>
      <c r="AH118" s="1494"/>
      <c r="AI118" s="1494"/>
      <c r="AJ118" s="1494"/>
      <c r="AK118" s="523"/>
      <c r="AL118" s="492"/>
      <c r="AM118" s="492"/>
      <c r="AN118" s="492"/>
      <c r="AO118" s="492"/>
      <c r="AP118" s="492"/>
      <c r="AQ118" s="492"/>
      <c r="AR118" s="492"/>
      <c r="AS118" s="492"/>
      <c r="AT118" s="492"/>
      <c r="AU118" s="492"/>
      <c r="AV118" s="492"/>
      <c r="AW118" s="492"/>
      <c r="AX118" s="492"/>
      <c r="AY118" s="492"/>
      <c r="AZ118" s="492"/>
      <c r="BA118" s="492"/>
      <c r="BB118" s="492"/>
      <c r="BC118" s="492"/>
      <c r="BD118" s="492"/>
      <c r="BE118" s="492"/>
      <c r="BF118" s="492"/>
      <c r="BG118" s="492"/>
      <c r="BH118" s="492"/>
      <c r="BI118" s="492"/>
      <c r="BJ118" s="492"/>
      <c r="BK118" s="492"/>
      <c r="BL118" s="492"/>
      <c r="BM118" s="492"/>
      <c r="BN118" s="492"/>
      <c r="BO118" s="492"/>
      <c r="BP118" s="492"/>
      <c r="BQ118" s="499">
        <f>SUM(BR118:BT118)</f>
        <v>295</v>
      </c>
      <c r="BR118" s="499">
        <f>AD118</f>
        <v>295</v>
      </c>
      <c r="BS118" s="499"/>
      <c r="BT118" s="499"/>
      <c r="BW118" s="241"/>
    </row>
    <row r="119" spans="1:75" ht="9" customHeight="1">
      <c r="A119" s="490"/>
      <c r="B119" s="492"/>
      <c r="C119" s="492" t="s">
        <v>68</v>
      </c>
      <c r="D119" s="492"/>
      <c r="E119" s="492"/>
      <c r="F119" s="492"/>
      <c r="G119" s="492"/>
      <c r="H119" s="492"/>
      <c r="I119" s="492"/>
      <c r="J119" s="492"/>
      <c r="K119" s="492"/>
      <c r="L119" s="492"/>
      <c r="M119" s="492"/>
      <c r="N119" s="1493">
        <f>'기계경비(OLD)'!$BN$292</f>
        <v>9924</v>
      </c>
      <c r="O119" s="1494"/>
      <c r="P119" s="1494"/>
      <c r="Q119" s="1494"/>
      <c r="R119" s="1494"/>
      <c r="S119" s="1494"/>
      <c r="T119" s="1494"/>
      <c r="U119" s="500"/>
      <c r="V119" s="507" t="s">
        <v>99</v>
      </c>
      <c r="W119" s="497"/>
      <c r="X119" s="1495" t="s">
        <v>551</v>
      </c>
      <c r="Y119" s="1494"/>
      <c r="Z119" s="1494"/>
      <c r="AA119" s="1494"/>
      <c r="AB119" s="507" t="s">
        <v>103</v>
      </c>
      <c r="AC119" s="497"/>
      <c r="AD119" s="1495">
        <f>INT(N119/200)</f>
        <v>49</v>
      </c>
      <c r="AE119" s="1494"/>
      <c r="AF119" s="1494"/>
      <c r="AG119" s="1494"/>
      <c r="AH119" s="1494"/>
      <c r="AI119" s="1494"/>
      <c r="AJ119" s="1494"/>
      <c r="AK119" s="523"/>
      <c r="AL119" s="492"/>
      <c r="AM119" s="492"/>
      <c r="AN119" s="492"/>
      <c r="AO119" s="492"/>
      <c r="AP119" s="492"/>
      <c r="AQ119" s="492"/>
      <c r="AR119" s="492"/>
      <c r="AS119" s="492"/>
      <c r="AT119" s="492"/>
      <c r="AU119" s="492"/>
      <c r="AV119" s="492"/>
      <c r="AW119" s="492"/>
      <c r="AX119" s="492"/>
      <c r="AY119" s="492"/>
      <c r="AZ119" s="492"/>
      <c r="BA119" s="492"/>
      <c r="BB119" s="492"/>
      <c r="BC119" s="492"/>
      <c r="BD119" s="492"/>
      <c r="BE119" s="492"/>
      <c r="BF119" s="492"/>
      <c r="BG119" s="492"/>
      <c r="BH119" s="492"/>
      <c r="BI119" s="492"/>
      <c r="BJ119" s="492"/>
      <c r="BK119" s="492"/>
      <c r="BL119" s="492"/>
      <c r="BM119" s="492"/>
      <c r="BN119" s="492"/>
      <c r="BO119" s="492"/>
      <c r="BP119" s="492"/>
      <c r="BQ119" s="499">
        <f>SUM(BR119:BT119)</f>
        <v>49</v>
      </c>
      <c r="BR119" s="499"/>
      <c r="BS119" s="499"/>
      <c r="BT119" s="499">
        <f>AD119</f>
        <v>49</v>
      </c>
    </row>
    <row r="120" spans="1:75" ht="9" customHeight="1">
      <c r="A120" s="490"/>
      <c r="B120" s="492"/>
      <c r="C120" s="492" t="s">
        <v>63</v>
      </c>
      <c r="D120" s="492"/>
      <c r="E120" s="492"/>
      <c r="F120" s="492"/>
      <c r="G120" s="492"/>
      <c r="H120" s="492"/>
      <c r="I120" s="492"/>
      <c r="J120" s="492"/>
      <c r="K120" s="492"/>
      <c r="L120" s="502"/>
      <c r="M120" s="492"/>
      <c r="N120" s="492"/>
      <c r="O120" s="492"/>
      <c r="P120" s="492"/>
      <c r="Q120" s="492"/>
      <c r="R120" s="492"/>
      <c r="S120" s="492"/>
      <c r="T120" s="496"/>
      <c r="U120" s="492"/>
      <c r="V120" s="492"/>
      <c r="W120" s="492"/>
      <c r="X120" s="492"/>
      <c r="Y120" s="492"/>
      <c r="Z120" s="492"/>
      <c r="AA120" s="492"/>
      <c r="AB120" s="492"/>
      <c r="AC120" s="492"/>
      <c r="AD120" s="492"/>
      <c r="AE120" s="492"/>
      <c r="AF120" s="492"/>
      <c r="AG120" s="492"/>
      <c r="AH120" s="492"/>
      <c r="AI120" s="496"/>
      <c r="AJ120" s="492"/>
      <c r="AK120" s="492"/>
      <c r="AL120" s="492"/>
      <c r="AM120" s="492"/>
      <c r="AN120" s="492"/>
      <c r="AO120" s="492"/>
      <c r="AP120" s="492"/>
      <c r="AQ120" s="492"/>
      <c r="AR120" s="492"/>
      <c r="AS120" s="492"/>
      <c r="AT120" s="492"/>
      <c r="AU120" s="492"/>
      <c r="AV120" s="492"/>
      <c r="AW120" s="492"/>
      <c r="AX120" s="492"/>
      <c r="AY120" s="492"/>
      <c r="AZ120" s="492"/>
      <c r="BA120" s="492"/>
      <c r="BB120" s="492"/>
      <c r="BC120" s="492"/>
      <c r="BD120" s="492"/>
      <c r="BE120" s="492"/>
      <c r="BF120" s="492"/>
      <c r="BG120" s="492"/>
      <c r="BH120" s="492"/>
      <c r="BI120" s="492"/>
      <c r="BJ120" s="492"/>
      <c r="BK120" s="492"/>
      <c r="BL120" s="492"/>
      <c r="BM120" s="492"/>
      <c r="BN120" s="492"/>
      <c r="BO120" s="492"/>
      <c r="BP120" s="492"/>
      <c r="BQ120" s="503" t="e">
        <f>SUM(BR120:BT120)</f>
        <v>#REF!</v>
      </c>
      <c r="BR120" s="503">
        <f>SUM(BR117:BR119)</f>
        <v>295</v>
      </c>
      <c r="BS120" s="503" t="e">
        <f>SUM(BS117:BS119)</f>
        <v>#REF!</v>
      </c>
      <c r="BT120" s="503">
        <f>SUM(BT117:BT119)</f>
        <v>49</v>
      </c>
    </row>
    <row r="121" spans="1:75" ht="9" customHeight="1">
      <c r="A121" s="490"/>
      <c r="B121" s="492"/>
      <c r="C121" s="492" t="s">
        <v>682</v>
      </c>
      <c r="D121" s="492"/>
      <c r="E121" s="492"/>
      <c r="F121" s="492"/>
      <c r="G121" s="492"/>
      <c r="H121" s="492"/>
      <c r="I121" s="492"/>
      <c r="J121" s="492"/>
      <c r="K121" s="492"/>
      <c r="L121" s="502"/>
      <c r="M121" s="492"/>
      <c r="N121" s="492"/>
      <c r="O121" s="492"/>
      <c r="P121" s="492"/>
      <c r="Q121" s="492"/>
      <c r="R121" s="492"/>
      <c r="S121" s="492"/>
      <c r="T121" s="496"/>
      <c r="U121" s="492"/>
      <c r="V121" s="492"/>
      <c r="W121" s="1496" t="s">
        <v>683</v>
      </c>
      <c r="X121" s="1496"/>
      <c r="Y121" s="1496"/>
      <c r="Z121" s="1496"/>
      <c r="AA121" s="1496"/>
      <c r="AB121" s="1496"/>
      <c r="AC121" s="1496"/>
      <c r="AD121" s="1496"/>
      <c r="AE121" s="1496"/>
      <c r="AF121" s="1496"/>
      <c r="AG121" s="1496"/>
      <c r="AH121" s="492"/>
      <c r="AI121" s="496"/>
      <c r="AJ121" s="492"/>
      <c r="AK121" s="492"/>
      <c r="AL121" s="492"/>
      <c r="AM121" s="492"/>
      <c r="AN121" s="492"/>
      <c r="AO121" s="492"/>
      <c r="AP121" s="492"/>
      <c r="AQ121" s="492"/>
      <c r="AR121" s="492"/>
      <c r="AS121" s="492"/>
      <c r="AT121" s="492"/>
      <c r="AU121" s="492"/>
      <c r="AV121" s="492"/>
      <c r="AW121" s="492"/>
      <c r="AX121" s="492"/>
      <c r="AY121" s="492"/>
      <c r="AZ121" s="492"/>
      <c r="BA121" s="492"/>
      <c r="BB121" s="492"/>
      <c r="BC121" s="492"/>
      <c r="BD121" s="492"/>
      <c r="BE121" s="492"/>
      <c r="BF121" s="492"/>
      <c r="BG121" s="492"/>
      <c r="BH121" s="492"/>
      <c r="BI121" s="492"/>
      <c r="BJ121" s="492"/>
      <c r="BK121" s="492"/>
      <c r="BL121" s="492"/>
      <c r="BM121" s="492"/>
      <c r="BN121" s="492"/>
      <c r="BO121" s="492"/>
      <c r="BP121" s="492"/>
      <c r="BQ121" s="499"/>
      <c r="BR121" s="499"/>
      <c r="BS121" s="499"/>
      <c r="BT121" s="499"/>
    </row>
    <row r="122" spans="1:75" ht="9" customHeight="1">
      <c r="A122" s="490"/>
      <c r="B122" s="492"/>
      <c r="C122" s="1497" t="s">
        <v>549</v>
      </c>
      <c r="D122" s="1498"/>
      <c r="E122" s="1498"/>
      <c r="F122" s="1498"/>
      <c r="G122" s="1498"/>
      <c r="H122" s="1498"/>
      <c r="I122" s="1498"/>
      <c r="J122" s="1498"/>
      <c r="K122" s="1498"/>
      <c r="L122" s="1498"/>
      <c r="M122" s="1498"/>
      <c r="N122" s="1498"/>
      <c r="O122" s="1498"/>
      <c r="P122" s="1498"/>
      <c r="Q122" s="1498"/>
      <c r="R122" s="1498"/>
      <c r="S122" s="1498"/>
      <c r="T122" s="1498"/>
      <c r="U122" s="1498"/>
      <c r="V122" s="1498"/>
      <c r="W122" s="1498"/>
      <c r="X122" s="1498"/>
      <c r="Y122" s="1498"/>
      <c r="Z122" s="1498"/>
      <c r="AA122" s="1498"/>
      <c r="AB122" s="1498"/>
      <c r="AC122" s="1498"/>
      <c r="AD122" s="1498"/>
      <c r="AE122" s="1498"/>
      <c r="AF122" s="1498"/>
      <c r="AG122" s="1498"/>
      <c r="AH122" s="1498"/>
      <c r="AI122" s="1498"/>
      <c r="AJ122" s="1498"/>
      <c r="AK122" s="1498"/>
      <c r="AL122" s="1498"/>
      <c r="AM122" s="1498"/>
      <c r="AN122" s="1498"/>
      <c r="AO122" s="1498"/>
      <c r="AP122" s="498"/>
      <c r="AQ122" s="498"/>
      <c r="AR122" s="498"/>
      <c r="AS122" s="492"/>
      <c r="AT122" s="492"/>
      <c r="AU122" s="492"/>
      <c r="AV122" s="492"/>
      <c r="AW122" s="492"/>
      <c r="AX122" s="492"/>
      <c r="AY122" s="492"/>
      <c r="AZ122" s="492"/>
      <c r="BA122" s="492"/>
      <c r="BB122" s="492"/>
      <c r="BC122" s="492"/>
      <c r="BD122" s="492"/>
      <c r="BE122" s="492"/>
      <c r="BF122" s="492"/>
      <c r="BG122" s="492"/>
      <c r="BH122" s="492"/>
      <c r="BI122" s="492"/>
      <c r="BJ122" s="492"/>
      <c r="BK122" s="492"/>
      <c r="BL122" s="492"/>
      <c r="BM122" s="492"/>
      <c r="BN122" s="492"/>
      <c r="BO122" s="492"/>
      <c r="BP122" s="492"/>
      <c r="BQ122" s="499"/>
      <c r="BR122" s="499"/>
      <c r="BS122" s="499"/>
      <c r="BT122" s="499"/>
    </row>
    <row r="123" spans="1:75" ht="9" customHeight="1">
      <c r="A123" s="490"/>
      <c r="B123" s="492"/>
      <c r="C123" s="1497" t="s">
        <v>550</v>
      </c>
      <c r="D123" s="1498"/>
      <c r="E123" s="1498"/>
      <c r="F123" s="1498"/>
      <c r="G123" s="1498"/>
      <c r="H123" s="1498"/>
      <c r="I123" s="1498"/>
      <c r="J123" s="1498"/>
      <c r="K123" s="1498"/>
      <c r="L123" s="1498"/>
      <c r="M123" s="1498"/>
      <c r="N123" s="1498"/>
      <c r="O123" s="1498"/>
      <c r="P123" s="1498"/>
      <c r="Q123" s="1498"/>
      <c r="R123" s="1498"/>
      <c r="S123" s="1498"/>
      <c r="T123" s="1498"/>
      <c r="U123" s="1498"/>
      <c r="V123" s="1498"/>
      <c r="W123" s="1498"/>
      <c r="X123" s="1498"/>
      <c r="Y123" s="1498"/>
      <c r="Z123" s="1498"/>
      <c r="AA123" s="1498"/>
      <c r="AB123" s="1498"/>
      <c r="AC123" s="1498"/>
      <c r="AD123" s="1498"/>
      <c r="AE123" s="1498"/>
      <c r="AF123" s="1498"/>
      <c r="AG123" s="1498"/>
      <c r="AH123" s="1498"/>
      <c r="AI123" s="1498"/>
      <c r="AJ123" s="1498"/>
      <c r="AK123" s="1498"/>
      <c r="AL123" s="1498"/>
      <c r="AM123" s="1498"/>
      <c r="AN123" s="1498"/>
      <c r="AO123" s="1498"/>
      <c r="AP123" s="498"/>
      <c r="AQ123" s="498"/>
      <c r="AR123" s="498"/>
      <c r="AS123" s="492"/>
      <c r="AT123" s="492"/>
      <c r="AU123" s="492"/>
      <c r="AV123" s="492"/>
      <c r="AW123" s="492"/>
      <c r="AX123" s="492"/>
      <c r="AY123" s="492"/>
      <c r="AZ123" s="492"/>
      <c r="BA123" s="492"/>
      <c r="BB123" s="492"/>
      <c r="BC123" s="492"/>
      <c r="BD123" s="492"/>
      <c r="BE123" s="492"/>
      <c r="BF123" s="492"/>
      <c r="BG123" s="492"/>
      <c r="BH123" s="492"/>
      <c r="BI123" s="492"/>
      <c r="BJ123" s="492"/>
      <c r="BK123" s="492"/>
      <c r="BL123" s="492"/>
      <c r="BM123" s="492"/>
      <c r="BN123" s="492"/>
      <c r="BO123" s="492"/>
      <c r="BP123" s="492"/>
      <c r="BQ123" s="499"/>
      <c r="BR123" s="499"/>
      <c r="BS123" s="499"/>
      <c r="BT123" s="499"/>
    </row>
    <row r="124" spans="1:75" ht="9" customHeight="1">
      <c r="A124" s="490"/>
      <c r="B124" s="492"/>
      <c r="C124" s="492" t="s">
        <v>66</v>
      </c>
      <c r="D124" s="492"/>
      <c r="E124" s="492"/>
      <c r="F124" s="492"/>
      <c r="G124" s="497"/>
      <c r="H124" s="497"/>
      <c r="I124" s="497"/>
      <c r="J124" s="497"/>
      <c r="K124" s="497"/>
      <c r="L124" s="492"/>
      <c r="M124" s="492"/>
      <c r="N124" s="1493" t="e">
        <f>'기계경비(OLD)'!$AT$261</f>
        <v>#REF!</v>
      </c>
      <c r="O124" s="1494"/>
      <c r="P124" s="1494"/>
      <c r="Q124" s="1494"/>
      <c r="R124" s="1494"/>
      <c r="S124" s="1494"/>
      <c r="T124" s="1494"/>
      <c r="U124" s="1494"/>
      <c r="V124" s="507" t="s">
        <v>99</v>
      </c>
      <c r="W124" s="497"/>
      <c r="X124" s="1495" t="s">
        <v>551</v>
      </c>
      <c r="Y124" s="1494"/>
      <c r="Z124" s="1494"/>
      <c r="AA124" s="1494"/>
      <c r="AB124" s="507" t="s">
        <v>103</v>
      </c>
      <c r="AC124" s="497"/>
      <c r="AD124" s="1495" t="e">
        <f>INT(N124/200)</f>
        <v>#REF!</v>
      </c>
      <c r="AE124" s="1494"/>
      <c r="AF124" s="1494"/>
      <c r="AG124" s="1494"/>
      <c r="AH124" s="1494"/>
      <c r="AI124" s="1494"/>
      <c r="AJ124" s="1494"/>
      <c r="AK124" s="492"/>
      <c r="AL124" s="492"/>
      <c r="AM124" s="492"/>
      <c r="AN124" s="492"/>
      <c r="AO124" s="492"/>
      <c r="AP124" s="492"/>
      <c r="AQ124" s="492"/>
      <c r="AR124" s="492"/>
      <c r="AS124" s="492"/>
      <c r="AT124" s="492"/>
      <c r="AU124" s="492"/>
      <c r="AV124" s="492"/>
      <c r="AW124" s="492"/>
      <c r="AX124" s="492"/>
      <c r="AY124" s="492"/>
      <c r="AZ124" s="492"/>
      <c r="BA124" s="492"/>
      <c r="BB124" s="492"/>
      <c r="BC124" s="492"/>
      <c r="BD124" s="492"/>
      <c r="BE124" s="492"/>
      <c r="BF124" s="492"/>
      <c r="BG124" s="492"/>
      <c r="BH124" s="492"/>
      <c r="BI124" s="492"/>
      <c r="BJ124" s="492"/>
      <c r="BK124" s="492"/>
      <c r="BL124" s="492"/>
      <c r="BM124" s="492"/>
      <c r="BN124" s="492"/>
      <c r="BO124" s="492"/>
      <c r="BP124" s="492"/>
      <c r="BQ124" s="499" t="e">
        <f>SUM(BR124:BT124)</f>
        <v>#REF!</v>
      </c>
      <c r="BR124" s="499"/>
      <c r="BS124" s="499" t="e">
        <f>AD124</f>
        <v>#REF!</v>
      </c>
      <c r="BT124" s="499"/>
      <c r="BW124" s="241"/>
    </row>
    <row r="125" spans="1:75" ht="9" customHeight="1">
      <c r="A125" s="490"/>
      <c r="B125" s="492"/>
      <c r="C125" s="492" t="s">
        <v>67</v>
      </c>
      <c r="D125" s="492"/>
      <c r="E125" s="492"/>
      <c r="F125" s="492"/>
      <c r="G125" s="497"/>
      <c r="H125" s="497"/>
      <c r="I125" s="497"/>
      <c r="J125" s="497"/>
      <c r="K125" s="492"/>
      <c r="L125" s="492"/>
      <c r="M125" s="492"/>
      <c r="N125" s="1493">
        <f>'기계경비(OLD)'!$BU$254</f>
        <v>59025</v>
      </c>
      <c r="O125" s="1494"/>
      <c r="P125" s="1494"/>
      <c r="Q125" s="1494"/>
      <c r="R125" s="1494"/>
      <c r="S125" s="1494"/>
      <c r="T125" s="1494"/>
      <c r="U125" s="1494"/>
      <c r="V125" s="507" t="s">
        <v>99</v>
      </c>
      <c r="W125" s="497"/>
      <c r="X125" s="1495" t="s">
        <v>551</v>
      </c>
      <c r="Y125" s="1494"/>
      <c r="Z125" s="1494"/>
      <c r="AA125" s="1494"/>
      <c r="AB125" s="507" t="s">
        <v>103</v>
      </c>
      <c r="AC125" s="497"/>
      <c r="AD125" s="1495">
        <f>INT(N125/200)</f>
        <v>295</v>
      </c>
      <c r="AE125" s="1494"/>
      <c r="AF125" s="1494"/>
      <c r="AG125" s="1494"/>
      <c r="AH125" s="1494"/>
      <c r="AI125" s="1494"/>
      <c r="AJ125" s="1494"/>
      <c r="AK125" s="492"/>
      <c r="AL125" s="492"/>
      <c r="AM125" s="492"/>
      <c r="AN125" s="492"/>
      <c r="AO125" s="492"/>
      <c r="AP125" s="492"/>
      <c r="AQ125" s="492"/>
      <c r="AR125" s="492"/>
      <c r="AS125" s="492"/>
      <c r="AT125" s="492"/>
      <c r="AU125" s="492"/>
      <c r="AV125" s="492"/>
      <c r="AW125" s="492"/>
      <c r="AX125" s="492"/>
      <c r="AY125" s="492"/>
      <c r="AZ125" s="492"/>
      <c r="BA125" s="492"/>
      <c r="BB125" s="492"/>
      <c r="BC125" s="492"/>
      <c r="BD125" s="492"/>
      <c r="BE125" s="492"/>
      <c r="BF125" s="492"/>
      <c r="BG125" s="492"/>
      <c r="BH125" s="492"/>
      <c r="BI125" s="492"/>
      <c r="BJ125" s="492"/>
      <c r="BK125" s="492"/>
      <c r="BL125" s="492"/>
      <c r="BM125" s="492"/>
      <c r="BN125" s="492"/>
      <c r="BO125" s="492"/>
      <c r="BP125" s="492"/>
      <c r="BQ125" s="499">
        <f>SUM(BR125:BT125)</f>
        <v>295</v>
      </c>
      <c r="BR125" s="499">
        <f>AD125</f>
        <v>295</v>
      </c>
      <c r="BS125" s="499"/>
      <c r="BT125" s="499"/>
      <c r="BW125" s="241"/>
    </row>
    <row r="126" spans="1:75" ht="9" customHeight="1">
      <c r="A126" s="490"/>
      <c r="B126" s="492"/>
      <c r="C126" s="492" t="s">
        <v>68</v>
      </c>
      <c r="D126" s="492"/>
      <c r="E126" s="492"/>
      <c r="F126" s="492"/>
      <c r="G126" s="492"/>
      <c r="H126" s="492"/>
      <c r="I126" s="492"/>
      <c r="J126" s="492"/>
      <c r="K126" s="492"/>
      <c r="L126" s="492"/>
      <c r="M126" s="492"/>
      <c r="N126" s="1493">
        <f>'기계경비(OLD)'!$BN$265</f>
        <v>11830</v>
      </c>
      <c r="O126" s="1494"/>
      <c r="P126" s="1494"/>
      <c r="Q126" s="1494"/>
      <c r="R126" s="1494"/>
      <c r="S126" s="1494"/>
      <c r="T126" s="1494"/>
      <c r="U126" s="1494"/>
      <c r="V126" s="507" t="s">
        <v>99</v>
      </c>
      <c r="W126" s="497"/>
      <c r="X126" s="1495" t="s">
        <v>551</v>
      </c>
      <c r="Y126" s="1494"/>
      <c r="Z126" s="1494"/>
      <c r="AA126" s="1494"/>
      <c r="AB126" s="507" t="s">
        <v>103</v>
      </c>
      <c r="AC126" s="497"/>
      <c r="AD126" s="1495">
        <f>INT(N126/200)</f>
        <v>59</v>
      </c>
      <c r="AE126" s="1494"/>
      <c r="AF126" s="1494"/>
      <c r="AG126" s="1494"/>
      <c r="AH126" s="1494"/>
      <c r="AI126" s="1494"/>
      <c r="AJ126" s="1494"/>
      <c r="AK126" s="492"/>
      <c r="AL126" s="492"/>
      <c r="AM126" s="492"/>
      <c r="AN126" s="492"/>
      <c r="AO126" s="492"/>
      <c r="AP126" s="492"/>
      <c r="AQ126" s="492"/>
      <c r="AR126" s="492"/>
      <c r="AS126" s="492"/>
      <c r="AT126" s="492"/>
      <c r="AU126" s="492"/>
      <c r="AV126" s="492"/>
      <c r="AW126" s="492"/>
      <c r="AX126" s="492"/>
      <c r="AY126" s="492"/>
      <c r="AZ126" s="492"/>
      <c r="BA126" s="492"/>
      <c r="BB126" s="492"/>
      <c r="BC126" s="492"/>
      <c r="BD126" s="492"/>
      <c r="BE126" s="492"/>
      <c r="BF126" s="492"/>
      <c r="BG126" s="492"/>
      <c r="BH126" s="492"/>
      <c r="BI126" s="492"/>
      <c r="BJ126" s="492"/>
      <c r="BK126" s="492"/>
      <c r="BL126" s="492"/>
      <c r="BM126" s="492"/>
      <c r="BN126" s="492"/>
      <c r="BO126" s="492"/>
      <c r="BP126" s="492"/>
      <c r="BQ126" s="499">
        <f>SUM(BR126:BT126)</f>
        <v>59</v>
      </c>
      <c r="BR126" s="499"/>
      <c r="BS126" s="499"/>
      <c r="BT126" s="499">
        <f>AD126</f>
        <v>59</v>
      </c>
    </row>
    <row r="127" spans="1:75" ht="9" customHeight="1">
      <c r="A127" s="490"/>
      <c r="B127" s="492"/>
      <c r="C127" s="492" t="s">
        <v>63</v>
      </c>
      <c r="D127" s="492"/>
      <c r="E127" s="492"/>
      <c r="F127" s="492"/>
      <c r="G127" s="492"/>
      <c r="H127" s="492"/>
      <c r="I127" s="492"/>
      <c r="J127" s="492"/>
      <c r="K127" s="492"/>
      <c r="L127" s="502"/>
      <c r="M127" s="492"/>
      <c r="N127" s="492"/>
      <c r="O127" s="492"/>
      <c r="P127" s="492"/>
      <c r="Q127" s="492"/>
      <c r="R127" s="492"/>
      <c r="S127" s="492"/>
      <c r="T127" s="496"/>
      <c r="U127" s="492"/>
      <c r="V127" s="492"/>
      <c r="W127" s="492"/>
      <c r="X127" s="492"/>
      <c r="Y127" s="492"/>
      <c r="Z127" s="492"/>
      <c r="AA127" s="492"/>
      <c r="AB127" s="492"/>
      <c r="AC127" s="492"/>
      <c r="AD127" s="492"/>
      <c r="AE127" s="492"/>
      <c r="AF127" s="492"/>
      <c r="AG127" s="492"/>
      <c r="AH127" s="492"/>
      <c r="AI127" s="496"/>
      <c r="AJ127" s="492"/>
      <c r="AK127" s="492"/>
      <c r="AL127" s="492"/>
      <c r="AM127" s="492"/>
      <c r="AN127" s="492"/>
      <c r="AO127" s="492"/>
      <c r="AP127" s="492"/>
      <c r="AQ127" s="492"/>
      <c r="AR127" s="492"/>
      <c r="AS127" s="492"/>
      <c r="AT127" s="492"/>
      <c r="AU127" s="492"/>
      <c r="AV127" s="492"/>
      <c r="AW127" s="492"/>
      <c r="AX127" s="492"/>
      <c r="AY127" s="492"/>
      <c r="AZ127" s="492"/>
      <c r="BA127" s="492"/>
      <c r="BB127" s="492"/>
      <c r="BC127" s="492"/>
      <c r="BD127" s="492"/>
      <c r="BE127" s="492"/>
      <c r="BF127" s="492"/>
      <c r="BG127" s="492"/>
      <c r="BH127" s="492"/>
      <c r="BI127" s="492"/>
      <c r="BJ127" s="492"/>
      <c r="BK127" s="492"/>
      <c r="BL127" s="492"/>
      <c r="BM127" s="492"/>
      <c r="BN127" s="492"/>
      <c r="BO127" s="492"/>
      <c r="BP127" s="492"/>
      <c r="BQ127" s="503" t="e">
        <f>SUM(BR127:BT127)</f>
        <v>#REF!</v>
      </c>
      <c r="BR127" s="503">
        <f>SUM(BR124:BR126)</f>
        <v>295</v>
      </c>
      <c r="BS127" s="503" t="e">
        <f>SUM(BS124:BS126)</f>
        <v>#REF!</v>
      </c>
      <c r="BT127" s="503">
        <f>SUM(BT124:BT126)</f>
        <v>59</v>
      </c>
    </row>
    <row r="128" spans="1:75" ht="9" customHeight="1">
      <c r="A128" s="490"/>
      <c r="B128" s="492"/>
      <c r="C128" s="492" t="s">
        <v>816</v>
      </c>
      <c r="D128" s="492"/>
      <c r="E128" s="492"/>
      <c r="F128" s="492"/>
      <c r="G128" s="492"/>
      <c r="H128" s="492"/>
      <c r="I128" s="492"/>
      <c r="J128" s="492"/>
      <c r="K128" s="492"/>
      <c r="L128" s="502"/>
      <c r="M128" s="492"/>
      <c r="N128" s="492"/>
      <c r="O128" s="492"/>
      <c r="P128" s="492"/>
      <c r="Q128" s="492"/>
      <c r="R128" s="492"/>
      <c r="S128" s="492"/>
      <c r="T128" s="496"/>
      <c r="U128" s="492"/>
      <c r="V128" s="492"/>
      <c r="W128" s="1496" t="s">
        <v>817</v>
      </c>
      <c r="X128" s="1496"/>
      <c r="Y128" s="1496"/>
      <c r="Z128" s="1496"/>
      <c r="AA128" s="1496"/>
      <c r="AB128" s="1496"/>
      <c r="AC128" s="1496"/>
      <c r="AD128" s="1496"/>
      <c r="AE128" s="1496"/>
      <c r="AF128" s="1496"/>
      <c r="AG128" s="1496"/>
      <c r="AH128" s="492"/>
      <c r="AI128" s="496"/>
      <c r="AJ128" s="492"/>
      <c r="AK128" s="492"/>
      <c r="AL128" s="492"/>
      <c r="AM128" s="492"/>
      <c r="AN128" s="492"/>
      <c r="AO128" s="492"/>
      <c r="AP128" s="492"/>
      <c r="AQ128" s="492"/>
      <c r="AR128" s="492"/>
      <c r="AS128" s="492"/>
      <c r="AT128" s="492"/>
      <c r="AU128" s="492"/>
      <c r="AV128" s="492"/>
      <c r="AW128" s="492"/>
      <c r="AX128" s="492"/>
      <c r="AY128" s="492"/>
      <c r="AZ128" s="492"/>
      <c r="BA128" s="492"/>
      <c r="BB128" s="492"/>
      <c r="BC128" s="492"/>
      <c r="BD128" s="492"/>
      <c r="BE128" s="492"/>
      <c r="BF128" s="492"/>
      <c r="BG128" s="492"/>
      <c r="BH128" s="492"/>
      <c r="BI128" s="492"/>
      <c r="BJ128" s="492"/>
      <c r="BK128" s="492"/>
      <c r="BL128" s="492"/>
      <c r="BM128" s="492"/>
      <c r="BN128" s="492"/>
      <c r="BO128" s="492"/>
      <c r="BP128" s="492"/>
      <c r="BQ128" s="499"/>
      <c r="BR128" s="499"/>
      <c r="BS128" s="499"/>
      <c r="BT128" s="499"/>
    </row>
    <row r="129" spans="1:75" ht="9" customHeight="1">
      <c r="A129" s="490"/>
      <c r="B129" s="492"/>
      <c r="C129" s="1497" t="s">
        <v>549</v>
      </c>
      <c r="D129" s="1498"/>
      <c r="E129" s="1498"/>
      <c r="F129" s="1498"/>
      <c r="G129" s="1498"/>
      <c r="H129" s="1498"/>
      <c r="I129" s="1498"/>
      <c r="J129" s="1498"/>
      <c r="K129" s="1498"/>
      <c r="L129" s="1498"/>
      <c r="M129" s="1498"/>
      <c r="N129" s="1498"/>
      <c r="O129" s="1498"/>
      <c r="P129" s="1498"/>
      <c r="Q129" s="1498"/>
      <c r="R129" s="1498"/>
      <c r="S129" s="1498"/>
      <c r="T129" s="1498"/>
      <c r="U129" s="1498"/>
      <c r="V129" s="1498"/>
      <c r="W129" s="1498"/>
      <c r="X129" s="1498"/>
      <c r="Y129" s="1498"/>
      <c r="Z129" s="1498"/>
      <c r="AA129" s="1498"/>
      <c r="AB129" s="1498"/>
      <c r="AC129" s="1498"/>
      <c r="AD129" s="1498"/>
      <c r="AE129" s="1498"/>
      <c r="AF129" s="1498"/>
      <c r="AG129" s="1498"/>
      <c r="AH129" s="1498"/>
      <c r="AI129" s="1498"/>
      <c r="AJ129" s="1498"/>
      <c r="AK129" s="1498"/>
      <c r="AL129" s="1498"/>
      <c r="AM129" s="1498"/>
      <c r="AN129" s="1498"/>
      <c r="AO129" s="1498"/>
      <c r="AP129" s="498"/>
      <c r="AQ129" s="498"/>
      <c r="AR129" s="498"/>
      <c r="AS129" s="492"/>
      <c r="AT129" s="492"/>
      <c r="AU129" s="492"/>
      <c r="AV129" s="492"/>
      <c r="AW129" s="492"/>
      <c r="AX129" s="492"/>
      <c r="AY129" s="492"/>
      <c r="AZ129" s="492"/>
      <c r="BA129" s="492"/>
      <c r="BB129" s="492"/>
      <c r="BC129" s="492"/>
      <c r="BD129" s="492"/>
      <c r="BE129" s="492"/>
      <c r="BF129" s="492"/>
      <c r="BG129" s="492"/>
      <c r="BH129" s="492"/>
      <c r="BI129" s="492"/>
      <c r="BJ129" s="492"/>
      <c r="BK129" s="492"/>
      <c r="BL129" s="492"/>
      <c r="BM129" s="492"/>
      <c r="BN129" s="492"/>
      <c r="BO129" s="492"/>
      <c r="BP129" s="492"/>
      <c r="BQ129" s="499"/>
      <c r="BR129" s="499"/>
      <c r="BS129" s="499"/>
      <c r="BT129" s="499"/>
    </row>
    <row r="130" spans="1:75" ht="9" customHeight="1">
      <c r="A130" s="490"/>
      <c r="B130" s="492"/>
      <c r="C130" s="1497" t="s">
        <v>550</v>
      </c>
      <c r="D130" s="1498"/>
      <c r="E130" s="1498"/>
      <c r="F130" s="1498"/>
      <c r="G130" s="1498"/>
      <c r="H130" s="1498"/>
      <c r="I130" s="1498"/>
      <c r="J130" s="1498"/>
      <c r="K130" s="1498"/>
      <c r="L130" s="1498"/>
      <c r="M130" s="1498"/>
      <c r="N130" s="1498"/>
      <c r="O130" s="1498"/>
      <c r="P130" s="1498"/>
      <c r="Q130" s="1498"/>
      <c r="R130" s="1498"/>
      <c r="S130" s="1498"/>
      <c r="T130" s="1498"/>
      <c r="U130" s="1498"/>
      <c r="V130" s="1498"/>
      <c r="W130" s="1498"/>
      <c r="X130" s="1498"/>
      <c r="Y130" s="1498"/>
      <c r="Z130" s="1498"/>
      <c r="AA130" s="1498"/>
      <c r="AB130" s="1498"/>
      <c r="AC130" s="1498"/>
      <c r="AD130" s="1498"/>
      <c r="AE130" s="1498"/>
      <c r="AF130" s="1498"/>
      <c r="AG130" s="1498"/>
      <c r="AH130" s="1498"/>
      <c r="AI130" s="1498"/>
      <c r="AJ130" s="1498"/>
      <c r="AK130" s="1498"/>
      <c r="AL130" s="1498"/>
      <c r="AM130" s="1498"/>
      <c r="AN130" s="1498"/>
      <c r="AO130" s="1498"/>
      <c r="AP130" s="498"/>
      <c r="AQ130" s="498"/>
      <c r="AR130" s="498"/>
      <c r="AS130" s="492"/>
      <c r="AT130" s="492"/>
      <c r="AU130" s="492"/>
      <c r="AV130" s="492"/>
      <c r="AW130" s="492"/>
      <c r="AX130" s="492"/>
      <c r="AY130" s="492"/>
      <c r="AZ130" s="492"/>
      <c r="BA130" s="492"/>
      <c r="BB130" s="492"/>
      <c r="BC130" s="492"/>
      <c r="BD130" s="492"/>
      <c r="BE130" s="492"/>
      <c r="BF130" s="492"/>
      <c r="BG130" s="492"/>
      <c r="BH130" s="492"/>
      <c r="BI130" s="492"/>
      <c r="BJ130" s="492"/>
      <c r="BK130" s="492"/>
      <c r="BL130" s="492"/>
      <c r="BM130" s="492"/>
      <c r="BN130" s="492"/>
      <c r="BO130" s="492"/>
      <c r="BP130" s="492"/>
      <c r="BQ130" s="499"/>
      <c r="BR130" s="499"/>
      <c r="BS130" s="499"/>
      <c r="BT130" s="499"/>
    </row>
    <row r="131" spans="1:75" ht="9" customHeight="1">
      <c r="A131" s="490"/>
      <c r="B131" s="492"/>
      <c r="C131" s="492" t="s">
        <v>66</v>
      </c>
      <c r="D131" s="492"/>
      <c r="E131" s="492"/>
      <c r="F131" s="492"/>
      <c r="G131" s="497"/>
      <c r="H131" s="497"/>
      <c r="I131" s="497"/>
      <c r="J131" s="497"/>
      <c r="K131" s="497"/>
      <c r="L131" s="492"/>
      <c r="M131" s="492"/>
      <c r="N131" s="1493" t="e">
        <f>'기계경비(OLD)'!$AT$396</f>
        <v>#REF!</v>
      </c>
      <c r="O131" s="1494"/>
      <c r="P131" s="1494"/>
      <c r="Q131" s="1494"/>
      <c r="R131" s="1494"/>
      <c r="S131" s="1494"/>
      <c r="T131" s="1494"/>
      <c r="U131" s="1494"/>
      <c r="V131" s="507" t="s">
        <v>99</v>
      </c>
      <c r="W131" s="497"/>
      <c r="X131" s="1495" t="s">
        <v>551</v>
      </c>
      <c r="Y131" s="1494"/>
      <c r="Z131" s="1494"/>
      <c r="AA131" s="1494"/>
      <c r="AB131" s="507" t="s">
        <v>103</v>
      </c>
      <c r="AC131" s="497"/>
      <c r="AD131" s="1495" t="e">
        <f>INT(N131/200)</f>
        <v>#REF!</v>
      </c>
      <c r="AE131" s="1494"/>
      <c r="AF131" s="1494"/>
      <c r="AG131" s="1494"/>
      <c r="AH131" s="1494"/>
      <c r="AI131" s="1494"/>
      <c r="AJ131" s="1494"/>
      <c r="AK131" s="492"/>
      <c r="AL131" s="492"/>
      <c r="AM131" s="492"/>
      <c r="AN131" s="492"/>
      <c r="AO131" s="492"/>
      <c r="AP131" s="492"/>
      <c r="AQ131" s="492"/>
      <c r="AR131" s="492"/>
      <c r="AS131" s="492"/>
      <c r="AT131" s="492"/>
      <c r="AU131" s="492"/>
      <c r="AV131" s="492"/>
      <c r="AW131" s="492"/>
      <c r="AX131" s="492"/>
      <c r="AY131" s="492"/>
      <c r="AZ131" s="492"/>
      <c r="BA131" s="492"/>
      <c r="BB131" s="492"/>
      <c r="BC131" s="492"/>
      <c r="BD131" s="492"/>
      <c r="BE131" s="492"/>
      <c r="BF131" s="492"/>
      <c r="BG131" s="492"/>
      <c r="BH131" s="492"/>
      <c r="BI131" s="492"/>
      <c r="BJ131" s="492"/>
      <c r="BK131" s="492"/>
      <c r="BL131" s="492"/>
      <c r="BM131" s="492"/>
      <c r="BN131" s="492"/>
      <c r="BO131" s="492"/>
      <c r="BP131" s="492"/>
      <c r="BQ131" s="499" t="e">
        <f>SUM(BR131:BT131)</f>
        <v>#REF!</v>
      </c>
      <c r="BR131" s="499"/>
      <c r="BS131" s="499" t="e">
        <f>AD131</f>
        <v>#REF!</v>
      </c>
      <c r="BT131" s="499"/>
      <c r="BW131" s="241"/>
    </row>
    <row r="132" spans="1:75" ht="9" customHeight="1">
      <c r="A132" s="490"/>
      <c r="B132" s="492"/>
      <c r="C132" s="492" t="s">
        <v>67</v>
      </c>
      <c r="D132" s="492"/>
      <c r="E132" s="492"/>
      <c r="F132" s="492"/>
      <c r="G132" s="497"/>
      <c r="H132" s="497"/>
      <c r="I132" s="497"/>
      <c r="J132" s="497"/>
      <c r="K132" s="492"/>
      <c r="L132" s="492"/>
      <c r="M132" s="492"/>
      <c r="N132" s="1493">
        <f>'기계경비(OLD)'!$BU$390</f>
        <v>59025</v>
      </c>
      <c r="O132" s="1494"/>
      <c r="P132" s="1494"/>
      <c r="Q132" s="1494"/>
      <c r="R132" s="1494"/>
      <c r="S132" s="1494"/>
      <c r="T132" s="1494"/>
      <c r="U132" s="1494"/>
      <c r="V132" s="507" t="s">
        <v>99</v>
      </c>
      <c r="W132" s="497"/>
      <c r="X132" s="1495" t="s">
        <v>551</v>
      </c>
      <c r="Y132" s="1494"/>
      <c r="Z132" s="1494"/>
      <c r="AA132" s="1494"/>
      <c r="AB132" s="507" t="s">
        <v>103</v>
      </c>
      <c r="AC132" s="497"/>
      <c r="AD132" s="1495">
        <f>INT(N132/200)</f>
        <v>295</v>
      </c>
      <c r="AE132" s="1494"/>
      <c r="AF132" s="1494"/>
      <c r="AG132" s="1494"/>
      <c r="AH132" s="1494"/>
      <c r="AI132" s="1494"/>
      <c r="AJ132" s="1494"/>
      <c r="AK132" s="492"/>
      <c r="AL132" s="492"/>
      <c r="AM132" s="492"/>
      <c r="AN132" s="492"/>
      <c r="AO132" s="492"/>
      <c r="AP132" s="492"/>
      <c r="AQ132" s="492"/>
      <c r="AR132" s="492"/>
      <c r="AS132" s="492"/>
      <c r="AT132" s="492"/>
      <c r="AU132" s="492"/>
      <c r="AV132" s="492"/>
      <c r="AW132" s="492"/>
      <c r="AX132" s="492"/>
      <c r="AY132" s="492"/>
      <c r="AZ132" s="492"/>
      <c r="BA132" s="492"/>
      <c r="BB132" s="492"/>
      <c r="BC132" s="492"/>
      <c r="BD132" s="492"/>
      <c r="BE132" s="492"/>
      <c r="BF132" s="492"/>
      <c r="BG132" s="492"/>
      <c r="BH132" s="492"/>
      <c r="BI132" s="492"/>
      <c r="BJ132" s="492"/>
      <c r="BK132" s="492"/>
      <c r="BL132" s="492"/>
      <c r="BM132" s="492"/>
      <c r="BN132" s="492"/>
      <c r="BO132" s="492"/>
      <c r="BP132" s="492"/>
      <c r="BQ132" s="499">
        <f>SUM(BR132:BT132)</f>
        <v>295</v>
      </c>
      <c r="BR132" s="499">
        <f>AD132</f>
        <v>295</v>
      </c>
      <c r="BS132" s="499"/>
      <c r="BT132" s="499"/>
      <c r="BW132" s="241"/>
    </row>
    <row r="133" spans="1:75" ht="9" customHeight="1">
      <c r="A133" s="490"/>
      <c r="B133" s="492"/>
      <c r="C133" s="492" t="s">
        <v>68</v>
      </c>
      <c r="D133" s="492"/>
      <c r="E133" s="492"/>
      <c r="F133" s="492"/>
      <c r="G133" s="492"/>
      <c r="H133" s="492"/>
      <c r="I133" s="492"/>
      <c r="J133" s="492"/>
      <c r="K133" s="492"/>
      <c r="L133" s="492"/>
      <c r="M133" s="492"/>
      <c r="N133" s="1493">
        <f>'기계경비(OLD)'!$BN$400</f>
        <v>8709</v>
      </c>
      <c r="O133" s="1494"/>
      <c r="P133" s="1494"/>
      <c r="Q133" s="1494"/>
      <c r="R133" s="1494"/>
      <c r="S133" s="1494"/>
      <c r="T133" s="1494"/>
      <c r="U133" s="1494"/>
      <c r="V133" s="507" t="s">
        <v>99</v>
      </c>
      <c r="W133" s="497"/>
      <c r="X133" s="1495" t="s">
        <v>551</v>
      </c>
      <c r="Y133" s="1494"/>
      <c r="Z133" s="1494"/>
      <c r="AA133" s="1494"/>
      <c r="AB133" s="507" t="s">
        <v>103</v>
      </c>
      <c r="AC133" s="497"/>
      <c r="AD133" s="1495">
        <f>INT(N133/200)</f>
        <v>43</v>
      </c>
      <c r="AE133" s="1494"/>
      <c r="AF133" s="1494"/>
      <c r="AG133" s="1494"/>
      <c r="AH133" s="1494"/>
      <c r="AI133" s="1494"/>
      <c r="AJ133" s="1494"/>
      <c r="AK133" s="492"/>
      <c r="AL133" s="492"/>
      <c r="AM133" s="492"/>
      <c r="AN133" s="492"/>
      <c r="AO133" s="492"/>
      <c r="AP133" s="492"/>
      <c r="AQ133" s="492"/>
      <c r="AR133" s="492"/>
      <c r="AS133" s="492"/>
      <c r="AT133" s="492"/>
      <c r="AU133" s="492"/>
      <c r="AV133" s="492"/>
      <c r="AW133" s="492"/>
      <c r="AX133" s="492"/>
      <c r="AY133" s="492"/>
      <c r="AZ133" s="492"/>
      <c r="BA133" s="492"/>
      <c r="BB133" s="492"/>
      <c r="BC133" s="492"/>
      <c r="BD133" s="492"/>
      <c r="BE133" s="492"/>
      <c r="BF133" s="492"/>
      <c r="BG133" s="492"/>
      <c r="BH133" s="492"/>
      <c r="BI133" s="492"/>
      <c r="BJ133" s="492"/>
      <c r="BK133" s="492"/>
      <c r="BL133" s="492"/>
      <c r="BM133" s="492"/>
      <c r="BN133" s="492"/>
      <c r="BO133" s="492"/>
      <c r="BP133" s="492"/>
      <c r="BQ133" s="499">
        <f>SUM(BR133:BT133)</f>
        <v>43</v>
      </c>
      <c r="BR133" s="499"/>
      <c r="BS133" s="499"/>
      <c r="BT133" s="499">
        <f>AD133</f>
        <v>43</v>
      </c>
    </row>
    <row r="134" spans="1:75" ht="9" customHeight="1">
      <c r="A134" s="490"/>
      <c r="B134" s="492"/>
      <c r="C134" s="492" t="s">
        <v>63</v>
      </c>
      <c r="D134" s="492"/>
      <c r="E134" s="492"/>
      <c r="F134" s="492"/>
      <c r="G134" s="492"/>
      <c r="H134" s="492"/>
      <c r="I134" s="492"/>
      <c r="J134" s="492"/>
      <c r="K134" s="492"/>
      <c r="L134" s="502"/>
      <c r="M134" s="492"/>
      <c r="N134" s="492"/>
      <c r="O134" s="492"/>
      <c r="P134" s="492"/>
      <c r="Q134" s="492"/>
      <c r="R134" s="492"/>
      <c r="S134" s="492"/>
      <c r="T134" s="496"/>
      <c r="U134" s="492"/>
      <c r="V134" s="492"/>
      <c r="W134" s="492"/>
      <c r="X134" s="492"/>
      <c r="Y134" s="492"/>
      <c r="Z134" s="492"/>
      <c r="AA134" s="492"/>
      <c r="AB134" s="492"/>
      <c r="AC134" s="492"/>
      <c r="AD134" s="492"/>
      <c r="AE134" s="492"/>
      <c r="AF134" s="492"/>
      <c r="AG134" s="492"/>
      <c r="AH134" s="492"/>
      <c r="AI134" s="496"/>
      <c r="AJ134" s="492"/>
      <c r="AK134" s="492"/>
      <c r="AL134" s="492"/>
      <c r="AM134" s="492"/>
      <c r="AN134" s="492"/>
      <c r="AO134" s="492"/>
      <c r="AP134" s="492"/>
      <c r="AQ134" s="492"/>
      <c r="AR134" s="492"/>
      <c r="AS134" s="492"/>
      <c r="AT134" s="492"/>
      <c r="AU134" s="492"/>
      <c r="AV134" s="492"/>
      <c r="AW134" s="492"/>
      <c r="AX134" s="492"/>
      <c r="AY134" s="492"/>
      <c r="AZ134" s="492"/>
      <c r="BA134" s="492"/>
      <c r="BB134" s="492"/>
      <c r="BC134" s="492"/>
      <c r="BD134" s="492"/>
      <c r="BE134" s="492"/>
      <c r="BF134" s="492"/>
      <c r="BG134" s="492"/>
      <c r="BH134" s="492"/>
      <c r="BI134" s="492"/>
      <c r="BJ134" s="492"/>
      <c r="BK134" s="492"/>
      <c r="BL134" s="492"/>
      <c r="BM134" s="492"/>
      <c r="BN134" s="492"/>
      <c r="BO134" s="492"/>
      <c r="BP134" s="492"/>
      <c r="BQ134" s="503" t="e">
        <f>SUM(BR134:BT134)</f>
        <v>#REF!</v>
      </c>
      <c r="BR134" s="503">
        <f>SUM(BR131:BR133)</f>
        <v>295</v>
      </c>
      <c r="BS134" s="503" t="e">
        <f>SUM(BS131:BS133)</f>
        <v>#REF!</v>
      </c>
      <c r="BT134" s="503">
        <f>SUM(BT131:BT133)</f>
        <v>43</v>
      </c>
    </row>
    <row r="135" spans="1:75" ht="9" customHeight="1">
      <c r="A135" s="490"/>
      <c r="B135" s="492" t="s">
        <v>553</v>
      </c>
      <c r="C135" s="492"/>
      <c r="D135" s="492"/>
      <c r="E135" s="492"/>
      <c r="F135" s="492"/>
      <c r="G135" s="492"/>
      <c r="H135" s="492"/>
      <c r="I135" s="492"/>
      <c r="J135" s="492"/>
      <c r="K135" s="492"/>
      <c r="L135" s="502"/>
      <c r="M135" s="492"/>
      <c r="N135" s="492"/>
      <c r="O135" s="492"/>
      <c r="P135" s="492"/>
      <c r="Q135" s="492"/>
      <c r="R135" s="492"/>
      <c r="S135" s="492"/>
      <c r="T135" s="496"/>
      <c r="U135" s="492"/>
      <c r="V135" s="492"/>
      <c r="W135" s="492"/>
      <c r="X135" s="492"/>
      <c r="Y135" s="492"/>
      <c r="Z135" s="492"/>
      <c r="AA135" s="492"/>
      <c r="AB135" s="492"/>
      <c r="AC135" s="492"/>
      <c r="AD135" s="492"/>
      <c r="AE135" s="492"/>
      <c r="AF135" s="492"/>
      <c r="AG135" s="492"/>
      <c r="AH135" s="492"/>
      <c r="AI135" s="492"/>
      <c r="AJ135" s="492"/>
      <c r="AK135" s="492"/>
      <c r="AL135" s="492"/>
      <c r="AM135" s="492"/>
      <c r="AN135" s="492"/>
      <c r="AO135" s="492"/>
      <c r="AP135" s="492"/>
      <c r="AQ135" s="492"/>
      <c r="AR135" s="492"/>
      <c r="AS135" s="492"/>
      <c r="AT135" s="492"/>
      <c r="AU135" s="492"/>
      <c r="AV135" s="492"/>
      <c r="AW135" s="492"/>
      <c r="AX135" s="492"/>
      <c r="AY135" s="492"/>
      <c r="AZ135" s="492"/>
      <c r="BA135" s="492"/>
      <c r="BB135" s="492"/>
      <c r="BC135" s="492"/>
      <c r="BD135" s="492"/>
      <c r="BE135" s="492"/>
      <c r="BF135" s="492"/>
      <c r="BG135" s="492"/>
      <c r="BH135" s="492"/>
      <c r="BI135" s="492"/>
      <c r="BJ135" s="492"/>
      <c r="BK135" s="492"/>
      <c r="BL135" s="492"/>
      <c r="BM135" s="492"/>
      <c r="BN135" s="492"/>
      <c r="BO135" s="492"/>
      <c r="BP135" s="492"/>
      <c r="BQ135" s="499"/>
      <c r="BR135" s="499"/>
      <c r="BS135" s="499"/>
      <c r="BT135" s="499"/>
    </row>
    <row r="136" spans="1:75" ht="9" customHeight="1">
      <c r="A136" s="490"/>
      <c r="B136" s="492"/>
      <c r="C136" s="492" t="s">
        <v>554</v>
      </c>
      <c r="D136" s="492"/>
      <c r="E136" s="492"/>
      <c r="F136" s="492"/>
      <c r="G136" s="492"/>
      <c r="H136" s="492"/>
      <c r="I136" s="492"/>
      <c r="J136" s="492"/>
      <c r="K136" s="492"/>
      <c r="L136" s="502"/>
      <c r="M136" s="1509" t="s">
        <v>671</v>
      </c>
      <c r="N136" s="1510"/>
      <c r="O136" s="1510"/>
      <c r="P136" s="1510"/>
      <c r="Q136" s="1510"/>
      <c r="R136" s="1510"/>
      <c r="S136" s="1510"/>
      <c r="T136" s="1510"/>
      <c r="U136" s="1510"/>
      <c r="V136" s="1510"/>
      <c r="W136" s="1510"/>
      <c r="X136" s="1510"/>
      <c r="Y136" s="1510"/>
      <c r="Z136" s="492"/>
      <c r="AA136" s="492"/>
      <c r="AB136" s="492"/>
      <c r="AC136" s="492"/>
      <c r="AD136" s="492"/>
      <c r="AE136" s="492"/>
      <c r="AF136" s="492"/>
      <c r="AG136" s="492"/>
      <c r="AH136" s="492"/>
      <c r="AI136" s="492"/>
      <c r="AJ136" s="492"/>
      <c r="AK136" s="492"/>
      <c r="AL136" s="492"/>
      <c r="AM136" s="492"/>
      <c r="AN136" s="492"/>
      <c r="AO136" s="492"/>
      <c r="AP136" s="492"/>
      <c r="AQ136" s="492"/>
      <c r="AR136" s="492"/>
      <c r="AS136" s="492"/>
      <c r="AT136" s="492"/>
      <c r="AU136" s="492"/>
      <c r="AV136" s="492"/>
      <c r="AW136" s="492"/>
      <c r="AX136" s="492"/>
      <c r="AY136" s="492"/>
      <c r="AZ136" s="492"/>
      <c r="BA136" s="492"/>
      <c r="BB136" s="492"/>
      <c r="BC136" s="492"/>
      <c r="BD136" s="492"/>
      <c r="BE136" s="492"/>
      <c r="BF136" s="492"/>
      <c r="BG136" s="492"/>
      <c r="BH136" s="492"/>
      <c r="BI136" s="492"/>
      <c r="BJ136" s="492"/>
      <c r="BK136" s="492"/>
      <c r="BL136" s="492"/>
      <c r="BM136" s="492"/>
      <c r="BN136" s="492"/>
      <c r="BO136" s="492"/>
      <c r="BP136" s="492"/>
      <c r="BQ136" s="499"/>
      <c r="BR136" s="499"/>
      <c r="BS136" s="499"/>
      <c r="BT136" s="499"/>
    </row>
    <row r="137" spans="1:75" ht="9" customHeight="1">
      <c r="A137" s="490"/>
      <c r="B137" s="492"/>
      <c r="C137" s="1497" t="s">
        <v>549</v>
      </c>
      <c r="D137" s="1498"/>
      <c r="E137" s="1498"/>
      <c r="F137" s="1498"/>
      <c r="G137" s="1498"/>
      <c r="H137" s="1498"/>
      <c r="I137" s="1498"/>
      <c r="J137" s="1498"/>
      <c r="K137" s="1498"/>
      <c r="L137" s="1498"/>
      <c r="M137" s="1498"/>
      <c r="N137" s="1498"/>
      <c r="O137" s="1498"/>
      <c r="P137" s="1498"/>
      <c r="Q137" s="1498"/>
      <c r="R137" s="1498"/>
      <c r="S137" s="1498"/>
      <c r="T137" s="1498"/>
      <c r="U137" s="1498"/>
      <c r="V137" s="1498"/>
      <c r="W137" s="1498"/>
      <c r="X137" s="1498"/>
      <c r="Y137" s="1498"/>
      <c r="Z137" s="1498"/>
      <c r="AA137" s="1498"/>
      <c r="AB137" s="1498"/>
      <c r="AC137" s="1498"/>
      <c r="AD137" s="1498"/>
      <c r="AE137" s="1498"/>
      <c r="AF137" s="1498"/>
      <c r="AG137" s="1498"/>
      <c r="AH137" s="1498"/>
      <c r="AI137" s="1498"/>
      <c r="AJ137" s="1498"/>
      <c r="AK137" s="1498"/>
      <c r="AL137" s="1498"/>
      <c r="AM137" s="1498"/>
      <c r="AN137" s="1498"/>
      <c r="AO137" s="1498"/>
      <c r="AP137" s="498"/>
      <c r="AQ137" s="498"/>
      <c r="AR137" s="498"/>
      <c r="AS137" s="492"/>
      <c r="AT137" s="492"/>
      <c r="AU137" s="492"/>
      <c r="AV137" s="492"/>
      <c r="AW137" s="492"/>
      <c r="AX137" s="492"/>
      <c r="AY137" s="492"/>
      <c r="AZ137" s="492"/>
      <c r="BA137" s="492"/>
      <c r="BB137" s="492"/>
      <c r="BC137" s="492"/>
      <c r="BD137" s="492"/>
      <c r="BE137" s="492"/>
      <c r="BF137" s="492"/>
      <c r="BG137" s="492"/>
      <c r="BH137" s="492"/>
      <c r="BI137" s="492"/>
      <c r="BJ137" s="492"/>
      <c r="BK137" s="492"/>
      <c r="BL137" s="492"/>
      <c r="BM137" s="492"/>
      <c r="BN137" s="492"/>
      <c r="BO137" s="492"/>
      <c r="BP137" s="492"/>
      <c r="BQ137" s="499"/>
      <c r="BR137" s="499"/>
      <c r="BS137" s="499"/>
      <c r="BT137" s="499"/>
    </row>
    <row r="138" spans="1:75" ht="9" customHeight="1">
      <c r="A138" s="490"/>
      <c r="B138" s="492"/>
      <c r="C138" s="1497" t="s">
        <v>550</v>
      </c>
      <c r="D138" s="1498"/>
      <c r="E138" s="1498"/>
      <c r="F138" s="1498"/>
      <c r="G138" s="1498"/>
      <c r="H138" s="1498"/>
      <c r="I138" s="1498"/>
      <c r="J138" s="1498"/>
      <c r="K138" s="1498"/>
      <c r="L138" s="1498"/>
      <c r="M138" s="1498"/>
      <c r="N138" s="1498"/>
      <c r="O138" s="1498"/>
      <c r="P138" s="1498"/>
      <c r="Q138" s="1498"/>
      <c r="R138" s="1498"/>
      <c r="S138" s="1498"/>
      <c r="T138" s="1498"/>
      <c r="U138" s="1498"/>
      <c r="V138" s="1498"/>
      <c r="W138" s="1498"/>
      <c r="X138" s="1498"/>
      <c r="Y138" s="1498"/>
      <c r="Z138" s="1498"/>
      <c r="AA138" s="1498"/>
      <c r="AB138" s="1498"/>
      <c r="AC138" s="1498"/>
      <c r="AD138" s="1498"/>
      <c r="AE138" s="1498"/>
      <c r="AF138" s="1498"/>
      <c r="AG138" s="1498"/>
      <c r="AH138" s="1498"/>
      <c r="AI138" s="1498"/>
      <c r="AJ138" s="1498"/>
      <c r="AK138" s="1498"/>
      <c r="AL138" s="1498"/>
      <c r="AM138" s="1498"/>
      <c r="AN138" s="1498"/>
      <c r="AO138" s="1498"/>
      <c r="AP138" s="498"/>
      <c r="AQ138" s="498"/>
      <c r="AR138" s="498"/>
      <c r="AS138" s="492"/>
      <c r="AT138" s="492"/>
      <c r="AU138" s="492"/>
      <c r="AV138" s="492"/>
      <c r="AW138" s="492"/>
      <c r="AX138" s="492"/>
      <c r="AY138" s="492"/>
      <c r="AZ138" s="492"/>
      <c r="BA138" s="492"/>
      <c r="BB138" s="492"/>
      <c r="BC138" s="492"/>
      <c r="BD138" s="492"/>
      <c r="BE138" s="492"/>
      <c r="BF138" s="492"/>
      <c r="BG138" s="492"/>
      <c r="BH138" s="492"/>
      <c r="BI138" s="492"/>
      <c r="BJ138" s="492"/>
      <c r="BK138" s="492"/>
      <c r="BL138" s="492"/>
      <c r="BM138" s="492"/>
      <c r="BN138" s="492"/>
      <c r="BO138" s="492"/>
      <c r="BP138" s="492"/>
      <c r="BQ138" s="499"/>
      <c r="BR138" s="499"/>
      <c r="BS138" s="499"/>
      <c r="BT138" s="499"/>
    </row>
    <row r="139" spans="1:75" ht="9" customHeight="1">
      <c r="A139" s="490"/>
      <c r="B139" s="492"/>
      <c r="C139" s="492"/>
      <c r="D139" s="492"/>
      <c r="E139" s="492" t="s">
        <v>66</v>
      </c>
      <c r="F139" s="492"/>
      <c r="G139" s="492"/>
      <c r="H139" s="492"/>
      <c r="I139" s="492"/>
      <c r="J139" s="492"/>
      <c r="K139" s="492"/>
      <c r="L139" s="502"/>
      <c r="M139" s="492"/>
      <c r="N139" s="492"/>
      <c r="O139" s="492"/>
      <c r="P139" s="1505" t="e">
        <f>'기계경비(OLD)'!$AT$124</f>
        <v>#REF!</v>
      </c>
      <c r="Q139" s="1506"/>
      <c r="R139" s="1506"/>
      <c r="S139" s="1506"/>
      <c r="T139" s="1506"/>
      <c r="U139" s="1506"/>
      <c r="V139" s="507" t="s">
        <v>99</v>
      </c>
      <c r="W139" s="497"/>
      <c r="X139" s="1495" t="s">
        <v>551</v>
      </c>
      <c r="Y139" s="1494"/>
      <c r="Z139" s="1494"/>
      <c r="AA139" s="1494"/>
      <c r="AB139" s="507" t="s">
        <v>103</v>
      </c>
      <c r="AC139" s="497"/>
      <c r="AD139" s="1495" t="e">
        <f>INT((P139/200)*0.5)</f>
        <v>#REF!</v>
      </c>
      <c r="AE139" s="1494"/>
      <c r="AF139" s="1494"/>
      <c r="AG139" s="1494"/>
      <c r="AH139" s="1494"/>
      <c r="AI139" s="1494"/>
      <c r="AJ139" s="1494"/>
      <c r="AK139" s="1496" t="s">
        <v>559</v>
      </c>
      <c r="AL139" s="1496"/>
      <c r="AM139" s="1496"/>
      <c r="AN139" s="1496"/>
      <c r="AO139" s="1496"/>
      <c r="AP139" s="1496"/>
      <c r="AQ139" s="1496"/>
      <c r="AR139" s="1496"/>
      <c r="AS139" s="1496"/>
      <c r="AT139" s="1496"/>
      <c r="AU139" s="1496"/>
      <c r="AV139" s="1498"/>
      <c r="AW139" s="1498"/>
      <c r="AX139" s="1498"/>
      <c r="AY139" s="1498"/>
      <c r="AZ139" s="1498"/>
      <c r="BA139" s="1498"/>
      <c r="BB139" s="1498"/>
      <c r="BC139" s="492"/>
      <c r="BD139" s="492"/>
      <c r="BE139" s="492"/>
      <c r="BF139" s="492"/>
      <c r="BG139" s="492"/>
      <c r="BH139" s="492"/>
      <c r="BI139" s="492"/>
      <c r="BJ139" s="492"/>
      <c r="BK139" s="492"/>
      <c r="BL139" s="492"/>
      <c r="BM139" s="492"/>
      <c r="BN139" s="492"/>
      <c r="BO139" s="492"/>
      <c r="BP139" s="492"/>
      <c r="BQ139" s="499" t="e">
        <f>SUM(BR139:BT139)</f>
        <v>#REF!</v>
      </c>
      <c r="BR139" s="493"/>
      <c r="BS139" s="493" t="e">
        <f>INT(AD139)</f>
        <v>#REF!</v>
      </c>
      <c r="BT139" s="493"/>
    </row>
    <row r="140" spans="1:75" ht="9" customHeight="1">
      <c r="A140" s="490"/>
      <c r="B140" s="492"/>
      <c r="C140" s="492"/>
      <c r="D140" s="492"/>
      <c r="E140" s="492" t="s">
        <v>67</v>
      </c>
      <c r="F140" s="492"/>
      <c r="G140" s="492"/>
      <c r="H140" s="492"/>
      <c r="I140" s="492"/>
      <c r="J140" s="492"/>
      <c r="K140" s="492"/>
      <c r="L140" s="502"/>
      <c r="M140" s="492"/>
      <c r="N140" s="492"/>
      <c r="O140" s="492"/>
      <c r="P140" s="1505">
        <f>'기계경비(OLD)'!$BU$119</f>
        <v>50008</v>
      </c>
      <c r="Q140" s="1506"/>
      <c r="R140" s="1506"/>
      <c r="S140" s="1506"/>
      <c r="T140" s="1506"/>
      <c r="U140" s="1506"/>
      <c r="V140" s="507" t="s">
        <v>99</v>
      </c>
      <c r="W140" s="497"/>
      <c r="X140" s="1495" t="s">
        <v>551</v>
      </c>
      <c r="Y140" s="1494"/>
      <c r="Z140" s="1494"/>
      <c r="AA140" s="1494"/>
      <c r="AB140" s="507" t="s">
        <v>103</v>
      </c>
      <c r="AC140" s="497"/>
      <c r="AD140" s="1495">
        <f>INT((P140/200)*0.5)</f>
        <v>125</v>
      </c>
      <c r="AE140" s="1494"/>
      <c r="AF140" s="1494"/>
      <c r="AG140" s="1494"/>
      <c r="AH140" s="1494"/>
      <c r="AI140" s="1494"/>
      <c r="AJ140" s="1494"/>
      <c r="AK140" s="1496" t="s">
        <v>559</v>
      </c>
      <c r="AL140" s="1496"/>
      <c r="AM140" s="1496"/>
      <c r="AN140" s="1496"/>
      <c r="AO140" s="1496"/>
      <c r="AP140" s="1496"/>
      <c r="AQ140" s="1496"/>
      <c r="AR140" s="1496"/>
      <c r="AS140" s="1496"/>
      <c r="AT140" s="1496"/>
      <c r="AU140" s="1496"/>
      <c r="AV140" s="1498"/>
      <c r="AW140" s="1498"/>
      <c r="AX140" s="1498"/>
      <c r="AY140" s="1498"/>
      <c r="AZ140" s="1498"/>
      <c r="BA140" s="1498"/>
      <c r="BB140" s="1498"/>
      <c r="BC140" s="492"/>
      <c r="BD140" s="492"/>
      <c r="BE140" s="492"/>
      <c r="BF140" s="492"/>
      <c r="BG140" s="492"/>
      <c r="BH140" s="492"/>
      <c r="BI140" s="492"/>
      <c r="BJ140" s="492"/>
      <c r="BK140" s="492"/>
      <c r="BL140" s="492"/>
      <c r="BM140" s="492"/>
      <c r="BN140" s="492"/>
      <c r="BO140" s="492"/>
      <c r="BP140" s="492"/>
      <c r="BQ140" s="499">
        <f>SUM(BR140:BT140)</f>
        <v>125</v>
      </c>
      <c r="BR140" s="493">
        <f>AD140</f>
        <v>125</v>
      </c>
      <c r="BS140" s="493"/>
      <c r="BT140" s="493"/>
    </row>
    <row r="141" spans="1:75" ht="9" customHeight="1">
      <c r="A141" s="490"/>
      <c r="B141" s="492"/>
      <c r="C141" s="492"/>
      <c r="D141" s="492"/>
      <c r="E141" s="492" t="s">
        <v>68</v>
      </c>
      <c r="F141" s="492"/>
      <c r="G141" s="492"/>
      <c r="H141" s="492"/>
      <c r="I141" s="492"/>
      <c r="J141" s="492"/>
      <c r="K141" s="492"/>
      <c r="L141" s="502"/>
      <c r="M141" s="492"/>
      <c r="N141" s="492"/>
      <c r="O141" s="492"/>
      <c r="P141" s="1505">
        <f>'기계경비(OLD)'!$BN$128</f>
        <v>9765</v>
      </c>
      <c r="Q141" s="1506"/>
      <c r="R141" s="1506"/>
      <c r="S141" s="1506"/>
      <c r="T141" s="1506"/>
      <c r="U141" s="1506"/>
      <c r="V141" s="507" t="s">
        <v>99</v>
      </c>
      <c r="W141" s="497"/>
      <c r="X141" s="1495" t="s">
        <v>551</v>
      </c>
      <c r="Y141" s="1494"/>
      <c r="Z141" s="1494"/>
      <c r="AA141" s="1494"/>
      <c r="AB141" s="507" t="s">
        <v>103</v>
      </c>
      <c r="AC141" s="497"/>
      <c r="AD141" s="1495">
        <f>INT((P141/200)*0.5)</f>
        <v>24</v>
      </c>
      <c r="AE141" s="1494"/>
      <c r="AF141" s="1494"/>
      <c r="AG141" s="1494"/>
      <c r="AH141" s="1494"/>
      <c r="AI141" s="1494"/>
      <c r="AJ141" s="1494"/>
      <c r="AK141" s="1496" t="s">
        <v>559</v>
      </c>
      <c r="AL141" s="1496"/>
      <c r="AM141" s="1496"/>
      <c r="AN141" s="1496"/>
      <c r="AO141" s="1496"/>
      <c r="AP141" s="1496"/>
      <c r="AQ141" s="1496"/>
      <c r="AR141" s="1496"/>
      <c r="AS141" s="1496"/>
      <c r="AT141" s="1496"/>
      <c r="AU141" s="1496"/>
      <c r="AV141" s="1498"/>
      <c r="AW141" s="1498"/>
      <c r="AX141" s="1498"/>
      <c r="AY141" s="1498"/>
      <c r="AZ141" s="1498"/>
      <c r="BA141" s="1498"/>
      <c r="BB141" s="1498"/>
      <c r="BC141" s="492"/>
      <c r="BD141" s="492"/>
      <c r="BE141" s="492"/>
      <c r="BF141" s="492"/>
      <c r="BG141" s="492"/>
      <c r="BH141" s="492"/>
      <c r="BI141" s="492"/>
      <c r="BJ141" s="492"/>
      <c r="BK141" s="492"/>
      <c r="BL141" s="492"/>
      <c r="BM141" s="492"/>
      <c r="BN141" s="492"/>
      <c r="BO141" s="492"/>
      <c r="BP141" s="492"/>
      <c r="BQ141" s="499">
        <f>SUM(BR141:BT141)</f>
        <v>24</v>
      </c>
      <c r="BR141" s="493"/>
      <c r="BS141" s="493"/>
      <c r="BT141" s="509">
        <f>AD141</f>
        <v>24</v>
      </c>
    </row>
    <row r="142" spans="1:75" ht="9" customHeight="1">
      <c r="A142" s="490"/>
      <c r="B142" s="492"/>
      <c r="C142" s="492" t="s">
        <v>63</v>
      </c>
      <c r="D142" s="492"/>
      <c r="E142" s="492"/>
      <c r="F142" s="492"/>
      <c r="G142" s="492"/>
      <c r="H142" s="492"/>
      <c r="I142" s="492"/>
      <c r="J142" s="492"/>
      <c r="K142" s="492"/>
      <c r="L142" s="502"/>
      <c r="M142" s="492"/>
      <c r="N142" s="492"/>
      <c r="O142" s="492"/>
      <c r="P142" s="492"/>
      <c r="Q142" s="492"/>
      <c r="R142" s="492"/>
      <c r="S142" s="492"/>
      <c r="T142" s="496"/>
      <c r="U142" s="492"/>
      <c r="V142" s="492"/>
      <c r="W142" s="492"/>
      <c r="X142" s="492"/>
      <c r="Y142" s="492"/>
      <c r="Z142" s="492"/>
      <c r="AA142" s="492"/>
      <c r="AB142" s="492"/>
      <c r="AC142" s="492"/>
      <c r="AD142" s="492"/>
      <c r="AE142" s="492"/>
      <c r="AF142" s="492"/>
      <c r="AG142" s="492"/>
      <c r="AH142" s="492"/>
      <c r="AI142" s="496"/>
      <c r="AJ142" s="492"/>
      <c r="AK142" s="492"/>
      <c r="AL142" s="492"/>
      <c r="AM142" s="492"/>
      <c r="AN142" s="492"/>
      <c r="AO142" s="492"/>
      <c r="AP142" s="492"/>
      <c r="AQ142" s="492"/>
      <c r="AR142" s="492"/>
      <c r="AS142" s="492"/>
      <c r="AT142" s="492"/>
      <c r="AU142" s="492"/>
      <c r="AV142" s="492"/>
      <c r="AW142" s="492"/>
      <c r="AX142" s="492"/>
      <c r="AY142" s="492"/>
      <c r="AZ142" s="492"/>
      <c r="BA142" s="492"/>
      <c r="BB142" s="492"/>
      <c r="BC142" s="492"/>
      <c r="BD142" s="492"/>
      <c r="BE142" s="492"/>
      <c r="BF142" s="492"/>
      <c r="BG142" s="492"/>
      <c r="BH142" s="492"/>
      <c r="BI142" s="492"/>
      <c r="BJ142" s="492"/>
      <c r="BK142" s="492"/>
      <c r="BL142" s="492"/>
      <c r="BM142" s="492"/>
      <c r="BN142" s="492"/>
      <c r="BO142" s="492"/>
      <c r="BP142" s="492"/>
      <c r="BQ142" s="503" t="e">
        <f>SUM(BR142:BT142)</f>
        <v>#REF!</v>
      </c>
      <c r="BR142" s="503">
        <f>SUM(BR135:BR141)</f>
        <v>125</v>
      </c>
      <c r="BS142" s="503" t="e">
        <f>SUM(BS135:BS141)</f>
        <v>#REF!</v>
      </c>
      <c r="BT142" s="503">
        <f>SUM(BT135:BT141)</f>
        <v>24</v>
      </c>
    </row>
    <row r="143" spans="1:75" ht="9" customHeight="1">
      <c r="A143" s="490"/>
      <c r="B143" s="492"/>
      <c r="C143" s="492"/>
      <c r="D143" s="492"/>
      <c r="E143" s="492"/>
      <c r="F143" s="492"/>
      <c r="G143" s="492"/>
      <c r="H143" s="492"/>
      <c r="I143" s="492"/>
      <c r="J143" s="492"/>
      <c r="K143" s="492"/>
      <c r="L143" s="502"/>
      <c r="M143" s="492"/>
      <c r="N143" s="492"/>
      <c r="O143" s="492"/>
      <c r="P143" s="492"/>
      <c r="Q143" s="492"/>
      <c r="R143" s="492"/>
      <c r="S143" s="492"/>
      <c r="T143" s="496"/>
      <c r="U143" s="492"/>
      <c r="V143" s="492"/>
      <c r="W143" s="492"/>
      <c r="X143" s="492"/>
      <c r="Y143" s="492"/>
      <c r="Z143" s="492"/>
      <c r="AA143" s="492"/>
      <c r="AB143" s="492"/>
      <c r="AC143" s="492"/>
      <c r="AD143" s="492"/>
      <c r="AE143" s="492"/>
      <c r="AF143" s="492"/>
      <c r="AG143" s="492"/>
      <c r="AH143" s="492"/>
      <c r="AI143" s="496"/>
      <c r="AJ143" s="492"/>
      <c r="AK143" s="492"/>
      <c r="AL143" s="492"/>
      <c r="AM143" s="492"/>
      <c r="AN143" s="492"/>
      <c r="AO143" s="492"/>
      <c r="AP143" s="492"/>
      <c r="AQ143" s="492"/>
      <c r="AR143" s="492"/>
      <c r="AS143" s="492"/>
      <c r="AT143" s="492"/>
      <c r="AU143" s="492"/>
      <c r="AV143" s="492"/>
      <c r="AW143" s="492"/>
      <c r="AX143" s="492"/>
      <c r="AY143" s="492"/>
      <c r="AZ143" s="492"/>
      <c r="BA143" s="492"/>
      <c r="BB143" s="492"/>
      <c r="BC143" s="492"/>
      <c r="BD143" s="492"/>
      <c r="BE143" s="492"/>
      <c r="BF143" s="492"/>
      <c r="BG143" s="492"/>
      <c r="BH143" s="492"/>
      <c r="BI143" s="492"/>
      <c r="BJ143" s="492"/>
      <c r="BK143" s="492"/>
      <c r="BL143" s="492"/>
      <c r="BM143" s="492"/>
      <c r="BN143" s="492"/>
      <c r="BO143" s="492"/>
      <c r="BP143" s="492"/>
      <c r="BQ143" s="499"/>
      <c r="BR143" s="499"/>
      <c r="BS143" s="499"/>
      <c r="BT143" s="499"/>
    </row>
    <row r="144" spans="1:75" ht="9" customHeight="1">
      <c r="A144" s="490"/>
      <c r="B144" s="492"/>
      <c r="C144" s="492"/>
      <c r="D144" s="492"/>
      <c r="E144" s="492"/>
      <c r="F144" s="492"/>
      <c r="G144" s="492"/>
      <c r="H144" s="492"/>
      <c r="I144" s="492"/>
      <c r="J144" s="492"/>
      <c r="K144" s="492"/>
      <c r="L144" s="502"/>
      <c r="M144" s="492"/>
      <c r="N144" s="492"/>
      <c r="O144" s="492"/>
      <c r="P144" s="492"/>
      <c r="Q144" s="492"/>
      <c r="R144" s="492"/>
      <c r="S144" s="492"/>
      <c r="T144" s="496"/>
      <c r="U144" s="492"/>
      <c r="V144" s="492"/>
      <c r="W144" s="492"/>
      <c r="X144" s="492"/>
      <c r="Y144" s="492"/>
      <c r="Z144" s="492"/>
      <c r="AA144" s="492"/>
      <c r="AB144" s="492"/>
      <c r="AC144" s="492"/>
      <c r="AD144" s="492"/>
      <c r="AE144" s="492"/>
      <c r="AF144" s="492"/>
      <c r="AG144" s="492"/>
      <c r="AH144" s="492"/>
      <c r="AI144" s="496"/>
      <c r="AJ144" s="492"/>
      <c r="AK144" s="492"/>
      <c r="AL144" s="492"/>
      <c r="AM144" s="492"/>
      <c r="AN144" s="492"/>
      <c r="AO144" s="492"/>
      <c r="AP144" s="492"/>
      <c r="AQ144" s="492"/>
      <c r="AR144" s="492"/>
      <c r="AS144" s="492"/>
      <c r="AT144" s="492"/>
      <c r="AU144" s="492"/>
      <c r="AV144" s="492"/>
      <c r="AW144" s="492"/>
      <c r="AX144" s="492"/>
      <c r="AY144" s="492"/>
      <c r="AZ144" s="492"/>
      <c r="BA144" s="492"/>
      <c r="BB144" s="492"/>
      <c r="BC144" s="492"/>
      <c r="BD144" s="492"/>
      <c r="BE144" s="492"/>
      <c r="BF144" s="492"/>
      <c r="BG144" s="492"/>
      <c r="BH144" s="492"/>
      <c r="BI144" s="492"/>
      <c r="BJ144" s="492"/>
      <c r="BK144" s="492"/>
      <c r="BL144" s="492"/>
      <c r="BM144" s="492"/>
      <c r="BN144" s="492"/>
      <c r="BO144" s="492"/>
      <c r="BP144" s="492"/>
      <c r="BQ144" s="499"/>
      <c r="BR144" s="499"/>
      <c r="BS144" s="499"/>
      <c r="BT144" s="499"/>
    </row>
    <row r="145" spans="1:75" ht="9" customHeight="1">
      <c r="A145" s="510"/>
      <c r="B145" s="511"/>
      <c r="C145" s="511" t="s">
        <v>69</v>
      </c>
      <c r="D145" s="511"/>
      <c r="E145" s="511"/>
      <c r="F145" s="511"/>
      <c r="G145" s="511"/>
      <c r="H145" s="511"/>
      <c r="I145" s="511"/>
      <c r="J145" s="511"/>
      <c r="K145" s="511"/>
      <c r="L145" s="512"/>
      <c r="M145" s="511"/>
      <c r="N145" s="511"/>
      <c r="O145" s="511"/>
      <c r="P145" s="511"/>
      <c r="Q145" s="511"/>
      <c r="R145" s="511"/>
      <c r="S145" s="511"/>
      <c r="T145" s="513"/>
      <c r="U145" s="511"/>
      <c r="V145" s="511"/>
      <c r="W145" s="511"/>
      <c r="X145" s="511"/>
      <c r="Y145" s="511"/>
      <c r="Z145" s="511"/>
      <c r="AA145" s="511"/>
      <c r="AB145" s="511"/>
      <c r="AC145" s="511"/>
      <c r="AD145" s="511"/>
      <c r="AE145" s="511"/>
      <c r="AF145" s="511"/>
      <c r="AG145" s="511"/>
      <c r="AH145" s="511"/>
      <c r="AI145" s="513"/>
      <c r="AJ145" s="511"/>
      <c r="AK145" s="511"/>
      <c r="AL145" s="511"/>
      <c r="AM145" s="511"/>
      <c r="AN145" s="511"/>
      <c r="AO145" s="511"/>
      <c r="AP145" s="511"/>
      <c r="AQ145" s="511"/>
      <c r="AR145" s="511"/>
      <c r="AS145" s="511"/>
      <c r="AT145" s="511"/>
      <c r="AU145" s="511"/>
      <c r="AV145" s="511"/>
      <c r="AW145" s="511"/>
      <c r="AX145" s="511"/>
      <c r="AY145" s="511"/>
      <c r="AZ145" s="511"/>
      <c r="BA145" s="511"/>
      <c r="BB145" s="511"/>
      <c r="BC145" s="511"/>
      <c r="BD145" s="511"/>
      <c r="BE145" s="511"/>
      <c r="BF145" s="511"/>
      <c r="BG145" s="511"/>
      <c r="BH145" s="511"/>
      <c r="BI145" s="511"/>
      <c r="BJ145" s="511"/>
      <c r="BK145" s="511"/>
      <c r="BL145" s="511"/>
      <c r="BM145" s="511"/>
      <c r="BN145" s="511"/>
      <c r="BO145" s="511"/>
      <c r="BP145" s="511"/>
      <c r="BQ145" s="514" t="e">
        <f>SUM(BR145:BT145)</f>
        <v>#REF!</v>
      </c>
      <c r="BR145" s="514">
        <f>BR108+BR112+BR120+BR127+BR142+BR134</f>
        <v>2222</v>
      </c>
      <c r="BS145" s="514" t="e">
        <f>BS108+BS112+BS120+BS127+BS142+BS134</f>
        <v>#REF!</v>
      </c>
      <c r="BT145" s="514">
        <f>BT108+BT112+BT120+BT127+BT142+BT134</f>
        <v>529</v>
      </c>
    </row>
    <row r="146" spans="1:75" ht="30.75" customHeight="1">
      <c r="A146" s="1499" t="s">
        <v>608</v>
      </c>
      <c r="B146" s="1500"/>
      <c r="C146" s="1500"/>
      <c r="D146" s="1500"/>
      <c r="E146" s="1500"/>
      <c r="F146" s="1500"/>
      <c r="G146" s="1500"/>
      <c r="H146" s="1500"/>
      <c r="I146" s="1500"/>
      <c r="J146" s="1500"/>
      <c r="K146" s="1500"/>
      <c r="L146" s="1500"/>
      <c r="M146" s="1500"/>
      <c r="N146" s="1500"/>
      <c r="O146" s="1500"/>
      <c r="P146" s="1500"/>
      <c r="Q146" s="1500"/>
      <c r="R146" s="1500"/>
      <c r="S146" s="1500"/>
      <c r="T146" s="1500"/>
      <c r="U146" s="1500"/>
      <c r="V146" s="1500"/>
      <c r="W146" s="1500"/>
      <c r="X146" s="1500"/>
      <c r="Y146" s="1500"/>
      <c r="Z146" s="1500"/>
      <c r="AA146" s="1500"/>
      <c r="AB146" s="1500"/>
      <c r="AC146" s="1500"/>
      <c r="AD146" s="1500"/>
      <c r="AE146" s="1500"/>
      <c r="AF146" s="1500"/>
      <c r="AG146" s="1500"/>
      <c r="AH146" s="1500"/>
      <c r="AI146" s="1500"/>
      <c r="AJ146" s="1500"/>
      <c r="AK146" s="1500"/>
      <c r="AL146" s="1500"/>
      <c r="AM146" s="1500"/>
      <c r="AN146" s="1500"/>
      <c r="AO146" s="1500"/>
      <c r="AP146" s="1500"/>
      <c r="AQ146" s="1500"/>
      <c r="AR146" s="1500"/>
      <c r="AS146" s="1500"/>
      <c r="AT146" s="1500"/>
      <c r="AU146" s="1500"/>
      <c r="AV146" s="1500"/>
      <c r="AW146" s="1500"/>
      <c r="AX146" s="1500"/>
      <c r="AY146" s="1500"/>
      <c r="AZ146" s="1500"/>
      <c r="BA146" s="1500"/>
      <c r="BB146" s="1500"/>
      <c r="BC146" s="1500"/>
      <c r="BD146" s="1500"/>
      <c r="BE146" s="1500"/>
      <c r="BF146" s="1500"/>
      <c r="BG146" s="1500"/>
      <c r="BH146" s="1500"/>
      <c r="BI146" s="1500"/>
      <c r="BJ146" s="1500"/>
      <c r="BK146" s="1500"/>
      <c r="BL146" s="1500"/>
      <c r="BM146" s="1500"/>
      <c r="BN146" s="1500"/>
      <c r="BO146" s="1500"/>
      <c r="BP146" s="1501"/>
      <c r="BQ146" s="452" t="s">
        <v>109</v>
      </c>
      <c r="BR146" s="452" t="s">
        <v>110</v>
      </c>
      <c r="BS146" s="452" t="s">
        <v>111</v>
      </c>
      <c r="BT146" s="452" t="s">
        <v>61</v>
      </c>
    </row>
    <row r="147" spans="1:75" ht="18" customHeight="1">
      <c r="A147" s="200"/>
      <c r="B147" s="51" t="s">
        <v>574</v>
      </c>
      <c r="K147" s="201"/>
      <c r="P147" s="51" t="s">
        <v>818</v>
      </c>
      <c r="BQ147" s="202" t="e">
        <f>BQ162</f>
        <v>#REF!</v>
      </c>
      <c r="BR147" s="202">
        <f>BR162</f>
        <v>31</v>
      </c>
      <c r="BS147" s="202" t="e">
        <f>BS162</f>
        <v>#REF!</v>
      </c>
      <c r="BT147" s="202">
        <f>BT162</f>
        <v>6</v>
      </c>
      <c r="BV147" s="171" t="s">
        <v>113</v>
      </c>
      <c r="BW147" s="249">
        <f>VLOOKUP(BV147,인건비!A:B,2,FALSE)</f>
        <v>228717</v>
      </c>
    </row>
    <row r="148" spans="1:75" ht="9.9499999999999993" customHeight="1">
      <c r="A148" s="490"/>
      <c r="B148" s="492"/>
      <c r="C148" s="492"/>
      <c r="D148" s="492"/>
      <c r="E148" s="492"/>
      <c r="F148" s="492"/>
      <c r="G148" s="492"/>
      <c r="H148" s="492"/>
      <c r="I148" s="492"/>
      <c r="J148" s="492"/>
      <c r="K148" s="492"/>
      <c r="L148" s="492"/>
      <c r="M148" s="492"/>
      <c r="N148" s="492"/>
      <c r="O148" s="492"/>
      <c r="P148" s="492"/>
      <c r="Q148" s="492"/>
      <c r="R148" s="492"/>
      <c r="S148" s="492"/>
      <c r="T148" s="492"/>
      <c r="U148" s="492"/>
      <c r="V148" s="492"/>
      <c r="W148" s="492"/>
      <c r="X148" s="492"/>
      <c r="Y148" s="492"/>
      <c r="Z148" s="492"/>
      <c r="AA148" s="492"/>
      <c r="AB148" s="492"/>
      <c r="AC148" s="492"/>
      <c r="AD148" s="492"/>
      <c r="AE148" s="492"/>
      <c r="AF148" s="492"/>
      <c r="AG148" s="492"/>
      <c r="AH148" s="492"/>
      <c r="AI148" s="492"/>
      <c r="AJ148" s="492"/>
      <c r="AK148" s="492"/>
      <c r="AL148" s="492"/>
      <c r="AM148" s="492"/>
      <c r="AN148" s="492"/>
      <c r="AO148" s="492"/>
      <c r="AP148" s="492"/>
      <c r="AQ148" s="492"/>
      <c r="AR148" s="492"/>
      <c r="AS148" s="492"/>
      <c r="AT148" s="492"/>
      <c r="AU148" s="492"/>
      <c r="AV148" s="492"/>
      <c r="AW148" s="492"/>
      <c r="AX148" s="492"/>
      <c r="AY148" s="492"/>
      <c r="AZ148" s="492"/>
      <c r="BA148" s="492"/>
      <c r="BB148" s="492"/>
      <c r="BC148" s="492"/>
      <c r="BD148" s="492"/>
      <c r="BE148" s="492"/>
      <c r="BF148" s="492"/>
      <c r="BG148" s="492"/>
      <c r="BH148" s="492"/>
      <c r="BI148" s="492"/>
      <c r="BJ148" s="492"/>
      <c r="BK148" s="492"/>
      <c r="BL148" s="492"/>
      <c r="BM148" s="492"/>
      <c r="BN148" s="492"/>
      <c r="BO148" s="492"/>
      <c r="BP148" s="492"/>
      <c r="BQ148" s="499"/>
      <c r="BR148" s="499"/>
      <c r="BS148" s="499"/>
      <c r="BT148" s="499"/>
      <c r="BV148" s="171" t="s">
        <v>114</v>
      </c>
      <c r="BW148" s="249">
        <f>VLOOKUP(BV148,인건비!A:B,2,FALSE)</f>
        <v>172698</v>
      </c>
    </row>
    <row r="149" spans="1:75" ht="9.9499999999999993" customHeight="1">
      <c r="A149" s="490"/>
      <c r="B149" s="492" t="s">
        <v>153</v>
      </c>
      <c r="C149" s="492"/>
      <c r="D149" s="492"/>
      <c r="E149" s="492" t="s">
        <v>157</v>
      </c>
      <c r="F149" s="492"/>
      <c r="G149" s="492"/>
      <c r="H149" s="492"/>
      <c r="I149" s="492"/>
      <c r="J149" s="492"/>
      <c r="K149" s="492"/>
      <c r="L149" s="492"/>
      <c r="M149" s="492"/>
      <c r="N149" s="492"/>
      <c r="O149" s="492"/>
      <c r="P149" s="492"/>
      <c r="Q149" s="492"/>
      <c r="R149" s="492"/>
      <c r="S149" s="492"/>
      <c r="T149" s="492"/>
      <c r="U149" s="492"/>
      <c r="V149" s="492"/>
      <c r="W149" s="492"/>
      <c r="X149" s="492"/>
      <c r="Y149" s="492"/>
      <c r="Z149" s="492"/>
      <c r="AA149" s="492"/>
      <c r="AB149" s="492"/>
      <c r="AC149" s="492"/>
      <c r="AD149" s="492"/>
      <c r="AE149" s="492"/>
      <c r="AF149" s="492"/>
      <c r="AG149" s="492"/>
      <c r="AH149" s="492"/>
      <c r="AI149" s="492"/>
      <c r="AJ149" s="492"/>
      <c r="AK149" s="492"/>
      <c r="AL149" s="492"/>
      <c r="AM149" s="492"/>
      <c r="AN149" s="492"/>
      <c r="AO149" s="492"/>
      <c r="AP149" s="492"/>
      <c r="AQ149" s="492"/>
      <c r="AR149" s="492"/>
      <c r="AS149" s="492"/>
      <c r="AT149" s="492"/>
      <c r="AU149" s="492"/>
      <c r="AV149" s="492"/>
      <c r="AW149" s="492"/>
      <c r="AX149" s="492"/>
      <c r="AY149" s="492"/>
      <c r="AZ149" s="492"/>
      <c r="BA149" s="492"/>
      <c r="BB149" s="492"/>
      <c r="BC149" s="492"/>
      <c r="BD149" s="492"/>
      <c r="BE149" s="492"/>
      <c r="BF149" s="492"/>
      <c r="BG149" s="492"/>
      <c r="BH149" s="492"/>
      <c r="BI149" s="492"/>
      <c r="BJ149" s="492"/>
      <c r="BK149" s="492"/>
      <c r="BL149" s="492"/>
      <c r="BM149" s="492"/>
      <c r="BN149" s="492"/>
      <c r="BO149" s="492"/>
      <c r="BP149" s="492"/>
      <c r="BQ149" s="499"/>
      <c r="BR149" s="499"/>
      <c r="BS149" s="499"/>
      <c r="BT149" s="499"/>
      <c r="BV149" s="171" t="s">
        <v>78</v>
      </c>
      <c r="BW149" s="249">
        <f>VLOOKUP(BV149,인건비!A:B,2,FALSE)</f>
        <v>274873</v>
      </c>
    </row>
    <row r="150" spans="1:75" ht="9.9499999999999993" customHeight="1">
      <c r="A150" s="490"/>
      <c r="B150" s="492"/>
      <c r="C150" s="492"/>
      <c r="D150" s="492"/>
      <c r="E150" s="1497" t="s">
        <v>560</v>
      </c>
      <c r="F150" s="1498"/>
      <c r="G150" s="1498"/>
      <c r="H150" s="1498"/>
      <c r="I150" s="1498"/>
      <c r="J150" s="1498"/>
      <c r="K150" s="1498"/>
      <c r="L150" s="1498"/>
      <c r="M150" s="1498"/>
      <c r="N150" s="1498"/>
      <c r="O150" s="1498"/>
      <c r="P150" s="1498"/>
      <c r="Q150" s="1498"/>
      <c r="R150" s="1498"/>
      <c r="S150" s="1498"/>
      <c r="T150" s="1498"/>
      <c r="U150" s="1498"/>
      <c r="V150" s="1498"/>
      <c r="W150" s="1498"/>
      <c r="X150" s="1498"/>
      <c r="Y150" s="1498"/>
      <c r="Z150" s="1498"/>
      <c r="AA150" s="1498"/>
      <c r="AB150" s="1498"/>
      <c r="AC150" s="1498"/>
      <c r="AD150" s="1498"/>
      <c r="AE150" s="1498"/>
      <c r="AF150" s="1498"/>
      <c r="AG150" s="1498"/>
      <c r="AH150" s="1498"/>
      <c r="AI150" s="1498"/>
      <c r="AJ150" s="1498"/>
      <c r="AK150" s="1498"/>
      <c r="AL150" s="1498"/>
      <c r="AM150" s="1498"/>
      <c r="AN150" s="1498"/>
      <c r="AO150" s="1498"/>
      <c r="AP150" s="1498"/>
      <c r="AQ150" s="1498"/>
      <c r="AR150" s="492"/>
      <c r="AS150" s="492"/>
      <c r="AT150" s="492"/>
      <c r="AU150" s="492"/>
      <c r="AV150" s="492"/>
      <c r="AW150" s="492"/>
      <c r="AX150" s="492"/>
      <c r="AY150" s="492"/>
      <c r="AZ150" s="492"/>
      <c r="BA150" s="492"/>
      <c r="BB150" s="492"/>
      <c r="BC150" s="492"/>
      <c r="BD150" s="492"/>
      <c r="BE150" s="492"/>
      <c r="BF150" s="492"/>
      <c r="BG150" s="492"/>
      <c r="BH150" s="492"/>
      <c r="BI150" s="492"/>
      <c r="BJ150" s="492"/>
      <c r="BK150" s="492"/>
      <c r="BL150" s="492"/>
      <c r="BM150" s="492"/>
      <c r="BN150" s="492"/>
      <c r="BO150" s="492"/>
      <c r="BP150" s="492"/>
      <c r="BQ150" s="499"/>
      <c r="BR150" s="499"/>
      <c r="BS150" s="499"/>
      <c r="BT150" s="499"/>
      <c r="BV150" s="655" t="s">
        <v>717</v>
      </c>
      <c r="BW150" s="656" t="s">
        <v>627</v>
      </c>
    </row>
    <row r="151" spans="1:75" ht="9.9499999999999993" customHeight="1">
      <c r="A151" s="490"/>
      <c r="B151" s="492"/>
      <c r="C151" s="492"/>
      <c r="D151" s="492"/>
      <c r="E151" s="1497" t="s">
        <v>561</v>
      </c>
      <c r="F151" s="1498"/>
      <c r="G151" s="1498"/>
      <c r="H151" s="1498"/>
      <c r="I151" s="1498"/>
      <c r="J151" s="1498"/>
      <c r="K151" s="1498"/>
      <c r="L151" s="1498"/>
      <c r="M151" s="1498"/>
      <c r="N151" s="1498"/>
      <c r="O151" s="1498"/>
      <c r="P151" s="1498"/>
      <c r="Q151" s="1498"/>
      <c r="R151" s="1498"/>
      <c r="S151" s="1498"/>
      <c r="T151" s="1498"/>
      <c r="U151" s="1498"/>
      <c r="V151" s="1498"/>
      <c r="W151" s="1498"/>
      <c r="X151" s="1498"/>
      <c r="Y151" s="1498"/>
      <c r="Z151" s="1498"/>
      <c r="AA151" s="1498"/>
      <c r="AB151" s="1498"/>
      <c r="AC151" s="1498"/>
      <c r="AD151" s="1498"/>
      <c r="AE151" s="1498"/>
      <c r="AF151" s="1498"/>
      <c r="AG151" s="1498"/>
      <c r="AH151" s="1498"/>
      <c r="AI151" s="1498"/>
      <c r="AJ151" s="1498"/>
      <c r="AK151" s="1498"/>
      <c r="AL151" s="1498"/>
      <c r="AM151" s="1498"/>
      <c r="AN151" s="1498"/>
      <c r="AO151" s="1498"/>
      <c r="AP151" s="1498"/>
      <c r="AQ151" s="1498"/>
      <c r="AR151" s="492"/>
      <c r="AS151" s="492"/>
      <c r="AT151" s="492"/>
      <c r="AU151" s="492"/>
      <c r="AV151" s="492"/>
      <c r="AW151" s="492"/>
      <c r="AX151" s="492"/>
      <c r="AY151" s="492"/>
      <c r="AZ151" s="492"/>
      <c r="BA151" s="492"/>
      <c r="BB151" s="492"/>
      <c r="BC151" s="492"/>
      <c r="BD151" s="492"/>
      <c r="BE151" s="492"/>
      <c r="BF151" s="492"/>
      <c r="BG151" s="492"/>
      <c r="BH151" s="492"/>
      <c r="BI151" s="492"/>
      <c r="BJ151" s="492"/>
      <c r="BK151" s="492"/>
      <c r="BL151" s="492"/>
      <c r="BM151" s="492"/>
      <c r="BN151" s="492"/>
      <c r="BO151" s="492"/>
      <c r="BP151" s="492"/>
      <c r="BQ151" s="499"/>
      <c r="BR151" s="499"/>
      <c r="BS151" s="499"/>
      <c r="BT151" s="499"/>
      <c r="BW151" s="249"/>
    </row>
    <row r="152" spans="1:75" ht="9.9499999999999993" customHeight="1">
      <c r="A152" s="490"/>
      <c r="B152" s="492" t="s">
        <v>163</v>
      </c>
      <c r="C152" s="492"/>
      <c r="D152" s="492"/>
      <c r="E152" s="492"/>
      <c r="F152" s="492"/>
      <c r="G152" s="492"/>
      <c r="H152" s="492"/>
      <c r="I152" s="492"/>
      <c r="J152" s="492"/>
      <c r="K152" s="492"/>
      <c r="L152" s="492"/>
      <c r="M152" s="492"/>
      <c r="N152" s="492"/>
      <c r="O152" s="492"/>
      <c r="P152" s="492"/>
      <c r="Q152" s="492"/>
      <c r="R152" s="492"/>
      <c r="S152" s="492"/>
      <c r="T152" s="492"/>
      <c r="U152" s="492"/>
      <c r="V152" s="492"/>
      <c r="W152" s="492"/>
      <c r="X152" s="492"/>
      <c r="Y152" s="492"/>
      <c r="Z152" s="492"/>
      <c r="AA152" s="492"/>
      <c r="AB152" s="492"/>
      <c r="AC152" s="492"/>
      <c r="AD152" s="492"/>
      <c r="AE152" s="492"/>
      <c r="AF152" s="492"/>
      <c r="AG152" s="492"/>
      <c r="AH152" s="492"/>
      <c r="AI152" s="492" t="s">
        <v>684</v>
      </c>
      <c r="AJ152" s="492"/>
      <c r="AK152" s="492"/>
      <c r="AL152" s="492"/>
      <c r="AM152" s="492"/>
      <c r="AN152" s="492"/>
      <c r="AO152" s="492"/>
      <c r="AP152" s="492"/>
      <c r="AQ152" s="492"/>
      <c r="AR152" s="492"/>
      <c r="AS152" s="492"/>
      <c r="AT152" s="492"/>
      <c r="AU152" s="492"/>
      <c r="AV152" s="492"/>
      <c r="AW152" s="492"/>
      <c r="AX152" s="492"/>
      <c r="AY152" s="492"/>
      <c r="AZ152" s="492"/>
      <c r="BA152" s="492"/>
      <c r="BB152" s="492"/>
      <c r="BC152" s="492"/>
      <c r="BD152" s="492"/>
      <c r="BE152" s="492"/>
      <c r="BF152" s="492"/>
      <c r="BG152" s="492"/>
      <c r="BH152" s="492"/>
      <c r="BI152" s="492"/>
      <c r="BJ152" s="492"/>
      <c r="BK152" s="492"/>
      <c r="BL152" s="492"/>
      <c r="BM152" s="492"/>
      <c r="BN152" s="492"/>
      <c r="BO152" s="492"/>
      <c r="BP152" s="492"/>
      <c r="BQ152" s="493"/>
      <c r="BR152" s="493"/>
      <c r="BS152" s="493"/>
      <c r="BT152" s="493"/>
      <c r="BW152" s="249"/>
    </row>
    <row r="153" spans="1:75" ht="9.9499999999999993" customHeight="1">
      <c r="A153" s="490"/>
      <c r="B153" s="492"/>
      <c r="C153" s="492" t="s">
        <v>66</v>
      </c>
      <c r="D153" s="492"/>
      <c r="E153" s="492"/>
      <c r="F153" s="492"/>
      <c r="G153" s="492"/>
      <c r="H153" s="492"/>
      <c r="I153" s="492"/>
      <c r="J153" s="502"/>
      <c r="K153" s="492"/>
      <c r="L153" s="492"/>
      <c r="M153" s="492"/>
      <c r="N153" s="1505" t="e">
        <f>'기계경비(OLD)'!$AT$342</f>
        <v>#REF!</v>
      </c>
      <c r="O153" s="1494"/>
      <c r="P153" s="1494"/>
      <c r="Q153" s="1494"/>
      <c r="R153" s="1494"/>
      <c r="S153" s="1494"/>
      <c r="T153" s="1494"/>
      <c r="U153" s="507" t="s">
        <v>99</v>
      </c>
      <c r="V153" s="497"/>
      <c r="W153" s="1502">
        <v>2500</v>
      </c>
      <c r="X153" s="1503"/>
      <c r="Y153" s="1503"/>
      <c r="Z153" s="1503"/>
      <c r="AA153" s="1503"/>
      <c r="AB153" s="1503"/>
      <c r="AC153" s="1503"/>
      <c r="AD153" s="1503"/>
      <c r="AE153" s="507" t="s">
        <v>103</v>
      </c>
      <c r="AF153" s="497"/>
      <c r="AG153" s="1504" t="e">
        <f>INT(N153/W153)</f>
        <v>#REF!</v>
      </c>
      <c r="AH153" s="1494"/>
      <c r="AI153" s="1494"/>
      <c r="AJ153" s="1494"/>
      <c r="AK153" s="1494"/>
      <c r="AL153" s="1494"/>
      <c r="AM153" s="1494"/>
      <c r="AN153" s="1496" t="s">
        <v>685</v>
      </c>
      <c r="AO153" s="1496"/>
      <c r="AP153" s="1496"/>
      <c r="AQ153" s="1496"/>
      <c r="AR153" s="1496"/>
      <c r="AS153" s="1496"/>
      <c r="AT153" s="1496"/>
      <c r="AU153" s="1496"/>
      <c r="AV153" s="1496"/>
      <c r="AW153" s="1496"/>
      <c r="AX153" s="1496"/>
      <c r="AY153" s="492"/>
      <c r="AZ153" s="492"/>
      <c r="BA153" s="492"/>
      <c r="BB153" s="492"/>
      <c r="BC153" s="524"/>
      <c r="BD153" s="492"/>
      <c r="BE153" s="492"/>
      <c r="BF153" s="492"/>
      <c r="BG153" s="492"/>
      <c r="BH153" s="492"/>
      <c r="BI153" s="492"/>
      <c r="BJ153" s="492"/>
      <c r="BK153" s="492"/>
      <c r="BL153" s="492"/>
      <c r="BM153" s="492"/>
      <c r="BN153" s="492"/>
      <c r="BO153" s="492"/>
      <c r="BP153" s="492"/>
      <c r="BQ153" s="499" t="e">
        <f>SUM(BR153:BT153)</f>
        <v>#REF!</v>
      </c>
      <c r="BR153" s="499"/>
      <c r="BS153" s="499" t="e">
        <f>AG153</f>
        <v>#REF!</v>
      </c>
      <c r="BT153" s="499"/>
    </row>
    <row r="154" spans="1:75" ht="9.9499999999999993" customHeight="1">
      <c r="A154" s="490"/>
      <c r="B154" s="492"/>
      <c r="C154" s="492" t="s">
        <v>67</v>
      </c>
      <c r="D154" s="492"/>
      <c r="E154" s="492"/>
      <c r="F154" s="492"/>
      <c r="G154" s="492"/>
      <c r="H154" s="492"/>
      <c r="I154" s="492"/>
      <c r="J154" s="502"/>
      <c r="K154" s="492"/>
      <c r="L154" s="492"/>
      <c r="M154" s="492"/>
      <c r="N154" s="1505">
        <f>'기계경비(OLD)'!$BU$336</f>
        <v>59025</v>
      </c>
      <c r="O154" s="1494"/>
      <c r="P154" s="1494"/>
      <c r="Q154" s="1494"/>
      <c r="R154" s="1494"/>
      <c r="S154" s="1494"/>
      <c r="T154" s="1494"/>
      <c r="U154" s="507" t="s">
        <v>99</v>
      </c>
      <c r="V154" s="497"/>
      <c r="W154" s="1502">
        <v>2500</v>
      </c>
      <c r="X154" s="1503"/>
      <c r="Y154" s="1503"/>
      <c r="Z154" s="1503"/>
      <c r="AA154" s="1503"/>
      <c r="AB154" s="1503"/>
      <c r="AC154" s="1503"/>
      <c r="AD154" s="1503"/>
      <c r="AE154" s="507" t="s">
        <v>103</v>
      </c>
      <c r="AF154" s="497"/>
      <c r="AG154" s="1504">
        <f>INT(N154/W154)</f>
        <v>23</v>
      </c>
      <c r="AH154" s="1494"/>
      <c r="AI154" s="1494"/>
      <c r="AJ154" s="1494"/>
      <c r="AK154" s="1494"/>
      <c r="AL154" s="1494"/>
      <c r="AM154" s="1494"/>
      <c r="AN154" s="1496" t="s">
        <v>685</v>
      </c>
      <c r="AO154" s="1496"/>
      <c r="AP154" s="1496"/>
      <c r="AQ154" s="1496"/>
      <c r="AR154" s="1496"/>
      <c r="AS154" s="1496"/>
      <c r="AT154" s="1496"/>
      <c r="AU154" s="1496"/>
      <c r="AV154" s="1496"/>
      <c r="AW154" s="1496"/>
      <c r="AX154" s="1496"/>
      <c r="AY154" s="492"/>
      <c r="AZ154" s="492"/>
      <c r="BA154" s="492"/>
      <c r="BB154" s="492"/>
      <c r="BC154" s="492"/>
      <c r="BD154" s="492"/>
      <c r="BE154" s="492"/>
      <c r="BF154" s="492"/>
      <c r="BG154" s="492"/>
      <c r="BH154" s="492"/>
      <c r="BI154" s="492"/>
      <c r="BJ154" s="492"/>
      <c r="BK154" s="492"/>
      <c r="BL154" s="492"/>
      <c r="BM154" s="492"/>
      <c r="BN154" s="492"/>
      <c r="BO154" s="492"/>
      <c r="BP154" s="492"/>
      <c r="BQ154" s="499">
        <f>SUM(BR154:BT154)</f>
        <v>23</v>
      </c>
      <c r="BR154" s="499">
        <f>AG154</f>
        <v>23</v>
      </c>
      <c r="BS154" s="499"/>
      <c r="BT154" s="499"/>
    </row>
    <row r="155" spans="1:75" ht="9.9499999999999993" customHeight="1">
      <c r="A155" s="490"/>
      <c r="B155" s="492"/>
      <c r="C155" s="492" t="s">
        <v>68</v>
      </c>
      <c r="D155" s="492"/>
      <c r="E155" s="492"/>
      <c r="F155" s="492"/>
      <c r="G155" s="492"/>
      <c r="H155" s="492"/>
      <c r="I155" s="492"/>
      <c r="J155" s="502"/>
      <c r="K155" s="492"/>
      <c r="L155" s="492"/>
      <c r="M155" s="492"/>
      <c r="N155" s="1505">
        <f>'기계경비(OLD)'!$BN$346</f>
        <v>15067</v>
      </c>
      <c r="O155" s="1494"/>
      <c r="P155" s="1494"/>
      <c r="Q155" s="1494"/>
      <c r="R155" s="1494"/>
      <c r="S155" s="1494"/>
      <c r="T155" s="1494"/>
      <c r="U155" s="507" t="s">
        <v>99</v>
      </c>
      <c r="V155" s="497"/>
      <c r="W155" s="1502">
        <v>2500</v>
      </c>
      <c r="X155" s="1503"/>
      <c r="Y155" s="1503"/>
      <c r="Z155" s="1503"/>
      <c r="AA155" s="1503"/>
      <c r="AB155" s="1503"/>
      <c r="AC155" s="1503"/>
      <c r="AD155" s="1503"/>
      <c r="AE155" s="507" t="s">
        <v>103</v>
      </c>
      <c r="AF155" s="497"/>
      <c r="AG155" s="1504">
        <f>INT(N155/W155)</f>
        <v>6</v>
      </c>
      <c r="AH155" s="1494"/>
      <c r="AI155" s="1494"/>
      <c r="AJ155" s="1494"/>
      <c r="AK155" s="1494"/>
      <c r="AL155" s="1494"/>
      <c r="AM155" s="1494"/>
      <c r="AN155" s="1496" t="s">
        <v>685</v>
      </c>
      <c r="AO155" s="1496"/>
      <c r="AP155" s="1496"/>
      <c r="AQ155" s="1496"/>
      <c r="AR155" s="1496"/>
      <c r="AS155" s="1496"/>
      <c r="AT155" s="1496"/>
      <c r="AU155" s="1496"/>
      <c r="AV155" s="1496"/>
      <c r="AW155" s="1496"/>
      <c r="AX155" s="1496"/>
      <c r="AY155" s="492"/>
      <c r="AZ155" s="492"/>
      <c r="BA155" s="492"/>
      <c r="BB155" s="492"/>
      <c r="BC155" s="492"/>
      <c r="BD155" s="492"/>
      <c r="BE155" s="492"/>
      <c r="BF155" s="492"/>
      <c r="BG155" s="492"/>
      <c r="BH155" s="492"/>
      <c r="BI155" s="492"/>
      <c r="BJ155" s="492"/>
      <c r="BK155" s="492"/>
      <c r="BL155" s="492"/>
      <c r="BM155" s="492"/>
      <c r="BN155" s="492"/>
      <c r="BO155" s="492"/>
      <c r="BP155" s="492"/>
      <c r="BQ155" s="499">
        <f>SUM(BR155:BT155)</f>
        <v>6</v>
      </c>
      <c r="BR155" s="499"/>
      <c r="BS155" s="499"/>
      <c r="BT155" s="499">
        <f>AG155</f>
        <v>6</v>
      </c>
    </row>
    <row r="156" spans="1:75" ht="9.9499999999999993" customHeight="1">
      <c r="A156" s="490"/>
      <c r="B156" s="492"/>
      <c r="C156" s="492" t="s">
        <v>63</v>
      </c>
      <c r="D156" s="492"/>
      <c r="E156" s="492"/>
      <c r="F156" s="492"/>
      <c r="G156" s="492"/>
      <c r="H156" s="492"/>
      <c r="I156" s="492"/>
      <c r="J156" s="492"/>
      <c r="K156" s="492"/>
      <c r="L156" s="502"/>
      <c r="M156" s="492"/>
      <c r="N156" s="492"/>
      <c r="O156" s="492"/>
      <c r="P156" s="492"/>
      <c r="Q156" s="492"/>
      <c r="R156" s="492"/>
      <c r="S156" s="492"/>
      <c r="T156" s="496"/>
      <c r="U156" s="492"/>
      <c r="V156" s="492"/>
      <c r="W156" s="492"/>
      <c r="X156" s="492"/>
      <c r="Y156" s="492"/>
      <c r="Z156" s="492"/>
      <c r="AA156" s="492"/>
      <c r="AB156" s="492"/>
      <c r="AC156" s="492"/>
      <c r="AD156" s="492"/>
      <c r="AE156" s="492"/>
      <c r="AF156" s="492"/>
      <c r="AG156" s="492"/>
      <c r="AH156" s="492"/>
      <c r="AI156" s="496"/>
      <c r="AJ156" s="492"/>
      <c r="AK156" s="492"/>
      <c r="AL156" s="492"/>
      <c r="AM156" s="492"/>
      <c r="AN156" s="492"/>
      <c r="AO156" s="492"/>
      <c r="AP156" s="492"/>
      <c r="AQ156" s="492"/>
      <c r="AR156" s="492"/>
      <c r="AS156" s="492"/>
      <c r="AT156" s="492"/>
      <c r="AU156" s="492"/>
      <c r="AV156" s="492"/>
      <c r="AW156" s="492"/>
      <c r="AX156" s="492"/>
      <c r="AY156" s="492"/>
      <c r="AZ156" s="492"/>
      <c r="BA156" s="492"/>
      <c r="BB156" s="492"/>
      <c r="BC156" s="492"/>
      <c r="BD156" s="492"/>
      <c r="BE156" s="492"/>
      <c r="BF156" s="492"/>
      <c r="BG156" s="492"/>
      <c r="BH156" s="492"/>
      <c r="BI156" s="492"/>
      <c r="BJ156" s="492"/>
      <c r="BK156" s="492"/>
      <c r="BL156" s="492"/>
      <c r="BM156" s="492"/>
      <c r="BN156" s="492"/>
      <c r="BO156" s="492"/>
      <c r="BP156" s="492"/>
      <c r="BQ156" s="503" t="e">
        <f>SUM(BR156:BT156)</f>
        <v>#REF!</v>
      </c>
      <c r="BR156" s="503">
        <f>SUM(BR153:BR155)</f>
        <v>23</v>
      </c>
      <c r="BS156" s="503" t="e">
        <f>SUM(BS153:BS155)</f>
        <v>#REF!</v>
      </c>
      <c r="BT156" s="503">
        <f>SUM(BT153:BT155)</f>
        <v>6</v>
      </c>
    </row>
    <row r="157" spans="1:75" ht="9.9499999999999993" customHeight="1">
      <c r="A157" s="490"/>
      <c r="B157" s="492"/>
      <c r="C157" s="492"/>
      <c r="D157" s="492"/>
      <c r="E157" s="492"/>
      <c r="F157" s="492"/>
      <c r="G157" s="492"/>
      <c r="H157" s="498"/>
      <c r="I157" s="498"/>
      <c r="J157" s="498"/>
      <c r="K157" s="498"/>
      <c r="L157" s="525"/>
      <c r="M157" s="498"/>
      <c r="N157" s="498"/>
      <c r="O157" s="498"/>
      <c r="P157" s="498"/>
      <c r="Q157" s="498"/>
      <c r="R157" s="525"/>
      <c r="S157" s="498"/>
      <c r="T157" s="498"/>
      <c r="U157" s="498"/>
      <c r="V157" s="498"/>
      <c r="W157" s="498"/>
      <c r="X157" s="498"/>
      <c r="Y157" s="525"/>
      <c r="Z157" s="498"/>
      <c r="AA157" s="498"/>
      <c r="AB157" s="498"/>
      <c r="AC157" s="498"/>
      <c r="AD157" s="498"/>
      <c r="AE157" s="525"/>
      <c r="AF157" s="498"/>
      <c r="AG157" s="498"/>
      <c r="AH157" s="498"/>
      <c r="AI157" s="498"/>
      <c r="AJ157" s="498"/>
      <c r="AK157" s="498"/>
      <c r="AL157" s="498"/>
      <c r="AM157" s="492"/>
      <c r="AN157" s="492"/>
      <c r="AO157" s="492"/>
      <c r="AP157" s="492"/>
      <c r="AQ157" s="492"/>
      <c r="AR157" s="492"/>
      <c r="AS157" s="492"/>
      <c r="AT157" s="492"/>
      <c r="AU157" s="492"/>
      <c r="AV157" s="492"/>
      <c r="AW157" s="492"/>
      <c r="AX157" s="492"/>
      <c r="AY157" s="492"/>
      <c r="AZ157" s="492"/>
      <c r="BA157" s="492"/>
      <c r="BB157" s="492"/>
      <c r="BC157" s="492"/>
      <c r="BD157" s="492"/>
      <c r="BE157" s="492"/>
      <c r="BF157" s="492"/>
      <c r="BG157" s="492"/>
      <c r="BH157" s="492"/>
      <c r="BI157" s="492"/>
      <c r="BJ157" s="492"/>
      <c r="BK157" s="492"/>
      <c r="BL157" s="492"/>
      <c r="BM157" s="492"/>
      <c r="BN157" s="492"/>
      <c r="BO157" s="492"/>
      <c r="BP157" s="492"/>
      <c r="BQ157" s="493"/>
      <c r="BR157" s="493"/>
      <c r="BS157" s="493"/>
      <c r="BT157" s="493"/>
      <c r="BW157" s="210"/>
    </row>
    <row r="158" spans="1:75" ht="9.9499999999999993" customHeight="1">
      <c r="A158" s="490"/>
      <c r="B158" s="492" t="s">
        <v>164</v>
      </c>
      <c r="C158" s="492"/>
      <c r="D158" s="492"/>
      <c r="E158" s="492"/>
      <c r="F158" s="492"/>
      <c r="G158" s="492"/>
      <c r="H158" s="492"/>
      <c r="I158" s="492"/>
      <c r="J158" s="492"/>
      <c r="K158" s="492"/>
      <c r="L158" s="492"/>
      <c r="M158" s="492"/>
      <c r="N158" s="492"/>
      <c r="O158" s="492"/>
      <c r="P158" s="492"/>
      <c r="Q158" s="492"/>
      <c r="R158" s="492"/>
      <c r="S158" s="492"/>
      <c r="T158" s="492"/>
      <c r="U158" s="492"/>
      <c r="V158" s="492"/>
      <c r="W158" s="492"/>
      <c r="X158" s="492"/>
      <c r="Y158" s="492"/>
      <c r="Z158" s="492"/>
      <c r="AA158" s="492"/>
      <c r="AB158" s="492"/>
      <c r="AC158" s="492"/>
      <c r="AD158" s="492"/>
      <c r="AE158" s="492"/>
      <c r="AF158" s="492"/>
      <c r="AG158" s="492"/>
      <c r="AH158" s="492"/>
      <c r="AI158" s="492"/>
      <c r="AJ158" s="492"/>
      <c r="AK158" s="492"/>
      <c r="AL158" s="492"/>
      <c r="AM158" s="492"/>
      <c r="AN158" s="492"/>
      <c r="AO158" s="492"/>
      <c r="AP158" s="492"/>
      <c r="AQ158" s="492"/>
      <c r="AR158" s="492"/>
      <c r="AS158" s="492"/>
      <c r="AT158" s="492"/>
      <c r="AU158" s="492"/>
      <c r="AV158" s="492"/>
      <c r="AW158" s="492"/>
      <c r="AX158" s="492"/>
      <c r="AY158" s="492"/>
      <c r="AZ158" s="492"/>
      <c r="BA158" s="492"/>
      <c r="BB158" s="492"/>
      <c r="BC158" s="492"/>
      <c r="BD158" s="492"/>
      <c r="BE158" s="492"/>
      <c r="BF158" s="492"/>
      <c r="BG158" s="492"/>
      <c r="BH158" s="492"/>
      <c r="BI158" s="492"/>
      <c r="BJ158" s="492"/>
      <c r="BK158" s="492"/>
      <c r="BL158" s="492"/>
      <c r="BM158" s="492"/>
      <c r="BN158" s="492"/>
      <c r="BO158" s="492"/>
      <c r="BP158" s="492"/>
      <c r="BQ158" s="493"/>
      <c r="BR158" s="493"/>
      <c r="BS158" s="493"/>
      <c r="BT158" s="493"/>
      <c r="BW158" s="210"/>
    </row>
    <row r="159" spans="1:75" ht="9.9499999999999993" customHeight="1">
      <c r="A159" s="490"/>
      <c r="B159" s="492"/>
      <c r="C159" s="492" t="s">
        <v>62</v>
      </c>
      <c r="D159" s="492"/>
      <c r="E159" s="492"/>
      <c r="F159" s="492"/>
      <c r="G159" s="492"/>
      <c r="H159" s="492"/>
      <c r="I159" s="492"/>
      <c r="J159" s="492"/>
      <c r="K159" s="492"/>
      <c r="L159" s="502"/>
      <c r="M159" s="1512">
        <v>1</v>
      </c>
      <c r="N159" s="1494"/>
      <c r="O159" s="1494"/>
      <c r="P159" s="1494"/>
      <c r="Q159" s="492" t="s">
        <v>162</v>
      </c>
      <c r="R159" s="497"/>
      <c r="S159" s="497"/>
      <c r="T159" s="498" t="s">
        <v>100</v>
      </c>
      <c r="U159" s="498"/>
      <c r="V159" s="1511">
        <f>$BW$148</f>
        <v>172698</v>
      </c>
      <c r="W159" s="1494"/>
      <c r="X159" s="1494"/>
      <c r="Y159" s="1494"/>
      <c r="Z159" s="1494"/>
      <c r="AA159" s="1494"/>
      <c r="AB159" s="498" t="s">
        <v>100</v>
      </c>
      <c r="AC159" s="498"/>
      <c r="AD159" s="1497" t="s">
        <v>680</v>
      </c>
      <c r="AE159" s="1498"/>
      <c r="AF159" s="1498"/>
      <c r="AG159" s="1498"/>
      <c r="AH159" s="1498"/>
      <c r="AI159" s="1497" t="s">
        <v>103</v>
      </c>
      <c r="AJ159" s="1498"/>
      <c r="AK159" s="1497">
        <f>INT(M159*V159/(20000))</f>
        <v>8</v>
      </c>
      <c r="AL159" s="1498"/>
      <c r="AM159" s="1498"/>
      <c r="AN159" s="1498"/>
      <c r="AO159" s="1498"/>
      <c r="AP159" s="1498"/>
      <c r="AQ159" s="1498"/>
      <c r="AR159" s="492"/>
      <c r="AS159" s="492"/>
      <c r="AT159" s="492"/>
      <c r="AU159" s="492"/>
      <c r="AV159" s="492"/>
      <c r="AW159" s="492"/>
      <c r="AX159" s="492"/>
      <c r="AY159" s="492"/>
      <c r="AZ159" s="492"/>
      <c r="BA159" s="492"/>
      <c r="BB159" s="492"/>
      <c r="BC159" s="492"/>
      <c r="BD159" s="492"/>
      <c r="BE159" s="492"/>
      <c r="BF159" s="492"/>
      <c r="BG159" s="492"/>
      <c r="BH159" s="492"/>
      <c r="BI159" s="492"/>
      <c r="BJ159" s="492"/>
      <c r="BK159" s="492"/>
      <c r="BL159" s="492"/>
      <c r="BM159" s="492"/>
      <c r="BN159" s="492"/>
      <c r="BO159" s="492"/>
      <c r="BP159" s="498"/>
      <c r="BQ159" s="499">
        <f>SUM(BR159:BT159)</f>
        <v>8</v>
      </c>
      <c r="BR159" s="499">
        <f>AK159</f>
        <v>8</v>
      </c>
      <c r="BS159" s="499"/>
      <c r="BT159" s="499"/>
      <c r="BW159" s="210"/>
    </row>
    <row r="160" spans="1:75" ht="9.9499999999999993" customHeight="1">
      <c r="A160" s="490"/>
      <c r="B160" s="492"/>
      <c r="C160" s="492"/>
      <c r="D160" s="492"/>
      <c r="E160" s="492"/>
      <c r="F160" s="492"/>
      <c r="G160" s="492"/>
      <c r="H160" s="492"/>
      <c r="I160" s="492"/>
      <c r="J160" s="492"/>
      <c r="K160" s="492"/>
      <c r="L160" s="502"/>
      <c r="M160" s="515"/>
      <c r="N160" s="498"/>
      <c r="O160" s="498"/>
      <c r="P160" s="498"/>
      <c r="Q160" s="492"/>
      <c r="R160" s="497"/>
      <c r="S160" s="497"/>
      <c r="T160" s="498"/>
      <c r="U160" s="498"/>
      <c r="V160" s="526"/>
      <c r="W160" s="498"/>
      <c r="X160" s="498"/>
      <c r="Y160" s="498"/>
      <c r="Z160" s="498"/>
      <c r="AA160" s="498"/>
      <c r="AB160" s="498"/>
      <c r="AC160" s="498"/>
      <c r="AD160" s="498"/>
      <c r="AE160" s="498"/>
      <c r="AF160" s="525"/>
      <c r="AG160" s="498"/>
      <c r="AH160" s="498"/>
      <c r="AI160" s="498"/>
      <c r="AJ160" s="498"/>
      <c r="AK160" s="498"/>
      <c r="AL160" s="498"/>
      <c r="AM160" s="525"/>
      <c r="AN160" s="498"/>
      <c r="AO160" s="526"/>
      <c r="AP160" s="498"/>
      <c r="AQ160" s="498"/>
      <c r="AR160" s="498"/>
      <c r="AS160" s="498"/>
      <c r="AT160" s="498"/>
      <c r="AU160" s="492"/>
      <c r="AV160" s="492"/>
      <c r="AW160" s="492"/>
      <c r="AX160" s="492"/>
      <c r="AY160" s="492"/>
      <c r="AZ160" s="492"/>
      <c r="BA160" s="492"/>
      <c r="BB160" s="492"/>
      <c r="BC160" s="492"/>
      <c r="BD160" s="492"/>
      <c r="BE160" s="492"/>
      <c r="BF160" s="492"/>
      <c r="BG160" s="492"/>
      <c r="BH160" s="492"/>
      <c r="BI160" s="492"/>
      <c r="BJ160" s="492"/>
      <c r="BK160" s="492"/>
      <c r="BL160" s="492"/>
      <c r="BM160" s="492"/>
      <c r="BN160" s="492"/>
      <c r="BO160" s="492"/>
      <c r="BP160" s="498"/>
      <c r="BQ160" s="499">
        <f>SUM(BR160:BT160)</f>
        <v>0</v>
      </c>
      <c r="BR160" s="499">
        <f>AO160</f>
        <v>0</v>
      </c>
      <c r="BS160" s="499"/>
      <c r="BT160" s="499"/>
      <c r="BW160" s="210"/>
    </row>
    <row r="161" spans="1:72" ht="9.9499999999999993" customHeight="1">
      <c r="A161" s="490"/>
      <c r="B161" s="492"/>
      <c r="C161" s="492" t="s">
        <v>63</v>
      </c>
      <c r="D161" s="492"/>
      <c r="E161" s="492"/>
      <c r="F161" s="492"/>
      <c r="G161" s="492"/>
      <c r="H161" s="492"/>
      <c r="I161" s="492"/>
      <c r="J161" s="492"/>
      <c r="K161" s="492"/>
      <c r="L161" s="502"/>
      <c r="M161" s="492"/>
      <c r="N161" s="492"/>
      <c r="O161" s="492"/>
      <c r="P161" s="492"/>
      <c r="Q161" s="492"/>
      <c r="R161" s="492"/>
      <c r="S161" s="492"/>
      <c r="T161" s="496"/>
      <c r="U161" s="492"/>
      <c r="V161" s="492"/>
      <c r="W161" s="492"/>
      <c r="X161" s="492"/>
      <c r="Y161" s="492"/>
      <c r="Z161" s="492"/>
      <c r="AA161" s="492"/>
      <c r="AB161" s="492"/>
      <c r="AC161" s="492"/>
      <c r="AD161" s="492"/>
      <c r="AE161" s="492"/>
      <c r="AF161" s="492"/>
      <c r="AG161" s="492"/>
      <c r="AH161" s="492"/>
      <c r="AI161" s="496"/>
      <c r="AJ161" s="492"/>
      <c r="AK161" s="492"/>
      <c r="AL161" s="492"/>
      <c r="AM161" s="492"/>
      <c r="AN161" s="492"/>
      <c r="AO161" s="492"/>
      <c r="AP161" s="492"/>
      <c r="AQ161" s="492"/>
      <c r="AR161" s="492"/>
      <c r="AS161" s="492"/>
      <c r="AT161" s="492"/>
      <c r="AU161" s="492"/>
      <c r="AV161" s="492"/>
      <c r="AW161" s="492"/>
      <c r="AX161" s="492"/>
      <c r="AY161" s="492"/>
      <c r="AZ161" s="492"/>
      <c r="BA161" s="492"/>
      <c r="BB161" s="492"/>
      <c r="BC161" s="492"/>
      <c r="BD161" s="492"/>
      <c r="BE161" s="492"/>
      <c r="BF161" s="492"/>
      <c r="BG161" s="492"/>
      <c r="BH161" s="492"/>
      <c r="BI161" s="492"/>
      <c r="BJ161" s="492"/>
      <c r="BK161" s="492"/>
      <c r="BL161" s="492"/>
      <c r="BM161" s="492"/>
      <c r="BN161" s="492"/>
      <c r="BO161" s="492"/>
      <c r="BP161" s="492"/>
      <c r="BQ161" s="503">
        <f>SUM(BR161:BT161)</f>
        <v>8</v>
      </c>
      <c r="BR161" s="503">
        <f>SUM(BR159:BR160)</f>
        <v>8</v>
      </c>
      <c r="BS161" s="503">
        <f>SUM(BS159:BS160)</f>
        <v>0</v>
      </c>
      <c r="BT161" s="503">
        <f>SUM(BT159:BT160)</f>
        <v>0</v>
      </c>
    </row>
    <row r="162" spans="1:72" ht="9.9499999999999993" customHeight="1" thickBot="1">
      <c r="A162" s="490"/>
      <c r="B162" s="492"/>
      <c r="C162" s="518" t="s">
        <v>69</v>
      </c>
      <c r="D162" s="518"/>
      <c r="E162" s="518"/>
      <c r="F162" s="518"/>
      <c r="G162" s="518"/>
      <c r="H162" s="518"/>
      <c r="I162" s="518"/>
      <c r="J162" s="518"/>
      <c r="K162" s="518"/>
      <c r="L162" s="519"/>
      <c r="M162" s="518"/>
      <c r="N162" s="518"/>
      <c r="O162" s="518"/>
      <c r="P162" s="518"/>
      <c r="Q162" s="518"/>
      <c r="R162" s="518"/>
      <c r="S162" s="518"/>
      <c r="T162" s="520"/>
      <c r="U162" s="518"/>
      <c r="V162" s="518"/>
      <c r="W162" s="518"/>
      <c r="X162" s="518"/>
      <c r="Y162" s="518"/>
      <c r="Z162" s="518"/>
      <c r="AA162" s="518"/>
      <c r="AB162" s="518"/>
      <c r="AC162" s="518"/>
      <c r="AD162" s="518"/>
      <c r="AE162" s="518"/>
      <c r="AF162" s="518"/>
      <c r="AG162" s="518"/>
      <c r="AH162" s="518"/>
      <c r="AI162" s="520"/>
      <c r="AJ162" s="518"/>
      <c r="AK162" s="518"/>
      <c r="AL162" s="518"/>
      <c r="AM162" s="518"/>
      <c r="AN162" s="518"/>
      <c r="AO162" s="518"/>
      <c r="AP162" s="518"/>
      <c r="AQ162" s="518"/>
      <c r="AR162" s="518"/>
      <c r="AS162" s="518"/>
      <c r="AT162" s="518"/>
      <c r="AU162" s="518"/>
      <c r="AV162" s="518"/>
      <c r="AW162" s="518"/>
      <c r="AX162" s="518"/>
      <c r="AY162" s="518"/>
      <c r="AZ162" s="518"/>
      <c r="BA162" s="518"/>
      <c r="BB162" s="518"/>
      <c r="BC162" s="518"/>
      <c r="BD162" s="518"/>
      <c r="BE162" s="518"/>
      <c r="BF162" s="518"/>
      <c r="BG162" s="518"/>
      <c r="BH162" s="518"/>
      <c r="BI162" s="518"/>
      <c r="BJ162" s="518"/>
      <c r="BK162" s="518"/>
      <c r="BL162" s="518"/>
      <c r="BM162" s="518"/>
      <c r="BN162" s="518"/>
      <c r="BO162" s="518"/>
      <c r="BP162" s="518"/>
      <c r="BQ162" s="521" t="e">
        <f>BQ156+BQ161</f>
        <v>#REF!</v>
      </c>
      <c r="BR162" s="521">
        <f>BR156+BR161</f>
        <v>31</v>
      </c>
      <c r="BS162" s="521" t="e">
        <f>BS156+BS161</f>
        <v>#REF!</v>
      </c>
      <c r="BT162" s="521">
        <f>BT156+BT161</f>
        <v>6</v>
      </c>
    </row>
    <row r="163" spans="1:72" ht="9.9499999999999993" customHeight="1" thickTop="1">
      <c r="A163" s="490"/>
      <c r="B163" s="492"/>
      <c r="C163" s="492"/>
      <c r="D163" s="492"/>
      <c r="E163" s="492"/>
      <c r="F163" s="492"/>
      <c r="G163" s="492"/>
      <c r="H163" s="492"/>
      <c r="I163" s="492"/>
      <c r="J163" s="492"/>
      <c r="K163" s="492"/>
      <c r="L163" s="492"/>
      <c r="M163" s="492"/>
      <c r="N163" s="492"/>
      <c r="O163" s="492"/>
      <c r="P163" s="492"/>
      <c r="Q163" s="492"/>
      <c r="R163" s="492"/>
      <c r="S163" s="492"/>
      <c r="T163" s="492"/>
      <c r="U163" s="492"/>
      <c r="V163" s="492"/>
      <c r="W163" s="492"/>
      <c r="X163" s="492"/>
      <c r="Y163" s="492"/>
      <c r="Z163" s="492"/>
      <c r="AA163" s="492"/>
      <c r="AB163" s="492"/>
      <c r="AC163" s="492"/>
      <c r="AD163" s="492"/>
      <c r="AE163" s="492"/>
      <c r="AF163" s="492"/>
      <c r="AG163" s="492"/>
      <c r="AH163" s="492"/>
      <c r="AI163" s="492"/>
      <c r="AJ163" s="492"/>
      <c r="AK163" s="492"/>
      <c r="AL163" s="492"/>
      <c r="AM163" s="492"/>
      <c r="AN163" s="492"/>
      <c r="AO163" s="492"/>
      <c r="AP163" s="492"/>
      <c r="AQ163" s="492"/>
      <c r="AR163" s="492"/>
      <c r="AS163" s="492"/>
      <c r="AT163" s="492"/>
      <c r="AU163" s="492"/>
      <c r="AV163" s="492"/>
      <c r="AW163" s="492"/>
      <c r="AX163" s="492"/>
      <c r="AY163" s="492"/>
      <c r="AZ163" s="492"/>
      <c r="BA163" s="492"/>
      <c r="BB163" s="492"/>
      <c r="BC163" s="492"/>
      <c r="BD163" s="492"/>
      <c r="BE163" s="492"/>
      <c r="BF163" s="492"/>
      <c r="BG163" s="492"/>
      <c r="BH163" s="492"/>
      <c r="BI163" s="492"/>
      <c r="BJ163" s="492"/>
      <c r="BK163" s="492"/>
      <c r="BL163" s="492"/>
      <c r="BM163" s="492"/>
      <c r="BN163" s="492"/>
      <c r="BO163" s="492"/>
      <c r="BP163" s="492"/>
      <c r="BQ163" s="527"/>
      <c r="BR163" s="527"/>
      <c r="BS163" s="527"/>
      <c r="BT163" s="527"/>
    </row>
    <row r="164" spans="1:72" ht="9.9499999999999993" customHeight="1">
      <c r="A164" s="490"/>
      <c r="B164" s="492"/>
      <c r="C164" s="492"/>
      <c r="D164" s="492"/>
      <c r="E164" s="492"/>
      <c r="F164" s="492"/>
      <c r="G164" s="492"/>
      <c r="H164" s="492"/>
      <c r="I164" s="492"/>
      <c r="J164" s="492"/>
      <c r="K164" s="492"/>
      <c r="L164" s="492"/>
      <c r="M164" s="492"/>
      <c r="N164" s="492"/>
      <c r="O164" s="492"/>
      <c r="P164" s="492"/>
      <c r="Q164" s="492"/>
      <c r="R164" s="492"/>
      <c r="S164" s="492"/>
      <c r="T164" s="492"/>
      <c r="U164" s="492"/>
      <c r="V164" s="492"/>
      <c r="W164" s="492"/>
      <c r="X164" s="492"/>
      <c r="Y164" s="492"/>
      <c r="Z164" s="492"/>
      <c r="AA164" s="492"/>
      <c r="AB164" s="492"/>
      <c r="AC164" s="492"/>
      <c r="AD164" s="492"/>
      <c r="AE164" s="492"/>
      <c r="AF164" s="492"/>
      <c r="AG164" s="492"/>
      <c r="AH164" s="492"/>
      <c r="AI164" s="492"/>
      <c r="AJ164" s="492"/>
      <c r="AK164" s="492"/>
      <c r="AL164" s="492"/>
      <c r="AM164" s="492"/>
      <c r="AN164" s="492"/>
      <c r="AO164" s="492"/>
      <c r="AP164" s="492"/>
      <c r="AQ164" s="492"/>
      <c r="AR164" s="492"/>
      <c r="AS164" s="492"/>
      <c r="AT164" s="492"/>
      <c r="AU164" s="492"/>
      <c r="AV164" s="492"/>
      <c r="AW164" s="492"/>
      <c r="AX164" s="492"/>
      <c r="AY164" s="492"/>
      <c r="AZ164" s="492"/>
      <c r="BA164" s="492"/>
      <c r="BB164" s="492"/>
      <c r="BC164" s="492"/>
      <c r="BD164" s="492"/>
      <c r="BE164" s="492"/>
      <c r="BF164" s="492"/>
      <c r="BG164" s="492"/>
      <c r="BH164" s="492"/>
      <c r="BI164" s="492"/>
      <c r="BJ164" s="492"/>
      <c r="BK164" s="492"/>
      <c r="BL164" s="492"/>
      <c r="BM164" s="492"/>
      <c r="BN164" s="492"/>
      <c r="BO164" s="492"/>
      <c r="BP164" s="492"/>
      <c r="BQ164" s="493"/>
      <c r="BR164" s="493"/>
      <c r="BS164" s="493"/>
      <c r="BT164" s="493"/>
    </row>
    <row r="165" spans="1:72" ht="9.9499999999999993" customHeight="1">
      <c r="A165" s="490"/>
      <c r="B165" s="492"/>
      <c r="C165" s="492"/>
      <c r="D165" s="492"/>
      <c r="E165" s="492"/>
      <c r="F165" s="492"/>
      <c r="G165" s="492"/>
      <c r="H165" s="492"/>
      <c r="I165" s="492"/>
      <c r="J165" s="492"/>
      <c r="K165" s="492"/>
      <c r="L165" s="492"/>
      <c r="M165" s="492"/>
      <c r="N165" s="492"/>
      <c r="O165" s="492"/>
      <c r="P165" s="492"/>
      <c r="Q165" s="492"/>
      <c r="R165" s="492"/>
      <c r="S165" s="492"/>
      <c r="T165" s="492"/>
      <c r="U165" s="492"/>
      <c r="V165" s="492"/>
      <c r="W165" s="492"/>
      <c r="X165" s="492"/>
      <c r="Y165" s="492"/>
      <c r="Z165" s="492"/>
      <c r="AA165" s="492"/>
      <c r="AB165" s="492"/>
      <c r="AC165" s="492"/>
      <c r="AD165" s="492"/>
      <c r="AE165" s="492"/>
      <c r="AF165" s="492"/>
      <c r="AG165" s="492"/>
      <c r="AH165" s="492"/>
      <c r="AI165" s="492"/>
      <c r="AJ165" s="492"/>
      <c r="AK165" s="492"/>
      <c r="AL165" s="492"/>
      <c r="AM165" s="492"/>
      <c r="AN165" s="492"/>
      <c r="AO165" s="492"/>
      <c r="AP165" s="492"/>
      <c r="AQ165" s="492"/>
      <c r="AR165" s="492"/>
      <c r="AS165" s="492"/>
      <c r="AT165" s="492"/>
      <c r="AU165" s="492"/>
      <c r="AV165" s="492"/>
      <c r="AW165" s="492"/>
      <c r="AX165" s="492"/>
      <c r="AY165" s="492"/>
      <c r="AZ165" s="492"/>
      <c r="BA165" s="492"/>
      <c r="BB165" s="492"/>
      <c r="BC165" s="492"/>
      <c r="BD165" s="492"/>
      <c r="BE165" s="492"/>
      <c r="BF165" s="492"/>
      <c r="BG165" s="492"/>
      <c r="BH165" s="492"/>
      <c r="BI165" s="492"/>
      <c r="BJ165" s="492"/>
      <c r="BK165" s="492"/>
      <c r="BL165" s="492"/>
      <c r="BM165" s="492"/>
      <c r="BN165" s="492"/>
      <c r="BO165" s="492"/>
      <c r="BP165" s="492"/>
      <c r="BQ165" s="493"/>
      <c r="BR165" s="493"/>
      <c r="BS165" s="493"/>
      <c r="BT165" s="493">
        <v>0</v>
      </c>
    </row>
    <row r="166" spans="1:72" ht="9.9499999999999993" customHeight="1">
      <c r="A166" s="490"/>
      <c r="B166" s="492"/>
      <c r="C166" s="492"/>
      <c r="D166" s="492"/>
      <c r="E166" s="492"/>
      <c r="F166" s="492"/>
      <c r="G166" s="492"/>
      <c r="H166" s="492"/>
      <c r="I166" s="492"/>
      <c r="J166" s="492"/>
      <c r="K166" s="492"/>
      <c r="L166" s="492"/>
      <c r="M166" s="492"/>
      <c r="N166" s="492"/>
      <c r="O166" s="492"/>
      <c r="P166" s="492"/>
      <c r="Q166" s="492"/>
      <c r="R166" s="492"/>
      <c r="S166" s="492"/>
      <c r="T166" s="492"/>
      <c r="U166" s="492"/>
      <c r="V166" s="492"/>
      <c r="W166" s="492"/>
      <c r="X166" s="492"/>
      <c r="Y166" s="492"/>
      <c r="Z166" s="492"/>
      <c r="AA166" s="492"/>
      <c r="AB166" s="492"/>
      <c r="AC166" s="492"/>
      <c r="AD166" s="492"/>
      <c r="AE166" s="492"/>
      <c r="AF166" s="492"/>
      <c r="AG166" s="492"/>
      <c r="AH166" s="492"/>
      <c r="AI166" s="492"/>
      <c r="AJ166" s="492"/>
      <c r="AK166" s="492"/>
      <c r="AL166" s="492"/>
      <c r="AM166" s="492"/>
      <c r="AN166" s="492"/>
      <c r="AO166" s="492"/>
      <c r="AP166" s="492"/>
      <c r="AQ166" s="492"/>
      <c r="AR166" s="492"/>
      <c r="AS166" s="492"/>
      <c r="AT166" s="492"/>
      <c r="AU166" s="492"/>
      <c r="AV166" s="492"/>
      <c r="AW166" s="492"/>
      <c r="AX166" s="492"/>
      <c r="AY166" s="492"/>
      <c r="AZ166" s="492"/>
      <c r="BA166" s="492"/>
      <c r="BB166" s="492"/>
      <c r="BC166" s="492"/>
      <c r="BD166" s="492"/>
      <c r="BE166" s="492"/>
      <c r="BF166" s="492"/>
      <c r="BG166" s="492"/>
      <c r="BH166" s="492"/>
      <c r="BI166" s="492"/>
      <c r="BJ166" s="492"/>
      <c r="BK166" s="492"/>
      <c r="BL166" s="492"/>
      <c r="BM166" s="492"/>
      <c r="BN166" s="492"/>
      <c r="BO166" s="492"/>
      <c r="BP166" s="492"/>
      <c r="BQ166" s="493"/>
      <c r="BR166" s="493"/>
      <c r="BS166" s="493"/>
      <c r="BT166" s="493"/>
    </row>
    <row r="167" spans="1:72" ht="9.9499999999999993" customHeight="1">
      <c r="A167" s="490"/>
      <c r="B167" s="492"/>
      <c r="C167" s="492"/>
      <c r="D167" s="492"/>
      <c r="E167" s="492"/>
      <c r="F167" s="492"/>
      <c r="G167" s="492"/>
      <c r="H167" s="492"/>
      <c r="I167" s="492"/>
      <c r="J167" s="492"/>
      <c r="K167" s="492"/>
      <c r="L167" s="492"/>
      <c r="M167" s="492"/>
      <c r="N167" s="492"/>
      <c r="O167" s="492"/>
      <c r="P167" s="492"/>
      <c r="Q167" s="492"/>
      <c r="R167" s="492"/>
      <c r="S167" s="492"/>
      <c r="T167" s="492"/>
      <c r="U167" s="492"/>
      <c r="V167" s="492"/>
      <c r="W167" s="492"/>
      <c r="X167" s="492"/>
      <c r="Y167" s="492"/>
      <c r="Z167" s="492"/>
      <c r="AA167" s="492"/>
      <c r="AB167" s="492"/>
      <c r="AC167" s="492"/>
      <c r="AD167" s="492"/>
      <c r="AE167" s="492"/>
      <c r="AF167" s="492"/>
      <c r="AG167" s="492"/>
      <c r="AH167" s="492"/>
      <c r="AI167" s="492"/>
      <c r="AJ167" s="492"/>
      <c r="AK167" s="492"/>
      <c r="AL167" s="492"/>
      <c r="AM167" s="492"/>
      <c r="AN167" s="492"/>
      <c r="AO167" s="492"/>
      <c r="AP167" s="492"/>
      <c r="AQ167" s="492"/>
      <c r="AR167" s="492"/>
      <c r="AS167" s="492"/>
      <c r="AT167" s="492"/>
      <c r="AU167" s="492"/>
      <c r="AV167" s="492"/>
      <c r="AW167" s="492"/>
      <c r="AX167" s="492"/>
      <c r="AY167" s="492"/>
      <c r="AZ167" s="492"/>
      <c r="BA167" s="492"/>
      <c r="BB167" s="492"/>
      <c r="BC167" s="492"/>
      <c r="BD167" s="492"/>
      <c r="BE167" s="492"/>
      <c r="BF167" s="492"/>
      <c r="BG167" s="492"/>
      <c r="BH167" s="492"/>
      <c r="BI167" s="492"/>
      <c r="BJ167" s="492"/>
      <c r="BK167" s="492"/>
      <c r="BL167" s="492"/>
      <c r="BM167" s="492"/>
      <c r="BN167" s="492"/>
      <c r="BO167" s="492"/>
      <c r="BP167" s="492"/>
      <c r="BQ167" s="493"/>
      <c r="BR167" s="493"/>
      <c r="BS167" s="493"/>
      <c r="BT167" s="493"/>
    </row>
    <row r="168" spans="1:72" ht="9.9499999999999993" customHeight="1">
      <c r="A168" s="490"/>
      <c r="B168" s="492"/>
      <c r="C168" s="492"/>
      <c r="D168" s="492"/>
      <c r="E168" s="492"/>
      <c r="F168" s="492"/>
      <c r="G168" s="492"/>
      <c r="H168" s="492"/>
      <c r="I168" s="492"/>
      <c r="J168" s="492"/>
      <c r="K168" s="492"/>
      <c r="L168" s="492"/>
      <c r="M168" s="492"/>
      <c r="N168" s="492"/>
      <c r="O168" s="492"/>
      <c r="P168" s="492"/>
      <c r="Q168" s="492"/>
      <c r="R168" s="492"/>
      <c r="S168" s="492"/>
      <c r="T168" s="492"/>
      <c r="U168" s="492"/>
      <c r="V168" s="492"/>
      <c r="W168" s="492"/>
      <c r="X168" s="492"/>
      <c r="Y168" s="492"/>
      <c r="Z168" s="492"/>
      <c r="AA168" s="492"/>
      <c r="AB168" s="492"/>
      <c r="AC168" s="492"/>
      <c r="AD168" s="492"/>
      <c r="AE168" s="492"/>
      <c r="AF168" s="492"/>
      <c r="AG168" s="492"/>
      <c r="AH168" s="492"/>
      <c r="AI168" s="492"/>
      <c r="AJ168" s="492"/>
      <c r="AK168" s="492"/>
      <c r="AL168" s="492"/>
      <c r="AM168" s="492"/>
      <c r="AN168" s="492"/>
      <c r="AO168" s="492"/>
      <c r="AP168" s="492"/>
      <c r="AQ168" s="492"/>
      <c r="AR168" s="492"/>
      <c r="AS168" s="492"/>
      <c r="AT168" s="492"/>
      <c r="AU168" s="492"/>
      <c r="AV168" s="492"/>
      <c r="AW168" s="492"/>
      <c r="AX168" s="492"/>
      <c r="AY168" s="492"/>
      <c r="AZ168" s="492"/>
      <c r="BA168" s="492"/>
      <c r="BB168" s="492"/>
      <c r="BC168" s="492"/>
      <c r="BD168" s="492"/>
      <c r="BE168" s="492"/>
      <c r="BF168" s="492"/>
      <c r="BG168" s="492"/>
      <c r="BH168" s="492"/>
      <c r="BI168" s="492"/>
      <c r="BJ168" s="492"/>
      <c r="BK168" s="492"/>
      <c r="BL168" s="492"/>
      <c r="BM168" s="492"/>
      <c r="BN168" s="492"/>
      <c r="BO168" s="492"/>
      <c r="BP168" s="492"/>
      <c r="BQ168" s="493"/>
      <c r="BR168" s="493"/>
      <c r="BS168" s="493"/>
      <c r="BT168" s="493"/>
    </row>
    <row r="169" spans="1:72" ht="9.9499999999999993" customHeight="1">
      <c r="A169" s="490"/>
      <c r="B169" s="492"/>
      <c r="C169" s="492"/>
      <c r="D169" s="492"/>
      <c r="E169" s="492"/>
      <c r="F169" s="492"/>
      <c r="G169" s="492"/>
      <c r="H169" s="492"/>
      <c r="I169" s="492"/>
      <c r="J169" s="492"/>
      <c r="K169" s="492"/>
      <c r="L169" s="492"/>
      <c r="M169" s="492"/>
      <c r="N169" s="492"/>
      <c r="O169" s="492"/>
      <c r="P169" s="492"/>
      <c r="Q169" s="492"/>
      <c r="R169" s="492"/>
      <c r="S169" s="492"/>
      <c r="T169" s="492"/>
      <c r="U169" s="492"/>
      <c r="V169" s="492"/>
      <c r="W169" s="492"/>
      <c r="X169" s="492"/>
      <c r="Y169" s="492"/>
      <c r="Z169" s="492"/>
      <c r="AA169" s="492"/>
      <c r="AB169" s="492"/>
      <c r="AC169" s="492"/>
      <c r="AD169" s="492"/>
      <c r="AE169" s="492"/>
      <c r="AF169" s="492"/>
      <c r="AG169" s="492"/>
      <c r="AH169" s="492"/>
      <c r="AI169" s="492"/>
      <c r="AJ169" s="492"/>
      <c r="AK169" s="492"/>
      <c r="AL169" s="492"/>
      <c r="AM169" s="492"/>
      <c r="AN169" s="492"/>
      <c r="AO169" s="492"/>
      <c r="AP169" s="492"/>
      <c r="AQ169" s="492"/>
      <c r="AR169" s="492"/>
      <c r="AS169" s="492"/>
      <c r="AT169" s="492"/>
      <c r="AU169" s="492"/>
      <c r="AV169" s="492"/>
      <c r="AW169" s="492"/>
      <c r="AX169" s="492"/>
      <c r="AY169" s="492"/>
      <c r="AZ169" s="492"/>
      <c r="BA169" s="492"/>
      <c r="BB169" s="492"/>
      <c r="BC169" s="492"/>
      <c r="BD169" s="492"/>
      <c r="BE169" s="492"/>
      <c r="BF169" s="492"/>
      <c r="BG169" s="492"/>
      <c r="BH169" s="492"/>
      <c r="BI169" s="492"/>
      <c r="BJ169" s="492"/>
      <c r="BK169" s="492"/>
      <c r="BL169" s="492"/>
      <c r="BM169" s="492"/>
      <c r="BN169" s="492"/>
      <c r="BO169" s="492"/>
      <c r="BP169" s="492"/>
      <c r="BQ169" s="493"/>
      <c r="BR169" s="493"/>
      <c r="BS169" s="493"/>
      <c r="BT169" s="493"/>
    </row>
    <row r="170" spans="1:72" ht="9.9499999999999993" customHeight="1">
      <c r="A170" s="490"/>
      <c r="B170" s="492"/>
      <c r="C170" s="492"/>
      <c r="D170" s="492"/>
      <c r="E170" s="492"/>
      <c r="F170" s="492"/>
      <c r="G170" s="492"/>
      <c r="H170" s="492"/>
      <c r="I170" s="492"/>
      <c r="J170" s="492"/>
      <c r="K170" s="492"/>
      <c r="L170" s="492"/>
      <c r="M170" s="492"/>
      <c r="N170" s="492"/>
      <c r="O170" s="492"/>
      <c r="P170" s="492"/>
      <c r="Q170" s="492"/>
      <c r="R170" s="492"/>
      <c r="S170" s="492"/>
      <c r="T170" s="492"/>
      <c r="U170" s="492"/>
      <c r="V170" s="492"/>
      <c r="W170" s="492"/>
      <c r="X170" s="492"/>
      <c r="Y170" s="492"/>
      <c r="Z170" s="492"/>
      <c r="AA170" s="492"/>
      <c r="AB170" s="492"/>
      <c r="AC170" s="492"/>
      <c r="AD170" s="492"/>
      <c r="AE170" s="492"/>
      <c r="AF170" s="492"/>
      <c r="AG170" s="492"/>
      <c r="AH170" s="492"/>
      <c r="AI170" s="492"/>
      <c r="AJ170" s="492"/>
      <c r="AK170" s="492"/>
      <c r="AL170" s="492"/>
      <c r="AM170" s="492"/>
      <c r="AN170" s="492"/>
      <c r="AO170" s="492"/>
      <c r="AP170" s="492"/>
      <c r="AQ170" s="492"/>
      <c r="AR170" s="492"/>
      <c r="AS170" s="492"/>
      <c r="AT170" s="492"/>
      <c r="AU170" s="492"/>
      <c r="AV170" s="492"/>
      <c r="AW170" s="492"/>
      <c r="AX170" s="492"/>
      <c r="AY170" s="492"/>
      <c r="AZ170" s="492"/>
      <c r="BA170" s="492"/>
      <c r="BB170" s="492"/>
      <c r="BC170" s="492"/>
      <c r="BD170" s="492"/>
      <c r="BE170" s="492"/>
      <c r="BF170" s="492"/>
      <c r="BG170" s="492"/>
      <c r="BH170" s="492"/>
      <c r="BI170" s="492"/>
      <c r="BJ170" s="492"/>
      <c r="BK170" s="492"/>
      <c r="BL170" s="492"/>
      <c r="BM170" s="492"/>
      <c r="BN170" s="492"/>
      <c r="BO170" s="492"/>
      <c r="BP170" s="492"/>
      <c r="BQ170" s="493"/>
      <c r="BR170" s="493"/>
      <c r="BS170" s="493"/>
      <c r="BT170" s="493"/>
    </row>
    <row r="171" spans="1:72" ht="9.9499999999999993" customHeight="1">
      <c r="A171" s="490"/>
      <c r="B171" s="492"/>
      <c r="C171" s="492"/>
      <c r="D171" s="492"/>
      <c r="E171" s="492"/>
      <c r="F171" s="492"/>
      <c r="G171" s="492"/>
      <c r="H171" s="492"/>
      <c r="I171" s="492"/>
      <c r="J171" s="492"/>
      <c r="K171" s="492"/>
      <c r="L171" s="492"/>
      <c r="M171" s="492"/>
      <c r="N171" s="492"/>
      <c r="O171" s="492"/>
      <c r="P171" s="492"/>
      <c r="Q171" s="492"/>
      <c r="R171" s="492"/>
      <c r="S171" s="492"/>
      <c r="T171" s="492"/>
      <c r="U171" s="492"/>
      <c r="V171" s="492"/>
      <c r="W171" s="492"/>
      <c r="X171" s="492"/>
      <c r="Y171" s="492"/>
      <c r="Z171" s="492"/>
      <c r="AA171" s="492"/>
      <c r="AB171" s="492"/>
      <c r="AC171" s="492"/>
      <c r="AD171" s="492"/>
      <c r="AE171" s="492"/>
      <c r="AF171" s="492"/>
      <c r="AG171" s="492"/>
      <c r="AH171" s="492"/>
      <c r="AI171" s="492"/>
      <c r="AJ171" s="492"/>
      <c r="AK171" s="492"/>
      <c r="AL171" s="492"/>
      <c r="AM171" s="492"/>
      <c r="AN171" s="492"/>
      <c r="AO171" s="492"/>
      <c r="AP171" s="492"/>
      <c r="AQ171" s="492"/>
      <c r="AR171" s="492"/>
      <c r="AS171" s="492"/>
      <c r="AT171" s="492"/>
      <c r="AU171" s="492"/>
      <c r="AV171" s="492"/>
      <c r="AW171" s="492"/>
      <c r="AX171" s="492"/>
      <c r="AY171" s="492"/>
      <c r="AZ171" s="492"/>
      <c r="BA171" s="492"/>
      <c r="BB171" s="492"/>
      <c r="BC171" s="492"/>
      <c r="BD171" s="492"/>
      <c r="BE171" s="492"/>
      <c r="BF171" s="492"/>
      <c r="BG171" s="492"/>
      <c r="BH171" s="492"/>
      <c r="BI171" s="492"/>
      <c r="BJ171" s="492"/>
      <c r="BK171" s="492"/>
      <c r="BL171" s="492"/>
      <c r="BM171" s="492"/>
      <c r="BN171" s="492"/>
      <c r="BO171" s="492"/>
      <c r="BP171" s="492"/>
      <c r="BQ171" s="493"/>
      <c r="BR171" s="493"/>
      <c r="BS171" s="493"/>
      <c r="BT171" s="493"/>
    </row>
    <row r="172" spans="1:72" ht="9.9499999999999993" customHeight="1">
      <c r="A172" s="490"/>
      <c r="B172" s="492"/>
      <c r="C172" s="492"/>
      <c r="D172" s="492"/>
      <c r="E172" s="492"/>
      <c r="F172" s="492"/>
      <c r="G172" s="492"/>
      <c r="H172" s="492"/>
      <c r="I172" s="492"/>
      <c r="J172" s="492"/>
      <c r="K172" s="492"/>
      <c r="L172" s="492"/>
      <c r="M172" s="492"/>
      <c r="N172" s="492"/>
      <c r="O172" s="492"/>
      <c r="P172" s="492"/>
      <c r="Q172" s="492"/>
      <c r="R172" s="492"/>
      <c r="S172" s="492"/>
      <c r="T172" s="492"/>
      <c r="U172" s="492"/>
      <c r="V172" s="492"/>
      <c r="W172" s="492"/>
      <c r="X172" s="492"/>
      <c r="Y172" s="492"/>
      <c r="Z172" s="492"/>
      <c r="AA172" s="492"/>
      <c r="AB172" s="492"/>
      <c r="AC172" s="492"/>
      <c r="AD172" s="492"/>
      <c r="AE172" s="492"/>
      <c r="AF172" s="492"/>
      <c r="AG172" s="492"/>
      <c r="AH172" s="492"/>
      <c r="AI172" s="492"/>
      <c r="AJ172" s="492"/>
      <c r="AK172" s="492"/>
      <c r="AL172" s="492"/>
      <c r="AM172" s="492"/>
      <c r="AN172" s="492"/>
      <c r="AO172" s="492"/>
      <c r="AP172" s="492"/>
      <c r="AQ172" s="492"/>
      <c r="AR172" s="492"/>
      <c r="AS172" s="492"/>
      <c r="AT172" s="492"/>
      <c r="AU172" s="492"/>
      <c r="AV172" s="492"/>
      <c r="AW172" s="492"/>
      <c r="AX172" s="492"/>
      <c r="AY172" s="492"/>
      <c r="AZ172" s="492"/>
      <c r="BA172" s="492"/>
      <c r="BB172" s="492"/>
      <c r="BC172" s="492"/>
      <c r="BD172" s="492"/>
      <c r="BE172" s="492"/>
      <c r="BF172" s="492"/>
      <c r="BG172" s="492"/>
      <c r="BH172" s="492"/>
      <c r="BI172" s="492"/>
      <c r="BJ172" s="492"/>
      <c r="BK172" s="492"/>
      <c r="BL172" s="492"/>
      <c r="BM172" s="492"/>
      <c r="BN172" s="492"/>
      <c r="BO172" s="492"/>
      <c r="BP172" s="492"/>
      <c r="BQ172" s="493"/>
      <c r="BR172" s="493"/>
      <c r="BS172" s="493"/>
      <c r="BT172" s="493"/>
    </row>
    <row r="173" spans="1:72" ht="9.9499999999999993" customHeight="1">
      <c r="A173" s="490"/>
      <c r="B173" s="492"/>
      <c r="C173" s="492"/>
      <c r="D173" s="492"/>
      <c r="E173" s="492"/>
      <c r="F173" s="492"/>
      <c r="G173" s="492"/>
      <c r="H173" s="492"/>
      <c r="I173" s="492"/>
      <c r="J173" s="492"/>
      <c r="K173" s="492"/>
      <c r="L173" s="492"/>
      <c r="M173" s="492"/>
      <c r="N173" s="492"/>
      <c r="O173" s="492"/>
      <c r="P173" s="492"/>
      <c r="Q173" s="492"/>
      <c r="R173" s="492"/>
      <c r="S173" s="492"/>
      <c r="T173" s="492"/>
      <c r="U173" s="492"/>
      <c r="V173" s="492"/>
      <c r="W173" s="492"/>
      <c r="X173" s="492"/>
      <c r="Y173" s="492"/>
      <c r="Z173" s="492"/>
      <c r="AA173" s="492"/>
      <c r="AB173" s="492"/>
      <c r="AC173" s="492"/>
      <c r="AD173" s="492"/>
      <c r="AE173" s="492"/>
      <c r="AF173" s="492"/>
      <c r="AG173" s="492"/>
      <c r="AH173" s="492"/>
      <c r="AI173" s="492"/>
      <c r="AJ173" s="492"/>
      <c r="AK173" s="492"/>
      <c r="AL173" s="492"/>
      <c r="AM173" s="492"/>
      <c r="AN173" s="492"/>
      <c r="AO173" s="492"/>
      <c r="AP173" s="492"/>
      <c r="AQ173" s="492"/>
      <c r="AR173" s="492"/>
      <c r="AS173" s="492"/>
      <c r="AT173" s="492"/>
      <c r="AU173" s="492"/>
      <c r="AV173" s="492"/>
      <c r="AW173" s="492"/>
      <c r="AX173" s="492"/>
      <c r="AY173" s="492"/>
      <c r="AZ173" s="492"/>
      <c r="BA173" s="492"/>
      <c r="BB173" s="492"/>
      <c r="BC173" s="492"/>
      <c r="BD173" s="492"/>
      <c r="BE173" s="492"/>
      <c r="BF173" s="492"/>
      <c r="BG173" s="492"/>
      <c r="BH173" s="492"/>
      <c r="BI173" s="492"/>
      <c r="BJ173" s="492"/>
      <c r="BK173" s="492"/>
      <c r="BL173" s="492"/>
      <c r="BM173" s="492"/>
      <c r="BN173" s="492"/>
      <c r="BO173" s="492"/>
      <c r="BP173" s="492"/>
      <c r="BQ173" s="493"/>
      <c r="BR173" s="493"/>
      <c r="BS173" s="493"/>
      <c r="BT173" s="493"/>
    </row>
    <row r="174" spans="1:72" ht="9.9499999999999993" customHeight="1">
      <c r="A174" s="490"/>
      <c r="B174" s="492"/>
      <c r="C174" s="492"/>
      <c r="D174" s="492"/>
      <c r="E174" s="492"/>
      <c r="F174" s="492"/>
      <c r="G174" s="492"/>
      <c r="H174" s="492"/>
      <c r="I174" s="492"/>
      <c r="J174" s="492"/>
      <c r="K174" s="492"/>
      <c r="L174" s="492"/>
      <c r="M174" s="492"/>
      <c r="N174" s="492"/>
      <c r="O174" s="492"/>
      <c r="P174" s="492"/>
      <c r="Q174" s="492"/>
      <c r="R174" s="492"/>
      <c r="S174" s="492"/>
      <c r="T174" s="492"/>
      <c r="U174" s="492"/>
      <c r="V174" s="492"/>
      <c r="W174" s="492"/>
      <c r="X174" s="492"/>
      <c r="Y174" s="492"/>
      <c r="Z174" s="492"/>
      <c r="AA174" s="492"/>
      <c r="AB174" s="492"/>
      <c r="AC174" s="492"/>
      <c r="AD174" s="492"/>
      <c r="AE174" s="492"/>
      <c r="AF174" s="492"/>
      <c r="AG174" s="492"/>
      <c r="AH174" s="492"/>
      <c r="AI174" s="492"/>
      <c r="AJ174" s="492"/>
      <c r="AK174" s="492"/>
      <c r="AL174" s="492"/>
      <c r="AM174" s="492"/>
      <c r="AN174" s="492"/>
      <c r="AO174" s="492"/>
      <c r="AP174" s="492"/>
      <c r="AQ174" s="492"/>
      <c r="AR174" s="492"/>
      <c r="AS174" s="492"/>
      <c r="AT174" s="492"/>
      <c r="AU174" s="492"/>
      <c r="AV174" s="492"/>
      <c r="AW174" s="492"/>
      <c r="AX174" s="492"/>
      <c r="AY174" s="492"/>
      <c r="AZ174" s="492"/>
      <c r="BA174" s="492"/>
      <c r="BB174" s="492"/>
      <c r="BC174" s="492"/>
      <c r="BD174" s="492"/>
      <c r="BE174" s="492"/>
      <c r="BF174" s="492"/>
      <c r="BG174" s="492"/>
      <c r="BH174" s="492"/>
      <c r="BI174" s="492"/>
      <c r="BJ174" s="492"/>
      <c r="BK174" s="492"/>
      <c r="BL174" s="492"/>
      <c r="BM174" s="492"/>
      <c r="BN174" s="492"/>
      <c r="BO174" s="492"/>
      <c r="BP174" s="492"/>
      <c r="BQ174" s="493"/>
      <c r="BR174" s="493"/>
      <c r="BS174" s="493"/>
      <c r="BT174" s="493"/>
    </row>
    <row r="175" spans="1:72" ht="9.9499999999999993" customHeight="1">
      <c r="A175" s="490"/>
      <c r="B175" s="492"/>
      <c r="C175" s="492"/>
      <c r="D175" s="492"/>
      <c r="E175" s="492"/>
      <c r="F175" s="492"/>
      <c r="G175" s="492"/>
      <c r="H175" s="492"/>
      <c r="I175" s="492"/>
      <c r="J175" s="492"/>
      <c r="K175" s="492"/>
      <c r="L175" s="492"/>
      <c r="M175" s="492"/>
      <c r="N175" s="492"/>
      <c r="O175" s="492"/>
      <c r="P175" s="492"/>
      <c r="Q175" s="492"/>
      <c r="R175" s="492"/>
      <c r="S175" s="492"/>
      <c r="T175" s="492"/>
      <c r="U175" s="492"/>
      <c r="V175" s="492"/>
      <c r="W175" s="492"/>
      <c r="X175" s="492"/>
      <c r="Y175" s="492"/>
      <c r="Z175" s="492"/>
      <c r="AA175" s="492"/>
      <c r="AB175" s="492"/>
      <c r="AC175" s="492"/>
      <c r="AD175" s="492"/>
      <c r="AE175" s="492"/>
      <c r="AF175" s="492"/>
      <c r="AG175" s="492"/>
      <c r="AH175" s="492"/>
      <c r="AI175" s="492"/>
      <c r="AJ175" s="492"/>
      <c r="AK175" s="492"/>
      <c r="AL175" s="492"/>
      <c r="AM175" s="492"/>
      <c r="AN175" s="492"/>
      <c r="AO175" s="492"/>
      <c r="AP175" s="492"/>
      <c r="AQ175" s="492"/>
      <c r="AR175" s="492"/>
      <c r="AS175" s="492"/>
      <c r="AT175" s="492"/>
      <c r="AU175" s="492"/>
      <c r="AV175" s="492"/>
      <c r="AW175" s="492"/>
      <c r="AX175" s="492"/>
      <c r="AY175" s="492"/>
      <c r="AZ175" s="492"/>
      <c r="BA175" s="492"/>
      <c r="BB175" s="492"/>
      <c r="BC175" s="492"/>
      <c r="BD175" s="492"/>
      <c r="BE175" s="492"/>
      <c r="BF175" s="492"/>
      <c r="BG175" s="492"/>
      <c r="BH175" s="492"/>
      <c r="BI175" s="492"/>
      <c r="BJ175" s="492"/>
      <c r="BK175" s="492"/>
      <c r="BL175" s="492"/>
      <c r="BM175" s="492"/>
      <c r="BN175" s="492"/>
      <c r="BO175" s="492"/>
      <c r="BP175" s="492"/>
      <c r="BQ175" s="493"/>
      <c r="BR175" s="493"/>
      <c r="BS175" s="493"/>
      <c r="BT175" s="493"/>
    </row>
    <row r="176" spans="1:72" ht="9.9499999999999993" customHeight="1">
      <c r="A176" s="490"/>
      <c r="B176" s="492"/>
      <c r="C176" s="492"/>
      <c r="D176" s="492"/>
      <c r="E176" s="492"/>
      <c r="F176" s="492"/>
      <c r="G176" s="492"/>
      <c r="H176" s="492"/>
      <c r="I176" s="492"/>
      <c r="J176" s="492"/>
      <c r="K176" s="492"/>
      <c r="L176" s="492"/>
      <c r="M176" s="492"/>
      <c r="N176" s="492"/>
      <c r="O176" s="492"/>
      <c r="P176" s="492"/>
      <c r="Q176" s="492"/>
      <c r="R176" s="492"/>
      <c r="S176" s="492"/>
      <c r="T176" s="492"/>
      <c r="U176" s="492"/>
      <c r="V176" s="492"/>
      <c r="W176" s="492"/>
      <c r="X176" s="492"/>
      <c r="Y176" s="492"/>
      <c r="Z176" s="492"/>
      <c r="AA176" s="492"/>
      <c r="AB176" s="492"/>
      <c r="AC176" s="492"/>
      <c r="AD176" s="492"/>
      <c r="AE176" s="492"/>
      <c r="AF176" s="492"/>
      <c r="AG176" s="492"/>
      <c r="AH176" s="492"/>
      <c r="AI176" s="492"/>
      <c r="AJ176" s="492"/>
      <c r="AK176" s="492"/>
      <c r="AL176" s="492"/>
      <c r="AM176" s="492"/>
      <c r="AN176" s="492"/>
      <c r="AO176" s="492"/>
      <c r="AP176" s="492"/>
      <c r="AQ176" s="492"/>
      <c r="AR176" s="492"/>
      <c r="AS176" s="492"/>
      <c r="AT176" s="492"/>
      <c r="AU176" s="492"/>
      <c r="AV176" s="492"/>
      <c r="AW176" s="492"/>
      <c r="AX176" s="492"/>
      <c r="AY176" s="492"/>
      <c r="AZ176" s="492"/>
      <c r="BA176" s="492"/>
      <c r="BB176" s="492"/>
      <c r="BC176" s="492"/>
      <c r="BD176" s="492"/>
      <c r="BE176" s="492"/>
      <c r="BF176" s="492"/>
      <c r="BG176" s="492"/>
      <c r="BH176" s="492"/>
      <c r="BI176" s="492"/>
      <c r="BJ176" s="492"/>
      <c r="BK176" s="492"/>
      <c r="BL176" s="492"/>
      <c r="BM176" s="492"/>
      <c r="BN176" s="492"/>
      <c r="BO176" s="492"/>
      <c r="BP176" s="492"/>
      <c r="BQ176" s="493"/>
      <c r="BR176" s="493"/>
      <c r="BS176" s="493"/>
      <c r="BT176" s="493"/>
    </row>
    <row r="177" spans="1:74" ht="9.9499999999999993" customHeight="1">
      <c r="A177" s="490"/>
      <c r="B177" s="492"/>
      <c r="C177" s="492"/>
      <c r="D177" s="492"/>
      <c r="E177" s="492"/>
      <c r="F177" s="492"/>
      <c r="G177" s="492"/>
      <c r="H177" s="492"/>
      <c r="I177" s="492"/>
      <c r="J177" s="492"/>
      <c r="K177" s="492"/>
      <c r="L177" s="492"/>
      <c r="M177" s="492"/>
      <c r="N177" s="492"/>
      <c r="O177" s="492"/>
      <c r="P177" s="492"/>
      <c r="Q177" s="492"/>
      <c r="R177" s="492"/>
      <c r="S177" s="492"/>
      <c r="T177" s="492"/>
      <c r="U177" s="492"/>
      <c r="V177" s="492"/>
      <c r="W177" s="492"/>
      <c r="X177" s="492"/>
      <c r="Y177" s="492"/>
      <c r="Z177" s="492"/>
      <c r="AA177" s="492"/>
      <c r="AB177" s="492"/>
      <c r="AC177" s="492"/>
      <c r="AD177" s="492"/>
      <c r="AE177" s="492"/>
      <c r="AF177" s="492"/>
      <c r="AG177" s="492"/>
      <c r="AH177" s="492"/>
      <c r="AI177" s="492"/>
      <c r="AJ177" s="492"/>
      <c r="AK177" s="492"/>
      <c r="AL177" s="492"/>
      <c r="AM177" s="492"/>
      <c r="AN177" s="492"/>
      <c r="AO177" s="492"/>
      <c r="AP177" s="492"/>
      <c r="AQ177" s="492"/>
      <c r="AR177" s="492"/>
      <c r="AS177" s="492"/>
      <c r="AT177" s="492"/>
      <c r="AU177" s="492"/>
      <c r="AV177" s="492"/>
      <c r="AW177" s="492"/>
      <c r="AX177" s="492"/>
      <c r="AY177" s="492"/>
      <c r="AZ177" s="492"/>
      <c r="BA177" s="492"/>
      <c r="BB177" s="492"/>
      <c r="BC177" s="492"/>
      <c r="BD177" s="492"/>
      <c r="BE177" s="492"/>
      <c r="BF177" s="492"/>
      <c r="BG177" s="492"/>
      <c r="BH177" s="492"/>
      <c r="BI177" s="492"/>
      <c r="BJ177" s="492"/>
      <c r="BK177" s="492"/>
      <c r="BL177" s="492"/>
      <c r="BM177" s="492"/>
      <c r="BN177" s="492"/>
      <c r="BO177" s="492"/>
      <c r="BP177" s="492"/>
      <c r="BQ177" s="493"/>
      <c r="BR177" s="493"/>
      <c r="BS177" s="493"/>
      <c r="BT177" s="493"/>
    </row>
    <row r="178" spans="1:74" ht="9.9499999999999993" customHeight="1">
      <c r="A178" s="490"/>
      <c r="B178" s="492"/>
      <c r="C178" s="492"/>
      <c r="D178" s="492"/>
      <c r="E178" s="492"/>
      <c r="F178" s="492"/>
      <c r="G178" s="492"/>
      <c r="H178" s="492"/>
      <c r="I178" s="492"/>
      <c r="J178" s="492"/>
      <c r="K178" s="492"/>
      <c r="L178" s="492"/>
      <c r="M178" s="492"/>
      <c r="N178" s="492"/>
      <c r="O178" s="492"/>
      <c r="P178" s="492"/>
      <c r="Q178" s="492"/>
      <c r="R178" s="492"/>
      <c r="S178" s="492"/>
      <c r="T178" s="492"/>
      <c r="U178" s="492"/>
      <c r="V178" s="492"/>
      <c r="W178" s="492"/>
      <c r="X178" s="492"/>
      <c r="Y178" s="492"/>
      <c r="Z178" s="492"/>
      <c r="AA178" s="492"/>
      <c r="AB178" s="492"/>
      <c r="AC178" s="492"/>
      <c r="AD178" s="492"/>
      <c r="AE178" s="492"/>
      <c r="AF178" s="492"/>
      <c r="AG178" s="492"/>
      <c r="AH178" s="492"/>
      <c r="AI178" s="492"/>
      <c r="AJ178" s="492"/>
      <c r="AK178" s="492"/>
      <c r="AL178" s="492"/>
      <c r="AM178" s="492"/>
      <c r="AN178" s="492"/>
      <c r="AO178" s="492"/>
      <c r="AP178" s="492"/>
      <c r="AQ178" s="492"/>
      <c r="AR178" s="492"/>
      <c r="AS178" s="492"/>
      <c r="AT178" s="492"/>
      <c r="AU178" s="492"/>
      <c r="AV178" s="492"/>
      <c r="AW178" s="492"/>
      <c r="AX178" s="492"/>
      <c r="AY178" s="492"/>
      <c r="AZ178" s="492"/>
      <c r="BA178" s="492"/>
      <c r="BB178" s="492"/>
      <c r="BC178" s="492"/>
      <c r="BD178" s="492"/>
      <c r="BE178" s="492"/>
      <c r="BF178" s="492"/>
      <c r="BG178" s="492"/>
      <c r="BH178" s="492"/>
      <c r="BI178" s="492"/>
      <c r="BJ178" s="492"/>
      <c r="BK178" s="492"/>
      <c r="BL178" s="492"/>
      <c r="BM178" s="492"/>
      <c r="BN178" s="492"/>
      <c r="BO178" s="492"/>
      <c r="BP178" s="492"/>
      <c r="BQ178" s="493"/>
      <c r="BR178" s="493"/>
      <c r="BS178" s="493"/>
      <c r="BT178" s="493"/>
    </row>
    <row r="179" spans="1:74" ht="9.9499999999999993" customHeight="1">
      <c r="A179" s="490"/>
      <c r="B179" s="492"/>
      <c r="C179" s="492"/>
      <c r="D179" s="492"/>
      <c r="E179" s="492"/>
      <c r="F179" s="492"/>
      <c r="G179" s="492"/>
      <c r="H179" s="492"/>
      <c r="I179" s="492"/>
      <c r="J179" s="492"/>
      <c r="K179" s="492"/>
      <c r="L179" s="492"/>
      <c r="M179" s="492"/>
      <c r="N179" s="492"/>
      <c r="O179" s="492"/>
      <c r="P179" s="492"/>
      <c r="Q179" s="492"/>
      <c r="R179" s="492"/>
      <c r="S179" s="492"/>
      <c r="T179" s="492"/>
      <c r="U179" s="492"/>
      <c r="V179" s="492"/>
      <c r="W179" s="492"/>
      <c r="X179" s="492"/>
      <c r="Y179" s="492"/>
      <c r="Z179" s="492"/>
      <c r="AA179" s="492"/>
      <c r="AB179" s="492"/>
      <c r="AC179" s="492"/>
      <c r="AD179" s="492"/>
      <c r="AE179" s="492"/>
      <c r="AF179" s="492"/>
      <c r="AG179" s="492"/>
      <c r="AH179" s="492"/>
      <c r="AI179" s="492"/>
      <c r="AJ179" s="492"/>
      <c r="AK179" s="492"/>
      <c r="AL179" s="492"/>
      <c r="AM179" s="492"/>
      <c r="AN179" s="492"/>
      <c r="AO179" s="492"/>
      <c r="AP179" s="492"/>
      <c r="AQ179" s="492"/>
      <c r="AR179" s="492"/>
      <c r="AS179" s="492"/>
      <c r="AT179" s="492"/>
      <c r="AU179" s="492"/>
      <c r="AV179" s="492"/>
      <c r="AW179" s="492"/>
      <c r="AX179" s="492"/>
      <c r="AY179" s="492"/>
      <c r="AZ179" s="492"/>
      <c r="BA179" s="492"/>
      <c r="BB179" s="492"/>
      <c r="BC179" s="492"/>
      <c r="BD179" s="492"/>
      <c r="BE179" s="492"/>
      <c r="BF179" s="492"/>
      <c r="BG179" s="492"/>
      <c r="BH179" s="492"/>
      <c r="BI179" s="492"/>
      <c r="BJ179" s="492"/>
      <c r="BK179" s="492"/>
      <c r="BL179" s="492"/>
      <c r="BM179" s="492"/>
      <c r="BN179" s="492"/>
      <c r="BO179" s="492"/>
      <c r="BP179" s="492"/>
      <c r="BQ179" s="493"/>
      <c r="BR179" s="493"/>
      <c r="BS179" s="493"/>
      <c r="BT179" s="493"/>
    </row>
    <row r="180" spans="1:74" ht="9.9499999999999993" customHeight="1">
      <c r="A180" s="490"/>
      <c r="B180" s="492"/>
      <c r="C180" s="492"/>
      <c r="D180" s="492"/>
      <c r="E180" s="492"/>
      <c r="F180" s="492"/>
      <c r="G180" s="492"/>
      <c r="H180" s="492"/>
      <c r="I180" s="492"/>
      <c r="J180" s="492"/>
      <c r="K180" s="492"/>
      <c r="L180" s="492"/>
      <c r="M180" s="492"/>
      <c r="N180" s="492"/>
      <c r="O180" s="492"/>
      <c r="P180" s="492"/>
      <c r="Q180" s="492"/>
      <c r="R180" s="492"/>
      <c r="S180" s="492"/>
      <c r="T180" s="492"/>
      <c r="U180" s="492"/>
      <c r="V180" s="492"/>
      <c r="W180" s="492"/>
      <c r="X180" s="492"/>
      <c r="Y180" s="492"/>
      <c r="Z180" s="492"/>
      <c r="AA180" s="492"/>
      <c r="AB180" s="492"/>
      <c r="AC180" s="492"/>
      <c r="AD180" s="492"/>
      <c r="AE180" s="492"/>
      <c r="AF180" s="492"/>
      <c r="AG180" s="492"/>
      <c r="AH180" s="492"/>
      <c r="AI180" s="492"/>
      <c r="AJ180" s="492"/>
      <c r="AK180" s="492"/>
      <c r="AL180" s="492"/>
      <c r="AM180" s="492"/>
      <c r="AN180" s="492"/>
      <c r="AO180" s="492"/>
      <c r="AP180" s="492"/>
      <c r="AQ180" s="492"/>
      <c r="AR180" s="492"/>
      <c r="AS180" s="492"/>
      <c r="AT180" s="492"/>
      <c r="AU180" s="492"/>
      <c r="AV180" s="492"/>
      <c r="AW180" s="492"/>
      <c r="AX180" s="492"/>
      <c r="AY180" s="492"/>
      <c r="AZ180" s="492"/>
      <c r="BA180" s="492"/>
      <c r="BB180" s="492"/>
      <c r="BC180" s="492"/>
      <c r="BD180" s="492"/>
      <c r="BE180" s="492"/>
      <c r="BF180" s="492"/>
      <c r="BG180" s="492"/>
      <c r="BH180" s="492"/>
      <c r="BI180" s="492"/>
      <c r="BJ180" s="492"/>
      <c r="BK180" s="492"/>
      <c r="BL180" s="492"/>
      <c r="BM180" s="492"/>
      <c r="BN180" s="492"/>
      <c r="BO180" s="492"/>
      <c r="BP180" s="492"/>
      <c r="BQ180" s="493"/>
      <c r="BR180" s="493"/>
      <c r="BS180" s="493"/>
      <c r="BT180" s="493"/>
    </row>
    <row r="181" spans="1:74" ht="9.9499999999999993" customHeight="1">
      <c r="A181" s="490"/>
      <c r="B181" s="492"/>
      <c r="C181" s="492"/>
      <c r="D181" s="492"/>
      <c r="E181" s="492"/>
      <c r="F181" s="492"/>
      <c r="G181" s="492"/>
      <c r="H181" s="492"/>
      <c r="I181" s="492"/>
      <c r="J181" s="492"/>
      <c r="K181" s="492"/>
      <c r="L181" s="492"/>
      <c r="M181" s="492"/>
      <c r="N181" s="492"/>
      <c r="O181" s="492"/>
      <c r="P181" s="492"/>
      <c r="Q181" s="492"/>
      <c r="R181" s="492"/>
      <c r="S181" s="492"/>
      <c r="T181" s="492"/>
      <c r="U181" s="492"/>
      <c r="V181" s="492"/>
      <c r="W181" s="492"/>
      <c r="X181" s="492"/>
      <c r="Y181" s="492"/>
      <c r="Z181" s="492"/>
      <c r="AA181" s="492"/>
      <c r="AB181" s="492"/>
      <c r="AC181" s="492"/>
      <c r="AD181" s="492"/>
      <c r="AE181" s="492"/>
      <c r="AF181" s="492"/>
      <c r="AG181" s="492"/>
      <c r="AH181" s="492"/>
      <c r="AI181" s="492"/>
      <c r="AJ181" s="492"/>
      <c r="AK181" s="492"/>
      <c r="AL181" s="492"/>
      <c r="AM181" s="492"/>
      <c r="AN181" s="492"/>
      <c r="AO181" s="492"/>
      <c r="AP181" s="492"/>
      <c r="AQ181" s="492"/>
      <c r="AR181" s="492"/>
      <c r="AS181" s="492"/>
      <c r="AT181" s="492"/>
      <c r="AU181" s="492"/>
      <c r="AV181" s="492"/>
      <c r="AW181" s="492"/>
      <c r="AX181" s="492"/>
      <c r="AY181" s="492"/>
      <c r="AZ181" s="492"/>
      <c r="BA181" s="492"/>
      <c r="BB181" s="492"/>
      <c r="BC181" s="492"/>
      <c r="BD181" s="492"/>
      <c r="BE181" s="492"/>
      <c r="BF181" s="492"/>
      <c r="BG181" s="492"/>
      <c r="BH181" s="492"/>
      <c r="BI181" s="492"/>
      <c r="BJ181" s="492"/>
      <c r="BK181" s="492"/>
      <c r="BL181" s="492"/>
      <c r="BM181" s="492"/>
      <c r="BN181" s="492"/>
      <c r="BO181" s="492"/>
      <c r="BP181" s="492"/>
      <c r="BQ181" s="493"/>
      <c r="BR181" s="493"/>
      <c r="BS181" s="493"/>
      <c r="BT181" s="493"/>
    </row>
    <row r="182" spans="1:74" ht="9.9499999999999993" customHeight="1">
      <c r="A182" s="490"/>
      <c r="B182" s="492"/>
      <c r="C182" s="492"/>
      <c r="D182" s="492"/>
      <c r="E182" s="492"/>
      <c r="F182" s="492"/>
      <c r="G182" s="492"/>
      <c r="H182" s="492"/>
      <c r="I182" s="492"/>
      <c r="J182" s="492"/>
      <c r="K182" s="492"/>
      <c r="L182" s="492"/>
      <c r="M182" s="492"/>
      <c r="N182" s="492"/>
      <c r="O182" s="492"/>
      <c r="P182" s="492"/>
      <c r="Q182" s="492"/>
      <c r="R182" s="492"/>
      <c r="S182" s="492"/>
      <c r="T182" s="492"/>
      <c r="U182" s="492"/>
      <c r="V182" s="492"/>
      <c r="W182" s="492"/>
      <c r="X182" s="492"/>
      <c r="Y182" s="492"/>
      <c r="Z182" s="492"/>
      <c r="AA182" s="492"/>
      <c r="AB182" s="492"/>
      <c r="AC182" s="492"/>
      <c r="AD182" s="492"/>
      <c r="AE182" s="492"/>
      <c r="AF182" s="492"/>
      <c r="AG182" s="492"/>
      <c r="AH182" s="492"/>
      <c r="AI182" s="492"/>
      <c r="AJ182" s="492"/>
      <c r="AK182" s="492"/>
      <c r="AL182" s="492"/>
      <c r="AM182" s="492"/>
      <c r="AN182" s="492"/>
      <c r="AO182" s="492"/>
      <c r="AP182" s="492"/>
      <c r="AQ182" s="492"/>
      <c r="AR182" s="492"/>
      <c r="AS182" s="492"/>
      <c r="AT182" s="492"/>
      <c r="AU182" s="492"/>
      <c r="AV182" s="492"/>
      <c r="AW182" s="492"/>
      <c r="AX182" s="492"/>
      <c r="AY182" s="492"/>
      <c r="AZ182" s="492"/>
      <c r="BA182" s="492"/>
      <c r="BB182" s="492"/>
      <c r="BC182" s="492"/>
      <c r="BD182" s="492"/>
      <c r="BE182" s="492"/>
      <c r="BF182" s="492"/>
      <c r="BG182" s="492"/>
      <c r="BH182" s="492"/>
      <c r="BI182" s="492"/>
      <c r="BJ182" s="492"/>
      <c r="BK182" s="492"/>
      <c r="BL182" s="492"/>
      <c r="BM182" s="492"/>
      <c r="BN182" s="492"/>
      <c r="BO182" s="492"/>
      <c r="BP182" s="492"/>
      <c r="BQ182" s="493"/>
      <c r="BR182" s="493"/>
      <c r="BS182" s="493"/>
      <c r="BT182" s="493"/>
    </row>
    <row r="183" spans="1:74" ht="9.9499999999999993" customHeight="1">
      <c r="A183" s="490"/>
      <c r="B183" s="492"/>
      <c r="C183" s="492"/>
      <c r="D183" s="492"/>
      <c r="E183" s="492"/>
      <c r="F183" s="492"/>
      <c r="G183" s="492"/>
      <c r="H183" s="492"/>
      <c r="I183" s="492"/>
      <c r="J183" s="492"/>
      <c r="K183" s="492"/>
      <c r="L183" s="492"/>
      <c r="M183" s="492"/>
      <c r="N183" s="492"/>
      <c r="O183" s="492"/>
      <c r="P183" s="492"/>
      <c r="Q183" s="492"/>
      <c r="R183" s="492"/>
      <c r="S183" s="492"/>
      <c r="T183" s="492"/>
      <c r="U183" s="492"/>
      <c r="V183" s="492"/>
      <c r="W183" s="492"/>
      <c r="X183" s="492"/>
      <c r="Y183" s="492"/>
      <c r="Z183" s="492"/>
      <c r="AA183" s="492"/>
      <c r="AB183" s="492"/>
      <c r="AC183" s="492"/>
      <c r="AD183" s="492"/>
      <c r="AE183" s="492"/>
      <c r="AF183" s="492"/>
      <c r="AG183" s="492"/>
      <c r="AH183" s="492"/>
      <c r="AI183" s="492"/>
      <c r="AJ183" s="492"/>
      <c r="AK183" s="492"/>
      <c r="AL183" s="492"/>
      <c r="AM183" s="492"/>
      <c r="AN183" s="492"/>
      <c r="AO183" s="492"/>
      <c r="AP183" s="492"/>
      <c r="AQ183" s="492"/>
      <c r="AR183" s="492"/>
      <c r="AS183" s="492"/>
      <c r="AT183" s="492"/>
      <c r="AU183" s="492"/>
      <c r="AV183" s="492"/>
      <c r="AW183" s="492"/>
      <c r="AX183" s="492"/>
      <c r="AY183" s="492"/>
      <c r="AZ183" s="492"/>
      <c r="BA183" s="492"/>
      <c r="BB183" s="492"/>
      <c r="BC183" s="492"/>
      <c r="BD183" s="492"/>
      <c r="BE183" s="492"/>
      <c r="BF183" s="492"/>
      <c r="BG183" s="492"/>
      <c r="BH183" s="492"/>
      <c r="BI183" s="492"/>
      <c r="BJ183" s="492"/>
      <c r="BK183" s="492"/>
      <c r="BL183" s="492"/>
      <c r="BM183" s="492"/>
      <c r="BN183" s="492"/>
      <c r="BO183" s="492"/>
      <c r="BP183" s="492"/>
      <c r="BQ183" s="493"/>
      <c r="BR183" s="493"/>
      <c r="BS183" s="493"/>
      <c r="BT183" s="493"/>
    </row>
    <row r="184" spans="1:74" ht="9.9499999999999993" customHeight="1">
      <c r="A184" s="490"/>
      <c r="B184" s="492"/>
      <c r="C184" s="492"/>
      <c r="D184" s="492"/>
      <c r="E184" s="492"/>
      <c r="F184" s="492"/>
      <c r="G184" s="492"/>
      <c r="H184" s="492"/>
      <c r="I184" s="492"/>
      <c r="J184" s="492"/>
      <c r="K184" s="492"/>
      <c r="L184" s="492"/>
      <c r="M184" s="492"/>
      <c r="N184" s="492"/>
      <c r="O184" s="492"/>
      <c r="P184" s="492"/>
      <c r="Q184" s="492"/>
      <c r="R184" s="492"/>
      <c r="S184" s="492"/>
      <c r="T184" s="492"/>
      <c r="U184" s="492"/>
      <c r="V184" s="492"/>
      <c r="W184" s="492"/>
      <c r="X184" s="492"/>
      <c r="Y184" s="492"/>
      <c r="Z184" s="492"/>
      <c r="AA184" s="492"/>
      <c r="AB184" s="492"/>
      <c r="AC184" s="492"/>
      <c r="AD184" s="492"/>
      <c r="AE184" s="492"/>
      <c r="AF184" s="492"/>
      <c r="AG184" s="492"/>
      <c r="AH184" s="492"/>
      <c r="AI184" s="492"/>
      <c r="AJ184" s="492"/>
      <c r="AK184" s="492"/>
      <c r="AL184" s="492"/>
      <c r="AM184" s="492"/>
      <c r="AN184" s="492"/>
      <c r="AO184" s="492"/>
      <c r="AP184" s="492"/>
      <c r="AQ184" s="492"/>
      <c r="AR184" s="492"/>
      <c r="AS184" s="492"/>
      <c r="AT184" s="492"/>
      <c r="AU184" s="492"/>
      <c r="AV184" s="492"/>
      <c r="AW184" s="492"/>
      <c r="AX184" s="492"/>
      <c r="AY184" s="492"/>
      <c r="AZ184" s="492"/>
      <c r="BA184" s="492"/>
      <c r="BB184" s="492"/>
      <c r="BC184" s="492"/>
      <c r="BD184" s="492"/>
      <c r="BE184" s="492"/>
      <c r="BF184" s="492"/>
      <c r="BG184" s="492"/>
      <c r="BH184" s="492"/>
      <c r="BI184" s="492"/>
      <c r="BJ184" s="492"/>
      <c r="BK184" s="492"/>
      <c r="BL184" s="492"/>
      <c r="BM184" s="492"/>
      <c r="BN184" s="492"/>
      <c r="BO184" s="492"/>
      <c r="BP184" s="492"/>
      <c r="BQ184" s="493"/>
      <c r="BR184" s="493"/>
      <c r="BS184" s="493"/>
      <c r="BT184" s="493"/>
    </row>
    <row r="185" spans="1:74" ht="9.9499999999999993" customHeight="1">
      <c r="A185" s="490"/>
      <c r="B185" s="492"/>
      <c r="C185" s="492"/>
      <c r="D185" s="492"/>
      <c r="E185" s="492"/>
      <c r="F185" s="492"/>
      <c r="G185" s="492"/>
      <c r="H185" s="492"/>
      <c r="I185" s="492"/>
      <c r="J185" s="492"/>
      <c r="K185" s="492"/>
      <c r="L185" s="492"/>
      <c r="M185" s="492"/>
      <c r="N185" s="492"/>
      <c r="O185" s="492"/>
      <c r="P185" s="492"/>
      <c r="Q185" s="492"/>
      <c r="R185" s="492"/>
      <c r="S185" s="492"/>
      <c r="T185" s="492"/>
      <c r="U185" s="492"/>
      <c r="V185" s="492"/>
      <c r="W185" s="492"/>
      <c r="X185" s="492"/>
      <c r="Y185" s="492"/>
      <c r="Z185" s="492"/>
      <c r="AA185" s="492"/>
      <c r="AB185" s="492"/>
      <c r="AC185" s="492"/>
      <c r="AD185" s="492"/>
      <c r="AE185" s="492"/>
      <c r="AF185" s="492"/>
      <c r="AG185" s="492"/>
      <c r="AH185" s="492"/>
      <c r="AI185" s="492"/>
      <c r="AJ185" s="492"/>
      <c r="AK185" s="492"/>
      <c r="AL185" s="492"/>
      <c r="AM185" s="492"/>
      <c r="AN185" s="492"/>
      <c r="AO185" s="492"/>
      <c r="AP185" s="492"/>
      <c r="AQ185" s="492"/>
      <c r="AR185" s="492"/>
      <c r="AS185" s="492"/>
      <c r="AT185" s="492"/>
      <c r="AU185" s="492"/>
      <c r="AV185" s="492"/>
      <c r="AW185" s="492"/>
      <c r="AX185" s="492"/>
      <c r="AY185" s="492"/>
      <c r="AZ185" s="492"/>
      <c r="BA185" s="492"/>
      <c r="BB185" s="492"/>
      <c r="BC185" s="492"/>
      <c r="BD185" s="492"/>
      <c r="BE185" s="492"/>
      <c r="BF185" s="492"/>
      <c r="BG185" s="492"/>
      <c r="BH185" s="492"/>
      <c r="BI185" s="492"/>
      <c r="BJ185" s="492"/>
      <c r="BK185" s="492"/>
      <c r="BL185" s="492"/>
      <c r="BM185" s="492"/>
      <c r="BN185" s="492"/>
      <c r="BO185" s="492"/>
      <c r="BP185" s="492"/>
      <c r="BQ185" s="493"/>
      <c r="BR185" s="493"/>
      <c r="BS185" s="493"/>
      <c r="BT185" s="493"/>
    </row>
    <row r="186" spans="1:74" ht="9.9499999999999993" customHeight="1">
      <c r="A186" s="490"/>
      <c r="B186" s="492"/>
      <c r="C186" s="492"/>
      <c r="D186" s="492"/>
      <c r="E186" s="492"/>
      <c r="F186" s="492"/>
      <c r="G186" s="492"/>
      <c r="H186" s="492"/>
      <c r="I186" s="492"/>
      <c r="J186" s="492"/>
      <c r="K186" s="492"/>
      <c r="L186" s="492"/>
      <c r="M186" s="492"/>
      <c r="N186" s="492"/>
      <c r="O186" s="492"/>
      <c r="P186" s="492"/>
      <c r="Q186" s="492"/>
      <c r="R186" s="492"/>
      <c r="S186" s="492"/>
      <c r="T186" s="492"/>
      <c r="U186" s="492"/>
      <c r="V186" s="492"/>
      <c r="W186" s="492"/>
      <c r="X186" s="492"/>
      <c r="Y186" s="492"/>
      <c r="Z186" s="492"/>
      <c r="AA186" s="492"/>
      <c r="AB186" s="492"/>
      <c r="AC186" s="492"/>
      <c r="AD186" s="492"/>
      <c r="AE186" s="492"/>
      <c r="AF186" s="492"/>
      <c r="AG186" s="492"/>
      <c r="AH186" s="492"/>
      <c r="AI186" s="492"/>
      <c r="AJ186" s="492"/>
      <c r="AK186" s="492"/>
      <c r="AL186" s="492"/>
      <c r="AM186" s="492"/>
      <c r="AN186" s="492"/>
      <c r="AO186" s="492"/>
      <c r="AP186" s="492"/>
      <c r="AQ186" s="492"/>
      <c r="AR186" s="492"/>
      <c r="AS186" s="492"/>
      <c r="AT186" s="492"/>
      <c r="AU186" s="492"/>
      <c r="AV186" s="492"/>
      <c r="AW186" s="492"/>
      <c r="AX186" s="492"/>
      <c r="AY186" s="492"/>
      <c r="AZ186" s="492"/>
      <c r="BA186" s="492"/>
      <c r="BB186" s="492"/>
      <c r="BC186" s="492"/>
      <c r="BD186" s="492"/>
      <c r="BE186" s="492"/>
      <c r="BF186" s="492"/>
      <c r="BG186" s="492"/>
      <c r="BH186" s="492"/>
      <c r="BI186" s="492"/>
      <c r="BJ186" s="492"/>
      <c r="BK186" s="492"/>
      <c r="BL186" s="492"/>
      <c r="BM186" s="492"/>
      <c r="BN186" s="492"/>
      <c r="BO186" s="492"/>
      <c r="BP186" s="492"/>
      <c r="BQ186" s="493"/>
      <c r="BR186" s="493"/>
      <c r="BS186" s="493"/>
      <c r="BT186" s="493"/>
    </row>
    <row r="187" spans="1:74" ht="9.9499999999999993" customHeight="1">
      <c r="A187" s="490"/>
      <c r="B187" s="492"/>
      <c r="C187" s="492"/>
      <c r="D187" s="492"/>
      <c r="E187" s="492"/>
      <c r="F187" s="492"/>
      <c r="G187" s="492"/>
      <c r="H187" s="492"/>
      <c r="I187" s="492"/>
      <c r="J187" s="492"/>
      <c r="K187" s="492"/>
      <c r="L187" s="492"/>
      <c r="M187" s="492"/>
      <c r="N187" s="492"/>
      <c r="O187" s="492"/>
      <c r="P187" s="492"/>
      <c r="Q187" s="492"/>
      <c r="R187" s="492"/>
      <c r="S187" s="492"/>
      <c r="T187" s="492"/>
      <c r="U187" s="492"/>
      <c r="V187" s="492"/>
      <c r="W187" s="492"/>
      <c r="X187" s="492"/>
      <c r="Y187" s="492"/>
      <c r="Z187" s="492"/>
      <c r="AA187" s="492"/>
      <c r="AB187" s="492"/>
      <c r="AC187" s="492"/>
      <c r="AD187" s="492"/>
      <c r="AE187" s="492"/>
      <c r="AF187" s="492"/>
      <c r="AG187" s="492"/>
      <c r="AH187" s="492"/>
      <c r="AI187" s="492"/>
      <c r="AJ187" s="492"/>
      <c r="AK187" s="492"/>
      <c r="AL187" s="492"/>
      <c r="AM187" s="492"/>
      <c r="AN187" s="492"/>
      <c r="AO187" s="492"/>
      <c r="AP187" s="492"/>
      <c r="AQ187" s="492"/>
      <c r="AR187" s="492"/>
      <c r="AS187" s="492"/>
      <c r="AT187" s="492"/>
      <c r="AU187" s="492"/>
      <c r="AV187" s="492"/>
      <c r="AW187" s="492"/>
      <c r="AX187" s="492"/>
      <c r="AY187" s="492"/>
      <c r="AZ187" s="492"/>
      <c r="BA187" s="492"/>
      <c r="BB187" s="492"/>
      <c r="BC187" s="492"/>
      <c r="BD187" s="492"/>
      <c r="BE187" s="492"/>
      <c r="BF187" s="492"/>
      <c r="BG187" s="492"/>
      <c r="BH187" s="492"/>
      <c r="BI187" s="492"/>
      <c r="BJ187" s="492"/>
      <c r="BK187" s="492"/>
      <c r="BL187" s="492"/>
      <c r="BM187" s="492"/>
      <c r="BN187" s="492"/>
      <c r="BO187" s="492"/>
      <c r="BP187" s="492"/>
      <c r="BQ187" s="493"/>
      <c r="BR187" s="493"/>
      <c r="BS187" s="493"/>
      <c r="BT187" s="493"/>
      <c r="BV187" s="488"/>
    </row>
    <row r="188" spans="1:74" ht="9.9499999999999993" customHeight="1">
      <c r="A188" s="490"/>
      <c r="B188" s="492"/>
      <c r="C188" s="492"/>
      <c r="D188" s="492"/>
      <c r="E188" s="492"/>
      <c r="F188" s="492"/>
      <c r="G188" s="492"/>
      <c r="H188" s="492"/>
      <c r="I188" s="492"/>
      <c r="J188" s="492"/>
      <c r="K188" s="492"/>
      <c r="L188" s="492"/>
      <c r="M188" s="492"/>
      <c r="N188" s="492"/>
      <c r="O188" s="492"/>
      <c r="P188" s="492"/>
      <c r="Q188" s="492"/>
      <c r="R188" s="492"/>
      <c r="S188" s="492"/>
      <c r="T188" s="492"/>
      <c r="U188" s="492"/>
      <c r="V188" s="492"/>
      <c r="W188" s="492"/>
      <c r="X188" s="492"/>
      <c r="Y188" s="492"/>
      <c r="Z188" s="492"/>
      <c r="AA188" s="492"/>
      <c r="AB188" s="492"/>
      <c r="AC188" s="492"/>
      <c r="AD188" s="492"/>
      <c r="AE188" s="492"/>
      <c r="AF188" s="492"/>
      <c r="AG188" s="492"/>
      <c r="AH188" s="492"/>
      <c r="AI188" s="492"/>
      <c r="AJ188" s="492"/>
      <c r="AK188" s="492"/>
      <c r="AL188" s="492"/>
      <c r="AM188" s="492"/>
      <c r="AN188" s="492"/>
      <c r="AO188" s="492"/>
      <c r="AP188" s="492"/>
      <c r="AQ188" s="492"/>
      <c r="AR188" s="492"/>
      <c r="AS188" s="492"/>
      <c r="AT188" s="492"/>
      <c r="AU188" s="492"/>
      <c r="AV188" s="492"/>
      <c r="AW188" s="492"/>
      <c r="AX188" s="492"/>
      <c r="AY188" s="492"/>
      <c r="AZ188" s="492"/>
      <c r="BA188" s="492"/>
      <c r="BB188" s="492"/>
      <c r="BC188" s="492"/>
      <c r="BD188" s="492"/>
      <c r="BE188" s="492"/>
      <c r="BF188" s="492"/>
      <c r="BG188" s="492"/>
      <c r="BH188" s="492"/>
      <c r="BI188" s="492"/>
      <c r="BJ188" s="492"/>
      <c r="BK188" s="492"/>
      <c r="BL188" s="492"/>
      <c r="BM188" s="492"/>
      <c r="BN188" s="492"/>
      <c r="BO188" s="492"/>
      <c r="BP188" s="492"/>
      <c r="BQ188" s="493"/>
      <c r="BR188" s="493"/>
      <c r="BS188" s="493"/>
      <c r="BT188" s="493"/>
      <c r="BV188" s="489"/>
    </row>
    <row r="189" spans="1:74" ht="9.9499999999999993" customHeight="1">
      <c r="A189" s="490"/>
      <c r="B189" s="492"/>
      <c r="C189" s="492"/>
      <c r="D189" s="492"/>
      <c r="E189" s="492"/>
      <c r="F189" s="492"/>
      <c r="G189" s="492"/>
      <c r="H189" s="492"/>
      <c r="I189" s="492"/>
      <c r="J189" s="492"/>
      <c r="K189" s="492"/>
      <c r="L189" s="492"/>
      <c r="M189" s="492"/>
      <c r="N189" s="492"/>
      <c r="O189" s="492"/>
      <c r="P189" s="492"/>
      <c r="Q189" s="492"/>
      <c r="R189" s="492"/>
      <c r="S189" s="492"/>
      <c r="T189" s="492"/>
      <c r="U189" s="492"/>
      <c r="V189" s="492"/>
      <c r="W189" s="492"/>
      <c r="X189" s="492"/>
      <c r="Y189" s="492"/>
      <c r="Z189" s="492"/>
      <c r="AA189" s="492"/>
      <c r="AB189" s="492"/>
      <c r="AC189" s="492"/>
      <c r="AD189" s="492"/>
      <c r="AE189" s="492"/>
      <c r="AF189" s="492"/>
      <c r="AG189" s="492"/>
      <c r="AH189" s="492"/>
      <c r="AI189" s="492"/>
      <c r="AJ189" s="492"/>
      <c r="AK189" s="492"/>
      <c r="AL189" s="492"/>
      <c r="AM189" s="492"/>
      <c r="AN189" s="492"/>
      <c r="AO189" s="492"/>
      <c r="AP189" s="492"/>
      <c r="AQ189" s="492"/>
      <c r="AR189" s="492"/>
      <c r="AS189" s="492"/>
      <c r="AT189" s="492"/>
      <c r="AU189" s="492"/>
      <c r="AV189" s="492"/>
      <c r="AW189" s="492"/>
      <c r="AX189" s="492"/>
      <c r="AY189" s="492"/>
      <c r="AZ189" s="492"/>
      <c r="BA189" s="492"/>
      <c r="BB189" s="492"/>
      <c r="BC189" s="492"/>
      <c r="BD189" s="492"/>
      <c r="BE189" s="492"/>
      <c r="BF189" s="492"/>
      <c r="BG189" s="492"/>
      <c r="BH189" s="492"/>
      <c r="BI189" s="492"/>
      <c r="BJ189" s="492"/>
      <c r="BK189" s="492"/>
      <c r="BL189" s="492"/>
      <c r="BM189" s="492"/>
      <c r="BN189" s="492"/>
      <c r="BO189" s="492"/>
      <c r="BP189" s="492"/>
      <c r="BQ189" s="493"/>
      <c r="BR189" s="493"/>
      <c r="BS189" s="493"/>
      <c r="BT189" s="493"/>
      <c r="BV189" s="489"/>
    </row>
    <row r="190" spans="1:74" ht="9.9499999999999993" customHeight="1">
      <c r="A190" s="490"/>
      <c r="B190" s="492"/>
      <c r="C190" s="492"/>
      <c r="D190" s="492"/>
      <c r="E190" s="492"/>
      <c r="F190" s="492"/>
      <c r="G190" s="492"/>
      <c r="H190" s="492"/>
      <c r="I190" s="492"/>
      <c r="J190" s="492"/>
      <c r="K190" s="492"/>
      <c r="L190" s="492"/>
      <c r="M190" s="492"/>
      <c r="N190" s="492"/>
      <c r="O190" s="492"/>
      <c r="P190" s="492"/>
      <c r="Q190" s="492"/>
      <c r="R190" s="492"/>
      <c r="S190" s="492"/>
      <c r="T190" s="492"/>
      <c r="U190" s="492"/>
      <c r="V190" s="492"/>
      <c r="W190" s="492"/>
      <c r="X190" s="492"/>
      <c r="Y190" s="492"/>
      <c r="Z190" s="492"/>
      <c r="AA190" s="492"/>
      <c r="AB190" s="492"/>
      <c r="AC190" s="492"/>
      <c r="AD190" s="492"/>
      <c r="AE190" s="492"/>
      <c r="AF190" s="492"/>
      <c r="AG190" s="492"/>
      <c r="AH190" s="492"/>
      <c r="AI190" s="492"/>
      <c r="AJ190" s="492"/>
      <c r="AK190" s="492"/>
      <c r="AL190" s="492"/>
      <c r="AM190" s="492"/>
      <c r="AN190" s="492"/>
      <c r="AO190" s="492"/>
      <c r="AP190" s="492"/>
      <c r="AQ190" s="492"/>
      <c r="AR190" s="492"/>
      <c r="AS190" s="492"/>
      <c r="AT190" s="492"/>
      <c r="AU190" s="492"/>
      <c r="AV190" s="492"/>
      <c r="AW190" s="492"/>
      <c r="AX190" s="492"/>
      <c r="AY190" s="492"/>
      <c r="AZ190" s="492"/>
      <c r="BA190" s="492"/>
      <c r="BB190" s="492"/>
      <c r="BC190" s="492"/>
      <c r="BD190" s="492"/>
      <c r="BE190" s="492"/>
      <c r="BF190" s="492"/>
      <c r="BG190" s="492"/>
      <c r="BH190" s="492"/>
      <c r="BI190" s="492"/>
      <c r="BJ190" s="492"/>
      <c r="BK190" s="492"/>
      <c r="BL190" s="492"/>
      <c r="BM190" s="492"/>
      <c r="BN190" s="492"/>
      <c r="BO190" s="492"/>
      <c r="BP190" s="492"/>
      <c r="BQ190" s="493"/>
      <c r="BR190" s="493"/>
      <c r="BS190" s="493"/>
      <c r="BT190" s="493"/>
      <c r="BV190" s="489"/>
    </row>
    <row r="191" spans="1:74" ht="9.9499999999999993" customHeight="1">
      <c r="A191" s="510"/>
      <c r="B191" s="511"/>
      <c r="C191" s="511"/>
      <c r="D191" s="511"/>
      <c r="E191" s="511"/>
      <c r="F191" s="511"/>
      <c r="G191" s="511"/>
      <c r="H191" s="511"/>
      <c r="I191" s="511"/>
      <c r="J191" s="511"/>
      <c r="K191" s="511"/>
      <c r="L191" s="511"/>
      <c r="M191" s="511"/>
      <c r="N191" s="511"/>
      <c r="O191" s="511"/>
      <c r="P191" s="511"/>
      <c r="Q191" s="511"/>
      <c r="R191" s="511"/>
      <c r="S191" s="511"/>
      <c r="T191" s="511"/>
      <c r="U191" s="511"/>
      <c r="V191" s="511"/>
      <c r="W191" s="511"/>
      <c r="X191" s="511"/>
      <c r="Y191" s="511"/>
      <c r="Z191" s="511"/>
      <c r="AA191" s="511"/>
      <c r="AB191" s="511"/>
      <c r="AC191" s="511"/>
      <c r="AD191" s="511"/>
      <c r="AE191" s="511"/>
      <c r="AF191" s="511"/>
      <c r="AG191" s="511"/>
      <c r="AH191" s="511"/>
      <c r="AI191" s="511"/>
      <c r="AJ191" s="511"/>
      <c r="AK191" s="511"/>
      <c r="AL191" s="511"/>
      <c r="AM191" s="511"/>
      <c r="AN191" s="511"/>
      <c r="AO191" s="511"/>
      <c r="AP191" s="511"/>
      <c r="AQ191" s="511"/>
      <c r="AR191" s="511"/>
      <c r="AS191" s="511"/>
      <c r="AT191" s="511"/>
      <c r="AU191" s="511"/>
      <c r="AV191" s="511"/>
      <c r="AW191" s="511"/>
      <c r="AX191" s="511"/>
      <c r="AY191" s="511"/>
      <c r="AZ191" s="511"/>
      <c r="BA191" s="511"/>
      <c r="BB191" s="511"/>
      <c r="BC191" s="511"/>
      <c r="BD191" s="511"/>
      <c r="BE191" s="511"/>
      <c r="BF191" s="511"/>
      <c r="BG191" s="511"/>
      <c r="BH191" s="511"/>
      <c r="BI191" s="511"/>
      <c r="BJ191" s="511"/>
      <c r="BK191" s="511"/>
      <c r="BL191" s="511"/>
      <c r="BM191" s="511"/>
      <c r="BN191" s="511"/>
      <c r="BO191" s="511"/>
      <c r="BP191" s="511"/>
      <c r="BQ191" s="522"/>
      <c r="BR191" s="522"/>
      <c r="BS191" s="522"/>
      <c r="BT191" s="522"/>
    </row>
    <row r="192" spans="1:74" ht="30.75" customHeight="1">
      <c r="A192" s="1499" t="s">
        <v>609</v>
      </c>
      <c r="B192" s="1500"/>
      <c r="C192" s="1500"/>
      <c r="D192" s="1500"/>
      <c r="E192" s="1500"/>
      <c r="F192" s="1500"/>
      <c r="G192" s="1500"/>
      <c r="H192" s="1500"/>
      <c r="I192" s="1500"/>
      <c r="J192" s="1500"/>
      <c r="K192" s="1500"/>
      <c r="L192" s="1500"/>
      <c r="M192" s="1500"/>
      <c r="N192" s="1500"/>
      <c r="O192" s="1500"/>
      <c r="P192" s="1500"/>
      <c r="Q192" s="1500"/>
      <c r="R192" s="1500"/>
      <c r="S192" s="1500"/>
      <c r="T192" s="1500"/>
      <c r="U192" s="1500"/>
      <c r="V192" s="1500"/>
      <c r="W192" s="1500"/>
      <c r="X192" s="1500"/>
      <c r="Y192" s="1500"/>
      <c r="Z192" s="1500"/>
      <c r="AA192" s="1500"/>
      <c r="AB192" s="1500"/>
      <c r="AC192" s="1500"/>
      <c r="AD192" s="1500"/>
      <c r="AE192" s="1500"/>
      <c r="AF192" s="1500"/>
      <c r="AG192" s="1500"/>
      <c r="AH192" s="1500"/>
      <c r="AI192" s="1500"/>
      <c r="AJ192" s="1500"/>
      <c r="AK192" s="1500"/>
      <c r="AL192" s="1500"/>
      <c r="AM192" s="1500"/>
      <c r="AN192" s="1500"/>
      <c r="AO192" s="1500"/>
      <c r="AP192" s="1500"/>
      <c r="AQ192" s="1500"/>
      <c r="AR192" s="1500"/>
      <c r="AS192" s="1500"/>
      <c r="AT192" s="1500"/>
      <c r="AU192" s="1500"/>
      <c r="AV192" s="1500"/>
      <c r="AW192" s="1500"/>
      <c r="AX192" s="1500"/>
      <c r="AY192" s="1500"/>
      <c r="AZ192" s="1500"/>
      <c r="BA192" s="1500"/>
      <c r="BB192" s="1500"/>
      <c r="BC192" s="1500"/>
      <c r="BD192" s="1500"/>
      <c r="BE192" s="1500"/>
      <c r="BF192" s="1500"/>
      <c r="BG192" s="1500"/>
      <c r="BH192" s="1500"/>
      <c r="BI192" s="1500"/>
      <c r="BJ192" s="1500"/>
      <c r="BK192" s="1500"/>
      <c r="BL192" s="1500"/>
      <c r="BM192" s="1500"/>
      <c r="BN192" s="1500"/>
      <c r="BO192" s="1500"/>
      <c r="BP192" s="1501"/>
      <c r="BQ192" s="452" t="s">
        <v>109</v>
      </c>
      <c r="BR192" s="452" t="s">
        <v>110</v>
      </c>
      <c r="BS192" s="452" t="s">
        <v>111</v>
      </c>
      <c r="BT192" s="452" t="s">
        <v>61</v>
      </c>
    </row>
    <row r="193" spans="1:78" ht="18" customHeight="1">
      <c r="A193" s="250"/>
      <c r="B193" s="57" t="s">
        <v>574</v>
      </c>
      <c r="C193" s="252"/>
      <c r="D193" s="252"/>
      <c r="E193" s="252"/>
      <c r="F193" s="252"/>
      <c r="G193" s="252"/>
      <c r="H193" s="252"/>
      <c r="I193" s="252"/>
      <c r="J193" s="252"/>
      <c r="K193" s="251"/>
      <c r="L193" s="252"/>
      <c r="M193" s="252"/>
      <c r="N193" s="252"/>
      <c r="O193" s="252"/>
      <c r="P193" s="252"/>
      <c r="Q193" s="57" t="s">
        <v>571</v>
      </c>
      <c r="R193" s="252"/>
      <c r="S193" s="252"/>
      <c r="T193" s="252"/>
      <c r="U193" s="252"/>
      <c r="V193" s="252"/>
      <c r="W193" s="252"/>
      <c r="X193" s="252"/>
      <c r="Y193" s="252"/>
      <c r="Z193" s="252"/>
      <c r="AA193" s="252"/>
      <c r="AB193" s="252"/>
      <c r="AC193" s="252"/>
      <c r="AD193" s="252"/>
      <c r="AE193" s="252"/>
      <c r="AF193" s="252"/>
      <c r="AG193" s="252"/>
      <c r="AH193" s="252"/>
      <c r="AI193" s="252"/>
      <c r="AJ193" s="252"/>
      <c r="AK193" s="252"/>
      <c r="AL193" s="252"/>
      <c r="AM193" s="252"/>
      <c r="AN193" s="252"/>
      <c r="AO193" s="252"/>
      <c r="AP193" s="252"/>
      <c r="AQ193" s="252"/>
      <c r="AR193" s="252"/>
      <c r="AS193" s="252"/>
      <c r="AT193" s="252"/>
      <c r="AU193" s="252"/>
      <c r="AV193" s="252"/>
      <c r="AW193" s="252"/>
      <c r="AX193" s="252"/>
      <c r="AY193" s="252"/>
      <c r="AZ193" s="252"/>
      <c r="BA193" s="252"/>
      <c r="BB193" s="252"/>
      <c r="BC193" s="252"/>
      <c r="BD193" s="252"/>
      <c r="BE193" s="252"/>
      <c r="BF193" s="252"/>
      <c r="BG193" s="252"/>
      <c r="BH193" s="252"/>
      <c r="BI193" s="252"/>
      <c r="BJ193" s="252"/>
      <c r="BK193" s="252"/>
      <c r="BL193" s="252"/>
      <c r="BM193" s="252"/>
      <c r="BN193" s="252"/>
      <c r="BO193" s="252"/>
      <c r="BP193" s="252"/>
      <c r="BQ193" s="253" t="e">
        <f>BQ244</f>
        <v>#REF!</v>
      </c>
      <c r="BR193" s="253">
        <f>BR244</f>
        <v>2222</v>
      </c>
      <c r="BS193" s="253" t="e">
        <f>BS244</f>
        <v>#REF!</v>
      </c>
      <c r="BT193" s="253">
        <f>BT244</f>
        <v>529</v>
      </c>
      <c r="BV193" s="171" t="s">
        <v>113</v>
      </c>
      <c r="BW193" s="249">
        <f>VLOOKUP(BV193,인건비!A:B,2,FALSE)</f>
        <v>228717</v>
      </c>
    </row>
    <row r="194" spans="1:78" ht="9" customHeight="1">
      <c r="A194" s="490"/>
      <c r="B194" s="492" t="s">
        <v>153</v>
      </c>
      <c r="C194" s="492"/>
      <c r="D194" s="492"/>
      <c r="E194" s="492" t="s">
        <v>154</v>
      </c>
      <c r="F194" s="492"/>
      <c r="G194" s="492"/>
      <c r="H194" s="492"/>
      <c r="I194" s="492"/>
      <c r="J194" s="492"/>
      <c r="K194" s="492"/>
      <c r="L194" s="492"/>
      <c r="M194" s="492"/>
      <c r="N194" s="492"/>
      <c r="O194" s="498">
        <v>10</v>
      </c>
      <c r="P194" s="498"/>
      <c r="Q194" s="498"/>
      <c r="R194" s="498"/>
      <c r="S194" s="492" t="s">
        <v>155</v>
      </c>
      <c r="T194" s="492"/>
      <c r="U194" s="492"/>
      <c r="V194" s="492"/>
      <c r="W194" s="492"/>
      <c r="X194" s="498">
        <f>O194</f>
        <v>10</v>
      </c>
      <c r="Y194" s="498"/>
      <c r="Z194" s="498"/>
      <c r="AA194" s="492" t="s">
        <v>156</v>
      </c>
      <c r="AB194" s="492"/>
      <c r="AC194" s="492"/>
      <c r="AD194" s="492"/>
      <c r="AE194" s="492"/>
      <c r="AF194" s="492"/>
      <c r="AG194" s="492"/>
      <c r="AH194" s="492"/>
      <c r="AI194" s="492"/>
      <c r="AJ194" s="492"/>
      <c r="AK194" s="492"/>
      <c r="AL194" s="492"/>
      <c r="AM194" s="492"/>
      <c r="AN194" s="492"/>
      <c r="AO194" s="492"/>
      <c r="AP194" s="492"/>
      <c r="AQ194" s="492"/>
      <c r="AR194" s="492"/>
      <c r="AS194" s="492"/>
      <c r="AT194" s="492"/>
      <c r="AU194" s="492"/>
      <c r="AV194" s="492"/>
      <c r="AW194" s="492"/>
      <c r="AX194" s="492"/>
      <c r="AY194" s="492"/>
      <c r="AZ194" s="492"/>
      <c r="BA194" s="492"/>
      <c r="BB194" s="492"/>
      <c r="BC194" s="492"/>
      <c r="BD194" s="492"/>
      <c r="BE194" s="492"/>
      <c r="BF194" s="492"/>
      <c r="BG194" s="492"/>
      <c r="BH194" s="492"/>
      <c r="BI194" s="492"/>
      <c r="BJ194" s="492"/>
      <c r="BK194" s="492"/>
      <c r="BL194" s="492"/>
      <c r="BM194" s="492"/>
      <c r="BN194" s="492"/>
      <c r="BO194" s="492"/>
      <c r="BP194" s="492"/>
      <c r="BQ194" s="499"/>
      <c r="BR194" s="499"/>
      <c r="BS194" s="499"/>
      <c r="BT194" s="499"/>
      <c r="BV194" s="171" t="s">
        <v>114</v>
      </c>
      <c r="BW194" s="249">
        <f>VLOOKUP(BV194,인건비!A:B,2,FALSE)</f>
        <v>172698</v>
      </c>
    </row>
    <row r="195" spans="1:78" ht="9" customHeight="1">
      <c r="A195" s="490"/>
      <c r="B195" s="492" t="s">
        <v>153</v>
      </c>
      <c r="C195" s="492"/>
      <c r="D195" s="492"/>
      <c r="E195" s="492" t="s">
        <v>157</v>
      </c>
      <c r="F195" s="492"/>
      <c r="G195" s="492"/>
      <c r="H195" s="492"/>
      <c r="I195" s="492"/>
      <c r="J195" s="492"/>
      <c r="K195" s="492"/>
      <c r="L195" s="492"/>
      <c r="M195" s="492"/>
      <c r="N195" s="492"/>
      <c r="O195" s="492"/>
      <c r="P195" s="492"/>
      <c r="Q195" s="492"/>
      <c r="R195" s="492"/>
      <c r="S195" s="492"/>
      <c r="T195" s="492"/>
      <c r="U195" s="492"/>
      <c r="V195" s="492"/>
      <c r="W195" s="492"/>
      <c r="X195" s="492"/>
      <c r="Y195" s="492"/>
      <c r="Z195" s="492"/>
      <c r="AA195" s="492"/>
      <c r="AB195" s="492"/>
      <c r="AC195" s="492"/>
      <c r="AD195" s="492"/>
      <c r="AE195" s="492"/>
      <c r="AF195" s="492"/>
      <c r="AG195" s="492"/>
      <c r="AH195" s="492"/>
      <c r="AI195" s="492"/>
      <c r="AJ195" s="492"/>
      <c r="AK195" s="492"/>
      <c r="AL195" s="492"/>
      <c r="AM195" s="492"/>
      <c r="AN195" s="492"/>
      <c r="AO195" s="492"/>
      <c r="AP195" s="492"/>
      <c r="AQ195" s="492"/>
      <c r="AR195" s="492"/>
      <c r="AS195" s="492"/>
      <c r="AT195" s="492"/>
      <c r="AU195" s="492"/>
      <c r="AV195" s="492"/>
      <c r="AW195" s="492"/>
      <c r="AX195" s="492"/>
      <c r="AY195" s="492"/>
      <c r="AZ195" s="492"/>
      <c r="BA195" s="492"/>
      <c r="BB195" s="492"/>
      <c r="BC195" s="492"/>
      <c r="BD195" s="492"/>
      <c r="BE195" s="492"/>
      <c r="BF195" s="492"/>
      <c r="BG195" s="492"/>
      <c r="BH195" s="492"/>
      <c r="BI195" s="492"/>
      <c r="BJ195" s="492"/>
      <c r="BK195" s="492"/>
      <c r="BL195" s="492"/>
      <c r="BM195" s="492"/>
      <c r="BN195" s="492"/>
      <c r="BO195" s="492"/>
      <c r="BP195" s="492"/>
      <c r="BQ195" s="499"/>
      <c r="BR195" s="499"/>
      <c r="BS195" s="499"/>
      <c r="BT195" s="499"/>
      <c r="BV195" s="171" t="s">
        <v>78</v>
      </c>
      <c r="BW195" s="249">
        <f>VLOOKUP(BV195,인건비!A:B,2,FALSE)</f>
        <v>274873</v>
      </c>
    </row>
    <row r="196" spans="1:78" ht="9" customHeight="1">
      <c r="A196" s="490"/>
      <c r="B196" s="492"/>
      <c r="C196" s="492"/>
      <c r="D196" s="492"/>
      <c r="E196" s="1497" t="s">
        <v>549</v>
      </c>
      <c r="F196" s="1498"/>
      <c r="G196" s="1498"/>
      <c r="H196" s="1498"/>
      <c r="I196" s="1498"/>
      <c r="J196" s="1498"/>
      <c r="K196" s="1498"/>
      <c r="L196" s="1498"/>
      <c r="M196" s="1498"/>
      <c r="N196" s="1498"/>
      <c r="O196" s="1498"/>
      <c r="P196" s="1498"/>
      <c r="Q196" s="1498"/>
      <c r="R196" s="1498"/>
      <c r="S196" s="1498"/>
      <c r="T196" s="1498"/>
      <c r="U196" s="1498"/>
      <c r="V196" s="1498"/>
      <c r="W196" s="1498"/>
      <c r="X196" s="1498"/>
      <c r="Y196" s="1498"/>
      <c r="Z196" s="1498"/>
      <c r="AA196" s="1498"/>
      <c r="AB196" s="1498"/>
      <c r="AC196" s="1498"/>
      <c r="AD196" s="1498"/>
      <c r="AE196" s="1498"/>
      <c r="AF196" s="1498"/>
      <c r="AG196" s="1498"/>
      <c r="AH196" s="1498"/>
      <c r="AI196" s="1498"/>
      <c r="AJ196" s="1498"/>
      <c r="AK196" s="1498"/>
      <c r="AL196" s="1498"/>
      <c r="AM196" s="1498"/>
      <c r="AN196" s="1498"/>
      <c r="AO196" s="1498"/>
      <c r="AP196" s="1498"/>
      <c r="AQ196" s="1498"/>
      <c r="AR196" s="492"/>
      <c r="AS196" s="492"/>
      <c r="AT196" s="492"/>
      <c r="AU196" s="492"/>
      <c r="AV196" s="492"/>
      <c r="AW196" s="492"/>
      <c r="AX196" s="492"/>
      <c r="AY196" s="492"/>
      <c r="AZ196" s="492"/>
      <c r="BA196" s="492"/>
      <c r="BB196" s="492"/>
      <c r="BC196" s="492"/>
      <c r="BD196" s="492"/>
      <c r="BE196" s="492"/>
      <c r="BF196" s="492"/>
      <c r="BG196" s="492"/>
      <c r="BH196" s="492"/>
      <c r="BI196" s="492"/>
      <c r="BJ196" s="492"/>
      <c r="BK196" s="492"/>
      <c r="BL196" s="492"/>
      <c r="BM196" s="492"/>
      <c r="BN196" s="492"/>
      <c r="BO196" s="492"/>
      <c r="BP196" s="492"/>
      <c r="BQ196" s="499"/>
      <c r="BR196" s="499"/>
      <c r="BS196" s="499"/>
      <c r="BT196" s="499"/>
      <c r="BV196" s="655" t="s">
        <v>716</v>
      </c>
      <c r="BW196" s="656" t="s">
        <v>779</v>
      </c>
      <c r="BX196" s="657"/>
      <c r="BY196" s="657"/>
      <c r="BZ196" s="659"/>
    </row>
    <row r="197" spans="1:78" ht="9" customHeight="1">
      <c r="A197" s="490"/>
      <c r="B197" s="492"/>
      <c r="C197" s="492"/>
      <c r="D197" s="492"/>
      <c r="E197" s="1497" t="s">
        <v>550</v>
      </c>
      <c r="F197" s="1498"/>
      <c r="G197" s="1498"/>
      <c r="H197" s="1498"/>
      <c r="I197" s="1498"/>
      <c r="J197" s="1498"/>
      <c r="K197" s="1498"/>
      <c r="L197" s="1498"/>
      <c r="M197" s="1498"/>
      <c r="N197" s="1498"/>
      <c r="O197" s="1498"/>
      <c r="P197" s="1498"/>
      <c r="Q197" s="1498"/>
      <c r="R197" s="1498"/>
      <c r="S197" s="1498"/>
      <c r="T197" s="1498"/>
      <c r="U197" s="1498"/>
      <c r="V197" s="1498"/>
      <c r="W197" s="1498"/>
      <c r="X197" s="1498"/>
      <c r="Y197" s="1498"/>
      <c r="Z197" s="1498"/>
      <c r="AA197" s="1498"/>
      <c r="AB197" s="1498"/>
      <c r="AC197" s="1498"/>
      <c r="AD197" s="1498"/>
      <c r="AE197" s="1498"/>
      <c r="AF197" s="1498"/>
      <c r="AG197" s="1498"/>
      <c r="AH197" s="1498"/>
      <c r="AI197" s="1498"/>
      <c r="AJ197" s="1498"/>
      <c r="AK197" s="1498"/>
      <c r="AL197" s="1498"/>
      <c r="AM197" s="1498"/>
      <c r="AN197" s="1498"/>
      <c r="AO197" s="1498"/>
      <c r="AP197" s="1498"/>
      <c r="AQ197" s="1498"/>
      <c r="AR197" s="492"/>
      <c r="AS197" s="492"/>
      <c r="AT197" s="492"/>
      <c r="AU197" s="492"/>
      <c r="AV197" s="492"/>
      <c r="AW197" s="492"/>
      <c r="AX197" s="492"/>
      <c r="AY197" s="492"/>
      <c r="AZ197" s="492"/>
      <c r="BA197" s="492"/>
      <c r="BB197" s="492"/>
      <c r="BC197" s="492"/>
      <c r="BD197" s="492"/>
      <c r="BE197" s="492"/>
      <c r="BF197" s="492"/>
      <c r="BG197" s="492"/>
      <c r="BH197" s="492"/>
      <c r="BI197" s="492"/>
      <c r="BJ197" s="492"/>
      <c r="BK197" s="492"/>
      <c r="BL197" s="492"/>
      <c r="BM197" s="492"/>
      <c r="BN197" s="492"/>
      <c r="BO197" s="492"/>
      <c r="BP197" s="492"/>
      <c r="BQ197" s="499"/>
      <c r="BR197" s="499"/>
      <c r="BS197" s="499"/>
      <c r="BT197" s="499"/>
      <c r="BV197" s="656" t="s">
        <v>628</v>
      </c>
      <c r="BW197" s="660"/>
      <c r="BX197" s="657"/>
      <c r="BY197" s="657"/>
      <c r="BZ197" s="659"/>
    </row>
    <row r="198" spans="1:78" ht="9" customHeight="1">
      <c r="A198" s="490"/>
      <c r="B198" s="492" t="s">
        <v>771</v>
      </c>
      <c r="C198" s="492"/>
      <c r="D198" s="492"/>
      <c r="E198" s="492"/>
      <c r="F198" s="492"/>
      <c r="G198" s="492"/>
      <c r="H198" s="492"/>
      <c r="I198" s="492"/>
      <c r="J198" s="492"/>
      <c r="K198" s="492"/>
      <c r="L198" s="492"/>
      <c r="M198" s="492"/>
      <c r="N198" s="492"/>
      <c r="O198" s="492"/>
      <c r="P198" s="492"/>
      <c r="Q198" s="492"/>
      <c r="R198" s="492"/>
      <c r="S198" s="492"/>
      <c r="T198" s="492"/>
      <c r="U198" s="492"/>
      <c r="V198" s="492"/>
      <c r="W198" s="492"/>
      <c r="X198" s="492"/>
      <c r="Y198" s="492"/>
      <c r="Z198" s="492"/>
      <c r="AA198" s="492"/>
      <c r="AB198" s="492"/>
      <c r="AC198" s="492"/>
      <c r="AD198" s="492"/>
      <c r="AE198" s="492"/>
      <c r="AF198" s="492"/>
      <c r="AG198" s="492"/>
      <c r="AH198" s="492"/>
      <c r="AI198" s="492"/>
      <c r="AJ198" s="492"/>
      <c r="AK198" s="492"/>
      <c r="AL198" s="492"/>
      <c r="AM198" s="492"/>
      <c r="AN198" s="492"/>
      <c r="AO198" s="492"/>
      <c r="AP198" s="492"/>
      <c r="AQ198" s="492"/>
      <c r="AR198" s="492"/>
      <c r="AS198" s="492"/>
      <c r="AT198" s="492"/>
      <c r="AU198" s="492"/>
      <c r="AV198" s="492"/>
      <c r="AW198" s="492"/>
      <c r="AX198" s="492"/>
      <c r="AY198" s="492"/>
      <c r="AZ198" s="492"/>
      <c r="BA198" s="492"/>
      <c r="BB198" s="492"/>
      <c r="BC198" s="492"/>
      <c r="BD198" s="492"/>
      <c r="BE198" s="492"/>
      <c r="BF198" s="492"/>
      <c r="BG198" s="492"/>
      <c r="BH198" s="492"/>
      <c r="BI198" s="492"/>
      <c r="BJ198" s="492"/>
      <c r="BK198" s="492"/>
      <c r="BL198" s="492"/>
      <c r="BM198" s="492"/>
      <c r="BN198" s="492"/>
      <c r="BO198" s="492"/>
      <c r="BP198" s="492"/>
      <c r="BQ198" s="493"/>
      <c r="BR198" s="493"/>
      <c r="BS198" s="493"/>
      <c r="BT198" s="493"/>
      <c r="BV198" s="657"/>
      <c r="BW198" s="661"/>
      <c r="BX198" s="657"/>
      <c r="BY198" s="657"/>
      <c r="BZ198" s="659"/>
    </row>
    <row r="199" spans="1:78" ht="9" customHeight="1">
      <c r="A199" s="490"/>
      <c r="B199" s="492"/>
      <c r="C199" s="492" t="s">
        <v>677</v>
      </c>
      <c r="D199" s="492"/>
      <c r="E199" s="492"/>
      <c r="F199" s="492"/>
      <c r="G199" s="495"/>
      <c r="H199" s="495"/>
      <c r="I199" s="495"/>
      <c r="J199" s="495"/>
      <c r="K199" s="495"/>
      <c r="L199" s="492"/>
      <c r="M199" s="492"/>
      <c r="N199" s="492"/>
      <c r="O199" s="492"/>
      <c r="P199" s="492"/>
      <c r="Q199" s="492"/>
      <c r="R199" s="495"/>
      <c r="S199" s="495"/>
      <c r="T199" s="495"/>
      <c r="U199" s="495"/>
      <c r="V199" s="495"/>
      <c r="W199" s="492"/>
      <c r="X199" s="492"/>
      <c r="Y199" s="492"/>
      <c r="Z199" s="492"/>
      <c r="AA199" s="492"/>
      <c r="AB199" s="492"/>
      <c r="AC199" s="492"/>
      <c r="AD199" s="492"/>
      <c r="AE199" s="492"/>
      <c r="AF199" s="496"/>
      <c r="AG199" s="492"/>
      <c r="AH199" s="495"/>
      <c r="AI199" s="495"/>
      <c r="AJ199" s="495"/>
      <c r="AK199" s="495"/>
      <c r="AL199" s="495"/>
      <c r="AM199" s="496"/>
      <c r="AN199" s="492"/>
      <c r="AO199" s="495"/>
      <c r="AP199" s="495"/>
      <c r="AQ199" s="495"/>
      <c r="AR199" s="495"/>
      <c r="AS199" s="495"/>
      <c r="AT199" s="495"/>
      <c r="AU199" s="492"/>
      <c r="AV199" s="492"/>
      <c r="AW199" s="492"/>
      <c r="AX199" s="492"/>
      <c r="AY199" s="492"/>
      <c r="AZ199" s="492"/>
      <c r="BA199" s="492"/>
      <c r="BB199" s="492"/>
      <c r="BC199" s="492"/>
      <c r="BD199" s="492"/>
      <c r="BE199" s="492"/>
      <c r="BF199" s="492"/>
      <c r="BG199" s="492"/>
      <c r="BH199" s="492"/>
      <c r="BI199" s="492"/>
      <c r="BJ199" s="492"/>
      <c r="BK199" s="492"/>
      <c r="BL199" s="492"/>
      <c r="BM199" s="492"/>
      <c r="BN199" s="492"/>
      <c r="BO199" s="492"/>
      <c r="BP199" s="492"/>
      <c r="BQ199" s="493"/>
      <c r="BR199" s="493"/>
      <c r="BS199" s="493"/>
      <c r="BT199" s="493"/>
      <c r="BW199" s="241"/>
    </row>
    <row r="200" spans="1:78" ht="9" customHeight="1">
      <c r="A200" s="490"/>
      <c r="B200" s="492"/>
      <c r="C200" s="492"/>
      <c r="D200" s="492"/>
      <c r="E200" s="492" t="s">
        <v>66</v>
      </c>
      <c r="F200" s="492"/>
      <c r="G200" s="492"/>
      <c r="H200" s="492"/>
      <c r="I200" s="492"/>
      <c r="J200" s="492"/>
      <c r="K200" s="492"/>
      <c r="L200" s="502"/>
      <c r="M200" s="492"/>
      <c r="N200" s="492"/>
      <c r="O200" s="492"/>
      <c r="P200" s="1505" t="e">
        <f>'기계경비(OLD)'!$AT$234</f>
        <v>#REF!</v>
      </c>
      <c r="Q200" s="1498"/>
      <c r="R200" s="1498"/>
      <c r="S200" s="1498"/>
      <c r="T200" s="1498"/>
      <c r="U200" s="1498"/>
      <c r="V200" s="1498"/>
      <c r="W200" s="507" t="s">
        <v>99</v>
      </c>
      <c r="X200" s="497"/>
      <c r="Y200" s="1502">
        <v>200</v>
      </c>
      <c r="Z200" s="1503"/>
      <c r="AA200" s="1503"/>
      <c r="AB200" s="1503"/>
      <c r="AC200" s="1503"/>
      <c r="AD200" s="1503"/>
      <c r="AE200" s="1503"/>
      <c r="AF200" s="1503"/>
      <c r="AG200" s="507" t="s">
        <v>103</v>
      </c>
      <c r="AH200" s="497"/>
      <c r="AI200" s="1504" t="e">
        <f>INT(P200/Y200)</f>
        <v>#REF!</v>
      </c>
      <c r="AJ200" s="1494"/>
      <c r="AK200" s="1494"/>
      <c r="AL200" s="1494"/>
      <c r="AM200" s="1494"/>
      <c r="AN200" s="1494"/>
      <c r="AO200" s="1494"/>
      <c r="AP200" s="1496" t="s">
        <v>678</v>
      </c>
      <c r="AQ200" s="1496"/>
      <c r="AR200" s="1496"/>
      <c r="AS200" s="1496"/>
      <c r="AT200" s="1496"/>
      <c r="AU200" s="1496"/>
      <c r="AV200" s="1496"/>
      <c r="AW200" s="1496"/>
      <c r="AX200" s="1496"/>
      <c r="AY200" s="1496"/>
      <c r="AZ200" s="1496"/>
      <c r="BA200" s="492"/>
      <c r="BB200" s="492"/>
      <c r="BC200" s="492"/>
      <c r="BD200" s="492"/>
      <c r="BE200" s="492"/>
      <c r="BF200" s="492"/>
      <c r="BG200" s="492"/>
      <c r="BH200" s="492"/>
      <c r="BI200" s="492"/>
      <c r="BJ200" s="492"/>
      <c r="BK200" s="492"/>
      <c r="BL200" s="492"/>
      <c r="BM200" s="492"/>
      <c r="BN200" s="492"/>
      <c r="BO200" s="492"/>
      <c r="BP200" s="492"/>
      <c r="BQ200" s="499" t="e">
        <f>SUM(BR200:BT200)</f>
        <v>#REF!</v>
      </c>
      <c r="BR200" s="499"/>
      <c r="BS200" s="499" t="e">
        <f>AI200</f>
        <v>#REF!</v>
      </c>
      <c r="BT200" s="499"/>
    </row>
    <row r="201" spans="1:78" ht="9" customHeight="1">
      <c r="A201" s="490"/>
      <c r="B201" s="492"/>
      <c r="C201" s="492"/>
      <c r="D201" s="492"/>
      <c r="E201" s="492" t="s">
        <v>67</v>
      </c>
      <c r="F201" s="492"/>
      <c r="G201" s="492"/>
      <c r="H201" s="492"/>
      <c r="I201" s="492"/>
      <c r="J201" s="492"/>
      <c r="K201" s="492"/>
      <c r="L201" s="502"/>
      <c r="M201" s="492"/>
      <c r="N201" s="492"/>
      <c r="O201" s="492"/>
      <c r="P201" s="1505">
        <f>'기계경비(OLD)'!$BU$227</f>
        <v>59025</v>
      </c>
      <c r="Q201" s="1498"/>
      <c r="R201" s="1498"/>
      <c r="S201" s="1498"/>
      <c r="T201" s="1498"/>
      <c r="U201" s="1498"/>
      <c r="V201" s="1498"/>
      <c r="W201" s="507" t="s">
        <v>99</v>
      </c>
      <c r="X201" s="497"/>
      <c r="Y201" s="1502">
        <v>200</v>
      </c>
      <c r="Z201" s="1503"/>
      <c r="AA201" s="1503"/>
      <c r="AB201" s="1503"/>
      <c r="AC201" s="1503"/>
      <c r="AD201" s="1503"/>
      <c r="AE201" s="1503"/>
      <c r="AF201" s="1503"/>
      <c r="AG201" s="507" t="s">
        <v>103</v>
      </c>
      <c r="AH201" s="497"/>
      <c r="AI201" s="1504">
        <f>INT(P201/Y201)</f>
        <v>295</v>
      </c>
      <c r="AJ201" s="1494"/>
      <c r="AK201" s="1494"/>
      <c r="AL201" s="1494"/>
      <c r="AM201" s="1494"/>
      <c r="AN201" s="1494"/>
      <c r="AO201" s="1494"/>
      <c r="AP201" s="1496" t="s">
        <v>678</v>
      </c>
      <c r="AQ201" s="1496"/>
      <c r="AR201" s="1496"/>
      <c r="AS201" s="1496"/>
      <c r="AT201" s="1496"/>
      <c r="AU201" s="1496"/>
      <c r="AV201" s="1496"/>
      <c r="AW201" s="1496"/>
      <c r="AX201" s="1496"/>
      <c r="AY201" s="1496"/>
      <c r="AZ201" s="1496"/>
      <c r="BA201" s="492"/>
      <c r="BB201" s="492"/>
      <c r="BC201" s="492"/>
      <c r="BD201" s="492"/>
      <c r="BE201" s="492"/>
      <c r="BF201" s="492"/>
      <c r="BG201" s="492"/>
      <c r="BH201" s="492"/>
      <c r="BI201" s="492"/>
      <c r="BJ201" s="492"/>
      <c r="BK201" s="492"/>
      <c r="BL201" s="492"/>
      <c r="BM201" s="492"/>
      <c r="BN201" s="492"/>
      <c r="BO201" s="492"/>
      <c r="BP201" s="492"/>
      <c r="BQ201" s="499">
        <f>SUM(BR201:BT201)</f>
        <v>295</v>
      </c>
      <c r="BR201" s="499">
        <f>AI201</f>
        <v>295</v>
      </c>
      <c r="BS201" s="499"/>
      <c r="BT201" s="499"/>
    </row>
    <row r="202" spans="1:78" ht="9" customHeight="1">
      <c r="A202" s="490"/>
      <c r="B202" s="492"/>
      <c r="C202" s="492"/>
      <c r="D202" s="492"/>
      <c r="E202" s="492" t="s">
        <v>68</v>
      </c>
      <c r="F202" s="492"/>
      <c r="G202" s="492"/>
      <c r="H202" s="492"/>
      <c r="I202" s="492"/>
      <c r="J202" s="492"/>
      <c r="K202" s="492"/>
      <c r="L202" s="502"/>
      <c r="M202" s="492"/>
      <c r="N202" s="492"/>
      <c r="O202" s="492"/>
      <c r="P202" s="1505">
        <f>'기계경비(OLD)'!$BN$238</f>
        <v>50015</v>
      </c>
      <c r="Q202" s="1498"/>
      <c r="R202" s="1498"/>
      <c r="S202" s="1498"/>
      <c r="T202" s="1498"/>
      <c r="U202" s="1498"/>
      <c r="V202" s="1498"/>
      <c r="W202" s="507" t="s">
        <v>99</v>
      </c>
      <c r="X202" s="497"/>
      <c r="Y202" s="1502">
        <v>200</v>
      </c>
      <c r="Z202" s="1503"/>
      <c r="AA202" s="1503"/>
      <c r="AB202" s="1503"/>
      <c r="AC202" s="1503"/>
      <c r="AD202" s="1503"/>
      <c r="AE202" s="1503"/>
      <c r="AF202" s="1503"/>
      <c r="AG202" s="507" t="s">
        <v>103</v>
      </c>
      <c r="AH202" s="497"/>
      <c r="AI202" s="1504">
        <f>INT(P202/Y202)</f>
        <v>250</v>
      </c>
      <c r="AJ202" s="1494"/>
      <c r="AK202" s="1494"/>
      <c r="AL202" s="1494"/>
      <c r="AM202" s="1494"/>
      <c r="AN202" s="1494"/>
      <c r="AO202" s="1494"/>
      <c r="AP202" s="1496" t="s">
        <v>678</v>
      </c>
      <c r="AQ202" s="1496"/>
      <c r="AR202" s="1496"/>
      <c r="AS202" s="1496"/>
      <c r="AT202" s="1496"/>
      <c r="AU202" s="1496"/>
      <c r="AV202" s="1496"/>
      <c r="AW202" s="1496"/>
      <c r="AX202" s="1496"/>
      <c r="AY202" s="1496"/>
      <c r="AZ202" s="1496"/>
      <c r="BA202" s="492"/>
      <c r="BB202" s="492"/>
      <c r="BC202" s="492"/>
      <c r="BD202" s="492"/>
      <c r="BE202" s="492"/>
      <c r="BF202" s="492"/>
      <c r="BG202" s="492"/>
      <c r="BH202" s="492"/>
      <c r="BI202" s="492"/>
      <c r="BJ202" s="492"/>
      <c r="BK202" s="492"/>
      <c r="BL202" s="492"/>
      <c r="BM202" s="492"/>
      <c r="BN202" s="492"/>
      <c r="BO202" s="492"/>
      <c r="BP202" s="492"/>
      <c r="BQ202" s="499">
        <f>SUM(BR202:BT202)</f>
        <v>250</v>
      </c>
      <c r="BR202" s="499"/>
      <c r="BS202" s="499"/>
      <c r="BT202" s="499">
        <f>AI202</f>
        <v>250</v>
      </c>
    </row>
    <row r="203" spans="1:78" ht="9" customHeight="1">
      <c r="A203" s="490"/>
      <c r="B203" s="492"/>
      <c r="C203" s="492" t="s">
        <v>557</v>
      </c>
      <c r="D203" s="492"/>
      <c r="E203" s="492"/>
      <c r="F203" s="492"/>
      <c r="G203" s="495"/>
      <c r="H203" s="495"/>
      <c r="I203" s="495"/>
      <c r="J203" s="495"/>
      <c r="K203" s="495"/>
      <c r="L203" s="492"/>
      <c r="M203" s="492"/>
      <c r="N203" s="492"/>
      <c r="O203" s="492"/>
      <c r="P203" s="492"/>
      <c r="Q203" s="492"/>
      <c r="R203" s="495"/>
      <c r="S203" s="495"/>
      <c r="T203" s="495"/>
      <c r="U203" s="495"/>
      <c r="V203" s="495"/>
      <c r="W203" s="492"/>
      <c r="X203" s="492"/>
      <c r="Y203" s="492"/>
      <c r="Z203" s="492"/>
      <c r="AA203" s="492"/>
      <c r="AB203" s="492"/>
      <c r="AC203" s="492"/>
      <c r="AD203" s="492"/>
      <c r="AE203" s="492"/>
      <c r="AF203" s="496"/>
      <c r="AG203" s="492"/>
      <c r="AH203" s="495"/>
      <c r="AI203" s="495"/>
      <c r="AJ203" s="495"/>
      <c r="AK203" s="495"/>
      <c r="AL203" s="495"/>
      <c r="AM203" s="496"/>
      <c r="AN203" s="492"/>
      <c r="AO203" s="495"/>
      <c r="AP203" s="495"/>
      <c r="AQ203" s="495"/>
      <c r="AR203" s="495"/>
      <c r="AS203" s="495"/>
      <c r="AT203" s="495"/>
      <c r="AU203" s="492"/>
      <c r="AV203" s="492"/>
      <c r="AW203" s="492"/>
      <c r="AX203" s="492"/>
      <c r="AY203" s="492"/>
      <c r="AZ203" s="492"/>
      <c r="BA203" s="492"/>
      <c r="BB203" s="492"/>
      <c r="BC203" s="492"/>
      <c r="BD203" s="492"/>
      <c r="BE203" s="492"/>
      <c r="BF203" s="492"/>
      <c r="BG203" s="492"/>
      <c r="BH203" s="492"/>
      <c r="BI203" s="492"/>
      <c r="BJ203" s="492"/>
      <c r="BK203" s="492"/>
      <c r="BL203" s="492"/>
      <c r="BM203" s="492"/>
      <c r="BN203" s="492"/>
      <c r="BO203" s="492"/>
      <c r="BP203" s="492"/>
      <c r="BQ203" s="493"/>
      <c r="BR203" s="493"/>
      <c r="BS203" s="493"/>
      <c r="BT203" s="493"/>
      <c r="BW203" s="241"/>
    </row>
    <row r="204" spans="1:78" ht="9" customHeight="1">
      <c r="A204" s="490"/>
      <c r="B204" s="492"/>
      <c r="C204" s="492"/>
      <c r="D204" s="492"/>
      <c r="E204" s="492" t="s">
        <v>66</v>
      </c>
      <c r="F204" s="492"/>
      <c r="G204" s="492"/>
      <c r="H204" s="492"/>
      <c r="I204" s="492"/>
      <c r="J204" s="492"/>
      <c r="K204" s="492"/>
      <c r="L204" s="502"/>
      <c r="M204" s="492"/>
      <c r="N204" s="492"/>
      <c r="O204" s="492"/>
      <c r="P204" s="1505" t="e">
        <f>'기계경비(OLD)'!$AT$14</f>
        <v>#REF!</v>
      </c>
      <c r="Q204" s="1498"/>
      <c r="R204" s="1498"/>
      <c r="S204" s="1498"/>
      <c r="T204" s="1498"/>
      <c r="U204" s="1498"/>
      <c r="V204" s="1498"/>
      <c r="W204" s="507" t="s">
        <v>99</v>
      </c>
      <c r="X204" s="497"/>
      <c r="Y204" s="1502">
        <v>200</v>
      </c>
      <c r="Z204" s="1503"/>
      <c r="AA204" s="1503"/>
      <c r="AB204" s="1503"/>
      <c r="AC204" s="1503"/>
      <c r="AD204" s="1503"/>
      <c r="AE204" s="1503"/>
      <c r="AF204" s="1503"/>
      <c r="AG204" s="507" t="s">
        <v>103</v>
      </c>
      <c r="AH204" s="497"/>
      <c r="AI204" s="1504" t="e">
        <f>INT(P204/Y204)</f>
        <v>#REF!</v>
      </c>
      <c r="AJ204" s="1494"/>
      <c r="AK204" s="1494"/>
      <c r="AL204" s="1494"/>
      <c r="AM204" s="1494"/>
      <c r="AN204" s="1494"/>
      <c r="AO204" s="1494"/>
      <c r="AP204" s="1496" t="s">
        <v>679</v>
      </c>
      <c r="AQ204" s="1496"/>
      <c r="AR204" s="1496"/>
      <c r="AS204" s="1496"/>
      <c r="AT204" s="1496"/>
      <c r="AU204" s="1496"/>
      <c r="AV204" s="1496"/>
      <c r="AW204" s="1496"/>
      <c r="AX204" s="1496"/>
      <c r="AY204" s="1496"/>
      <c r="AZ204" s="1496"/>
      <c r="BA204" s="492"/>
      <c r="BB204" s="492"/>
      <c r="BC204" s="492"/>
      <c r="BD204" s="492"/>
      <c r="BE204" s="492"/>
      <c r="BF204" s="492"/>
      <c r="BG204" s="492"/>
      <c r="BH204" s="492"/>
      <c r="BI204" s="492"/>
      <c r="BJ204" s="492"/>
      <c r="BK204" s="492"/>
      <c r="BL204" s="492"/>
      <c r="BM204" s="492"/>
      <c r="BN204" s="492"/>
      <c r="BO204" s="492"/>
      <c r="BP204" s="492"/>
      <c r="BQ204" s="499" t="e">
        <f>SUM(BR204:BT204)</f>
        <v>#REF!</v>
      </c>
      <c r="BR204" s="499"/>
      <c r="BS204" s="499" t="e">
        <f>AI204</f>
        <v>#REF!</v>
      </c>
      <c r="BT204" s="499"/>
    </row>
    <row r="205" spans="1:78" ht="9" customHeight="1">
      <c r="A205" s="490"/>
      <c r="B205" s="492"/>
      <c r="C205" s="492"/>
      <c r="D205" s="492"/>
      <c r="E205" s="492" t="s">
        <v>67</v>
      </c>
      <c r="F205" s="492"/>
      <c r="G205" s="492"/>
      <c r="H205" s="492"/>
      <c r="I205" s="492"/>
      <c r="J205" s="492"/>
      <c r="K205" s="492"/>
      <c r="L205" s="502"/>
      <c r="M205" s="492"/>
      <c r="N205" s="492"/>
      <c r="O205" s="492"/>
      <c r="P205" s="1505">
        <f>'기계경비(OLD)'!$BU$7</f>
        <v>59025</v>
      </c>
      <c r="Q205" s="1498"/>
      <c r="R205" s="1498"/>
      <c r="S205" s="1498"/>
      <c r="T205" s="1498"/>
      <c r="U205" s="1498"/>
      <c r="V205" s="1498"/>
      <c r="W205" s="507" t="s">
        <v>99</v>
      </c>
      <c r="X205" s="497"/>
      <c r="Y205" s="1502">
        <v>200</v>
      </c>
      <c r="Z205" s="1503"/>
      <c r="AA205" s="1503"/>
      <c r="AB205" s="1503"/>
      <c r="AC205" s="1503"/>
      <c r="AD205" s="1503"/>
      <c r="AE205" s="1503"/>
      <c r="AF205" s="1503"/>
      <c r="AG205" s="507" t="s">
        <v>103</v>
      </c>
      <c r="AH205" s="497"/>
      <c r="AI205" s="1504">
        <f>INT(P205/Y205)</f>
        <v>295</v>
      </c>
      <c r="AJ205" s="1494"/>
      <c r="AK205" s="1494"/>
      <c r="AL205" s="1494"/>
      <c r="AM205" s="1494"/>
      <c r="AN205" s="1494"/>
      <c r="AO205" s="1494"/>
      <c r="AP205" s="1496" t="s">
        <v>679</v>
      </c>
      <c r="AQ205" s="1496"/>
      <c r="AR205" s="1496"/>
      <c r="AS205" s="1496"/>
      <c r="AT205" s="1496"/>
      <c r="AU205" s="1496"/>
      <c r="AV205" s="1496"/>
      <c r="AW205" s="1496"/>
      <c r="AX205" s="1496"/>
      <c r="AY205" s="1496"/>
      <c r="AZ205" s="1496"/>
      <c r="BA205" s="492"/>
      <c r="BB205" s="492"/>
      <c r="BC205" s="492"/>
      <c r="BD205" s="492"/>
      <c r="BE205" s="492"/>
      <c r="BF205" s="492"/>
      <c r="BG205" s="492"/>
      <c r="BH205" s="492"/>
      <c r="BI205" s="492"/>
      <c r="BJ205" s="492"/>
      <c r="BK205" s="492"/>
      <c r="BL205" s="492"/>
      <c r="BM205" s="492"/>
      <c r="BN205" s="492"/>
      <c r="BO205" s="492"/>
      <c r="BP205" s="492"/>
      <c r="BQ205" s="499">
        <f>SUM(BR205:BT205)</f>
        <v>295</v>
      </c>
      <c r="BR205" s="499">
        <f>AI205</f>
        <v>295</v>
      </c>
      <c r="BS205" s="499"/>
      <c r="BT205" s="499"/>
    </row>
    <row r="206" spans="1:78" ht="9" customHeight="1">
      <c r="A206" s="490"/>
      <c r="B206" s="492"/>
      <c r="C206" s="492"/>
      <c r="D206" s="492"/>
      <c r="E206" s="492" t="s">
        <v>68</v>
      </c>
      <c r="F206" s="492"/>
      <c r="G206" s="492"/>
      <c r="H206" s="492"/>
      <c r="I206" s="492"/>
      <c r="J206" s="492"/>
      <c r="K206" s="492"/>
      <c r="L206" s="502"/>
      <c r="M206" s="492"/>
      <c r="N206" s="492"/>
      <c r="O206" s="492"/>
      <c r="P206" s="1505">
        <f>'기계경비(OLD)'!$BN$18</f>
        <v>20900</v>
      </c>
      <c r="Q206" s="1498"/>
      <c r="R206" s="1498"/>
      <c r="S206" s="1498"/>
      <c r="T206" s="1498"/>
      <c r="U206" s="1498"/>
      <c r="V206" s="1498"/>
      <c r="W206" s="507" t="s">
        <v>99</v>
      </c>
      <c r="X206" s="497"/>
      <c r="Y206" s="1502">
        <v>200</v>
      </c>
      <c r="Z206" s="1503"/>
      <c r="AA206" s="1503"/>
      <c r="AB206" s="1503"/>
      <c r="AC206" s="1503"/>
      <c r="AD206" s="1503"/>
      <c r="AE206" s="1503"/>
      <c r="AF206" s="1503"/>
      <c r="AG206" s="507" t="s">
        <v>103</v>
      </c>
      <c r="AH206" s="497"/>
      <c r="AI206" s="1504">
        <f>INT(P206/Y206)</f>
        <v>104</v>
      </c>
      <c r="AJ206" s="1494"/>
      <c r="AK206" s="1494"/>
      <c r="AL206" s="1494"/>
      <c r="AM206" s="1494"/>
      <c r="AN206" s="1494"/>
      <c r="AO206" s="1494"/>
      <c r="AP206" s="1496" t="s">
        <v>679</v>
      </c>
      <c r="AQ206" s="1496"/>
      <c r="AR206" s="1496"/>
      <c r="AS206" s="1496"/>
      <c r="AT206" s="1496"/>
      <c r="AU206" s="1496"/>
      <c r="AV206" s="1496"/>
      <c r="AW206" s="1496"/>
      <c r="AX206" s="1496"/>
      <c r="AY206" s="1496"/>
      <c r="AZ206" s="1496"/>
      <c r="BA206" s="492"/>
      <c r="BB206" s="492"/>
      <c r="BC206" s="492"/>
      <c r="BD206" s="492"/>
      <c r="BE206" s="492"/>
      <c r="BF206" s="492"/>
      <c r="BG206" s="492"/>
      <c r="BH206" s="492"/>
      <c r="BI206" s="492"/>
      <c r="BJ206" s="492"/>
      <c r="BK206" s="492"/>
      <c r="BL206" s="492"/>
      <c r="BM206" s="492"/>
      <c r="BN206" s="492"/>
      <c r="BO206" s="492"/>
      <c r="BP206" s="492"/>
      <c r="BQ206" s="499">
        <f>SUM(BR206:BT206)</f>
        <v>104</v>
      </c>
      <c r="BR206" s="499"/>
      <c r="BS206" s="499"/>
      <c r="BT206" s="499">
        <f>AI206</f>
        <v>104</v>
      </c>
    </row>
    <row r="207" spans="1:78" ht="9" customHeight="1">
      <c r="A207" s="490"/>
      <c r="B207" s="492"/>
      <c r="C207" s="492" t="s">
        <v>63</v>
      </c>
      <c r="D207" s="492"/>
      <c r="E207" s="492"/>
      <c r="F207" s="492"/>
      <c r="G207" s="492"/>
      <c r="H207" s="492"/>
      <c r="I207" s="492"/>
      <c r="J207" s="492"/>
      <c r="K207" s="492"/>
      <c r="L207" s="502"/>
      <c r="M207" s="492"/>
      <c r="N207" s="492"/>
      <c r="O207" s="492"/>
      <c r="P207" s="492"/>
      <c r="Q207" s="492"/>
      <c r="R207" s="492"/>
      <c r="S207" s="492"/>
      <c r="T207" s="496"/>
      <c r="U207" s="492"/>
      <c r="V207" s="492"/>
      <c r="W207" s="492"/>
      <c r="X207" s="492"/>
      <c r="Y207" s="492"/>
      <c r="Z207" s="492"/>
      <c r="AA207" s="492"/>
      <c r="AB207" s="492"/>
      <c r="AC207" s="492"/>
      <c r="AD207" s="492"/>
      <c r="AE207" s="492"/>
      <c r="AF207" s="492"/>
      <c r="AG207" s="492"/>
      <c r="AH207" s="492"/>
      <c r="AI207" s="496"/>
      <c r="AJ207" s="492"/>
      <c r="AK207" s="492"/>
      <c r="AL207" s="492"/>
      <c r="AM207" s="492"/>
      <c r="AN207" s="492"/>
      <c r="AO207" s="492"/>
      <c r="AP207" s="492"/>
      <c r="AQ207" s="492"/>
      <c r="AR207" s="492"/>
      <c r="AS207" s="492"/>
      <c r="AT207" s="492"/>
      <c r="AU207" s="492"/>
      <c r="AV207" s="492"/>
      <c r="AW207" s="492"/>
      <c r="AX207" s="492"/>
      <c r="AY207" s="492"/>
      <c r="AZ207" s="492"/>
      <c r="BA207" s="492"/>
      <c r="BB207" s="492"/>
      <c r="BC207" s="492"/>
      <c r="BD207" s="492"/>
      <c r="BE207" s="492"/>
      <c r="BF207" s="492"/>
      <c r="BG207" s="492"/>
      <c r="BH207" s="492"/>
      <c r="BI207" s="492"/>
      <c r="BJ207" s="492"/>
      <c r="BK207" s="492"/>
      <c r="BL207" s="492"/>
      <c r="BM207" s="492"/>
      <c r="BN207" s="492"/>
      <c r="BO207" s="492"/>
      <c r="BP207" s="492"/>
      <c r="BQ207" s="503" t="e">
        <f>SUM(BR207:BT207)</f>
        <v>#REF!</v>
      </c>
      <c r="BR207" s="503">
        <f>SUM(BR200:BR206)</f>
        <v>590</v>
      </c>
      <c r="BS207" s="503" t="e">
        <f>SUM(BS200:BS206)</f>
        <v>#REF!</v>
      </c>
      <c r="BT207" s="503">
        <f>SUM(BT200:BT206)</f>
        <v>354</v>
      </c>
    </row>
    <row r="208" spans="1:78" ht="9" customHeight="1">
      <c r="A208" s="490"/>
      <c r="B208" s="492" t="s">
        <v>158</v>
      </c>
      <c r="C208" s="492"/>
      <c r="D208" s="492"/>
      <c r="E208" s="492"/>
      <c r="F208" s="492"/>
      <c r="G208" s="492"/>
      <c r="H208" s="492"/>
      <c r="I208" s="492"/>
      <c r="J208" s="492"/>
      <c r="K208" s="492"/>
      <c r="L208" s="492"/>
      <c r="M208" s="492"/>
      <c r="N208" s="492"/>
      <c r="O208" s="492"/>
      <c r="P208" s="492"/>
      <c r="Q208" s="492"/>
      <c r="R208" s="492"/>
      <c r="S208" s="492"/>
      <c r="T208" s="492"/>
      <c r="U208" s="492"/>
      <c r="V208" s="492"/>
      <c r="W208" s="492"/>
      <c r="X208" s="492"/>
      <c r="Y208" s="492"/>
      <c r="Z208" s="492"/>
      <c r="AA208" s="492"/>
      <c r="AB208" s="492"/>
      <c r="AC208" s="492"/>
      <c r="AD208" s="492"/>
      <c r="AE208" s="492"/>
      <c r="AF208" s="492"/>
      <c r="AG208" s="492"/>
      <c r="AH208" s="492"/>
      <c r="AI208" s="492"/>
      <c r="AJ208" s="492"/>
      <c r="AK208" s="492"/>
      <c r="AL208" s="492"/>
      <c r="AM208" s="492"/>
      <c r="AN208" s="492"/>
      <c r="AO208" s="492"/>
      <c r="AP208" s="492"/>
      <c r="AQ208" s="492"/>
      <c r="AR208" s="492"/>
      <c r="AS208" s="492"/>
      <c r="AT208" s="492"/>
      <c r="AU208" s="492"/>
      <c r="AV208" s="492"/>
      <c r="AW208" s="492"/>
      <c r="AX208" s="492"/>
      <c r="AY208" s="492"/>
      <c r="AZ208" s="492"/>
      <c r="BA208" s="492"/>
      <c r="BB208" s="492"/>
      <c r="BC208" s="492"/>
      <c r="BD208" s="492"/>
      <c r="BE208" s="492"/>
      <c r="BF208" s="492"/>
      <c r="BG208" s="492"/>
      <c r="BH208" s="492"/>
      <c r="BI208" s="492"/>
      <c r="BJ208" s="492"/>
      <c r="BK208" s="492"/>
      <c r="BL208" s="492"/>
      <c r="BM208" s="492"/>
      <c r="BN208" s="492"/>
      <c r="BO208" s="492"/>
      <c r="BP208" s="492"/>
      <c r="BQ208" s="493"/>
      <c r="BR208" s="493"/>
      <c r="BS208" s="493"/>
      <c r="BT208" s="493"/>
      <c r="BW208" s="210"/>
    </row>
    <row r="209" spans="1:75" ht="9" customHeight="1">
      <c r="A209" s="490"/>
      <c r="B209" s="492"/>
      <c r="C209" s="496" t="s">
        <v>159</v>
      </c>
      <c r="D209" s="492"/>
      <c r="E209" s="492"/>
      <c r="F209" s="492"/>
      <c r="G209" s="492"/>
      <c r="H209" s="492"/>
      <c r="I209" s="492"/>
      <c r="J209" s="492"/>
      <c r="K209" s="492"/>
      <c r="L209" s="502"/>
      <c r="M209" s="492"/>
      <c r="N209" s="492"/>
      <c r="O209" s="1512">
        <v>3</v>
      </c>
      <c r="P209" s="1494"/>
      <c r="Q209" s="1494"/>
      <c r="R209" s="492" t="s">
        <v>105</v>
      </c>
      <c r="S209" s="492"/>
      <c r="T209" s="497"/>
      <c r="U209" s="497"/>
      <c r="V209" s="492"/>
      <c r="W209" s="1511">
        <f>$BW$96</f>
        <v>274873</v>
      </c>
      <c r="X209" s="1494"/>
      <c r="Y209" s="1494"/>
      <c r="Z209" s="1494"/>
      <c r="AA209" s="1494"/>
      <c r="AB209" s="1494"/>
      <c r="AC209" s="1497" t="s">
        <v>680</v>
      </c>
      <c r="AD209" s="1498"/>
      <c r="AE209" s="1498"/>
      <c r="AF209" s="1498"/>
      <c r="AG209" s="1498"/>
      <c r="AH209" s="1497" t="s">
        <v>103</v>
      </c>
      <c r="AI209" s="1498"/>
      <c r="AJ209" s="1497">
        <f>INT(O209*W209/(1600))</f>
        <v>515</v>
      </c>
      <c r="AK209" s="1498"/>
      <c r="AL209" s="1498"/>
      <c r="AM209" s="1498"/>
      <c r="AN209" s="1498"/>
      <c r="AO209" s="1498"/>
      <c r="AP209" s="1498"/>
      <c r="AQ209" s="492"/>
      <c r="AR209" s="492"/>
      <c r="AS209" s="492"/>
      <c r="AT209" s="492"/>
      <c r="AU209" s="492"/>
      <c r="AV209" s="492"/>
      <c r="AW209" s="492"/>
      <c r="AX209" s="492"/>
      <c r="AY209" s="492"/>
      <c r="AZ209" s="492"/>
      <c r="BA209" s="492"/>
      <c r="BB209" s="492"/>
      <c r="BC209" s="492"/>
      <c r="BD209" s="492"/>
      <c r="BE209" s="492"/>
      <c r="BF209" s="492"/>
      <c r="BG209" s="492"/>
      <c r="BH209" s="492"/>
      <c r="BI209" s="492"/>
      <c r="BJ209" s="492"/>
      <c r="BK209" s="492"/>
      <c r="BL209" s="492"/>
      <c r="BM209" s="492"/>
      <c r="BN209" s="492"/>
      <c r="BO209" s="492"/>
      <c r="BP209" s="492"/>
      <c r="BQ209" s="499">
        <f>SUM(BR209:BT209)</f>
        <v>515</v>
      </c>
      <c r="BR209" s="499">
        <f>AJ209</f>
        <v>515</v>
      </c>
      <c r="BS209" s="499"/>
      <c r="BT209" s="499"/>
    </row>
    <row r="210" spans="1:75" ht="9" customHeight="1">
      <c r="A210" s="490"/>
      <c r="B210" s="492"/>
      <c r="C210" s="496" t="s">
        <v>160</v>
      </c>
      <c r="D210" s="492"/>
      <c r="E210" s="492"/>
      <c r="F210" s="492"/>
      <c r="G210" s="492"/>
      <c r="H210" s="492"/>
      <c r="I210" s="492"/>
      <c r="J210" s="492"/>
      <c r="K210" s="492"/>
      <c r="L210" s="502"/>
      <c r="M210" s="492"/>
      <c r="N210" s="492"/>
      <c r="O210" s="1512">
        <v>1</v>
      </c>
      <c r="P210" s="1494"/>
      <c r="Q210" s="1494"/>
      <c r="R210" s="492" t="s">
        <v>105</v>
      </c>
      <c r="S210" s="492"/>
      <c r="T210" s="497"/>
      <c r="U210" s="497"/>
      <c r="V210" s="492"/>
      <c r="W210" s="1511">
        <f>$BW$95</f>
        <v>172698</v>
      </c>
      <c r="X210" s="1494"/>
      <c r="Y210" s="1494"/>
      <c r="Z210" s="1494"/>
      <c r="AA210" s="1494"/>
      <c r="AB210" s="1494"/>
      <c r="AC210" s="1497" t="s">
        <v>680</v>
      </c>
      <c r="AD210" s="1498"/>
      <c r="AE210" s="1498"/>
      <c r="AF210" s="1498"/>
      <c r="AG210" s="1498"/>
      <c r="AH210" s="1497" t="s">
        <v>103</v>
      </c>
      <c r="AI210" s="1498"/>
      <c r="AJ210" s="1497">
        <f>INT(O210*W210/(1600))</f>
        <v>107</v>
      </c>
      <c r="AK210" s="1498"/>
      <c r="AL210" s="1498"/>
      <c r="AM210" s="1498"/>
      <c r="AN210" s="1498"/>
      <c r="AO210" s="1498"/>
      <c r="AP210" s="1498"/>
      <c r="AQ210" s="492"/>
      <c r="AR210" s="492"/>
      <c r="AS210" s="492"/>
      <c r="AT210" s="492"/>
      <c r="AU210" s="492"/>
      <c r="AV210" s="492"/>
      <c r="AW210" s="492"/>
      <c r="AX210" s="492"/>
      <c r="AY210" s="492"/>
      <c r="AZ210" s="492"/>
      <c r="BA210" s="492"/>
      <c r="BB210" s="492"/>
      <c r="BC210" s="492"/>
      <c r="BD210" s="492"/>
      <c r="BE210" s="492"/>
      <c r="BF210" s="492"/>
      <c r="BG210" s="492"/>
      <c r="BH210" s="492"/>
      <c r="BI210" s="492"/>
      <c r="BJ210" s="492"/>
      <c r="BK210" s="492"/>
      <c r="BL210" s="492"/>
      <c r="BM210" s="492"/>
      <c r="BN210" s="492"/>
      <c r="BO210" s="492"/>
      <c r="BP210" s="492"/>
      <c r="BQ210" s="499">
        <f>SUM(BR210:BT210)</f>
        <v>107</v>
      </c>
      <c r="BR210" s="499">
        <f>AJ210</f>
        <v>107</v>
      </c>
      <c r="BS210" s="499"/>
      <c r="BT210" s="499"/>
    </row>
    <row r="211" spans="1:75" ht="9" customHeight="1">
      <c r="A211" s="490"/>
      <c r="B211" s="492"/>
      <c r="C211" s="492" t="s">
        <v>63</v>
      </c>
      <c r="D211" s="492"/>
      <c r="E211" s="492"/>
      <c r="F211" s="492"/>
      <c r="G211" s="492"/>
      <c r="H211" s="492"/>
      <c r="I211" s="492"/>
      <c r="J211" s="492"/>
      <c r="K211" s="492"/>
      <c r="L211" s="502"/>
      <c r="M211" s="492"/>
      <c r="N211" s="492"/>
      <c r="O211" s="492"/>
      <c r="P211" s="492"/>
      <c r="Q211" s="492"/>
      <c r="R211" s="492"/>
      <c r="S211" s="492"/>
      <c r="T211" s="496"/>
      <c r="U211" s="492"/>
      <c r="V211" s="492"/>
      <c r="W211" s="492"/>
      <c r="X211" s="492"/>
      <c r="Y211" s="492"/>
      <c r="Z211" s="492"/>
      <c r="AA211" s="492"/>
      <c r="AB211" s="492"/>
      <c r="AC211" s="492"/>
      <c r="AD211" s="492"/>
      <c r="AE211" s="492"/>
      <c r="AF211" s="492"/>
      <c r="AG211" s="492"/>
      <c r="AH211" s="492"/>
      <c r="AI211" s="496"/>
      <c r="AJ211" s="492"/>
      <c r="AK211" s="492"/>
      <c r="AL211" s="492"/>
      <c r="AM211" s="492"/>
      <c r="AN211" s="492"/>
      <c r="AO211" s="492"/>
      <c r="AP211" s="492"/>
      <c r="AQ211" s="492"/>
      <c r="AR211" s="492"/>
      <c r="AS211" s="492"/>
      <c r="AT211" s="492"/>
      <c r="AU211" s="492"/>
      <c r="AV211" s="492"/>
      <c r="AW211" s="492"/>
      <c r="AX211" s="492"/>
      <c r="AY211" s="492"/>
      <c r="AZ211" s="492"/>
      <c r="BA211" s="492"/>
      <c r="BB211" s="492"/>
      <c r="BC211" s="492"/>
      <c r="BD211" s="492"/>
      <c r="BE211" s="492"/>
      <c r="BF211" s="492"/>
      <c r="BG211" s="492"/>
      <c r="BH211" s="492"/>
      <c r="BI211" s="492"/>
      <c r="BJ211" s="492"/>
      <c r="BK211" s="492"/>
      <c r="BL211" s="492"/>
      <c r="BM211" s="492"/>
      <c r="BN211" s="492"/>
      <c r="BO211" s="492"/>
      <c r="BP211" s="492"/>
      <c r="BQ211" s="503">
        <f>SUM(BR211:BT211)</f>
        <v>622</v>
      </c>
      <c r="BR211" s="503">
        <f>SUM(BR209:BR210)</f>
        <v>622</v>
      </c>
      <c r="BS211" s="503">
        <f>SUM(BS209:BS210)</f>
        <v>0</v>
      </c>
      <c r="BT211" s="503">
        <f>SUM(BT209:BT210)</f>
        <v>0</v>
      </c>
    </row>
    <row r="212" spans="1:75" ht="9" customHeight="1">
      <c r="A212" s="490"/>
      <c r="B212" s="492" t="s">
        <v>552</v>
      </c>
      <c r="C212" s="492"/>
      <c r="D212" s="492"/>
      <c r="E212" s="492"/>
      <c r="F212" s="492"/>
      <c r="G212" s="492"/>
      <c r="H212" s="492"/>
      <c r="I212" s="492"/>
      <c r="J212" s="492"/>
      <c r="K212" s="492"/>
      <c r="L212" s="492"/>
      <c r="M212" s="492"/>
      <c r="N212" s="492"/>
      <c r="O212" s="492"/>
      <c r="P212" s="492"/>
      <c r="Q212" s="492"/>
      <c r="R212" s="492"/>
      <c r="S212" s="492"/>
      <c r="T212" s="492"/>
      <c r="U212" s="492"/>
      <c r="V212" s="492"/>
      <c r="W212" s="492"/>
      <c r="X212" s="492"/>
      <c r="Y212" s="492"/>
      <c r="Z212" s="492"/>
      <c r="AA212" s="492"/>
      <c r="AB212" s="492"/>
      <c r="AC212" s="492"/>
      <c r="AD212" s="492"/>
      <c r="AE212" s="492"/>
      <c r="AF212" s="492"/>
      <c r="AG212" s="492"/>
      <c r="AH212" s="492"/>
      <c r="AI212" s="492"/>
      <c r="AJ212" s="492"/>
      <c r="AK212" s="492"/>
      <c r="AL212" s="492"/>
      <c r="AM212" s="492"/>
      <c r="AN212" s="492"/>
      <c r="AO212" s="492"/>
      <c r="AP212" s="492"/>
      <c r="AQ212" s="492"/>
      <c r="AR212" s="492"/>
      <c r="AS212" s="492"/>
      <c r="AT212" s="492"/>
      <c r="AU212" s="492"/>
      <c r="AV212" s="492"/>
      <c r="AW212" s="492"/>
      <c r="AX212" s="492"/>
      <c r="AY212" s="492"/>
      <c r="AZ212" s="492"/>
      <c r="BA212" s="492"/>
      <c r="BB212" s="492"/>
      <c r="BC212" s="492"/>
      <c r="BD212" s="492"/>
      <c r="BE212" s="492"/>
      <c r="BF212" s="492"/>
      <c r="BG212" s="492"/>
      <c r="BH212" s="492"/>
      <c r="BI212" s="492"/>
      <c r="BJ212" s="492"/>
      <c r="BK212" s="492"/>
      <c r="BL212" s="492"/>
      <c r="BM212" s="492"/>
      <c r="BN212" s="492"/>
      <c r="BO212" s="492"/>
      <c r="BP212" s="492"/>
      <c r="BQ212" s="493"/>
      <c r="BR212" s="493"/>
      <c r="BS212" s="493"/>
      <c r="BT212" s="493"/>
      <c r="BW212" s="210"/>
    </row>
    <row r="213" spans="1:75" ht="9" customHeight="1">
      <c r="A213" s="490"/>
      <c r="B213" s="492"/>
      <c r="C213" s="492" t="s">
        <v>161</v>
      </c>
      <c r="D213" s="492"/>
      <c r="E213" s="492"/>
      <c r="F213" s="492"/>
      <c r="G213" s="492"/>
      <c r="H213" s="492"/>
      <c r="I213" s="492"/>
      <c r="J213" s="492"/>
      <c r="K213" s="492"/>
      <c r="L213" s="502"/>
      <c r="M213" s="492"/>
      <c r="N213" s="492"/>
      <c r="O213" s="492"/>
      <c r="P213" s="492"/>
      <c r="Q213" s="492"/>
      <c r="R213" s="492"/>
      <c r="S213" s="492"/>
      <c r="T213" s="496"/>
      <c r="U213" s="492"/>
      <c r="V213" s="492"/>
      <c r="W213" s="1496" t="s">
        <v>681</v>
      </c>
      <c r="X213" s="1496"/>
      <c r="Y213" s="1496"/>
      <c r="Z213" s="1496"/>
      <c r="AA213" s="1496"/>
      <c r="AB213" s="1496"/>
      <c r="AC213" s="1496"/>
      <c r="AD213" s="1496"/>
      <c r="AE213" s="1496"/>
      <c r="AF213" s="1496"/>
      <c r="AG213" s="1496"/>
      <c r="AH213" s="492"/>
      <c r="AI213" s="496"/>
      <c r="AJ213" s="492"/>
      <c r="AK213" s="492"/>
      <c r="AL213" s="492"/>
      <c r="AM213" s="492"/>
      <c r="AN213" s="492"/>
      <c r="AO213" s="492"/>
      <c r="AP213" s="492"/>
      <c r="AQ213" s="492"/>
      <c r="AR213" s="492"/>
      <c r="AS213" s="492"/>
      <c r="AT213" s="492"/>
      <c r="AU213" s="492"/>
      <c r="AV213" s="492"/>
      <c r="AW213" s="492"/>
      <c r="AX213" s="492"/>
      <c r="AY213" s="492"/>
      <c r="AZ213" s="492"/>
      <c r="BA213" s="492"/>
      <c r="BB213" s="492"/>
      <c r="BC213" s="492"/>
      <c r="BD213" s="492"/>
      <c r="BE213" s="492"/>
      <c r="BF213" s="492"/>
      <c r="BG213" s="492"/>
      <c r="BH213" s="492"/>
      <c r="BI213" s="492"/>
      <c r="BJ213" s="492"/>
      <c r="BK213" s="492"/>
      <c r="BL213" s="492"/>
      <c r="BM213" s="492"/>
      <c r="BN213" s="492"/>
      <c r="BO213" s="492"/>
      <c r="BP213" s="492"/>
      <c r="BQ213" s="499"/>
      <c r="BR213" s="499"/>
      <c r="BS213" s="499"/>
      <c r="BT213" s="499"/>
    </row>
    <row r="214" spans="1:75" ht="9" customHeight="1">
      <c r="A214" s="490"/>
      <c r="B214" s="492"/>
      <c r="C214" s="1497" t="s">
        <v>549</v>
      </c>
      <c r="D214" s="1498"/>
      <c r="E214" s="1498"/>
      <c r="F214" s="1498"/>
      <c r="G214" s="1498"/>
      <c r="H214" s="1498"/>
      <c r="I214" s="1498"/>
      <c r="J214" s="1498"/>
      <c r="K214" s="1498"/>
      <c r="L214" s="1498"/>
      <c r="M214" s="1498"/>
      <c r="N214" s="1498"/>
      <c r="O214" s="1498"/>
      <c r="P214" s="1498"/>
      <c r="Q214" s="1498"/>
      <c r="R214" s="1498"/>
      <c r="S214" s="1498"/>
      <c r="T214" s="1498"/>
      <c r="U214" s="1498"/>
      <c r="V214" s="1498"/>
      <c r="W214" s="1498"/>
      <c r="X214" s="1498"/>
      <c r="Y214" s="1498"/>
      <c r="Z214" s="1498"/>
      <c r="AA214" s="1498"/>
      <c r="AB214" s="1498"/>
      <c r="AC214" s="1498"/>
      <c r="AD214" s="1498"/>
      <c r="AE214" s="1498"/>
      <c r="AF214" s="1498"/>
      <c r="AG214" s="1498"/>
      <c r="AH214" s="1498"/>
      <c r="AI214" s="1498"/>
      <c r="AJ214" s="1498"/>
      <c r="AK214" s="1498"/>
      <c r="AL214" s="1498"/>
      <c r="AM214" s="1498"/>
      <c r="AN214" s="1498"/>
      <c r="AO214" s="1498"/>
      <c r="AP214" s="498"/>
      <c r="AQ214" s="498"/>
      <c r="AR214" s="498"/>
      <c r="AS214" s="492"/>
      <c r="AT214" s="492"/>
      <c r="AU214" s="492"/>
      <c r="AV214" s="492"/>
      <c r="AW214" s="492"/>
      <c r="AX214" s="492"/>
      <c r="AY214" s="492"/>
      <c r="AZ214" s="492"/>
      <c r="BA214" s="492"/>
      <c r="BB214" s="492"/>
      <c r="BC214" s="492"/>
      <c r="BD214" s="492"/>
      <c r="BE214" s="492"/>
      <c r="BF214" s="492"/>
      <c r="BG214" s="492"/>
      <c r="BH214" s="492"/>
      <c r="BI214" s="492"/>
      <c r="BJ214" s="492"/>
      <c r="BK214" s="492"/>
      <c r="BL214" s="492"/>
      <c r="BM214" s="492"/>
      <c r="BN214" s="492"/>
      <c r="BO214" s="492"/>
      <c r="BP214" s="492"/>
      <c r="BQ214" s="499"/>
      <c r="BR214" s="499"/>
      <c r="BS214" s="499"/>
      <c r="BT214" s="499"/>
    </row>
    <row r="215" spans="1:75" ht="9" customHeight="1">
      <c r="A215" s="490"/>
      <c r="B215" s="492"/>
      <c r="C215" s="1497" t="s">
        <v>550</v>
      </c>
      <c r="D215" s="1498"/>
      <c r="E215" s="1498"/>
      <c r="F215" s="1498"/>
      <c r="G215" s="1498"/>
      <c r="H215" s="1498"/>
      <c r="I215" s="1498"/>
      <c r="J215" s="1498"/>
      <c r="K215" s="1498"/>
      <c r="L215" s="1498"/>
      <c r="M215" s="1498"/>
      <c r="N215" s="1498"/>
      <c r="O215" s="1498"/>
      <c r="P215" s="1498"/>
      <c r="Q215" s="1498"/>
      <c r="R215" s="1498"/>
      <c r="S215" s="1498"/>
      <c r="T215" s="1498"/>
      <c r="U215" s="1498"/>
      <c r="V215" s="1498"/>
      <c r="W215" s="1498"/>
      <c r="X215" s="1498"/>
      <c r="Y215" s="1498"/>
      <c r="Z215" s="1498"/>
      <c r="AA215" s="1498"/>
      <c r="AB215" s="1498"/>
      <c r="AC215" s="1498"/>
      <c r="AD215" s="1498"/>
      <c r="AE215" s="1498"/>
      <c r="AF215" s="1498"/>
      <c r="AG215" s="1498"/>
      <c r="AH215" s="1498"/>
      <c r="AI215" s="1498"/>
      <c r="AJ215" s="1498"/>
      <c r="AK215" s="1498"/>
      <c r="AL215" s="1498"/>
      <c r="AM215" s="1498"/>
      <c r="AN215" s="1498"/>
      <c r="AO215" s="1498"/>
      <c r="AP215" s="498"/>
      <c r="AQ215" s="498"/>
      <c r="AR215" s="498"/>
      <c r="AS215" s="492"/>
      <c r="AT215" s="492"/>
      <c r="AU215" s="492"/>
      <c r="AV215" s="492"/>
      <c r="AW215" s="492"/>
      <c r="AX215" s="492"/>
      <c r="AY215" s="492"/>
      <c r="AZ215" s="492"/>
      <c r="BA215" s="492"/>
      <c r="BB215" s="492"/>
      <c r="BC215" s="492"/>
      <c r="BD215" s="492"/>
      <c r="BE215" s="492"/>
      <c r="BF215" s="492"/>
      <c r="BG215" s="492"/>
      <c r="BH215" s="492"/>
      <c r="BI215" s="492"/>
      <c r="BJ215" s="492"/>
      <c r="BK215" s="492"/>
      <c r="BL215" s="492"/>
      <c r="BM215" s="492"/>
      <c r="BN215" s="492"/>
      <c r="BO215" s="492"/>
      <c r="BP215" s="492"/>
      <c r="BQ215" s="499"/>
      <c r="BR215" s="499"/>
      <c r="BS215" s="499"/>
      <c r="BT215" s="499"/>
    </row>
    <row r="216" spans="1:75" ht="9" customHeight="1">
      <c r="A216" s="490"/>
      <c r="B216" s="492"/>
      <c r="C216" s="492" t="s">
        <v>66</v>
      </c>
      <c r="D216" s="492"/>
      <c r="E216" s="492"/>
      <c r="F216" s="492"/>
      <c r="G216" s="497"/>
      <c r="H216" s="497"/>
      <c r="I216" s="497"/>
      <c r="J216" s="497"/>
      <c r="K216" s="497"/>
      <c r="L216" s="492"/>
      <c r="M216" s="492"/>
      <c r="N216" s="1493" t="e">
        <f>'기계경비(OLD)'!$AT$288</f>
        <v>#REF!</v>
      </c>
      <c r="O216" s="1494"/>
      <c r="P216" s="1494"/>
      <c r="Q216" s="1494"/>
      <c r="R216" s="1494"/>
      <c r="S216" s="1494"/>
      <c r="T216" s="1494"/>
      <c r="U216" s="1494"/>
      <c r="V216" s="507" t="s">
        <v>99</v>
      </c>
      <c r="W216" s="497"/>
      <c r="X216" s="1495" t="s">
        <v>551</v>
      </c>
      <c r="Y216" s="1494"/>
      <c r="Z216" s="1494"/>
      <c r="AA216" s="1494"/>
      <c r="AB216" s="507" t="s">
        <v>103</v>
      </c>
      <c r="AC216" s="497"/>
      <c r="AD216" s="1495" t="e">
        <f>INT(N216/200)</f>
        <v>#REF!</v>
      </c>
      <c r="AE216" s="1494"/>
      <c r="AF216" s="1494"/>
      <c r="AG216" s="1494"/>
      <c r="AH216" s="1494"/>
      <c r="AI216" s="1494"/>
      <c r="AJ216" s="1494"/>
      <c r="AK216" s="523"/>
      <c r="AL216" s="492"/>
      <c r="AM216" s="492"/>
      <c r="AN216" s="492"/>
      <c r="AO216" s="492"/>
      <c r="AP216" s="492"/>
      <c r="AQ216" s="492"/>
      <c r="AR216" s="492"/>
      <c r="AS216" s="492"/>
      <c r="AT216" s="492"/>
      <c r="AU216" s="492"/>
      <c r="AV216" s="492"/>
      <c r="AW216" s="492"/>
      <c r="AX216" s="492"/>
      <c r="AY216" s="492"/>
      <c r="AZ216" s="492"/>
      <c r="BA216" s="492"/>
      <c r="BB216" s="492"/>
      <c r="BC216" s="492"/>
      <c r="BD216" s="492"/>
      <c r="BE216" s="492"/>
      <c r="BF216" s="492"/>
      <c r="BG216" s="492"/>
      <c r="BH216" s="492"/>
      <c r="BI216" s="492"/>
      <c r="BJ216" s="492"/>
      <c r="BK216" s="492"/>
      <c r="BL216" s="492"/>
      <c r="BM216" s="492"/>
      <c r="BN216" s="492"/>
      <c r="BO216" s="492"/>
      <c r="BP216" s="492"/>
      <c r="BQ216" s="499" t="e">
        <f>SUM(BR216:BT216)</f>
        <v>#REF!</v>
      </c>
      <c r="BR216" s="499"/>
      <c r="BS216" s="499" t="e">
        <f>AD216</f>
        <v>#REF!</v>
      </c>
      <c r="BT216" s="499"/>
      <c r="BW216" s="241"/>
    </row>
    <row r="217" spans="1:75" ht="9" customHeight="1">
      <c r="A217" s="490"/>
      <c r="B217" s="492"/>
      <c r="C217" s="492" t="s">
        <v>67</v>
      </c>
      <c r="D217" s="492"/>
      <c r="E217" s="492"/>
      <c r="F217" s="492"/>
      <c r="G217" s="497"/>
      <c r="H217" s="497"/>
      <c r="I217" s="497"/>
      <c r="J217" s="497"/>
      <c r="K217" s="492"/>
      <c r="L217" s="492"/>
      <c r="M217" s="492"/>
      <c r="N217" s="1493">
        <f>'기계경비(OLD)'!$BU$282</f>
        <v>59025</v>
      </c>
      <c r="O217" s="1494"/>
      <c r="P217" s="1494"/>
      <c r="Q217" s="1494"/>
      <c r="R217" s="1494"/>
      <c r="S217" s="1494"/>
      <c r="T217" s="1494"/>
      <c r="U217" s="1494"/>
      <c r="V217" s="507" t="s">
        <v>99</v>
      </c>
      <c r="W217" s="497"/>
      <c r="X217" s="1495" t="s">
        <v>551</v>
      </c>
      <c r="Y217" s="1494"/>
      <c r="Z217" s="1494"/>
      <c r="AA217" s="1494"/>
      <c r="AB217" s="507" t="s">
        <v>103</v>
      </c>
      <c r="AC217" s="497"/>
      <c r="AD217" s="1495">
        <f>INT(N217/200)</f>
        <v>295</v>
      </c>
      <c r="AE217" s="1494"/>
      <c r="AF217" s="1494"/>
      <c r="AG217" s="1494"/>
      <c r="AH217" s="1494"/>
      <c r="AI217" s="1494"/>
      <c r="AJ217" s="1494"/>
      <c r="AK217" s="523"/>
      <c r="AL217" s="492"/>
      <c r="AM217" s="492"/>
      <c r="AN217" s="492"/>
      <c r="AO217" s="492"/>
      <c r="AP217" s="492"/>
      <c r="AQ217" s="492"/>
      <c r="AR217" s="492"/>
      <c r="AS217" s="492"/>
      <c r="AT217" s="492"/>
      <c r="AU217" s="492"/>
      <c r="AV217" s="492"/>
      <c r="AW217" s="492"/>
      <c r="AX217" s="492"/>
      <c r="AY217" s="492"/>
      <c r="AZ217" s="492"/>
      <c r="BA217" s="492"/>
      <c r="BB217" s="492"/>
      <c r="BC217" s="492"/>
      <c r="BD217" s="492"/>
      <c r="BE217" s="492"/>
      <c r="BF217" s="492"/>
      <c r="BG217" s="492"/>
      <c r="BH217" s="492"/>
      <c r="BI217" s="492"/>
      <c r="BJ217" s="492"/>
      <c r="BK217" s="492"/>
      <c r="BL217" s="492"/>
      <c r="BM217" s="492"/>
      <c r="BN217" s="492"/>
      <c r="BO217" s="492"/>
      <c r="BP217" s="492"/>
      <c r="BQ217" s="499">
        <f>SUM(BR217:BT217)</f>
        <v>295</v>
      </c>
      <c r="BR217" s="499">
        <f>AD217</f>
        <v>295</v>
      </c>
      <c r="BS217" s="499"/>
      <c r="BT217" s="499"/>
      <c r="BW217" s="241"/>
    </row>
    <row r="218" spans="1:75" ht="9" customHeight="1">
      <c r="A218" s="490"/>
      <c r="B218" s="492"/>
      <c r="C218" s="492" t="s">
        <v>68</v>
      </c>
      <c r="D218" s="492"/>
      <c r="E218" s="492"/>
      <c r="F218" s="492"/>
      <c r="G218" s="492"/>
      <c r="H218" s="492"/>
      <c r="I218" s="492"/>
      <c r="J218" s="492"/>
      <c r="K218" s="492"/>
      <c r="L218" s="492"/>
      <c r="M218" s="492"/>
      <c r="N218" s="1493">
        <f>'기계경비(OLD)'!$BN$292</f>
        <v>9924</v>
      </c>
      <c r="O218" s="1494"/>
      <c r="P218" s="1494"/>
      <c r="Q218" s="1494"/>
      <c r="R218" s="1494"/>
      <c r="S218" s="1494"/>
      <c r="T218" s="1494"/>
      <c r="U218" s="500"/>
      <c r="V218" s="507" t="s">
        <v>99</v>
      </c>
      <c r="W218" s="497"/>
      <c r="X218" s="1495" t="s">
        <v>551</v>
      </c>
      <c r="Y218" s="1494"/>
      <c r="Z218" s="1494"/>
      <c r="AA218" s="1494"/>
      <c r="AB218" s="507" t="s">
        <v>103</v>
      </c>
      <c r="AC218" s="497"/>
      <c r="AD218" s="1495">
        <f>INT(N218/200)</f>
        <v>49</v>
      </c>
      <c r="AE218" s="1494"/>
      <c r="AF218" s="1494"/>
      <c r="AG218" s="1494"/>
      <c r="AH218" s="1494"/>
      <c r="AI218" s="1494"/>
      <c r="AJ218" s="1494"/>
      <c r="AK218" s="523"/>
      <c r="AL218" s="492"/>
      <c r="AM218" s="492"/>
      <c r="AN218" s="492"/>
      <c r="AO218" s="492"/>
      <c r="AP218" s="492"/>
      <c r="AQ218" s="492"/>
      <c r="AR218" s="492"/>
      <c r="AS218" s="492"/>
      <c r="AT218" s="492"/>
      <c r="AU218" s="492"/>
      <c r="AV218" s="492"/>
      <c r="AW218" s="492"/>
      <c r="AX218" s="492"/>
      <c r="AY218" s="492"/>
      <c r="AZ218" s="492"/>
      <c r="BA218" s="492"/>
      <c r="BB218" s="492"/>
      <c r="BC218" s="492"/>
      <c r="BD218" s="492"/>
      <c r="BE218" s="492"/>
      <c r="BF218" s="492"/>
      <c r="BG218" s="492"/>
      <c r="BH218" s="492"/>
      <c r="BI218" s="492"/>
      <c r="BJ218" s="492"/>
      <c r="BK218" s="492"/>
      <c r="BL218" s="492"/>
      <c r="BM218" s="492"/>
      <c r="BN218" s="492"/>
      <c r="BO218" s="492"/>
      <c r="BP218" s="492"/>
      <c r="BQ218" s="499">
        <f>SUM(BR218:BT218)</f>
        <v>49</v>
      </c>
      <c r="BR218" s="499"/>
      <c r="BS218" s="499"/>
      <c r="BT218" s="499">
        <f>AD218</f>
        <v>49</v>
      </c>
    </row>
    <row r="219" spans="1:75" ht="9" customHeight="1">
      <c r="A219" s="490"/>
      <c r="B219" s="492"/>
      <c r="C219" s="492" t="s">
        <v>63</v>
      </c>
      <c r="D219" s="492"/>
      <c r="E219" s="492"/>
      <c r="F219" s="492"/>
      <c r="G219" s="492"/>
      <c r="H219" s="492"/>
      <c r="I219" s="492"/>
      <c r="J219" s="492"/>
      <c r="K219" s="492"/>
      <c r="L219" s="502"/>
      <c r="M219" s="492"/>
      <c r="N219" s="492"/>
      <c r="O219" s="492"/>
      <c r="P219" s="492"/>
      <c r="Q219" s="492"/>
      <c r="R219" s="492"/>
      <c r="S219" s="492"/>
      <c r="T219" s="496"/>
      <c r="U219" s="492"/>
      <c r="V219" s="492"/>
      <c r="W219" s="492"/>
      <c r="X219" s="492"/>
      <c r="Y219" s="492"/>
      <c r="Z219" s="492"/>
      <c r="AA219" s="492"/>
      <c r="AB219" s="492"/>
      <c r="AC219" s="492"/>
      <c r="AD219" s="492"/>
      <c r="AE219" s="492"/>
      <c r="AF219" s="492"/>
      <c r="AG219" s="492"/>
      <c r="AH219" s="492"/>
      <c r="AI219" s="496"/>
      <c r="AJ219" s="492"/>
      <c r="AK219" s="492"/>
      <c r="AL219" s="492"/>
      <c r="AM219" s="492"/>
      <c r="AN219" s="492"/>
      <c r="AO219" s="492"/>
      <c r="AP219" s="492"/>
      <c r="AQ219" s="492"/>
      <c r="AR219" s="492"/>
      <c r="AS219" s="492"/>
      <c r="AT219" s="492"/>
      <c r="AU219" s="492"/>
      <c r="AV219" s="492"/>
      <c r="AW219" s="492"/>
      <c r="AX219" s="492"/>
      <c r="AY219" s="492"/>
      <c r="AZ219" s="492"/>
      <c r="BA219" s="492"/>
      <c r="BB219" s="492"/>
      <c r="BC219" s="492"/>
      <c r="BD219" s="492"/>
      <c r="BE219" s="492"/>
      <c r="BF219" s="492"/>
      <c r="BG219" s="492"/>
      <c r="BH219" s="492"/>
      <c r="BI219" s="492"/>
      <c r="BJ219" s="492"/>
      <c r="BK219" s="492"/>
      <c r="BL219" s="492"/>
      <c r="BM219" s="492"/>
      <c r="BN219" s="492"/>
      <c r="BO219" s="492"/>
      <c r="BP219" s="492"/>
      <c r="BQ219" s="503" t="e">
        <f>SUM(BR219:BT219)</f>
        <v>#REF!</v>
      </c>
      <c r="BR219" s="503">
        <f>SUM(BR216:BR218)</f>
        <v>295</v>
      </c>
      <c r="BS219" s="503" t="e">
        <f>SUM(BS216:BS218)</f>
        <v>#REF!</v>
      </c>
      <c r="BT219" s="503">
        <f>SUM(BT216:BT218)</f>
        <v>49</v>
      </c>
    </row>
    <row r="220" spans="1:75" ht="9" customHeight="1">
      <c r="A220" s="490"/>
      <c r="B220" s="492"/>
      <c r="C220" s="492" t="s">
        <v>682</v>
      </c>
      <c r="D220" s="492"/>
      <c r="E220" s="492"/>
      <c r="F220" s="492"/>
      <c r="G220" s="492"/>
      <c r="H220" s="492"/>
      <c r="I220" s="492"/>
      <c r="J220" s="492"/>
      <c r="K220" s="492"/>
      <c r="L220" s="502"/>
      <c r="M220" s="492"/>
      <c r="N220" s="492"/>
      <c r="O220" s="492"/>
      <c r="P220" s="492"/>
      <c r="Q220" s="492"/>
      <c r="R220" s="492"/>
      <c r="S220" s="492"/>
      <c r="T220" s="496"/>
      <c r="U220" s="492"/>
      <c r="V220" s="492"/>
      <c r="W220" s="1496" t="s">
        <v>683</v>
      </c>
      <c r="X220" s="1496"/>
      <c r="Y220" s="1496"/>
      <c r="Z220" s="1496"/>
      <c r="AA220" s="1496"/>
      <c r="AB220" s="1496"/>
      <c r="AC220" s="1496"/>
      <c r="AD220" s="1496"/>
      <c r="AE220" s="1496"/>
      <c r="AF220" s="1496"/>
      <c r="AG220" s="1496"/>
      <c r="AH220" s="492"/>
      <c r="AI220" s="496"/>
      <c r="AJ220" s="492"/>
      <c r="AK220" s="492"/>
      <c r="AL220" s="492"/>
      <c r="AM220" s="492"/>
      <c r="AN220" s="492"/>
      <c r="AO220" s="492"/>
      <c r="AP220" s="492"/>
      <c r="AQ220" s="492"/>
      <c r="AR220" s="492"/>
      <c r="AS220" s="492"/>
      <c r="AT220" s="492"/>
      <c r="AU220" s="492"/>
      <c r="AV220" s="492"/>
      <c r="AW220" s="492"/>
      <c r="AX220" s="492"/>
      <c r="AY220" s="492"/>
      <c r="AZ220" s="492"/>
      <c r="BA220" s="492"/>
      <c r="BB220" s="492"/>
      <c r="BC220" s="492"/>
      <c r="BD220" s="492"/>
      <c r="BE220" s="492"/>
      <c r="BF220" s="492"/>
      <c r="BG220" s="492"/>
      <c r="BH220" s="492"/>
      <c r="BI220" s="492"/>
      <c r="BJ220" s="492"/>
      <c r="BK220" s="492"/>
      <c r="BL220" s="492"/>
      <c r="BM220" s="492"/>
      <c r="BN220" s="492"/>
      <c r="BO220" s="492"/>
      <c r="BP220" s="492"/>
      <c r="BQ220" s="499"/>
      <c r="BR220" s="499"/>
      <c r="BS220" s="499"/>
      <c r="BT220" s="499"/>
    </row>
    <row r="221" spans="1:75" ht="9" customHeight="1">
      <c r="A221" s="490"/>
      <c r="B221" s="492"/>
      <c r="C221" s="1497" t="s">
        <v>549</v>
      </c>
      <c r="D221" s="1498"/>
      <c r="E221" s="1498"/>
      <c r="F221" s="1498"/>
      <c r="G221" s="1498"/>
      <c r="H221" s="1498"/>
      <c r="I221" s="1498"/>
      <c r="J221" s="1498"/>
      <c r="K221" s="1498"/>
      <c r="L221" s="1498"/>
      <c r="M221" s="1498"/>
      <c r="N221" s="1498"/>
      <c r="O221" s="1498"/>
      <c r="P221" s="1498"/>
      <c r="Q221" s="1498"/>
      <c r="R221" s="1498"/>
      <c r="S221" s="1498"/>
      <c r="T221" s="1498"/>
      <c r="U221" s="1498"/>
      <c r="V221" s="1498"/>
      <c r="W221" s="1498"/>
      <c r="X221" s="1498"/>
      <c r="Y221" s="1498"/>
      <c r="Z221" s="1498"/>
      <c r="AA221" s="1498"/>
      <c r="AB221" s="1498"/>
      <c r="AC221" s="1498"/>
      <c r="AD221" s="1498"/>
      <c r="AE221" s="1498"/>
      <c r="AF221" s="1498"/>
      <c r="AG221" s="1498"/>
      <c r="AH221" s="1498"/>
      <c r="AI221" s="1498"/>
      <c r="AJ221" s="1498"/>
      <c r="AK221" s="1498"/>
      <c r="AL221" s="1498"/>
      <c r="AM221" s="1498"/>
      <c r="AN221" s="1498"/>
      <c r="AO221" s="1498"/>
      <c r="AP221" s="498"/>
      <c r="AQ221" s="498"/>
      <c r="AR221" s="498"/>
      <c r="AS221" s="492"/>
      <c r="AT221" s="492"/>
      <c r="AU221" s="492"/>
      <c r="AV221" s="492"/>
      <c r="AW221" s="492"/>
      <c r="AX221" s="492"/>
      <c r="AY221" s="492"/>
      <c r="AZ221" s="492"/>
      <c r="BA221" s="492"/>
      <c r="BB221" s="492"/>
      <c r="BC221" s="492"/>
      <c r="BD221" s="492"/>
      <c r="BE221" s="492"/>
      <c r="BF221" s="492"/>
      <c r="BG221" s="492"/>
      <c r="BH221" s="492"/>
      <c r="BI221" s="492"/>
      <c r="BJ221" s="492"/>
      <c r="BK221" s="492"/>
      <c r="BL221" s="492"/>
      <c r="BM221" s="492"/>
      <c r="BN221" s="492"/>
      <c r="BO221" s="492"/>
      <c r="BP221" s="492"/>
      <c r="BQ221" s="499"/>
      <c r="BR221" s="499"/>
      <c r="BS221" s="499"/>
      <c r="BT221" s="499"/>
    </row>
    <row r="222" spans="1:75" ht="9" customHeight="1">
      <c r="A222" s="490"/>
      <c r="B222" s="492"/>
      <c r="C222" s="1497" t="s">
        <v>550</v>
      </c>
      <c r="D222" s="1498"/>
      <c r="E222" s="1498"/>
      <c r="F222" s="1498"/>
      <c r="G222" s="1498"/>
      <c r="H222" s="1498"/>
      <c r="I222" s="1498"/>
      <c r="J222" s="1498"/>
      <c r="K222" s="1498"/>
      <c r="L222" s="1498"/>
      <c r="M222" s="1498"/>
      <c r="N222" s="1498"/>
      <c r="O222" s="1498"/>
      <c r="P222" s="1498"/>
      <c r="Q222" s="1498"/>
      <c r="R222" s="1498"/>
      <c r="S222" s="1498"/>
      <c r="T222" s="1498"/>
      <c r="U222" s="1498"/>
      <c r="V222" s="1498"/>
      <c r="W222" s="1498"/>
      <c r="X222" s="1498"/>
      <c r="Y222" s="1498"/>
      <c r="Z222" s="1498"/>
      <c r="AA222" s="1498"/>
      <c r="AB222" s="1498"/>
      <c r="AC222" s="1498"/>
      <c r="AD222" s="1498"/>
      <c r="AE222" s="1498"/>
      <c r="AF222" s="1498"/>
      <c r="AG222" s="1498"/>
      <c r="AH222" s="1498"/>
      <c r="AI222" s="1498"/>
      <c r="AJ222" s="1498"/>
      <c r="AK222" s="1498"/>
      <c r="AL222" s="1498"/>
      <c r="AM222" s="1498"/>
      <c r="AN222" s="1498"/>
      <c r="AO222" s="1498"/>
      <c r="AP222" s="498"/>
      <c r="AQ222" s="498"/>
      <c r="AR222" s="498"/>
      <c r="AS222" s="492"/>
      <c r="AT222" s="492"/>
      <c r="AU222" s="492"/>
      <c r="AV222" s="492"/>
      <c r="AW222" s="492"/>
      <c r="AX222" s="492"/>
      <c r="AY222" s="492"/>
      <c r="AZ222" s="492"/>
      <c r="BA222" s="492"/>
      <c r="BB222" s="492"/>
      <c r="BC222" s="492"/>
      <c r="BD222" s="492"/>
      <c r="BE222" s="492"/>
      <c r="BF222" s="492"/>
      <c r="BG222" s="492"/>
      <c r="BH222" s="492"/>
      <c r="BI222" s="492"/>
      <c r="BJ222" s="492"/>
      <c r="BK222" s="492"/>
      <c r="BL222" s="492"/>
      <c r="BM222" s="492"/>
      <c r="BN222" s="492"/>
      <c r="BO222" s="492"/>
      <c r="BP222" s="492"/>
      <c r="BQ222" s="499"/>
      <c r="BR222" s="499"/>
      <c r="BS222" s="499"/>
      <c r="BT222" s="499"/>
    </row>
    <row r="223" spans="1:75" ht="9" customHeight="1">
      <c r="A223" s="490"/>
      <c r="B223" s="492"/>
      <c r="C223" s="492" t="s">
        <v>66</v>
      </c>
      <c r="D223" s="492"/>
      <c r="E223" s="492"/>
      <c r="F223" s="492"/>
      <c r="G223" s="497"/>
      <c r="H223" s="497"/>
      <c r="I223" s="497"/>
      <c r="J223" s="497"/>
      <c r="K223" s="497"/>
      <c r="L223" s="492"/>
      <c r="M223" s="492"/>
      <c r="N223" s="1493" t="e">
        <f>'기계경비(OLD)'!$AT$261</f>
        <v>#REF!</v>
      </c>
      <c r="O223" s="1494"/>
      <c r="P223" s="1494"/>
      <c r="Q223" s="1494"/>
      <c r="R223" s="1494"/>
      <c r="S223" s="1494"/>
      <c r="T223" s="1494"/>
      <c r="U223" s="1494"/>
      <c r="V223" s="507" t="s">
        <v>99</v>
      </c>
      <c r="W223" s="497"/>
      <c r="X223" s="1495" t="s">
        <v>551</v>
      </c>
      <c r="Y223" s="1494"/>
      <c r="Z223" s="1494"/>
      <c r="AA223" s="1494"/>
      <c r="AB223" s="507" t="s">
        <v>103</v>
      </c>
      <c r="AC223" s="497"/>
      <c r="AD223" s="1495" t="e">
        <f>INT(N223/200)</f>
        <v>#REF!</v>
      </c>
      <c r="AE223" s="1494"/>
      <c r="AF223" s="1494"/>
      <c r="AG223" s="1494"/>
      <c r="AH223" s="1494"/>
      <c r="AI223" s="1494"/>
      <c r="AJ223" s="1494"/>
      <c r="AK223" s="492"/>
      <c r="AL223" s="492"/>
      <c r="AM223" s="492"/>
      <c r="AN223" s="492"/>
      <c r="AO223" s="492"/>
      <c r="AP223" s="492"/>
      <c r="AQ223" s="492"/>
      <c r="AR223" s="492"/>
      <c r="AS223" s="492"/>
      <c r="AT223" s="492"/>
      <c r="AU223" s="492"/>
      <c r="AV223" s="492"/>
      <c r="AW223" s="492"/>
      <c r="AX223" s="492"/>
      <c r="AY223" s="492"/>
      <c r="AZ223" s="492"/>
      <c r="BA223" s="492"/>
      <c r="BB223" s="492"/>
      <c r="BC223" s="492"/>
      <c r="BD223" s="492"/>
      <c r="BE223" s="492"/>
      <c r="BF223" s="492"/>
      <c r="BG223" s="492"/>
      <c r="BH223" s="492"/>
      <c r="BI223" s="492"/>
      <c r="BJ223" s="492"/>
      <c r="BK223" s="492"/>
      <c r="BL223" s="492"/>
      <c r="BM223" s="492"/>
      <c r="BN223" s="492"/>
      <c r="BO223" s="492"/>
      <c r="BP223" s="492"/>
      <c r="BQ223" s="499" t="e">
        <f>SUM(BR223:BT223)</f>
        <v>#REF!</v>
      </c>
      <c r="BR223" s="499"/>
      <c r="BS223" s="499" t="e">
        <f>AD223</f>
        <v>#REF!</v>
      </c>
      <c r="BT223" s="499"/>
      <c r="BW223" s="241"/>
    </row>
    <row r="224" spans="1:75" ht="9" customHeight="1">
      <c r="A224" s="490"/>
      <c r="B224" s="492"/>
      <c r="C224" s="492" t="s">
        <v>67</v>
      </c>
      <c r="D224" s="492"/>
      <c r="E224" s="492"/>
      <c r="F224" s="492"/>
      <c r="G224" s="497"/>
      <c r="H224" s="497"/>
      <c r="I224" s="497"/>
      <c r="J224" s="497"/>
      <c r="K224" s="492"/>
      <c r="L224" s="492"/>
      <c r="M224" s="492"/>
      <c r="N224" s="1493">
        <f>'기계경비(OLD)'!$BU$254</f>
        <v>59025</v>
      </c>
      <c r="O224" s="1494"/>
      <c r="P224" s="1494"/>
      <c r="Q224" s="1494"/>
      <c r="R224" s="1494"/>
      <c r="S224" s="1494"/>
      <c r="T224" s="1494"/>
      <c r="U224" s="1494"/>
      <c r="V224" s="507" t="s">
        <v>99</v>
      </c>
      <c r="W224" s="497"/>
      <c r="X224" s="1495" t="s">
        <v>551</v>
      </c>
      <c r="Y224" s="1494"/>
      <c r="Z224" s="1494"/>
      <c r="AA224" s="1494"/>
      <c r="AB224" s="507" t="s">
        <v>103</v>
      </c>
      <c r="AC224" s="497"/>
      <c r="AD224" s="1495">
        <f>INT(N224/200)</f>
        <v>295</v>
      </c>
      <c r="AE224" s="1494"/>
      <c r="AF224" s="1494"/>
      <c r="AG224" s="1494"/>
      <c r="AH224" s="1494"/>
      <c r="AI224" s="1494"/>
      <c r="AJ224" s="1494"/>
      <c r="AK224" s="492"/>
      <c r="AL224" s="492"/>
      <c r="AM224" s="492"/>
      <c r="AN224" s="492"/>
      <c r="AO224" s="492"/>
      <c r="AP224" s="492"/>
      <c r="AQ224" s="492"/>
      <c r="AR224" s="492"/>
      <c r="AS224" s="492"/>
      <c r="AT224" s="492"/>
      <c r="AU224" s="492"/>
      <c r="AV224" s="492"/>
      <c r="AW224" s="492"/>
      <c r="AX224" s="492"/>
      <c r="AY224" s="492"/>
      <c r="AZ224" s="492"/>
      <c r="BA224" s="492"/>
      <c r="BB224" s="492"/>
      <c r="BC224" s="492"/>
      <c r="BD224" s="492"/>
      <c r="BE224" s="492"/>
      <c r="BF224" s="492"/>
      <c r="BG224" s="492"/>
      <c r="BH224" s="492"/>
      <c r="BI224" s="492"/>
      <c r="BJ224" s="492"/>
      <c r="BK224" s="492"/>
      <c r="BL224" s="492"/>
      <c r="BM224" s="492"/>
      <c r="BN224" s="492"/>
      <c r="BO224" s="492"/>
      <c r="BP224" s="492"/>
      <c r="BQ224" s="499">
        <f>SUM(BR224:BT224)</f>
        <v>295</v>
      </c>
      <c r="BR224" s="499">
        <f>AD224</f>
        <v>295</v>
      </c>
      <c r="BS224" s="499"/>
      <c r="BT224" s="499"/>
      <c r="BW224" s="241"/>
    </row>
    <row r="225" spans="1:75" ht="9" customHeight="1">
      <c r="A225" s="490"/>
      <c r="B225" s="492"/>
      <c r="C225" s="492" t="s">
        <v>68</v>
      </c>
      <c r="D225" s="492"/>
      <c r="E225" s="492"/>
      <c r="F225" s="492"/>
      <c r="G225" s="492"/>
      <c r="H225" s="492"/>
      <c r="I225" s="492"/>
      <c r="J225" s="492"/>
      <c r="K225" s="492"/>
      <c r="L225" s="492"/>
      <c r="M225" s="492"/>
      <c r="N225" s="1493">
        <f>'기계경비(OLD)'!$BN$265</f>
        <v>11830</v>
      </c>
      <c r="O225" s="1494"/>
      <c r="P225" s="1494"/>
      <c r="Q225" s="1494"/>
      <c r="R225" s="1494"/>
      <c r="S225" s="1494"/>
      <c r="T225" s="1494"/>
      <c r="U225" s="1494"/>
      <c r="V225" s="507" t="s">
        <v>99</v>
      </c>
      <c r="W225" s="497"/>
      <c r="X225" s="1495" t="s">
        <v>551</v>
      </c>
      <c r="Y225" s="1494"/>
      <c r="Z225" s="1494"/>
      <c r="AA225" s="1494"/>
      <c r="AB225" s="507" t="s">
        <v>103</v>
      </c>
      <c r="AC225" s="497"/>
      <c r="AD225" s="1495">
        <f>INT(N225/200)</f>
        <v>59</v>
      </c>
      <c r="AE225" s="1494"/>
      <c r="AF225" s="1494"/>
      <c r="AG225" s="1494"/>
      <c r="AH225" s="1494"/>
      <c r="AI225" s="1494"/>
      <c r="AJ225" s="1494"/>
      <c r="AK225" s="492"/>
      <c r="AL225" s="492"/>
      <c r="AM225" s="492"/>
      <c r="AN225" s="492"/>
      <c r="AO225" s="492"/>
      <c r="AP225" s="492"/>
      <c r="AQ225" s="492"/>
      <c r="AR225" s="492"/>
      <c r="AS225" s="492"/>
      <c r="AT225" s="492"/>
      <c r="AU225" s="492"/>
      <c r="AV225" s="492"/>
      <c r="AW225" s="492"/>
      <c r="AX225" s="492"/>
      <c r="AY225" s="492"/>
      <c r="AZ225" s="492"/>
      <c r="BA225" s="492"/>
      <c r="BB225" s="492"/>
      <c r="BC225" s="492"/>
      <c r="BD225" s="492"/>
      <c r="BE225" s="492"/>
      <c r="BF225" s="492"/>
      <c r="BG225" s="492"/>
      <c r="BH225" s="492"/>
      <c r="BI225" s="492"/>
      <c r="BJ225" s="492"/>
      <c r="BK225" s="492"/>
      <c r="BL225" s="492"/>
      <c r="BM225" s="492"/>
      <c r="BN225" s="492"/>
      <c r="BO225" s="492"/>
      <c r="BP225" s="492"/>
      <c r="BQ225" s="499">
        <f>SUM(BR225:BT225)</f>
        <v>59</v>
      </c>
      <c r="BR225" s="499"/>
      <c r="BS225" s="499"/>
      <c r="BT225" s="499">
        <f>AD225</f>
        <v>59</v>
      </c>
    </row>
    <row r="226" spans="1:75" ht="9" customHeight="1">
      <c r="A226" s="490"/>
      <c r="B226" s="492"/>
      <c r="C226" s="492" t="s">
        <v>63</v>
      </c>
      <c r="D226" s="492"/>
      <c r="E226" s="492"/>
      <c r="F226" s="492"/>
      <c r="G226" s="492"/>
      <c r="H226" s="492"/>
      <c r="I226" s="492"/>
      <c r="J226" s="492"/>
      <c r="K226" s="492"/>
      <c r="L226" s="502"/>
      <c r="M226" s="492"/>
      <c r="N226" s="492"/>
      <c r="O226" s="492"/>
      <c r="P226" s="492"/>
      <c r="Q226" s="492"/>
      <c r="R226" s="492"/>
      <c r="S226" s="492"/>
      <c r="T226" s="496"/>
      <c r="U226" s="492"/>
      <c r="V226" s="492"/>
      <c r="W226" s="492"/>
      <c r="X226" s="492"/>
      <c r="Y226" s="492"/>
      <c r="Z226" s="492"/>
      <c r="AA226" s="492"/>
      <c r="AB226" s="492"/>
      <c r="AC226" s="492"/>
      <c r="AD226" s="492"/>
      <c r="AE226" s="492"/>
      <c r="AF226" s="492"/>
      <c r="AG226" s="492"/>
      <c r="AH226" s="492"/>
      <c r="AI226" s="496"/>
      <c r="AJ226" s="492"/>
      <c r="AK226" s="492"/>
      <c r="AL226" s="492"/>
      <c r="AM226" s="492"/>
      <c r="AN226" s="492"/>
      <c r="AO226" s="492"/>
      <c r="AP226" s="492"/>
      <c r="AQ226" s="492"/>
      <c r="AR226" s="492"/>
      <c r="AS226" s="492"/>
      <c r="AT226" s="492"/>
      <c r="AU226" s="492"/>
      <c r="AV226" s="492"/>
      <c r="AW226" s="492"/>
      <c r="AX226" s="492"/>
      <c r="AY226" s="492"/>
      <c r="AZ226" s="492"/>
      <c r="BA226" s="492"/>
      <c r="BB226" s="492"/>
      <c r="BC226" s="492"/>
      <c r="BD226" s="492"/>
      <c r="BE226" s="492"/>
      <c r="BF226" s="492"/>
      <c r="BG226" s="492"/>
      <c r="BH226" s="492"/>
      <c r="BI226" s="492"/>
      <c r="BJ226" s="492"/>
      <c r="BK226" s="492"/>
      <c r="BL226" s="492"/>
      <c r="BM226" s="492"/>
      <c r="BN226" s="492"/>
      <c r="BO226" s="492"/>
      <c r="BP226" s="492"/>
      <c r="BQ226" s="503" t="e">
        <f>SUM(BR226:BT226)</f>
        <v>#REF!</v>
      </c>
      <c r="BR226" s="503">
        <f>SUM(BR223:BR225)</f>
        <v>295</v>
      </c>
      <c r="BS226" s="503" t="e">
        <f>SUM(BS223:BS225)</f>
        <v>#REF!</v>
      </c>
      <c r="BT226" s="503">
        <f>SUM(BT223:BT225)</f>
        <v>59</v>
      </c>
    </row>
    <row r="227" spans="1:75" ht="9" customHeight="1">
      <c r="A227" s="490"/>
      <c r="B227" s="492"/>
      <c r="C227" s="492" t="s">
        <v>816</v>
      </c>
      <c r="D227" s="492"/>
      <c r="E227" s="492"/>
      <c r="F227" s="492"/>
      <c r="G227" s="492"/>
      <c r="H227" s="492"/>
      <c r="I227" s="492"/>
      <c r="J227" s="492"/>
      <c r="K227" s="492"/>
      <c r="L227" s="502"/>
      <c r="M227" s="492"/>
      <c r="N227" s="492"/>
      <c r="O227" s="492"/>
      <c r="P227" s="492"/>
      <c r="Q227" s="492"/>
      <c r="R227" s="492"/>
      <c r="S227" s="492"/>
      <c r="T227" s="496"/>
      <c r="U227" s="492"/>
      <c r="V227" s="492"/>
      <c r="W227" s="1496" t="s">
        <v>817</v>
      </c>
      <c r="X227" s="1496"/>
      <c r="Y227" s="1496"/>
      <c r="Z227" s="1496"/>
      <c r="AA227" s="1496"/>
      <c r="AB227" s="1496"/>
      <c r="AC227" s="1496"/>
      <c r="AD227" s="1496"/>
      <c r="AE227" s="1496"/>
      <c r="AF227" s="1496"/>
      <c r="AG227" s="1496"/>
      <c r="AH227" s="492"/>
      <c r="AI227" s="496"/>
      <c r="AJ227" s="492"/>
      <c r="AK227" s="492"/>
      <c r="AL227" s="492"/>
      <c r="AM227" s="492"/>
      <c r="AN227" s="492"/>
      <c r="AO227" s="492"/>
      <c r="AP227" s="492"/>
      <c r="AQ227" s="492"/>
      <c r="AR227" s="492"/>
      <c r="AS227" s="492"/>
      <c r="AT227" s="492"/>
      <c r="AU227" s="492"/>
      <c r="AV227" s="492"/>
      <c r="AW227" s="492"/>
      <c r="AX227" s="492"/>
      <c r="AY227" s="492"/>
      <c r="AZ227" s="492"/>
      <c r="BA227" s="492"/>
      <c r="BB227" s="492"/>
      <c r="BC227" s="492"/>
      <c r="BD227" s="492"/>
      <c r="BE227" s="492"/>
      <c r="BF227" s="492"/>
      <c r="BG227" s="492"/>
      <c r="BH227" s="492"/>
      <c r="BI227" s="492"/>
      <c r="BJ227" s="492"/>
      <c r="BK227" s="492"/>
      <c r="BL227" s="492"/>
      <c r="BM227" s="492"/>
      <c r="BN227" s="492"/>
      <c r="BO227" s="492"/>
      <c r="BP227" s="492"/>
      <c r="BQ227" s="499"/>
      <c r="BR227" s="499"/>
      <c r="BS227" s="499"/>
      <c r="BT227" s="499"/>
    </row>
    <row r="228" spans="1:75" ht="9" customHeight="1">
      <c r="A228" s="490"/>
      <c r="B228" s="492"/>
      <c r="C228" s="1497" t="s">
        <v>549</v>
      </c>
      <c r="D228" s="1498"/>
      <c r="E228" s="1498"/>
      <c r="F228" s="1498"/>
      <c r="G228" s="1498"/>
      <c r="H228" s="1498"/>
      <c r="I228" s="1498"/>
      <c r="J228" s="1498"/>
      <c r="K228" s="1498"/>
      <c r="L228" s="1498"/>
      <c r="M228" s="1498"/>
      <c r="N228" s="1498"/>
      <c r="O228" s="1498"/>
      <c r="P228" s="1498"/>
      <c r="Q228" s="1498"/>
      <c r="R228" s="1498"/>
      <c r="S228" s="1498"/>
      <c r="T228" s="1498"/>
      <c r="U228" s="1498"/>
      <c r="V228" s="1498"/>
      <c r="W228" s="1498"/>
      <c r="X228" s="1498"/>
      <c r="Y228" s="1498"/>
      <c r="Z228" s="1498"/>
      <c r="AA228" s="1498"/>
      <c r="AB228" s="1498"/>
      <c r="AC228" s="1498"/>
      <c r="AD228" s="1498"/>
      <c r="AE228" s="1498"/>
      <c r="AF228" s="1498"/>
      <c r="AG228" s="1498"/>
      <c r="AH228" s="1498"/>
      <c r="AI228" s="1498"/>
      <c r="AJ228" s="1498"/>
      <c r="AK228" s="1498"/>
      <c r="AL228" s="1498"/>
      <c r="AM228" s="1498"/>
      <c r="AN228" s="1498"/>
      <c r="AO228" s="1498"/>
      <c r="AP228" s="498"/>
      <c r="AQ228" s="498"/>
      <c r="AR228" s="498"/>
      <c r="AS228" s="492"/>
      <c r="AT228" s="492"/>
      <c r="AU228" s="492"/>
      <c r="AV228" s="492"/>
      <c r="AW228" s="492"/>
      <c r="AX228" s="492"/>
      <c r="AY228" s="492"/>
      <c r="AZ228" s="492"/>
      <c r="BA228" s="492"/>
      <c r="BB228" s="492"/>
      <c r="BC228" s="492"/>
      <c r="BD228" s="492"/>
      <c r="BE228" s="492"/>
      <c r="BF228" s="492"/>
      <c r="BG228" s="492"/>
      <c r="BH228" s="492"/>
      <c r="BI228" s="492"/>
      <c r="BJ228" s="492"/>
      <c r="BK228" s="492"/>
      <c r="BL228" s="492"/>
      <c r="BM228" s="492"/>
      <c r="BN228" s="492"/>
      <c r="BO228" s="492"/>
      <c r="BP228" s="492"/>
      <c r="BQ228" s="499"/>
      <c r="BR228" s="499"/>
      <c r="BS228" s="499"/>
      <c r="BT228" s="499"/>
    </row>
    <row r="229" spans="1:75" ht="9" customHeight="1">
      <c r="A229" s="490"/>
      <c r="B229" s="492"/>
      <c r="C229" s="1497" t="s">
        <v>550</v>
      </c>
      <c r="D229" s="1498"/>
      <c r="E229" s="1498"/>
      <c r="F229" s="1498"/>
      <c r="G229" s="1498"/>
      <c r="H229" s="1498"/>
      <c r="I229" s="1498"/>
      <c r="J229" s="1498"/>
      <c r="K229" s="1498"/>
      <c r="L229" s="1498"/>
      <c r="M229" s="1498"/>
      <c r="N229" s="1498"/>
      <c r="O229" s="1498"/>
      <c r="P229" s="1498"/>
      <c r="Q229" s="1498"/>
      <c r="R229" s="1498"/>
      <c r="S229" s="1498"/>
      <c r="T229" s="1498"/>
      <c r="U229" s="1498"/>
      <c r="V229" s="1498"/>
      <c r="W229" s="1498"/>
      <c r="X229" s="1498"/>
      <c r="Y229" s="1498"/>
      <c r="Z229" s="1498"/>
      <c r="AA229" s="1498"/>
      <c r="AB229" s="1498"/>
      <c r="AC229" s="1498"/>
      <c r="AD229" s="1498"/>
      <c r="AE229" s="1498"/>
      <c r="AF229" s="1498"/>
      <c r="AG229" s="1498"/>
      <c r="AH229" s="1498"/>
      <c r="AI229" s="1498"/>
      <c r="AJ229" s="1498"/>
      <c r="AK229" s="1498"/>
      <c r="AL229" s="1498"/>
      <c r="AM229" s="1498"/>
      <c r="AN229" s="1498"/>
      <c r="AO229" s="1498"/>
      <c r="AP229" s="498"/>
      <c r="AQ229" s="498"/>
      <c r="AR229" s="498"/>
      <c r="AS229" s="492"/>
      <c r="AT229" s="492"/>
      <c r="AU229" s="492"/>
      <c r="AV229" s="492"/>
      <c r="AW229" s="492"/>
      <c r="AX229" s="492"/>
      <c r="AY229" s="492"/>
      <c r="AZ229" s="492"/>
      <c r="BA229" s="492"/>
      <c r="BB229" s="492"/>
      <c r="BC229" s="492"/>
      <c r="BD229" s="492"/>
      <c r="BE229" s="492"/>
      <c r="BF229" s="492"/>
      <c r="BG229" s="492"/>
      <c r="BH229" s="492"/>
      <c r="BI229" s="492"/>
      <c r="BJ229" s="492"/>
      <c r="BK229" s="492"/>
      <c r="BL229" s="492"/>
      <c r="BM229" s="492"/>
      <c r="BN229" s="492"/>
      <c r="BO229" s="492"/>
      <c r="BP229" s="492"/>
      <c r="BQ229" s="499"/>
      <c r="BR229" s="499"/>
      <c r="BS229" s="499"/>
      <c r="BT229" s="499"/>
    </row>
    <row r="230" spans="1:75" ht="9" customHeight="1">
      <c r="A230" s="490"/>
      <c r="B230" s="492"/>
      <c r="C230" s="492" t="s">
        <v>66</v>
      </c>
      <c r="D230" s="492"/>
      <c r="E230" s="492"/>
      <c r="F230" s="492"/>
      <c r="G230" s="497"/>
      <c r="H230" s="497"/>
      <c r="I230" s="497"/>
      <c r="J230" s="497"/>
      <c r="K230" s="497"/>
      <c r="L230" s="492"/>
      <c r="M230" s="492"/>
      <c r="N230" s="1493" t="e">
        <f>'기계경비(OLD)'!$AT$396</f>
        <v>#REF!</v>
      </c>
      <c r="O230" s="1494"/>
      <c r="P230" s="1494"/>
      <c r="Q230" s="1494"/>
      <c r="R230" s="1494"/>
      <c r="S230" s="1494"/>
      <c r="T230" s="1494"/>
      <c r="U230" s="1494"/>
      <c r="V230" s="507" t="s">
        <v>99</v>
      </c>
      <c r="W230" s="497"/>
      <c r="X230" s="1495" t="s">
        <v>551</v>
      </c>
      <c r="Y230" s="1494"/>
      <c r="Z230" s="1494"/>
      <c r="AA230" s="1494"/>
      <c r="AB230" s="507" t="s">
        <v>103</v>
      </c>
      <c r="AC230" s="497"/>
      <c r="AD230" s="1495" t="e">
        <f>INT(N230/200)</f>
        <v>#REF!</v>
      </c>
      <c r="AE230" s="1494"/>
      <c r="AF230" s="1494"/>
      <c r="AG230" s="1494"/>
      <c r="AH230" s="1494"/>
      <c r="AI230" s="1494"/>
      <c r="AJ230" s="1494"/>
      <c r="AK230" s="492"/>
      <c r="AL230" s="492"/>
      <c r="AM230" s="492"/>
      <c r="AN230" s="492"/>
      <c r="AO230" s="492"/>
      <c r="AP230" s="492"/>
      <c r="AQ230" s="492"/>
      <c r="AR230" s="492"/>
      <c r="AS230" s="492"/>
      <c r="AT230" s="492"/>
      <c r="AU230" s="492"/>
      <c r="AV230" s="492"/>
      <c r="AW230" s="492"/>
      <c r="AX230" s="492"/>
      <c r="AY230" s="492"/>
      <c r="AZ230" s="492"/>
      <c r="BA230" s="492"/>
      <c r="BB230" s="492"/>
      <c r="BC230" s="492"/>
      <c r="BD230" s="492"/>
      <c r="BE230" s="492"/>
      <c r="BF230" s="492"/>
      <c r="BG230" s="492"/>
      <c r="BH230" s="492"/>
      <c r="BI230" s="492"/>
      <c r="BJ230" s="492"/>
      <c r="BK230" s="492"/>
      <c r="BL230" s="492"/>
      <c r="BM230" s="492"/>
      <c r="BN230" s="492"/>
      <c r="BO230" s="492"/>
      <c r="BP230" s="492"/>
      <c r="BQ230" s="499" t="e">
        <f>SUM(BR230:BT230)</f>
        <v>#REF!</v>
      </c>
      <c r="BR230" s="499"/>
      <c r="BS230" s="499" t="e">
        <f>AD230</f>
        <v>#REF!</v>
      </c>
      <c r="BT230" s="499"/>
      <c r="BW230" s="241"/>
    </row>
    <row r="231" spans="1:75" ht="9" customHeight="1">
      <c r="A231" s="490"/>
      <c r="B231" s="492"/>
      <c r="C231" s="492" t="s">
        <v>67</v>
      </c>
      <c r="D231" s="492"/>
      <c r="E231" s="492"/>
      <c r="F231" s="492"/>
      <c r="G231" s="497"/>
      <c r="H231" s="497"/>
      <c r="I231" s="497"/>
      <c r="J231" s="497"/>
      <c r="K231" s="492"/>
      <c r="L231" s="492"/>
      <c r="M231" s="492"/>
      <c r="N231" s="1493">
        <f>'기계경비(OLD)'!$BU$390</f>
        <v>59025</v>
      </c>
      <c r="O231" s="1494"/>
      <c r="P231" s="1494"/>
      <c r="Q231" s="1494"/>
      <c r="R231" s="1494"/>
      <c r="S231" s="1494"/>
      <c r="T231" s="1494"/>
      <c r="U231" s="1494"/>
      <c r="V231" s="507" t="s">
        <v>99</v>
      </c>
      <c r="W231" s="497"/>
      <c r="X231" s="1495" t="s">
        <v>551</v>
      </c>
      <c r="Y231" s="1494"/>
      <c r="Z231" s="1494"/>
      <c r="AA231" s="1494"/>
      <c r="AB231" s="507" t="s">
        <v>103</v>
      </c>
      <c r="AC231" s="497"/>
      <c r="AD231" s="1495">
        <f>INT(N231/200)</f>
        <v>295</v>
      </c>
      <c r="AE231" s="1494"/>
      <c r="AF231" s="1494"/>
      <c r="AG231" s="1494"/>
      <c r="AH231" s="1494"/>
      <c r="AI231" s="1494"/>
      <c r="AJ231" s="1494"/>
      <c r="AK231" s="492"/>
      <c r="AL231" s="492"/>
      <c r="AM231" s="492"/>
      <c r="AN231" s="492"/>
      <c r="AO231" s="492"/>
      <c r="AP231" s="492"/>
      <c r="AQ231" s="492"/>
      <c r="AR231" s="492"/>
      <c r="AS231" s="492"/>
      <c r="AT231" s="492"/>
      <c r="AU231" s="492"/>
      <c r="AV231" s="492"/>
      <c r="AW231" s="492"/>
      <c r="AX231" s="492"/>
      <c r="AY231" s="492"/>
      <c r="AZ231" s="492"/>
      <c r="BA231" s="492"/>
      <c r="BB231" s="492"/>
      <c r="BC231" s="492"/>
      <c r="BD231" s="492"/>
      <c r="BE231" s="492"/>
      <c r="BF231" s="492"/>
      <c r="BG231" s="492"/>
      <c r="BH231" s="492"/>
      <c r="BI231" s="492"/>
      <c r="BJ231" s="492"/>
      <c r="BK231" s="492"/>
      <c r="BL231" s="492"/>
      <c r="BM231" s="492"/>
      <c r="BN231" s="492"/>
      <c r="BO231" s="492"/>
      <c r="BP231" s="492"/>
      <c r="BQ231" s="499">
        <f>SUM(BR231:BT231)</f>
        <v>295</v>
      </c>
      <c r="BR231" s="499">
        <f>AD231</f>
        <v>295</v>
      </c>
      <c r="BS231" s="499"/>
      <c r="BT231" s="499"/>
      <c r="BW231" s="241"/>
    </row>
    <row r="232" spans="1:75" ht="9" customHeight="1">
      <c r="A232" s="490"/>
      <c r="B232" s="492"/>
      <c r="C232" s="492" t="s">
        <v>68</v>
      </c>
      <c r="D232" s="492"/>
      <c r="E232" s="492"/>
      <c r="F232" s="492"/>
      <c r="G232" s="492"/>
      <c r="H232" s="492"/>
      <c r="I232" s="492"/>
      <c r="J232" s="492"/>
      <c r="K232" s="492"/>
      <c r="L232" s="492"/>
      <c r="M232" s="492"/>
      <c r="N232" s="1493">
        <f>'기계경비(OLD)'!$BN$400</f>
        <v>8709</v>
      </c>
      <c r="O232" s="1494"/>
      <c r="P232" s="1494"/>
      <c r="Q232" s="1494"/>
      <c r="R232" s="1494"/>
      <c r="S232" s="1494"/>
      <c r="T232" s="1494"/>
      <c r="U232" s="1494"/>
      <c r="V232" s="507" t="s">
        <v>99</v>
      </c>
      <c r="W232" s="497"/>
      <c r="X232" s="1495" t="s">
        <v>551</v>
      </c>
      <c r="Y232" s="1494"/>
      <c r="Z232" s="1494"/>
      <c r="AA232" s="1494"/>
      <c r="AB232" s="507" t="s">
        <v>103</v>
      </c>
      <c r="AC232" s="497"/>
      <c r="AD232" s="1495">
        <f>INT(N232/200)</f>
        <v>43</v>
      </c>
      <c r="AE232" s="1494"/>
      <c r="AF232" s="1494"/>
      <c r="AG232" s="1494"/>
      <c r="AH232" s="1494"/>
      <c r="AI232" s="1494"/>
      <c r="AJ232" s="1494"/>
      <c r="AK232" s="492"/>
      <c r="AL232" s="492"/>
      <c r="AM232" s="492"/>
      <c r="AN232" s="492"/>
      <c r="AO232" s="492"/>
      <c r="AP232" s="492"/>
      <c r="AQ232" s="492"/>
      <c r="AR232" s="492"/>
      <c r="AS232" s="492"/>
      <c r="AT232" s="492"/>
      <c r="AU232" s="492"/>
      <c r="AV232" s="492"/>
      <c r="AW232" s="492"/>
      <c r="AX232" s="492"/>
      <c r="AY232" s="492"/>
      <c r="AZ232" s="492"/>
      <c r="BA232" s="492"/>
      <c r="BB232" s="492"/>
      <c r="BC232" s="492"/>
      <c r="BD232" s="492"/>
      <c r="BE232" s="492"/>
      <c r="BF232" s="492"/>
      <c r="BG232" s="492"/>
      <c r="BH232" s="492"/>
      <c r="BI232" s="492"/>
      <c r="BJ232" s="492"/>
      <c r="BK232" s="492"/>
      <c r="BL232" s="492"/>
      <c r="BM232" s="492"/>
      <c r="BN232" s="492"/>
      <c r="BO232" s="492"/>
      <c r="BP232" s="492"/>
      <c r="BQ232" s="499">
        <f>SUM(BR232:BT232)</f>
        <v>43</v>
      </c>
      <c r="BR232" s="499"/>
      <c r="BS232" s="499"/>
      <c r="BT232" s="499">
        <f>AD232</f>
        <v>43</v>
      </c>
    </row>
    <row r="233" spans="1:75" ht="9" customHeight="1">
      <c r="A233" s="490"/>
      <c r="B233" s="492"/>
      <c r="C233" s="492" t="s">
        <v>63</v>
      </c>
      <c r="D233" s="492"/>
      <c r="E233" s="492"/>
      <c r="F233" s="492"/>
      <c r="G233" s="492"/>
      <c r="H233" s="492"/>
      <c r="I233" s="492"/>
      <c r="J233" s="492"/>
      <c r="K233" s="492"/>
      <c r="L233" s="502"/>
      <c r="M233" s="492"/>
      <c r="N233" s="492"/>
      <c r="O233" s="492"/>
      <c r="P233" s="492"/>
      <c r="Q233" s="492"/>
      <c r="R233" s="492"/>
      <c r="S233" s="492"/>
      <c r="T233" s="496"/>
      <c r="U233" s="492"/>
      <c r="V233" s="492"/>
      <c r="W233" s="492"/>
      <c r="X233" s="492"/>
      <c r="Y233" s="492"/>
      <c r="Z233" s="492"/>
      <c r="AA233" s="492"/>
      <c r="AB233" s="492"/>
      <c r="AC233" s="492"/>
      <c r="AD233" s="492"/>
      <c r="AE233" s="492"/>
      <c r="AF233" s="492"/>
      <c r="AG233" s="492"/>
      <c r="AH233" s="492"/>
      <c r="AI233" s="496"/>
      <c r="AJ233" s="492"/>
      <c r="AK233" s="492"/>
      <c r="AL233" s="492"/>
      <c r="AM233" s="492"/>
      <c r="AN233" s="492"/>
      <c r="AO233" s="492"/>
      <c r="AP233" s="492"/>
      <c r="AQ233" s="492"/>
      <c r="AR233" s="492"/>
      <c r="AS233" s="492"/>
      <c r="AT233" s="492"/>
      <c r="AU233" s="492"/>
      <c r="AV233" s="492"/>
      <c r="AW233" s="492"/>
      <c r="AX233" s="492"/>
      <c r="AY233" s="492"/>
      <c r="AZ233" s="492"/>
      <c r="BA233" s="492"/>
      <c r="BB233" s="492"/>
      <c r="BC233" s="492"/>
      <c r="BD233" s="492"/>
      <c r="BE233" s="492"/>
      <c r="BF233" s="492"/>
      <c r="BG233" s="492"/>
      <c r="BH233" s="492"/>
      <c r="BI233" s="492"/>
      <c r="BJ233" s="492"/>
      <c r="BK233" s="492"/>
      <c r="BL233" s="492"/>
      <c r="BM233" s="492"/>
      <c r="BN233" s="492"/>
      <c r="BO233" s="492"/>
      <c r="BP233" s="492"/>
      <c r="BQ233" s="503" t="e">
        <f>SUM(BR233:BT233)</f>
        <v>#REF!</v>
      </c>
      <c r="BR233" s="503">
        <f>SUM(BR230:BR232)</f>
        <v>295</v>
      </c>
      <c r="BS233" s="503" t="e">
        <f>SUM(BS230:BS232)</f>
        <v>#REF!</v>
      </c>
      <c r="BT233" s="503">
        <f>SUM(BT230:BT232)</f>
        <v>43</v>
      </c>
    </row>
    <row r="234" spans="1:75" ht="9" customHeight="1">
      <c r="A234" s="490"/>
      <c r="B234" s="492" t="s">
        <v>553</v>
      </c>
      <c r="C234" s="492"/>
      <c r="D234" s="492"/>
      <c r="E234" s="492"/>
      <c r="F234" s="492"/>
      <c r="G234" s="492"/>
      <c r="H234" s="492"/>
      <c r="I234" s="492"/>
      <c r="J234" s="492"/>
      <c r="K234" s="492"/>
      <c r="L234" s="502"/>
      <c r="M234" s="492"/>
      <c r="N234" s="492"/>
      <c r="O234" s="492"/>
      <c r="P234" s="492"/>
      <c r="Q234" s="492"/>
      <c r="R234" s="492"/>
      <c r="S234" s="492"/>
      <c r="T234" s="496"/>
      <c r="U234" s="492"/>
      <c r="V234" s="492"/>
      <c r="W234" s="492"/>
      <c r="X234" s="492"/>
      <c r="Y234" s="492"/>
      <c r="Z234" s="492"/>
      <c r="AA234" s="492"/>
      <c r="AB234" s="492"/>
      <c r="AC234" s="492"/>
      <c r="AD234" s="492"/>
      <c r="AE234" s="492"/>
      <c r="AF234" s="492"/>
      <c r="AG234" s="492"/>
      <c r="AH234" s="492"/>
      <c r="AI234" s="492"/>
      <c r="AJ234" s="492"/>
      <c r="AK234" s="492"/>
      <c r="AL234" s="492"/>
      <c r="AM234" s="492"/>
      <c r="AN234" s="492"/>
      <c r="AO234" s="492"/>
      <c r="AP234" s="492"/>
      <c r="AQ234" s="492"/>
      <c r="AR234" s="492"/>
      <c r="AS234" s="492"/>
      <c r="AT234" s="492"/>
      <c r="AU234" s="492"/>
      <c r="AV234" s="492"/>
      <c r="AW234" s="492"/>
      <c r="AX234" s="492"/>
      <c r="AY234" s="492"/>
      <c r="AZ234" s="492"/>
      <c r="BA234" s="492"/>
      <c r="BB234" s="492"/>
      <c r="BC234" s="492"/>
      <c r="BD234" s="492"/>
      <c r="BE234" s="492"/>
      <c r="BF234" s="492"/>
      <c r="BG234" s="492"/>
      <c r="BH234" s="492"/>
      <c r="BI234" s="492"/>
      <c r="BJ234" s="492"/>
      <c r="BK234" s="492"/>
      <c r="BL234" s="492"/>
      <c r="BM234" s="492"/>
      <c r="BN234" s="492"/>
      <c r="BO234" s="492"/>
      <c r="BP234" s="492"/>
      <c r="BQ234" s="499"/>
      <c r="BR234" s="499"/>
      <c r="BS234" s="499"/>
      <c r="BT234" s="499"/>
    </row>
    <row r="235" spans="1:75" ht="9" customHeight="1">
      <c r="A235" s="490"/>
      <c r="B235" s="492"/>
      <c r="C235" s="492" t="s">
        <v>554</v>
      </c>
      <c r="D235" s="492"/>
      <c r="E235" s="492"/>
      <c r="F235" s="492"/>
      <c r="G235" s="492"/>
      <c r="H235" s="492"/>
      <c r="I235" s="492"/>
      <c r="J235" s="492"/>
      <c r="K235" s="492"/>
      <c r="L235" s="502"/>
      <c r="M235" s="1509" t="s">
        <v>671</v>
      </c>
      <c r="N235" s="1510"/>
      <c r="O235" s="1510"/>
      <c r="P235" s="1510"/>
      <c r="Q235" s="1510"/>
      <c r="R235" s="1510"/>
      <c r="S235" s="1510"/>
      <c r="T235" s="1510"/>
      <c r="U235" s="1510"/>
      <c r="V235" s="1510"/>
      <c r="W235" s="1510"/>
      <c r="X235" s="1510"/>
      <c r="Y235" s="1510"/>
      <c r="Z235" s="492"/>
      <c r="AA235" s="492"/>
      <c r="AB235" s="492"/>
      <c r="AC235" s="492"/>
      <c r="AD235" s="492"/>
      <c r="AE235" s="492"/>
      <c r="AF235" s="492"/>
      <c r="AG235" s="492"/>
      <c r="AH235" s="492"/>
      <c r="AI235" s="492"/>
      <c r="AJ235" s="492"/>
      <c r="AK235" s="492"/>
      <c r="AL235" s="492"/>
      <c r="AM235" s="492"/>
      <c r="AN235" s="492"/>
      <c r="AO235" s="492"/>
      <c r="AP235" s="492"/>
      <c r="AQ235" s="492"/>
      <c r="AR235" s="492"/>
      <c r="AS235" s="492"/>
      <c r="AT235" s="492"/>
      <c r="AU235" s="492"/>
      <c r="AV235" s="492"/>
      <c r="AW235" s="492"/>
      <c r="AX235" s="492"/>
      <c r="AY235" s="492"/>
      <c r="AZ235" s="492"/>
      <c r="BA235" s="492"/>
      <c r="BB235" s="492"/>
      <c r="BC235" s="492"/>
      <c r="BD235" s="492"/>
      <c r="BE235" s="492"/>
      <c r="BF235" s="492"/>
      <c r="BG235" s="492"/>
      <c r="BH235" s="492"/>
      <c r="BI235" s="492"/>
      <c r="BJ235" s="492"/>
      <c r="BK235" s="492"/>
      <c r="BL235" s="492"/>
      <c r="BM235" s="492"/>
      <c r="BN235" s="492"/>
      <c r="BO235" s="492"/>
      <c r="BP235" s="492"/>
      <c r="BQ235" s="499"/>
      <c r="BR235" s="499"/>
      <c r="BS235" s="499"/>
      <c r="BT235" s="499"/>
    </row>
    <row r="236" spans="1:75" ht="9" customHeight="1">
      <c r="A236" s="490"/>
      <c r="B236" s="492"/>
      <c r="C236" s="1497" t="s">
        <v>549</v>
      </c>
      <c r="D236" s="1498"/>
      <c r="E236" s="1498"/>
      <c r="F236" s="1498"/>
      <c r="G236" s="1498"/>
      <c r="H236" s="1498"/>
      <c r="I236" s="1498"/>
      <c r="J236" s="1498"/>
      <c r="K236" s="1498"/>
      <c r="L236" s="1498"/>
      <c r="M236" s="1498"/>
      <c r="N236" s="1498"/>
      <c r="O236" s="1498"/>
      <c r="P236" s="1498"/>
      <c r="Q236" s="1498"/>
      <c r="R236" s="1498"/>
      <c r="S236" s="1498"/>
      <c r="T236" s="1498"/>
      <c r="U236" s="1498"/>
      <c r="V236" s="1498"/>
      <c r="W236" s="1498"/>
      <c r="X236" s="1498"/>
      <c r="Y236" s="1498"/>
      <c r="Z236" s="1498"/>
      <c r="AA236" s="1498"/>
      <c r="AB236" s="1498"/>
      <c r="AC236" s="1498"/>
      <c r="AD236" s="1498"/>
      <c r="AE236" s="1498"/>
      <c r="AF236" s="1498"/>
      <c r="AG236" s="1498"/>
      <c r="AH236" s="1498"/>
      <c r="AI236" s="1498"/>
      <c r="AJ236" s="1498"/>
      <c r="AK236" s="1498"/>
      <c r="AL236" s="1498"/>
      <c r="AM236" s="1498"/>
      <c r="AN236" s="1498"/>
      <c r="AO236" s="1498"/>
      <c r="AP236" s="498"/>
      <c r="AQ236" s="498"/>
      <c r="AR236" s="498"/>
      <c r="AS236" s="492"/>
      <c r="AT236" s="492"/>
      <c r="AU236" s="492"/>
      <c r="AV236" s="492"/>
      <c r="AW236" s="492"/>
      <c r="AX236" s="492"/>
      <c r="AY236" s="492"/>
      <c r="AZ236" s="492"/>
      <c r="BA236" s="492"/>
      <c r="BB236" s="492"/>
      <c r="BC236" s="492"/>
      <c r="BD236" s="492"/>
      <c r="BE236" s="492"/>
      <c r="BF236" s="492"/>
      <c r="BG236" s="492"/>
      <c r="BH236" s="492"/>
      <c r="BI236" s="492"/>
      <c r="BJ236" s="492"/>
      <c r="BK236" s="492"/>
      <c r="BL236" s="492"/>
      <c r="BM236" s="492"/>
      <c r="BN236" s="492"/>
      <c r="BO236" s="492"/>
      <c r="BP236" s="492"/>
      <c r="BQ236" s="499"/>
      <c r="BR236" s="499"/>
      <c r="BS236" s="499"/>
      <c r="BT236" s="499"/>
    </row>
    <row r="237" spans="1:75" ht="9" customHeight="1">
      <c r="A237" s="490"/>
      <c r="B237" s="492"/>
      <c r="C237" s="1497" t="s">
        <v>550</v>
      </c>
      <c r="D237" s="1498"/>
      <c r="E237" s="1498"/>
      <c r="F237" s="1498"/>
      <c r="G237" s="1498"/>
      <c r="H237" s="1498"/>
      <c r="I237" s="1498"/>
      <c r="J237" s="1498"/>
      <c r="K237" s="1498"/>
      <c r="L237" s="1498"/>
      <c r="M237" s="1498"/>
      <c r="N237" s="1498"/>
      <c r="O237" s="1498"/>
      <c r="P237" s="1498"/>
      <c r="Q237" s="1498"/>
      <c r="R237" s="1498"/>
      <c r="S237" s="1498"/>
      <c r="T237" s="1498"/>
      <c r="U237" s="1498"/>
      <c r="V237" s="1498"/>
      <c r="W237" s="1498"/>
      <c r="X237" s="1498"/>
      <c r="Y237" s="1498"/>
      <c r="Z237" s="1498"/>
      <c r="AA237" s="1498"/>
      <c r="AB237" s="1498"/>
      <c r="AC237" s="1498"/>
      <c r="AD237" s="1498"/>
      <c r="AE237" s="1498"/>
      <c r="AF237" s="1498"/>
      <c r="AG237" s="1498"/>
      <c r="AH237" s="1498"/>
      <c r="AI237" s="1498"/>
      <c r="AJ237" s="1498"/>
      <c r="AK237" s="1498"/>
      <c r="AL237" s="1498"/>
      <c r="AM237" s="1498"/>
      <c r="AN237" s="1498"/>
      <c r="AO237" s="1498"/>
      <c r="AP237" s="498"/>
      <c r="AQ237" s="498"/>
      <c r="AR237" s="498"/>
      <c r="AS237" s="492"/>
      <c r="AT237" s="492"/>
      <c r="AU237" s="492"/>
      <c r="AV237" s="492"/>
      <c r="AW237" s="492"/>
      <c r="AX237" s="492"/>
      <c r="AY237" s="492"/>
      <c r="AZ237" s="492"/>
      <c r="BA237" s="492"/>
      <c r="BB237" s="492"/>
      <c r="BC237" s="492"/>
      <c r="BD237" s="492"/>
      <c r="BE237" s="492"/>
      <c r="BF237" s="492"/>
      <c r="BG237" s="492"/>
      <c r="BH237" s="492"/>
      <c r="BI237" s="492"/>
      <c r="BJ237" s="492"/>
      <c r="BK237" s="492"/>
      <c r="BL237" s="492"/>
      <c r="BM237" s="492"/>
      <c r="BN237" s="492"/>
      <c r="BO237" s="492"/>
      <c r="BP237" s="492"/>
      <c r="BQ237" s="499"/>
      <c r="BR237" s="499"/>
      <c r="BS237" s="499"/>
      <c r="BT237" s="499"/>
    </row>
    <row r="238" spans="1:75" ht="9" customHeight="1">
      <c r="A238" s="490"/>
      <c r="B238" s="492"/>
      <c r="C238" s="492"/>
      <c r="D238" s="492"/>
      <c r="E238" s="492" t="s">
        <v>66</v>
      </c>
      <c r="F238" s="492"/>
      <c r="G238" s="492"/>
      <c r="H238" s="492"/>
      <c r="I238" s="492"/>
      <c r="J238" s="492"/>
      <c r="K238" s="492"/>
      <c r="L238" s="502"/>
      <c r="M238" s="492"/>
      <c r="N238" s="492"/>
      <c r="O238" s="492"/>
      <c r="P238" s="1505" t="e">
        <f>'기계경비(OLD)'!$AT$124</f>
        <v>#REF!</v>
      </c>
      <c r="Q238" s="1506"/>
      <c r="R238" s="1506"/>
      <c r="S238" s="1506"/>
      <c r="T238" s="1506"/>
      <c r="U238" s="1506"/>
      <c r="V238" s="507" t="s">
        <v>99</v>
      </c>
      <c r="W238" s="497"/>
      <c r="X238" s="1495" t="s">
        <v>551</v>
      </c>
      <c r="Y238" s="1494"/>
      <c r="Z238" s="1494"/>
      <c r="AA238" s="1494"/>
      <c r="AB238" s="507" t="s">
        <v>103</v>
      </c>
      <c r="AC238" s="497"/>
      <c r="AD238" s="1495" t="e">
        <f>INT((P238/200)*0.5)</f>
        <v>#REF!</v>
      </c>
      <c r="AE238" s="1494"/>
      <c r="AF238" s="1494"/>
      <c r="AG238" s="1494"/>
      <c r="AH238" s="1494"/>
      <c r="AI238" s="1494"/>
      <c r="AJ238" s="1494"/>
      <c r="AK238" s="1496" t="s">
        <v>559</v>
      </c>
      <c r="AL238" s="1496"/>
      <c r="AM238" s="1496"/>
      <c r="AN238" s="1496"/>
      <c r="AO238" s="1496"/>
      <c r="AP238" s="1496"/>
      <c r="AQ238" s="1496"/>
      <c r="AR238" s="1496"/>
      <c r="AS238" s="1496"/>
      <c r="AT238" s="1496"/>
      <c r="AU238" s="1496"/>
      <c r="AV238" s="1498"/>
      <c r="AW238" s="1498"/>
      <c r="AX238" s="1498"/>
      <c r="AY238" s="1498"/>
      <c r="AZ238" s="1498"/>
      <c r="BA238" s="1498"/>
      <c r="BB238" s="1498"/>
      <c r="BC238" s="492"/>
      <c r="BD238" s="492"/>
      <c r="BE238" s="492"/>
      <c r="BF238" s="492"/>
      <c r="BG238" s="492"/>
      <c r="BH238" s="492"/>
      <c r="BI238" s="492"/>
      <c r="BJ238" s="492"/>
      <c r="BK238" s="492"/>
      <c r="BL238" s="492"/>
      <c r="BM238" s="492"/>
      <c r="BN238" s="492"/>
      <c r="BO238" s="492"/>
      <c r="BP238" s="492"/>
      <c r="BQ238" s="499" t="e">
        <f>SUM(BR238:BT238)</f>
        <v>#REF!</v>
      </c>
      <c r="BR238" s="493"/>
      <c r="BS238" s="493" t="e">
        <f>INT(AD238)</f>
        <v>#REF!</v>
      </c>
      <c r="BT238" s="493"/>
    </row>
    <row r="239" spans="1:75" ht="9" customHeight="1">
      <c r="A239" s="490"/>
      <c r="B239" s="492"/>
      <c r="C239" s="492"/>
      <c r="D239" s="492"/>
      <c r="E239" s="492" t="s">
        <v>67</v>
      </c>
      <c r="F239" s="492"/>
      <c r="G239" s="492"/>
      <c r="H239" s="492"/>
      <c r="I239" s="492"/>
      <c r="J239" s="492"/>
      <c r="K239" s="492"/>
      <c r="L239" s="502"/>
      <c r="M239" s="492"/>
      <c r="N239" s="492"/>
      <c r="O239" s="492"/>
      <c r="P239" s="1505">
        <f>'기계경비(OLD)'!$BU$119</f>
        <v>50008</v>
      </c>
      <c r="Q239" s="1506"/>
      <c r="R239" s="1506"/>
      <c r="S239" s="1506"/>
      <c r="T239" s="1506"/>
      <c r="U239" s="1506"/>
      <c r="V239" s="507" t="s">
        <v>99</v>
      </c>
      <c r="W239" s="497"/>
      <c r="X239" s="1495" t="s">
        <v>551</v>
      </c>
      <c r="Y239" s="1494"/>
      <c r="Z239" s="1494"/>
      <c r="AA239" s="1494"/>
      <c r="AB239" s="507" t="s">
        <v>103</v>
      </c>
      <c r="AC239" s="497"/>
      <c r="AD239" s="1495">
        <f>INT((P239/200)*0.5)</f>
        <v>125</v>
      </c>
      <c r="AE239" s="1494"/>
      <c r="AF239" s="1494"/>
      <c r="AG239" s="1494"/>
      <c r="AH239" s="1494"/>
      <c r="AI239" s="1494"/>
      <c r="AJ239" s="1494"/>
      <c r="AK239" s="1496" t="s">
        <v>559</v>
      </c>
      <c r="AL239" s="1496"/>
      <c r="AM239" s="1496"/>
      <c r="AN239" s="1496"/>
      <c r="AO239" s="1496"/>
      <c r="AP239" s="1496"/>
      <c r="AQ239" s="1496"/>
      <c r="AR239" s="1496"/>
      <c r="AS239" s="1496"/>
      <c r="AT239" s="1496"/>
      <c r="AU239" s="1496"/>
      <c r="AV239" s="1498"/>
      <c r="AW239" s="1498"/>
      <c r="AX239" s="1498"/>
      <c r="AY239" s="1498"/>
      <c r="AZ239" s="1498"/>
      <c r="BA239" s="1498"/>
      <c r="BB239" s="1498"/>
      <c r="BC239" s="492"/>
      <c r="BD239" s="492"/>
      <c r="BE239" s="492"/>
      <c r="BF239" s="492"/>
      <c r="BG239" s="492"/>
      <c r="BH239" s="492"/>
      <c r="BI239" s="492"/>
      <c r="BJ239" s="492"/>
      <c r="BK239" s="492"/>
      <c r="BL239" s="492"/>
      <c r="BM239" s="492"/>
      <c r="BN239" s="492"/>
      <c r="BO239" s="492"/>
      <c r="BP239" s="492"/>
      <c r="BQ239" s="499">
        <f>SUM(BR239:BT239)</f>
        <v>125</v>
      </c>
      <c r="BR239" s="493">
        <f>AD239</f>
        <v>125</v>
      </c>
      <c r="BS239" s="493"/>
      <c r="BT239" s="493"/>
    </row>
    <row r="240" spans="1:75" ht="9" customHeight="1">
      <c r="A240" s="490"/>
      <c r="B240" s="492"/>
      <c r="C240" s="492"/>
      <c r="D240" s="492"/>
      <c r="E240" s="492" t="s">
        <v>68</v>
      </c>
      <c r="F240" s="492"/>
      <c r="G240" s="492"/>
      <c r="H240" s="492"/>
      <c r="I240" s="492"/>
      <c r="J240" s="492"/>
      <c r="K240" s="492"/>
      <c r="L240" s="502"/>
      <c r="M240" s="492"/>
      <c r="N240" s="492"/>
      <c r="O240" s="492"/>
      <c r="P240" s="1505">
        <f>'기계경비(OLD)'!$BN$128</f>
        <v>9765</v>
      </c>
      <c r="Q240" s="1506"/>
      <c r="R240" s="1506"/>
      <c r="S240" s="1506"/>
      <c r="T240" s="1506"/>
      <c r="U240" s="1506"/>
      <c r="V240" s="507" t="s">
        <v>99</v>
      </c>
      <c r="W240" s="497"/>
      <c r="X240" s="1495" t="s">
        <v>551</v>
      </c>
      <c r="Y240" s="1494"/>
      <c r="Z240" s="1494"/>
      <c r="AA240" s="1494"/>
      <c r="AB240" s="507" t="s">
        <v>103</v>
      </c>
      <c r="AC240" s="497"/>
      <c r="AD240" s="1495">
        <f>INT((P240/200)*0.5)</f>
        <v>24</v>
      </c>
      <c r="AE240" s="1494"/>
      <c r="AF240" s="1494"/>
      <c r="AG240" s="1494"/>
      <c r="AH240" s="1494"/>
      <c r="AI240" s="1494"/>
      <c r="AJ240" s="1494"/>
      <c r="AK240" s="1496" t="s">
        <v>559</v>
      </c>
      <c r="AL240" s="1496"/>
      <c r="AM240" s="1496"/>
      <c r="AN240" s="1496"/>
      <c r="AO240" s="1496"/>
      <c r="AP240" s="1496"/>
      <c r="AQ240" s="1496"/>
      <c r="AR240" s="1496"/>
      <c r="AS240" s="1496"/>
      <c r="AT240" s="1496"/>
      <c r="AU240" s="1496"/>
      <c r="AV240" s="1498"/>
      <c r="AW240" s="1498"/>
      <c r="AX240" s="1498"/>
      <c r="AY240" s="1498"/>
      <c r="AZ240" s="1498"/>
      <c r="BA240" s="1498"/>
      <c r="BB240" s="1498"/>
      <c r="BC240" s="492"/>
      <c r="BD240" s="492"/>
      <c r="BE240" s="492"/>
      <c r="BF240" s="492"/>
      <c r="BG240" s="492"/>
      <c r="BH240" s="492"/>
      <c r="BI240" s="492"/>
      <c r="BJ240" s="492"/>
      <c r="BK240" s="492"/>
      <c r="BL240" s="492"/>
      <c r="BM240" s="492"/>
      <c r="BN240" s="492"/>
      <c r="BO240" s="492"/>
      <c r="BP240" s="492"/>
      <c r="BQ240" s="499">
        <f>SUM(BR240:BT240)</f>
        <v>24</v>
      </c>
      <c r="BR240" s="493"/>
      <c r="BS240" s="493"/>
      <c r="BT240" s="509">
        <f>AD240</f>
        <v>24</v>
      </c>
    </row>
    <row r="241" spans="1:76" ht="9" customHeight="1">
      <c r="A241" s="490"/>
      <c r="B241" s="492"/>
      <c r="C241" s="492" t="s">
        <v>63</v>
      </c>
      <c r="D241" s="492"/>
      <c r="E241" s="492"/>
      <c r="F241" s="492"/>
      <c r="G241" s="492"/>
      <c r="H241" s="492"/>
      <c r="I241" s="492"/>
      <c r="J241" s="492"/>
      <c r="K241" s="492"/>
      <c r="L241" s="502"/>
      <c r="M241" s="492"/>
      <c r="N241" s="492"/>
      <c r="O241" s="492"/>
      <c r="P241" s="492"/>
      <c r="Q241" s="492"/>
      <c r="R241" s="492"/>
      <c r="S241" s="492"/>
      <c r="T241" s="496"/>
      <c r="U241" s="492"/>
      <c r="V241" s="492"/>
      <c r="W241" s="492"/>
      <c r="X241" s="492"/>
      <c r="Y241" s="492"/>
      <c r="Z241" s="492"/>
      <c r="AA241" s="492"/>
      <c r="AB241" s="492"/>
      <c r="AC241" s="492"/>
      <c r="AD241" s="492"/>
      <c r="AE241" s="492"/>
      <c r="AF241" s="492"/>
      <c r="AG241" s="492"/>
      <c r="AH241" s="492"/>
      <c r="AI241" s="496"/>
      <c r="AJ241" s="492"/>
      <c r="AK241" s="492"/>
      <c r="AL241" s="492"/>
      <c r="AM241" s="492"/>
      <c r="AN241" s="492"/>
      <c r="AO241" s="492"/>
      <c r="AP241" s="492"/>
      <c r="AQ241" s="492"/>
      <c r="AR241" s="492"/>
      <c r="AS241" s="492"/>
      <c r="AT241" s="492"/>
      <c r="AU241" s="492"/>
      <c r="AV241" s="492"/>
      <c r="AW241" s="492"/>
      <c r="AX241" s="492"/>
      <c r="AY241" s="492"/>
      <c r="AZ241" s="492"/>
      <c r="BA241" s="492"/>
      <c r="BB241" s="492"/>
      <c r="BC241" s="492"/>
      <c r="BD241" s="492"/>
      <c r="BE241" s="492"/>
      <c r="BF241" s="492"/>
      <c r="BG241" s="492"/>
      <c r="BH241" s="492"/>
      <c r="BI241" s="492"/>
      <c r="BJ241" s="492"/>
      <c r="BK241" s="492"/>
      <c r="BL241" s="492"/>
      <c r="BM241" s="492"/>
      <c r="BN241" s="492"/>
      <c r="BO241" s="492"/>
      <c r="BP241" s="492"/>
      <c r="BQ241" s="503" t="e">
        <f>SUM(BR241:BT241)</f>
        <v>#REF!</v>
      </c>
      <c r="BR241" s="503">
        <f>SUM(BR234:BR240)</f>
        <v>125</v>
      </c>
      <c r="BS241" s="503" t="e">
        <f>SUM(BS234:BS240)</f>
        <v>#REF!</v>
      </c>
      <c r="BT241" s="503">
        <f>SUM(BT234:BT240)</f>
        <v>24</v>
      </c>
    </row>
    <row r="242" spans="1:76" ht="9" customHeight="1">
      <c r="A242" s="490"/>
      <c r="B242" s="492"/>
      <c r="C242" s="492"/>
      <c r="D242" s="492"/>
      <c r="E242" s="492"/>
      <c r="F242" s="492"/>
      <c r="G242" s="492"/>
      <c r="H242" s="492"/>
      <c r="I242" s="492"/>
      <c r="J242" s="492"/>
      <c r="K242" s="492"/>
      <c r="L242" s="502"/>
      <c r="M242" s="492"/>
      <c r="N242" s="492"/>
      <c r="O242" s="492"/>
      <c r="P242" s="492"/>
      <c r="Q242" s="492"/>
      <c r="R242" s="492"/>
      <c r="S242" s="492"/>
      <c r="T242" s="496"/>
      <c r="U242" s="492"/>
      <c r="V242" s="492"/>
      <c r="W242" s="492"/>
      <c r="X242" s="492"/>
      <c r="Y242" s="492"/>
      <c r="Z242" s="492"/>
      <c r="AA242" s="492"/>
      <c r="AB242" s="492"/>
      <c r="AC242" s="492"/>
      <c r="AD242" s="492"/>
      <c r="AE242" s="492"/>
      <c r="AF242" s="492"/>
      <c r="AG242" s="492"/>
      <c r="AH242" s="492"/>
      <c r="AI242" s="496"/>
      <c r="AJ242" s="492"/>
      <c r="AK242" s="492"/>
      <c r="AL242" s="492"/>
      <c r="AM242" s="492"/>
      <c r="AN242" s="492"/>
      <c r="AO242" s="492"/>
      <c r="AP242" s="492"/>
      <c r="AQ242" s="492"/>
      <c r="AR242" s="492"/>
      <c r="AS242" s="492"/>
      <c r="AT242" s="492"/>
      <c r="AU242" s="492"/>
      <c r="AV242" s="492"/>
      <c r="AW242" s="492"/>
      <c r="AX242" s="492"/>
      <c r="AY242" s="492"/>
      <c r="AZ242" s="492"/>
      <c r="BA242" s="492"/>
      <c r="BB242" s="492"/>
      <c r="BC242" s="492"/>
      <c r="BD242" s="492"/>
      <c r="BE242" s="492"/>
      <c r="BF242" s="492"/>
      <c r="BG242" s="492"/>
      <c r="BH242" s="492"/>
      <c r="BI242" s="492"/>
      <c r="BJ242" s="492"/>
      <c r="BK242" s="492"/>
      <c r="BL242" s="492"/>
      <c r="BM242" s="492"/>
      <c r="BN242" s="492"/>
      <c r="BO242" s="492"/>
      <c r="BP242" s="492"/>
      <c r="BQ242" s="499"/>
      <c r="BR242" s="499"/>
      <c r="BS242" s="499"/>
      <c r="BT242" s="499"/>
    </row>
    <row r="243" spans="1:76" ht="9" customHeight="1">
      <c r="A243" s="490"/>
      <c r="B243" s="492"/>
      <c r="C243" s="492"/>
      <c r="D243" s="492"/>
      <c r="E243" s="492"/>
      <c r="F243" s="492"/>
      <c r="G243" s="492"/>
      <c r="H243" s="492"/>
      <c r="I243" s="492"/>
      <c r="J243" s="492"/>
      <c r="K243" s="492"/>
      <c r="L243" s="502"/>
      <c r="M243" s="492"/>
      <c r="N243" s="492"/>
      <c r="O243" s="492"/>
      <c r="P243" s="492"/>
      <c r="Q243" s="492"/>
      <c r="R243" s="492"/>
      <c r="S243" s="492"/>
      <c r="T243" s="496"/>
      <c r="U243" s="492"/>
      <c r="V243" s="492"/>
      <c r="W243" s="492"/>
      <c r="X243" s="492"/>
      <c r="Y243" s="492"/>
      <c r="Z243" s="492"/>
      <c r="AA243" s="492"/>
      <c r="AB243" s="492"/>
      <c r="AC243" s="492"/>
      <c r="AD243" s="492"/>
      <c r="AE243" s="492"/>
      <c r="AF243" s="492"/>
      <c r="AG243" s="492"/>
      <c r="AH243" s="492"/>
      <c r="AI243" s="496"/>
      <c r="AJ243" s="492"/>
      <c r="AK243" s="492"/>
      <c r="AL243" s="492"/>
      <c r="AM243" s="492"/>
      <c r="AN243" s="492"/>
      <c r="AO243" s="492"/>
      <c r="AP243" s="492"/>
      <c r="AQ243" s="492"/>
      <c r="AR243" s="492"/>
      <c r="AS243" s="492"/>
      <c r="AT243" s="492"/>
      <c r="AU243" s="492"/>
      <c r="AV243" s="492"/>
      <c r="AW243" s="492"/>
      <c r="AX243" s="492"/>
      <c r="AY243" s="492"/>
      <c r="AZ243" s="492"/>
      <c r="BA243" s="492"/>
      <c r="BB243" s="492"/>
      <c r="BC243" s="492"/>
      <c r="BD243" s="492"/>
      <c r="BE243" s="492"/>
      <c r="BF243" s="492"/>
      <c r="BG243" s="492"/>
      <c r="BH243" s="492"/>
      <c r="BI243" s="492"/>
      <c r="BJ243" s="492"/>
      <c r="BK243" s="492"/>
      <c r="BL243" s="492"/>
      <c r="BM243" s="492"/>
      <c r="BN243" s="492"/>
      <c r="BO243" s="492"/>
      <c r="BP243" s="492"/>
      <c r="BQ243" s="499"/>
      <c r="BR243" s="499"/>
      <c r="BS243" s="499"/>
      <c r="BT243" s="499"/>
    </row>
    <row r="244" spans="1:76" ht="9" customHeight="1">
      <c r="A244" s="510"/>
      <c r="B244" s="511"/>
      <c r="C244" s="511" t="s">
        <v>69</v>
      </c>
      <c r="D244" s="511"/>
      <c r="E244" s="511"/>
      <c r="F244" s="511"/>
      <c r="G244" s="511"/>
      <c r="H244" s="511"/>
      <c r="I244" s="511"/>
      <c r="J244" s="511"/>
      <c r="K244" s="511"/>
      <c r="L244" s="512"/>
      <c r="M244" s="511"/>
      <c r="N244" s="511"/>
      <c r="O244" s="511"/>
      <c r="P244" s="511"/>
      <c r="Q244" s="511"/>
      <c r="R244" s="511"/>
      <c r="S244" s="511"/>
      <c r="T244" s="513"/>
      <c r="U244" s="511"/>
      <c r="V244" s="511"/>
      <c r="W244" s="511"/>
      <c r="X244" s="511"/>
      <c r="Y244" s="511"/>
      <c r="Z244" s="511"/>
      <c r="AA244" s="511"/>
      <c r="AB244" s="511"/>
      <c r="AC244" s="511"/>
      <c r="AD244" s="511"/>
      <c r="AE244" s="511"/>
      <c r="AF244" s="511"/>
      <c r="AG244" s="511"/>
      <c r="AH244" s="511"/>
      <c r="AI244" s="513"/>
      <c r="AJ244" s="511"/>
      <c r="AK244" s="511"/>
      <c r="AL244" s="511"/>
      <c r="AM244" s="511"/>
      <c r="AN244" s="511"/>
      <c r="AO244" s="511"/>
      <c r="AP244" s="511"/>
      <c r="AQ244" s="511"/>
      <c r="AR244" s="511"/>
      <c r="AS244" s="511"/>
      <c r="AT244" s="511"/>
      <c r="AU244" s="511"/>
      <c r="AV244" s="511"/>
      <c r="AW244" s="511"/>
      <c r="AX244" s="511"/>
      <c r="AY244" s="511"/>
      <c r="AZ244" s="511"/>
      <c r="BA244" s="511"/>
      <c r="BB244" s="511"/>
      <c r="BC244" s="511"/>
      <c r="BD244" s="511"/>
      <c r="BE244" s="511"/>
      <c r="BF244" s="511"/>
      <c r="BG244" s="511"/>
      <c r="BH244" s="511"/>
      <c r="BI244" s="511"/>
      <c r="BJ244" s="511"/>
      <c r="BK244" s="511"/>
      <c r="BL244" s="511"/>
      <c r="BM244" s="511"/>
      <c r="BN244" s="511"/>
      <c r="BO244" s="511"/>
      <c r="BP244" s="511"/>
      <c r="BQ244" s="514" t="e">
        <f>SUM(BR244:BT244)</f>
        <v>#REF!</v>
      </c>
      <c r="BR244" s="514">
        <f>BR207+BR211+BR219+BR226+BR241+BR233</f>
        <v>2222</v>
      </c>
      <c r="BS244" s="514" t="e">
        <f>BS207+BS211+BS219+BS226+BS241+BS233</f>
        <v>#REF!</v>
      </c>
      <c r="BT244" s="514">
        <f>BT207+BT211+BT219+BT226+BT241+BT233</f>
        <v>529</v>
      </c>
    </row>
    <row r="245" spans="1:76" ht="30.75" customHeight="1">
      <c r="A245" s="1499" t="s">
        <v>610</v>
      </c>
      <c r="B245" s="1500"/>
      <c r="C245" s="1500"/>
      <c r="D245" s="1500"/>
      <c r="E245" s="1500"/>
      <c r="F245" s="1500"/>
      <c r="G245" s="1500"/>
      <c r="H245" s="1500"/>
      <c r="I245" s="1500"/>
      <c r="J245" s="1500"/>
      <c r="K245" s="1500"/>
      <c r="L245" s="1500"/>
      <c r="M245" s="1500"/>
      <c r="N245" s="1500"/>
      <c r="O245" s="1500"/>
      <c r="P245" s="1500"/>
      <c r="Q245" s="1500"/>
      <c r="R245" s="1500"/>
      <c r="S245" s="1500"/>
      <c r="T245" s="1500"/>
      <c r="U245" s="1500"/>
      <c r="V245" s="1500"/>
      <c r="W245" s="1500"/>
      <c r="X245" s="1500"/>
      <c r="Y245" s="1500"/>
      <c r="Z245" s="1500"/>
      <c r="AA245" s="1500"/>
      <c r="AB245" s="1500"/>
      <c r="AC245" s="1500"/>
      <c r="AD245" s="1500"/>
      <c r="AE245" s="1500"/>
      <c r="AF245" s="1500"/>
      <c r="AG245" s="1500"/>
      <c r="AH245" s="1500"/>
      <c r="AI245" s="1500"/>
      <c r="AJ245" s="1500"/>
      <c r="AK245" s="1500"/>
      <c r="AL245" s="1500"/>
      <c r="AM245" s="1500"/>
      <c r="AN245" s="1500"/>
      <c r="AO245" s="1500"/>
      <c r="AP245" s="1500"/>
      <c r="AQ245" s="1500"/>
      <c r="AR245" s="1500"/>
      <c r="AS245" s="1500"/>
      <c r="AT245" s="1500"/>
      <c r="AU245" s="1500"/>
      <c r="AV245" s="1500"/>
      <c r="AW245" s="1500"/>
      <c r="AX245" s="1500"/>
      <c r="AY245" s="1500"/>
      <c r="AZ245" s="1500"/>
      <c r="BA245" s="1500"/>
      <c r="BB245" s="1500"/>
      <c r="BC245" s="1500"/>
      <c r="BD245" s="1500"/>
      <c r="BE245" s="1500"/>
      <c r="BF245" s="1500"/>
      <c r="BG245" s="1500"/>
      <c r="BH245" s="1500"/>
      <c r="BI245" s="1500"/>
      <c r="BJ245" s="1500"/>
      <c r="BK245" s="1500"/>
      <c r="BL245" s="1500"/>
      <c r="BM245" s="1500"/>
      <c r="BN245" s="1500"/>
      <c r="BO245" s="1500"/>
      <c r="BP245" s="1501"/>
      <c r="BQ245" s="452" t="s">
        <v>109</v>
      </c>
      <c r="BR245" s="452" t="s">
        <v>110</v>
      </c>
      <c r="BS245" s="452" t="s">
        <v>111</v>
      </c>
      <c r="BT245" s="452" t="s">
        <v>61</v>
      </c>
    </row>
    <row r="246" spans="1:76" ht="18" customHeight="1">
      <c r="A246" s="50"/>
      <c r="B246" s="528" t="s">
        <v>691</v>
      </c>
      <c r="C246" s="49"/>
      <c r="D246" s="49"/>
      <c r="E246" s="49"/>
      <c r="F246" s="49"/>
      <c r="G246" s="49"/>
      <c r="H246" s="49"/>
      <c r="I246" s="49"/>
      <c r="J246" s="49"/>
      <c r="K246" s="528"/>
      <c r="L246" s="49"/>
      <c r="M246" s="49"/>
      <c r="N246" s="49"/>
      <c r="O246" s="49"/>
      <c r="P246" s="51" t="s">
        <v>715</v>
      </c>
      <c r="Q246" s="49"/>
      <c r="R246" s="49"/>
      <c r="S246" s="49"/>
      <c r="T246" s="49"/>
      <c r="U246" s="49"/>
      <c r="V246" s="49"/>
      <c r="W246" s="49"/>
      <c r="X246" s="49"/>
      <c r="Y246" s="49"/>
      <c r="Z246" s="49"/>
      <c r="AA246" s="49"/>
      <c r="AB246" s="49"/>
      <c r="AC246" s="49"/>
      <c r="AD246" s="49"/>
      <c r="AE246" s="49"/>
      <c r="AF246" s="49"/>
      <c r="AG246" s="49"/>
      <c r="AH246" s="49"/>
      <c r="AI246" s="49"/>
      <c r="AJ246" s="49"/>
      <c r="AK246" s="49"/>
      <c r="AL246" s="49"/>
      <c r="AM246" s="49"/>
      <c r="AN246" s="49"/>
      <c r="AO246" s="49"/>
      <c r="AP246" s="49"/>
      <c r="AQ246" s="49"/>
      <c r="AR246" s="49"/>
      <c r="AS246" s="49"/>
      <c r="AT246" s="49"/>
      <c r="AU246" s="49"/>
      <c r="AV246" s="49"/>
      <c r="AW246" s="49"/>
      <c r="AX246" s="49"/>
      <c r="AY246" s="49"/>
      <c r="AZ246" s="49"/>
      <c r="BA246" s="49"/>
      <c r="BB246" s="49"/>
      <c r="BC246" s="49"/>
      <c r="BD246" s="49"/>
      <c r="BE246" s="49"/>
      <c r="BF246" s="49"/>
      <c r="BG246" s="49"/>
      <c r="BH246" s="49"/>
      <c r="BI246" s="49"/>
      <c r="BJ246" s="49"/>
      <c r="BK246" s="49"/>
      <c r="BL246" s="49"/>
      <c r="BM246" s="49"/>
      <c r="BN246" s="49"/>
      <c r="BO246" s="49"/>
      <c r="BP246" s="49"/>
      <c r="BQ246" s="529" t="e">
        <f>BQ261</f>
        <v>#REF!</v>
      </c>
      <c r="BR246" s="529">
        <f>BR261</f>
        <v>31</v>
      </c>
      <c r="BS246" s="529" t="e">
        <f>BS261</f>
        <v>#REF!</v>
      </c>
      <c r="BT246" s="529">
        <f>BT261</f>
        <v>6</v>
      </c>
      <c r="BV246" s="171" t="s">
        <v>113</v>
      </c>
      <c r="BW246" s="249">
        <f>VLOOKUP(BV246,인건비!A:B,2,FALSE)</f>
        <v>228717</v>
      </c>
    </row>
    <row r="247" spans="1:76" ht="9.9499999999999993" customHeight="1">
      <c r="A247" s="490"/>
      <c r="B247" s="492"/>
      <c r="C247" s="492"/>
      <c r="D247" s="492"/>
      <c r="E247" s="492"/>
      <c r="F247" s="492"/>
      <c r="G247" s="492"/>
      <c r="H247" s="492"/>
      <c r="I247" s="492"/>
      <c r="J247" s="492"/>
      <c r="K247" s="492"/>
      <c r="L247" s="492"/>
      <c r="M247" s="492"/>
      <c r="N247" s="492"/>
      <c r="O247" s="492"/>
      <c r="P247" s="492"/>
      <c r="Q247" s="492"/>
      <c r="R247" s="492"/>
      <c r="S247" s="492"/>
      <c r="T247" s="492"/>
      <c r="U247" s="492"/>
      <c r="V247" s="492"/>
      <c r="W247" s="492"/>
      <c r="X247" s="492"/>
      <c r="Y247" s="492"/>
      <c r="Z247" s="492"/>
      <c r="AA247" s="492"/>
      <c r="AB247" s="492"/>
      <c r="AC247" s="492"/>
      <c r="AD247" s="492"/>
      <c r="AE247" s="492"/>
      <c r="AF247" s="492"/>
      <c r="AG247" s="492"/>
      <c r="AH247" s="492"/>
      <c r="AI247" s="492"/>
      <c r="AJ247" s="492"/>
      <c r="AK247" s="492"/>
      <c r="AL247" s="492"/>
      <c r="AM247" s="492"/>
      <c r="AN247" s="492"/>
      <c r="AO247" s="492"/>
      <c r="AP247" s="492"/>
      <c r="AQ247" s="492"/>
      <c r="AR247" s="492"/>
      <c r="AS247" s="492"/>
      <c r="AT247" s="492"/>
      <c r="AU247" s="492"/>
      <c r="AV247" s="492"/>
      <c r="AW247" s="492"/>
      <c r="AX247" s="492"/>
      <c r="AY247" s="492"/>
      <c r="AZ247" s="492"/>
      <c r="BA247" s="492"/>
      <c r="BB247" s="492"/>
      <c r="BC247" s="492"/>
      <c r="BD247" s="492"/>
      <c r="BE247" s="492"/>
      <c r="BF247" s="492"/>
      <c r="BG247" s="492"/>
      <c r="BH247" s="492"/>
      <c r="BI247" s="492"/>
      <c r="BJ247" s="492"/>
      <c r="BK247" s="492"/>
      <c r="BL247" s="492"/>
      <c r="BM247" s="492"/>
      <c r="BN247" s="492"/>
      <c r="BO247" s="492"/>
      <c r="BP247" s="492"/>
      <c r="BQ247" s="499"/>
      <c r="BR247" s="499"/>
      <c r="BS247" s="499"/>
      <c r="BT247" s="499"/>
      <c r="BV247" s="171" t="s">
        <v>114</v>
      </c>
      <c r="BW247" s="249">
        <f>VLOOKUP(BV247,인건비!A:B,2,FALSE)</f>
        <v>172698</v>
      </c>
    </row>
    <row r="248" spans="1:76" ht="9.9499999999999993" customHeight="1">
      <c r="A248" s="490"/>
      <c r="B248" s="492" t="s">
        <v>153</v>
      </c>
      <c r="C248" s="492"/>
      <c r="D248" s="492"/>
      <c r="E248" s="492" t="s">
        <v>157</v>
      </c>
      <c r="F248" s="492"/>
      <c r="G248" s="492"/>
      <c r="H248" s="492"/>
      <c r="I248" s="492"/>
      <c r="J248" s="492"/>
      <c r="K248" s="492"/>
      <c r="L248" s="492"/>
      <c r="M248" s="492"/>
      <c r="N248" s="492"/>
      <c r="O248" s="492"/>
      <c r="P248" s="492"/>
      <c r="Q248" s="492"/>
      <c r="R248" s="492"/>
      <c r="S248" s="492"/>
      <c r="T248" s="492"/>
      <c r="U248" s="492"/>
      <c r="V248" s="492"/>
      <c r="W248" s="492"/>
      <c r="X248" s="492"/>
      <c r="Y248" s="492"/>
      <c r="Z248" s="492"/>
      <c r="AA248" s="492"/>
      <c r="AB248" s="492"/>
      <c r="AC248" s="492"/>
      <c r="AD248" s="492"/>
      <c r="AE248" s="492"/>
      <c r="AF248" s="492"/>
      <c r="AG248" s="492"/>
      <c r="AH248" s="492"/>
      <c r="AI248" s="492"/>
      <c r="AJ248" s="492"/>
      <c r="AK248" s="492"/>
      <c r="AL248" s="492"/>
      <c r="AM248" s="492"/>
      <c r="AN248" s="492"/>
      <c r="AO248" s="492"/>
      <c r="AP248" s="492"/>
      <c r="AQ248" s="492"/>
      <c r="AR248" s="492"/>
      <c r="AS248" s="492"/>
      <c r="AT248" s="492"/>
      <c r="AU248" s="492"/>
      <c r="AV248" s="492"/>
      <c r="AW248" s="492"/>
      <c r="AX248" s="492"/>
      <c r="AY248" s="492"/>
      <c r="AZ248" s="492"/>
      <c r="BA248" s="492"/>
      <c r="BB248" s="492"/>
      <c r="BC248" s="492"/>
      <c r="BD248" s="492"/>
      <c r="BE248" s="492"/>
      <c r="BF248" s="492"/>
      <c r="BG248" s="492"/>
      <c r="BH248" s="492"/>
      <c r="BI248" s="492"/>
      <c r="BJ248" s="492"/>
      <c r="BK248" s="492"/>
      <c r="BL248" s="492"/>
      <c r="BM248" s="492"/>
      <c r="BN248" s="492"/>
      <c r="BO248" s="492"/>
      <c r="BP248" s="492"/>
      <c r="BQ248" s="499"/>
      <c r="BR248" s="499"/>
      <c r="BS248" s="499"/>
      <c r="BT248" s="499"/>
      <c r="BV248" s="171" t="s">
        <v>78</v>
      </c>
      <c r="BW248" s="249">
        <f>VLOOKUP(BV248,인건비!A:B,2,FALSE)</f>
        <v>274873</v>
      </c>
    </row>
    <row r="249" spans="1:76" ht="9.9499999999999993" customHeight="1">
      <c r="A249" s="490"/>
      <c r="B249" s="492"/>
      <c r="C249" s="492"/>
      <c r="D249" s="492"/>
      <c r="E249" s="1497" t="s">
        <v>560</v>
      </c>
      <c r="F249" s="1498"/>
      <c r="G249" s="1498"/>
      <c r="H249" s="1498"/>
      <c r="I249" s="1498"/>
      <c r="J249" s="1498"/>
      <c r="K249" s="1498"/>
      <c r="L249" s="1498"/>
      <c r="M249" s="1498"/>
      <c r="N249" s="1498"/>
      <c r="O249" s="1498"/>
      <c r="P249" s="1498"/>
      <c r="Q249" s="1498"/>
      <c r="R249" s="1498"/>
      <c r="S249" s="1498"/>
      <c r="T249" s="1498"/>
      <c r="U249" s="1498"/>
      <c r="V249" s="1498"/>
      <c r="W249" s="1498"/>
      <c r="X249" s="1498"/>
      <c r="Y249" s="1498"/>
      <c r="Z249" s="1498"/>
      <c r="AA249" s="1498"/>
      <c r="AB249" s="1498"/>
      <c r="AC249" s="1498"/>
      <c r="AD249" s="1498"/>
      <c r="AE249" s="1498"/>
      <c r="AF249" s="1498"/>
      <c r="AG249" s="1498"/>
      <c r="AH249" s="1498"/>
      <c r="AI249" s="1498"/>
      <c r="AJ249" s="1498"/>
      <c r="AK249" s="1498"/>
      <c r="AL249" s="1498"/>
      <c r="AM249" s="1498"/>
      <c r="AN249" s="1498"/>
      <c r="AO249" s="1498"/>
      <c r="AP249" s="1498"/>
      <c r="AQ249" s="1498"/>
      <c r="AR249" s="492"/>
      <c r="AS249" s="492"/>
      <c r="AT249" s="492"/>
      <c r="AU249" s="492"/>
      <c r="AV249" s="492"/>
      <c r="AW249" s="492"/>
      <c r="AX249" s="492"/>
      <c r="AY249" s="492"/>
      <c r="AZ249" s="492"/>
      <c r="BA249" s="492"/>
      <c r="BB249" s="492"/>
      <c r="BC249" s="492"/>
      <c r="BD249" s="492"/>
      <c r="BE249" s="492"/>
      <c r="BF249" s="492"/>
      <c r="BG249" s="492"/>
      <c r="BH249" s="492"/>
      <c r="BI249" s="492"/>
      <c r="BJ249" s="492"/>
      <c r="BK249" s="492"/>
      <c r="BL249" s="492"/>
      <c r="BM249" s="492"/>
      <c r="BN249" s="492"/>
      <c r="BO249" s="492"/>
      <c r="BP249" s="492"/>
      <c r="BQ249" s="499"/>
      <c r="BR249" s="499"/>
      <c r="BS249" s="499"/>
      <c r="BT249" s="499"/>
      <c r="BV249" s="655" t="s">
        <v>717</v>
      </c>
      <c r="BW249" s="656" t="s">
        <v>627</v>
      </c>
      <c r="BX249" s="657"/>
    </row>
    <row r="250" spans="1:76" ht="9.9499999999999993" customHeight="1">
      <c r="A250" s="490"/>
      <c r="B250" s="492"/>
      <c r="C250" s="492"/>
      <c r="D250" s="492"/>
      <c r="E250" s="1497" t="s">
        <v>561</v>
      </c>
      <c r="F250" s="1498"/>
      <c r="G250" s="1498"/>
      <c r="H250" s="1498"/>
      <c r="I250" s="1498"/>
      <c r="J250" s="1498"/>
      <c r="K250" s="1498"/>
      <c r="L250" s="1498"/>
      <c r="M250" s="1498"/>
      <c r="N250" s="1498"/>
      <c r="O250" s="1498"/>
      <c r="P250" s="1498"/>
      <c r="Q250" s="1498"/>
      <c r="R250" s="1498"/>
      <c r="S250" s="1498"/>
      <c r="T250" s="1498"/>
      <c r="U250" s="1498"/>
      <c r="V250" s="1498"/>
      <c r="W250" s="1498"/>
      <c r="X250" s="1498"/>
      <c r="Y250" s="1498"/>
      <c r="Z250" s="1498"/>
      <c r="AA250" s="1498"/>
      <c r="AB250" s="1498"/>
      <c r="AC250" s="1498"/>
      <c r="AD250" s="1498"/>
      <c r="AE250" s="1498"/>
      <c r="AF250" s="1498"/>
      <c r="AG250" s="1498"/>
      <c r="AH250" s="1498"/>
      <c r="AI250" s="1498"/>
      <c r="AJ250" s="1498"/>
      <c r="AK250" s="1498"/>
      <c r="AL250" s="1498"/>
      <c r="AM250" s="1498"/>
      <c r="AN250" s="1498"/>
      <c r="AO250" s="1498"/>
      <c r="AP250" s="1498"/>
      <c r="AQ250" s="1498"/>
      <c r="AR250" s="492"/>
      <c r="AS250" s="492"/>
      <c r="AT250" s="492"/>
      <c r="AU250" s="492"/>
      <c r="AV250" s="492"/>
      <c r="AW250" s="492"/>
      <c r="AX250" s="492"/>
      <c r="AY250" s="492"/>
      <c r="AZ250" s="492"/>
      <c r="BA250" s="492"/>
      <c r="BB250" s="492"/>
      <c r="BC250" s="492"/>
      <c r="BD250" s="492"/>
      <c r="BE250" s="492"/>
      <c r="BF250" s="492"/>
      <c r="BG250" s="492"/>
      <c r="BH250" s="492"/>
      <c r="BI250" s="492"/>
      <c r="BJ250" s="492"/>
      <c r="BK250" s="492"/>
      <c r="BL250" s="492"/>
      <c r="BM250" s="492"/>
      <c r="BN250" s="492"/>
      <c r="BO250" s="492"/>
      <c r="BP250" s="492"/>
      <c r="BQ250" s="499"/>
      <c r="BR250" s="499"/>
      <c r="BS250" s="499"/>
      <c r="BT250" s="499"/>
      <c r="BW250" s="249"/>
    </row>
    <row r="251" spans="1:76" ht="9.9499999999999993" customHeight="1">
      <c r="A251" s="490"/>
      <c r="B251" s="492" t="s">
        <v>163</v>
      </c>
      <c r="C251" s="492"/>
      <c r="D251" s="492"/>
      <c r="E251" s="492"/>
      <c r="F251" s="492"/>
      <c r="G251" s="492"/>
      <c r="H251" s="492"/>
      <c r="I251" s="492"/>
      <c r="J251" s="492"/>
      <c r="K251" s="492"/>
      <c r="L251" s="492"/>
      <c r="M251" s="492"/>
      <c r="N251" s="492"/>
      <c r="O251" s="492"/>
      <c r="P251" s="492"/>
      <c r="Q251" s="492"/>
      <c r="R251" s="492"/>
      <c r="S251" s="492"/>
      <c r="T251" s="492"/>
      <c r="U251" s="492"/>
      <c r="V251" s="492"/>
      <c r="W251" s="492"/>
      <c r="X251" s="492"/>
      <c r="Y251" s="492"/>
      <c r="Z251" s="492"/>
      <c r="AA251" s="492"/>
      <c r="AB251" s="492"/>
      <c r="AC251" s="492"/>
      <c r="AD251" s="492"/>
      <c r="AE251" s="492"/>
      <c r="AF251" s="492"/>
      <c r="AG251" s="492"/>
      <c r="AH251" s="492"/>
      <c r="AI251" s="492" t="s">
        <v>684</v>
      </c>
      <c r="AJ251" s="492"/>
      <c r="AK251" s="492"/>
      <c r="AL251" s="492"/>
      <c r="AM251" s="492"/>
      <c r="AN251" s="492"/>
      <c r="AO251" s="492"/>
      <c r="AP251" s="492"/>
      <c r="AQ251" s="492"/>
      <c r="AR251" s="492"/>
      <c r="AS251" s="492"/>
      <c r="AT251" s="492"/>
      <c r="AU251" s="492"/>
      <c r="AV251" s="492"/>
      <c r="AW251" s="492"/>
      <c r="AX251" s="492"/>
      <c r="AY251" s="492"/>
      <c r="AZ251" s="492"/>
      <c r="BA251" s="492"/>
      <c r="BB251" s="492"/>
      <c r="BC251" s="492"/>
      <c r="BD251" s="492"/>
      <c r="BE251" s="492"/>
      <c r="BF251" s="492"/>
      <c r="BG251" s="492"/>
      <c r="BH251" s="492"/>
      <c r="BI251" s="492"/>
      <c r="BJ251" s="492"/>
      <c r="BK251" s="492"/>
      <c r="BL251" s="492"/>
      <c r="BM251" s="492"/>
      <c r="BN251" s="492"/>
      <c r="BO251" s="492"/>
      <c r="BP251" s="492"/>
      <c r="BQ251" s="493"/>
      <c r="BR251" s="493"/>
      <c r="BS251" s="493"/>
      <c r="BT251" s="493"/>
      <c r="BW251" s="249"/>
    </row>
    <row r="252" spans="1:76" ht="9.9499999999999993" customHeight="1">
      <c r="A252" s="490"/>
      <c r="B252" s="492"/>
      <c r="C252" s="492" t="s">
        <v>66</v>
      </c>
      <c r="D252" s="492"/>
      <c r="E252" s="492"/>
      <c r="F252" s="492"/>
      <c r="G252" s="492"/>
      <c r="H252" s="492"/>
      <c r="I252" s="492"/>
      <c r="J252" s="502"/>
      <c r="K252" s="492"/>
      <c r="L252" s="492"/>
      <c r="M252" s="492"/>
      <c r="N252" s="1505" t="e">
        <f>'기계경비(OLD)'!$AT$342</f>
        <v>#REF!</v>
      </c>
      <c r="O252" s="1494"/>
      <c r="P252" s="1494"/>
      <c r="Q252" s="1494"/>
      <c r="R252" s="1494"/>
      <c r="S252" s="1494"/>
      <c r="T252" s="1494"/>
      <c r="U252" s="507" t="s">
        <v>99</v>
      </c>
      <c r="V252" s="497"/>
      <c r="W252" s="1502">
        <v>2500</v>
      </c>
      <c r="X252" s="1503"/>
      <c r="Y252" s="1503"/>
      <c r="Z252" s="1503"/>
      <c r="AA252" s="1503"/>
      <c r="AB252" s="1503"/>
      <c r="AC252" s="1503"/>
      <c r="AD252" s="1503"/>
      <c r="AE252" s="507" t="s">
        <v>103</v>
      </c>
      <c r="AF252" s="497"/>
      <c r="AG252" s="1504" t="e">
        <f>INT(N252/W252)</f>
        <v>#REF!</v>
      </c>
      <c r="AH252" s="1494"/>
      <c r="AI252" s="1494"/>
      <c r="AJ252" s="1494"/>
      <c r="AK252" s="1494"/>
      <c r="AL252" s="1494"/>
      <c r="AM252" s="1494"/>
      <c r="AN252" s="1496" t="s">
        <v>685</v>
      </c>
      <c r="AO252" s="1496"/>
      <c r="AP252" s="1496"/>
      <c r="AQ252" s="1496"/>
      <c r="AR252" s="1496"/>
      <c r="AS252" s="1496"/>
      <c r="AT252" s="1496"/>
      <c r="AU252" s="1496"/>
      <c r="AV252" s="1496"/>
      <c r="AW252" s="1496"/>
      <c r="AX252" s="1496"/>
      <c r="AY252" s="492"/>
      <c r="AZ252" s="492"/>
      <c r="BA252" s="492"/>
      <c r="BB252" s="492"/>
      <c r="BC252" s="524"/>
      <c r="BD252" s="492"/>
      <c r="BE252" s="492"/>
      <c r="BF252" s="492"/>
      <c r="BG252" s="492"/>
      <c r="BH252" s="492"/>
      <c r="BI252" s="492"/>
      <c r="BJ252" s="492"/>
      <c r="BK252" s="492"/>
      <c r="BL252" s="492"/>
      <c r="BM252" s="492"/>
      <c r="BN252" s="492"/>
      <c r="BO252" s="492"/>
      <c r="BP252" s="492"/>
      <c r="BQ252" s="499" t="e">
        <f>SUM(BR252:BT252)</f>
        <v>#REF!</v>
      </c>
      <c r="BR252" s="499"/>
      <c r="BS252" s="499" t="e">
        <f>AG252</f>
        <v>#REF!</v>
      </c>
      <c r="BT252" s="499"/>
    </row>
    <row r="253" spans="1:76" ht="9.9499999999999993" customHeight="1">
      <c r="A253" s="490"/>
      <c r="B253" s="492"/>
      <c r="C253" s="492" t="s">
        <v>67</v>
      </c>
      <c r="D253" s="492"/>
      <c r="E253" s="492"/>
      <c r="F253" s="492"/>
      <c r="G253" s="492"/>
      <c r="H253" s="492"/>
      <c r="I253" s="492"/>
      <c r="J253" s="502"/>
      <c r="K253" s="492"/>
      <c r="L253" s="492"/>
      <c r="M253" s="492"/>
      <c r="N253" s="1505">
        <f>'기계경비(OLD)'!$BU$336</f>
        <v>59025</v>
      </c>
      <c r="O253" s="1494"/>
      <c r="P253" s="1494"/>
      <c r="Q253" s="1494"/>
      <c r="R253" s="1494"/>
      <c r="S253" s="1494"/>
      <c r="T253" s="1494"/>
      <c r="U253" s="507" t="s">
        <v>99</v>
      </c>
      <c r="V253" s="497"/>
      <c r="W253" s="1502">
        <v>2500</v>
      </c>
      <c r="X253" s="1503"/>
      <c r="Y253" s="1503"/>
      <c r="Z253" s="1503"/>
      <c r="AA253" s="1503"/>
      <c r="AB253" s="1503"/>
      <c r="AC253" s="1503"/>
      <c r="AD253" s="1503"/>
      <c r="AE253" s="507" t="s">
        <v>103</v>
      </c>
      <c r="AF253" s="497"/>
      <c r="AG253" s="1504">
        <f>INT(N253/W253)</f>
        <v>23</v>
      </c>
      <c r="AH253" s="1494"/>
      <c r="AI253" s="1494"/>
      <c r="AJ253" s="1494"/>
      <c r="AK253" s="1494"/>
      <c r="AL253" s="1494"/>
      <c r="AM253" s="1494"/>
      <c r="AN253" s="1496" t="s">
        <v>685</v>
      </c>
      <c r="AO253" s="1496"/>
      <c r="AP253" s="1496"/>
      <c r="AQ253" s="1496"/>
      <c r="AR253" s="1496"/>
      <c r="AS253" s="1496"/>
      <c r="AT253" s="1496"/>
      <c r="AU253" s="1496"/>
      <c r="AV253" s="1496"/>
      <c r="AW253" s="1496"/>
      <c r="AX253" s="1496"/>
      <c r="AY253" s="492"/>
      <c r="AZ253" s="492"/>
      <c r="BA253" s="492"/>
      <c r="BB253" s="492"/>
      <c r="BC253" s="492"/>
      <c r="BD253" s="492"/>
      <c r="BE253" s="492"/>
      <c r="BF253" s="492"/>
      <c r="BG253" s="492"/>
      <c r="BH253" s="492"/>
      <c r="BI253" s="492"/>
      <c r="BJ253" s="492"/>
      <c r="BK253" s="492"/>
      <c r="BL253" s="492"/>
      <c r="BM253" s="492"/>
      <c r="BN253" s="492"/>
      <c r="BO253" s="492"/>
      <c r="BP253" s="492"/>
      <c r="BQ253" s="499">
        <f>SUM(BR253:BT253)</f>
        <v>23</v>
      </c>
      <c r="BR253" s="499">
        <f>AG253</f>
        <v>23</v>
      </c>
      <c r="BS253" s="499"/>
      <c r="BT253" s="499"/>
    </row>
    <row r="254" spans="1:76" ht="9.9499999999999993" customHeight="1">
      <c r="A254" s="490"/>
      <c r="B254" s="492"/>
      <c r="C254" s="492" t="s">
        <v>68</v>
      </c>
      <c r="D254" s="492"/>
      <c r="E254" s="492"/>
      <c r="F254" s="492"/>
      <c r="G254" s="492"/>
      <c r="H254" s="492"/>
      <c r="I254" s="492"/>
      <c r="J254" s="502"/>
      <c r="K254" s="492"/>
      <c r="L254" s="492"/>
      <c r="M254" s="492"/>
      <c r="N254" s="1505">
        <f>'기계경비(OLD)'!$BN$346</f>
        <v>15067</v>
      </c>
      <c r="O254" s="1494"/>
      <c r="P254" s="1494"/>
      <c r="Q254" s="1494"/>
      <c r="R254" s="1494"/>
      <c r="S254" s="1494"/>
      <c r="T254" s="1494"/>
      <c r="U254" s="507" t="s">
        <v>99</v>
      </c>
      <c r="V254" s="497"/>
      <c r="W254" s="1502">
        <v>2500</v>
      </c>
      <c r="X254" s="1503"/>
      <c r="Y254" s="1503"/>
      <c r="Z254" s="1503"/>
      <c r="AA254" s="1503"/>
      <c r="AB254" s="1503"/>
      <c r="AC254" s="1503"/>
      <c r="AD254" s="1503"/>
      <c r="AE254" s="507" t="s">
        <v>103</v>
      </c>
      <c r="AF254" s="497"/>
      <c r="AG254" s="1504">
        <f>INT(N254/W254)</f>
        <v>6</v>
      </c>
      <c r="AH254" s="1494"/>
      <c r="AI254" s="1494"/>
      <c r="AJ254" s="1494"/>
      <c r="AK254" s="1494"/>
      <c r="AL254" s="1494"/>
      <c r="AM254" s="1494"/>
      <c r="AN254" s="1496" t="s">
        <v>685</v>
      </c>
      <c r="AO254" s="1496"/>
      <c r="AP254" s="1496"/>
      <c r="AQ254" s="1496"/>
      <c r="AR254" s="1496"/>
      <c r="AS254" s="1496"/>
      <c r="AT254" s="1496"/>
      <c r="AU254" s="1496"/>
      <c r="AV254" s="1496"/>
      <c r="AW254" s="1496"/>
      <c r="AX254" s="1496"/>
      <c r="AY254" s="492"/>
      <c r="AZ254" s="492"/>
      <c r="BA254" s="492"/>
      <c r="BB254" s="492"/>
      <c r="BC254" s="492"/>
      <c r="BD254" s="492"/>
      <c r="BE254" s="492"/>
      <c r="BF254" s="492"/>
      <c r="BG254" s="492"/>
      <c r="BH254" s="492"/>
      <c r="BI254" s="492"/>
      <c r="BJ254" s="492"/>
      <c r="BK254" s="492"/>
      <c r="BL254" s="492"/>
      <c r="BM254" s="492"/>
      <c r="BN254" s="492"/>
      <c r="BO254" s="492"/>
      <c r="BP254" s="492"/>
      <c r="BQ254" s="499">
        <f>SUM(BR254:BT254)</f>
        <v>6</v>
      </c>
      <c r="BR254" s="499"/>
      <c r="BS254" s="499"/>
      <c r="BT254" s="499">
        <f>AG254</f>
        <v>6</v>
      </c>
    </row>
    <row r="255" spans="1:76" ht="9.9499999999999993" customHeight="1">
      <c r="A255" s="490"/>
      <c r="B255" s="492"/>
      <c r="C255" s="492" t="s">
        <v>63</v>
      </c>
      <c r="D255" s="492"/>
      <c r="E255" s="492"/>
      <c r="F255" s="492"/>
      <c r="G255" s="492"/>
      <c r="H255" s="492"/>
      <c r="I255" s="492"/>
      <c r="J255" s="492"/>
      <c r="K255" s="492"/>
      <c r="L255" s="502"/>
      <c r="M255" s="492"/>
      <c r="N255" s="492"/>
      <c r="O255" s="492"/>
      <c r="P255" s="492"/>
      <c r="Q255" s="492"/>
      <c r="R255" s="492"/>
      <c r="S255" s="492"/>
      <c r="T255" s="496"/>
      <c r="U255" s="492"/>
      <c r="V255" s="492"/>
      <c r="W255" s="492"/>
      <c r="X255" s="492"/>
      <c r="Y255" s="492"/>
      <c r="Z255" s="492"/>
      <c r="AA255" s="492"/>
      <c r="AB255" s="492"/>
      <c r="AC255" s="492"/>
      <c r="AD255" s="492"/>
      <c r="AE255" s="492"/>
      <c r="AF255" s="492"/>
      <c r="AG255" s="492"/>
      <c r="AH255" s="492"/>
      <c r="AI255" s="496"/>
      <c r="AJ255" s="492"/>
      <c r="AK255" s="492"/>
      <c r="AL255" s="492"/>
      <c r="AM255" s="492"/>
      <c r="AN255" s="492"/>
      <c r="AO255" s="492"/>
      <c r="AP255" s="492"/>
      <c r="AQ255" s="492"/>
      <c r="AR255" s="492"/>
      <c r="AS255" s="492"/>
      <c r="AT255" s="492"/>
      <c r="AU255" s="492"/>
      <c r="AV255" s="492"/>
      <c r="AW255" s="492"/>
      <c r="AX255" s="492"/>
      <c r="AY255" s="492"/>
      <c r="AZ255" s="492"/>
      <c r="BA255" s="492"/>
      <c r="BB255" s="492"/>
      <c r="BC255" s="492"/>
      <c r="BD255" s="492"/>
      <c r="BE255" s="492"/>
      <c r="BF255" s="492"/>
      <c r="BG255" s="492"/>
      <c r="BH255" s="492"/>
      <c r="BI255" s="492"/>
      <c r="BJ255" s="492"/>
      <c r="BK255" s="492"/>
      <c r="BL255" s="492"/>
      <c r="BM255" s="492"/>
      <c r="BN255" s="492"/>
      <c r="BO255" s="492"/>
      <c r="BP255" s="492"/>
      <c r="BQ255" s="503" t="e">
        <f>SUM(BR255:BT255)</f>
        <v>#REF!</v>
      </c>
      <c r="BR255" s="503">
        <f>SUM(BR252:BR254)</f>
        <v>23</v>
      </c>
      <c r="BS255" s="503" t="e">
        <f>SUM(BS252:BS254)</f>
        <v>#REF!</v>
      </c>
      <c r="BT255" s="503">
        <f>SUM(BT252:BT254)</f>
        <v>6</v>
      </c>
    </row>
    <row r="256" spans="1:76" ht="9.9499999999999993" customHeight="1">
      <c r="A256" s="490"/>
      <c r="B256" s="492"/>
      <c r="C256" s="492"/>
      <c r="D256" s="492"/>
      <c r="E256" s="492"/>
      <c r="F256" s="492"/>
      <c r="G256" s="492"/>
      <c r="H256" s="498"/>
      <c r="I256" s="498"/>
      <c r="J256" s="498"/>
      <c r="K256" s="498"/>
      <c r="L256" s="525"/>
      <c r="M256" s="498"/>
      <c r="N256" s="498"/>
      <c r="O256" s="498"/>
      <c r="P256" s="498"/>
      <c r="Q256" s="498"/>
      <c r="R256" s="525"/>
      <c r="S256" s="498"/>
      <c r="T256" s="498"/>
      <c r="U256" s="498"/>
      <c r="V256" s="498"/>
      <c r="W256" s="498"/>
      <c r="X256" s="498"/>
      <c r="Y256" s="525"/>
      <c r="Z256" s="498"/>
      <c r="AA256" s="498"/>
      <c r="AB256" s="498"/>
      <c r="AC256" s="498"/>
      <c r="AD256" s="498"/>
      <c r="AE256" s="525"/>
      <c r="AF256" s="498"/>
      <c r="AG256" s="498"/>
      <c r="AH256" s="498"/>
      <c r="AI256" s="498"/>
      <c r="AJ256" s="498"/>
      <c r="AK256" s="498"/>
      <c r="AL256" s="498"/>
      <c r="AM256" s="492"/>
      <c r="AN256" s="492"/>
      <c r="AO256" s="492"/>
      <c r="AP256" s="492"/>
      <c r="AQ256" s="492"/>
      <c r="AR256" s="492"/>
      <c r="AS256" s="492"/>
      <c r="AT256" s="492"/>
      <c r="AU256" s="492"/>
      <c r="AV256" s="492"/>
      <c r="AW256" s="492"/>
      <c r="AX256" s="492"/>
      <c r="AY256" s="492"/>
      <c r="AZ256" s="492"/>
      <c r="BA256" s="492"/>
      <c r="BB256" s="492"/>
      <c r="BC256" s="492"/>
      <c r="BD256" s="492"/>
      <c r="BE256" s="492"/>
      <c r="BF256" s="492"/>
      <c r="BG256" s="492"/>
      <c r="BH256" s="492"/>
      <c r="BI256" s="492"/>
      <c r="BJ256" s="492"/>
      <c r="BK256" s="492"/>
      <c r="BL256" s="492"/>
      <c r="BM256" s="492"/>
      <c r="BN256" s="492"/>
      <c r="BO256" s="492"/>
      <c r="BP256" s="492"/>
      <c r="BQ256" s="493"/>
      <c r="BR256" s="493"/>
      <c r="BS256" s="493"/>
      <c r="BT256" s="493"/>
      <c r="BW256" s="210"/>
    </row>
    <row r="257" spans="1:75" ht="9.9499999999999993" customHeight="1">
      <c r="A257" s="490"/>
      <c r="B257" s="492" t="s">
        <v>164</v>
      </c>
      <c r="C257" s="492"/>
      <c r="D257" s="492"/>
      <c r="E257" s="492"/>
      <c r="F257" s="492"/>
      <c r="G257" s="492"/>
      <c r="H257" s="492"/>
      <c r="I257" s="492"/>
      <c r="J257" s="492"/>
      <c r="K257" s="492"/>
      <c r="L257" s="492"/>
      <c r="M257" s="492"/>
      <c r="N257" s="492"/>
      <c r="O257" s="492"/>
      <c r="P257" s="492"/>
      <c r="Q257" s="492"/>
      <c r="R257" s="492"/>
      <c r="S257" s="492"/>
      <c r="T257" s="492"/>
      <c r="U257" s="492"/>
      <c r="V257" s="492"/>
      <c r="W257" s="492"/>
      <c r="X257" s="492"/>
      <c r="Y257" s="492"/>
      <c r="Z257" s="492"/>
      <c r="AA257" s="492"/>
      <c r="AB257" s="492"/>
      <c r="AC257" s="492"/>
      <c r="AD257" s="492"/>
      <c r="AE257" s="492"/>
      <c r="AF257" s="492"/>
      <c r="AG257" s="492"/>
      <c r="AH257" s="492"/>
      <c r="AI257" s="492"/>
      <c r="AJ257" s="492"/>
      <c r="AK257" s="492"/>
      <c r="AL257" s="492"/>
      <c r="AM257" s="492"/>
      <c r="AN257" s="492"/>
      <c r="AO257" s="492"/>
      <c r="AP257" s="492"/>
      <c r="AQ257" s="492"/>
      <c r="AR257" s="492"/>
      <c r="AS257" s="492"/>
      <c r="AT257" s="492"/>
      <c r="AU257" s="492"/>
      <c r="AV257" s="492"/>
      <c r="AW257" s="492"/>
      <c r="AX257" s="492"/>
      <c r="AY257" s="492"/>
      <c r="AZ257" s="492"/>
      <c r="BA257" s="492"/>
      <c r="BB257" s="492"/>
      <c r="BC257" s="492"/>
      <c r="BD257" s="492"/>
      <c r="BE257" s="492"/>
      <c r="BF257" s="492"/>
      <c r="BG257" s="492"/>
      <c r="BH257" s="492"/>
      <c r="BI257" s="492"/>
      <c r="BJ257" s="492"/>
      <c r="BK257" s="492"/>
      <c r="BL257" s="492"/>
      <c r="BM257" s="492"/>
      <c r="BN257" s="492"/>
      <c r="BO257" s="492"/>
      <c r="BP257" s="492"/>
      <c r="BQ257" s="493"/>
      <c r="BR257" s="493"/>
      <c r="BS257" s="493"/>
      <c r="BT257" s="493"/>
      <c r="BW257" s="210"/>
    </row>
    <row r="258" spans="1:75" ht="9.9499999999999993" customHeight="1">
      <c r="A258" s="490"/>
      <c r="B258" s="492"/>
      <c r="C258" s="492" t="s">
        <v>62</v>
      </c>
      <c r="D258" s="492"/>
      <c r="E258" s="492"/>
      <c r="F258" s="492"/>
      <c r="G258" s="492"/>
      <c r="H258" s="492"/>
      <c r="I258" s="492"/>
      <c r="J258" s="492"/>
      <c r="K258" s="492"/>
      <c r="L258" s="502"/>
      <c r="M258" s="1512">
        <v>1</v>
      </c>
      <c r="N258" s="1494"/>
      <c r="O258" s="1494"/>
      <c r="P258" s="1494"/>
      <c r="Q258" s="492" t="s">
        <v>162</v>
      </c>
      <c r="R258" s="497"/>
      <c r="S258" s="497"/>
      <c r="T258" s="498" t="s">
        <v>100</v>
      </c>
      <c r="U258" s="498"/>
      <c r="V258" s="1511">
        <f>$BW$247</f>
        <v>172698</v>
      </c>
      <c r="W258" s="1494"/>
      <c r="X258" s="1494"/>
      <c r="Y258" s="1494"/>
      <c r="Z258" s="1494"/>
      <c r="AA258" s="1494"/>
      <c r="AB258" s="498" t="s">
        <v>100</v>
      </c>
      <c r="AC258" s="498"/>
      <c r="AD258" s="1497" t="s">
        <v>680</v>
      </c>
      <c r="AE258" s="1498"/>
      <c r="AF258" s="1498"/>
      <c r="AG258" s="1498"/>
      <c r="AH258" s="1498"/>
      <c r="AI258" s="1497" t="s">
        <v>103</v>
      </c>
      <c r="AJ258" s="1498"/>
      <c r="AK258" s="1497">
        <f>INT(M258*V258/(20000))</f>
        <v>8</v>
      </c>
      <c r="AL258" s="1498"/>
      <c r="AM258" s="1498"/>
      <c r="AN258" s="1498"/>
      <c r="AO258" s="1498"/>
      <c r="AP258" s="1498"/>
      <c r="AQ258" s="1498"/>
      <c r="AR258" s="492"/>
      <c r="AS258" s="492"/>
      <c r="AT258" s="492"/>
      <c r="AU258" s="492"/>
      <c r="AV258" s="492"/>
      <c r="AW258" s="492"/>
      <c r="AX258" s="492"/>
      <c r="AY258" s="492"/>
      <c r="AZ258" s="492"/>
      <c r="BA258" s="492"/>
      <c r="BB258" s="492"/>
      <c r="BC258" s="492"/>
      <c r="BD258" s="492"/>
      <c r="BE258" s="492"/>
      <c r="BF258" s="492"/>
      <c r="BG258" s="492"/>
      <c r="BH258" s="492"/>
      <c r="BI258" s="492"/>
      <c r="BJ258" s="492"/>
      <c r="BK258" s="492"/>
      <c r="BL258" s="492"/>
      <c r="BM258" s="492"/>
      <c r="BN258" s="492"/>
      <c r="BO258" s="492"/>
      <c r="BP258" s="498"/>
      <c r="BQ258" s="499">
        <f>SUM(BR258:BT258)</f>
        <v>8</v>
      </c>
      <c r="BR258" s="499">
        <f>AK258</f>
        <v>8</v>
      </c>
      <c r="BS258" s="499"/>
      <c r="BT258" s="499"/>
      <c r="BW258" s="210"/>
    </row>
    <row r="259" spans="1:75" ht="9.9499999999999993" customHeight="1">
      <c r="A259" s="490"/>
      <c r="B259" s="492"/>
      <c r="C259" s="492"/>
      <c r="D259" s="492"/>
      <c r="E259" s="492"/>
      <c r="F259" s="492"/>
      <c r="G259" s="492"/>
      <c r="H259" s="492"/>
      <c r="I259" s="492"/>
      <c r="J259" s="492"/>
      <c r="K259" s="492"/>
      <c r="L259" s="502"/>
      <c r="M259" s="515"/>
      <c r="N259" s="498"/>
      <c r="O259" s="498"/>
      <c r="P259" s="498"/>
      <c r="Q259" s="492"/>
      <c r="R259" s="497"/>
      <c r="S259" s="497"/>
      <c r="T259" s="498"/>
      <c r="U259" s="498"/>
      <c r="V259" s="526"/>
      <c r="W259" s="498"/>
      <c r="X259" s="498"/>
      <c r="Y259" s="498"/>
      <c r="Z259" s="498"/>
      <c r="AA259" s="498"/>
      <c r="AB259" s="498"/>
      <c r="AC259" s="498"/>
      <c r="AD259" s="498"/>
      <c r="AE259" s="498"/>
      <c r="AF259" s="525"/>
      <c r="AG259" s="498"/>
      <c r="AH259" s="498"/>
      <c r="AI259" s="498"/>
      <c r="AJ259" s="498"/>
      <c r="AK259" s="498"/>
      <c r="AL259" s="498"/>
      <c r="AM259" s="525"/>
      <c r="AN259" s="498"/>
      <c r="AO259" s="526"/>
      <c r="AP259" s="498"/>
      <c r="AQ259" s="498"/>
      <c r="AR259" s="498"/>
      <c r="AS259" s="498"/>
      <c r="AT259" s="498"/>
      <c r="AU259" s="492"/>
      <c r="AV259" s="492"/>
      <c r="AW259" s="492"/>
      <c r="AX259" s="492"/>
      <c r="AY259" s="492"/>
      <c r="AZ259" s="492"/>
      <c r="BA259" s="492"/>
      <c r="BB259" s="492"/>
      <c r="BC259" s="492"/>
      <c r="BD259" s="492"/>
      <c r="BE259" s="492"/>
      <c r="BF259" s="492"/>
      <c r="BG259" s="492"/>
      <c r="BH259" s="492"/>
      <c r="BI259" s="492"/>
      <c r="BJ259" s="492"/>
      <c r="BK259" s="492"/>
      <c r="BL259" s="492"/>
      <c r="BM259" s="492"/>
      <c r="BN259" s="492"/>
      <c r="BO259" s="492"/>
      <c r="BP259" s="498"/>
      <c r="BQ259" s="499">
        <f>SUM(BR259:BT259)</f>
        <v>0</v>
      </c>
      <c r="BR259" s="499">
        <f>AO259</f>
        <v>0</v>
      </c>
      <c r="BS259" s="499"/>
      <c r="BT259" s="499"/>
      <c r="BW259" s="210"/>
    </row>
    <row r="260" spans="1:75" ht="9.9499999999999993" customHeight="1">
      <c r="A260" s="490"/>
      <c r="B260" s="492"/>
      <c r="C260" s="492" t="s">
        <v>63</v>
      </c>
      <c r="D260" s="492"/>
      <c r="E260" s="492"/>
      <c r="F260" s="492"/>
      <c r="G260" s="492"/>
      <c r="H260" s="492"/>
      <c r="I260" s="492"/>
      <c r="J260" s="492"/>
      <c r="K260" s="492"/>
      <c r="L260" s="502"/>
      <c r="M260" s="492"/>
      <c r="N260" s="492"/>
      <c r="O260" s="492"/>
      <c r="P260" s="492"/>
      <c r="Q260" s="492"/>
      <c r="R260" s="492"/>
      <c r="S260" s="492"/>
      <c r="T260" s="496"/>
      <c r="U260" s="492"/>
      <c r="V260" s="492"/>
      <c r="W260" s="492"/>
      <c r="X260" s="492"/>
      <c r="Y260" s="492"/>
      <c r="Z260" s="492"/>
      <c r="AA260" s="492"/>
      <c r="AB260" s="492"/>
      <c r="AC260" s="492"/>
      <c r="AD260" s="492"/>
      <c r="AE260" s="492"/>
      <c r="AF260" s="492"/>
      <c r="AG260" s="492"/>
      <c r="AH260" s="492"/>
      <c r="AI260" s="496"/>
      <c r="AJ260" s="492"/>
      <c r="AK260" s="492"/>
      <c r="AL260" s="492"/>
      <c r="AM260" s="492"/>
      <c r="AN260" s="492"/>
      <c r="AO260" s="492"/>
      <c r="AP260" s="492"/>
      <c r="AQ260" s="492"/>
      <c r="AR260" s="492"/>
      <c r="AS260" s="492"/>
      <c r="AT260" s="492"/>
      <c r="AU260" s="492"/>
      <c r="AV260" s="492"/>
      <c r="AW260" s="492"/>
      <c r="AX260" s="492"/>
      <c r="AY260" s="492"/>
      <c r="AZ260" s="492"/>
      <c r="BA260" s="492"/>
      <c r="BB260" s="492"/>
      <c r="BC260" s="492"/>
      <c r="BD260" s="492"/>
      <c r="BE260" s="492"/>
      <c r="BF260" s="492"/>
      <c r="BG260" s="492"/>
      <c r="BH260" s="492"/>
      <c r="BI260" s="492"/>
      <c r="BJ260" s="492"/>
      <c r="BK260" s="492"/>
      <c r="BL260" s="492"/>
      <c r="BM260" s="492"/>
      <c r="BN260" s="492"/>
      <c r="BO260" s="492"/>
      <c r="BP260" s="492"/>
      <c r="BQ260" s="503">
        <f>SUM(BR260:BT260)</f>
        <v>8</v>
      </c>
      <c r="BR260" s="503">
        <f>SUM(BR258:BR259)</f>
        <v>8</v>
      </c>
      <c r="BS260" s="503">
        <f>SUM(BS258:BS259)</f>
        <v>0</v>
      </c>
      <c r="BT260" s="503">
        <f>SUM(BT258:BT259)</f>
        <v>0</v>
      </c>
    </row>
    <row r="261" spans="1:75" ht="9.9499999999999993" customHeight="1" thickBot="1">
      <c r="A261" s="490"/>
      <c r="B261" s="492"/>
      <c r="C261" s="518" t="s">
        <v>69</v>
      </c>
      <c r="D261" s="518"/>
      <c r="E261" s="518"/>
      <c r="F261" s="518"/>
      <c r="G261" s="518"/>
      <c r="H261" s="518"/>
      <c r="I261" s="518"/>
      <c r="J261" s="518"/>
      <c r="K261" s="518"/>
      <c r="L261" s="519"/>
      <c r="M261" s="518"/>
      <c r="N261" s="518"/>
      <c r="O261" s="518"/>
      <c r="P261" s="518"/>
      <c r="Q261" s="518"/>
      <c r="R261" s="518"/>
      <c r="S261" s="518"/>
      <c r="T261" s="520"/>
      <c r="U261" s="518"/>
      <c r="V261" s="518"/>
      <c r="W261" s="518"/>
      <c r="X261" s="518"/>
      <c r="Y261" s="518"/>
      <c r="Z261" s="518"/>
      <c r="AA261" s="518"/>
      <c r="AB261" s="518"/>
      <c r="AC261" s="518"/>
      <c r="AD261" s="518"/>
      <c r="AE261" s="518"/>
      <c r="AF261" s="518"/>
      <c r="AG261" s="518"/>
      <c r="AH261" s="518"/>
      <c r="AI261" s="520"/>
      <c r="AJ261" s="518"/>
      <c r="AK261" s="518"/>
      <c r="AL261" s="518"/>
      <c r="AM261" s="518"/>
      <c r="AN261" s="518"/>
      <c r="AO261" s="518"/>
      <c r="AP261" s="518"/>
      <c r="AQ261" s="518"/>
      <c r="AR261" s="518"/>
      <c r="AS261" s="518"/>
      <c r="AT261" s="518"/>
      <c r="AU261" s="518"/>
      <c r="AV261" s="518"/>
      <c r="AW261" s="518"/>
      <c r="AX261" s="518"/>
      <c r="AY261" s="518"/>
      <c r="AZ261" s="518"/>
      <c r="BA261" s="518"/>
      <c r="BB261" s="518"/>
      <c r="BC261" s="518"/>
      <c r="BD261" s="518"/>
      <c r="BE261" s="518"/>
      <c r="BF261" s="518"/>
      <c r="BG261" s="518"/>
      <c r="BH261" s="518"/>
      <c r="BI261" s="518"/>
      <c r="BJ261" s="518"/>
      <c r="BK261" s="518"/>
      <c r="BL261" s="518"/>
      <c r="BM261" s="518"/>
      <c r="BN261" s="518"/>
      <c r="BO261" s="518"/>
      <c r="BP261" s="518"/>
      <c r="BQ261" s="521" t="e">
        <f>BQ255+BQ260</f>
        <v>#REF!</v>
      </c>
      <c r="BR261" s="521">
        <f>BR255+BR260</f>
        <v>31</v>
      </c>
      <c r="BS261" s="521" t="e">
        <f>BS255+BS260</f>
        <v>#REF!</v>
      </c>
      <c r="BT261" s="521">
        <f>BT255+BT260</f>
        <v>6</v>
      </c>
    </row>
    <row r="262" spans="1:75" ht="9.9499999999999993" customHeight="1" thickTop="1">
      <c r="A262" s="490"/>
      <c r="B262" s="492"/>
      <c r="C262" s="492"/>
      <c r="D262" s="492"/>
      <c r="E262" s="492"/>
      <c r="F262" s="492"/>
      <c r="G262" s="492"/>
      <c r="H262" s="492"/>
      <c r="I262" s="492"/>
      <c r="J262" s="492"/>
      <c r="K262" s="492"/>
      <c r="L262" s="492"/>
      <c r="M262" s="492"/>
      <c r="N262" s="492"/>
      <c r="O262" s="492"/>
      <c r="P262" s="492"/>
      <c r="Q262" s="492"/>
      <c r="R262" s="492"/>
      <c r="S262" s="492"/>
      <c r="T262" s="492"/>
      <c r="U262" s="492"/>
      <c r="V262" s="492"/>
      <c r="W262" s="492"/>
      <c r="X262" s="492"/>
      <c r="Y262" s="492"/>
      <c r="Z262" s="492"/>
      <c r="AA262" s="492"/>
      <c r="AB262" s="492"/>
      <c r="AC262" s="492"/>
      <c r="AD262" s="492"/>
      <c r="AE262" s="492"/>
      <c r="AF262" s="492"/>
      <c r="AG262" s="492"/>
      <c r="AH262" s="492"/>
      <c r="AI262" s="492"/>
      <c r="AJ262" s="492"/>
      <c r="AK262" s="492"/>
      <c r="AL262" s="492"/>
      <c r="AM262" s="492"/>
      <c r="AN262" s="492"/>
      <c r="AO262" s="492"/>
      <c r="AP262" s="492"/>
      <c r="AQ262" s="492"/>
      <c r="AR262" s="492"/>
      <c r="AS262" s="492"/>
      <c r="AT262" s="492"/>
      <c r="AU262" s="492"/>
      <c r="AV262" s="492"/>
      <c r="AW262" s="492"/>
      <c r="AX262" s="492"/>
      <c r="AY262" s="492"/>
      <c r="AZ262" s="492"/>
      <c r="BA262" s="492"/>
      <c r="BB262" s="492"/>
      <c r="BC262" s="492"/>
      <c r="BD262" s="492"/>
      <c r="BE262" s="492"/>
      <c r="BF262" s="492"/>
      <c r="BG262" s="492"/>
      <c r="BH262" s="492"/>
      <c r="BI262" s="492"/>
      <c r="BJ262" s="492"/>
      <c r="BK262" s="492"/>
      <c r="BL262" s="492"/>
      <c r="BM262" s="492"/>
      <c r="BN262" s="492"/>
      <c r="BO262" s="492"/>
      <c r="BP262" s="492"/>
      <c r="BQ262" s="527"/>
      <c r="BR262" s="527"/>
      <c r="BS262" s="527"/>
      <c r="BT262" s="527"/>
    </row>
    <row r="263" spans="1:75" ht="9.9499999999999993" customHeight="1">
      <c r="A263" s="490"/>
      <c r="B263" s="492"/>
      <c r="C263" s="492"/>
      <c r="D263" s="492"/>
      <c r="E263" s="492"/>
      <c r="F263" s="492"/>
      <c r="G263" s="492"/>
      <c r="H263" s="492"/>
      <c r="I263" s="492"/>
      <c r="J263" s="492"/>
      <c r="K263" s="492"/>
      <c r="L263" s="492"/>
      <c r="M263" s="492"/>
      <c r="N263" s="492"/>
      <c r="O263" s="492"/>
      <c r="P263" s="492"/>
      <c r="Q263" s="492"/>
      <c r="R263" s="492"/>
      <c r="S263" s="492"/>
      <c r="T263" s="492"/>
      <c r="U263" s="492"/>
      <c r="V263" s="492"/>
      <c r="W263" s="492"/>
      <c r="X263" s="492"/>
      <c r="Y263" s="492"/>
      <c r="Z263" s="492"/>
      <c r="AA263" s="492"/>
      <c r="AB263" s="492"/>
      <c r="AC263" s="492"/>
      <c r="AD263" s="492"/>
      <c r="AE263" s="492"/>
      <c r="AF263" s="492"/>
      <c r="AG263" s="492"/>
      <c r="AH263" s="492"/>
      <c r="AI263" s="492"/>
      <c r="AJ263" s="492"/>
      <c r="AK263" s="492"/>
      <c r="AL263" s="492"/>
      <c r="AM263" s="492"/>
      <c r="AN263" s="492"/>
      <c r="AO263" s="492"/>
      <c r="AP263" s="492"/>
      <c r="AQ263" s="492"/>
      <c r="AR263" s="492"/>
      <c r="AS263" s="492"/>
      <c r="AT263" s="492"/>
      <c r="AU263" s="492"/>
      <c r="AV263" s="492"/>
      <c r="AW263" s="492"/>
      <c r="AX263" s="492"/>
      <c r="AY263" s="492"/>
      <c r="AZ263" s="492"/>
      <c r="BA263" s="492"/>
      <c r="BB263" s="492"/>
      <c r="BC263" s="492"/>
      <c r="BD263" s="492"/>
      <c r="BE263" s="492"/>
      <c r="BF263" s="492"/>
      <c r="BG263" s="492"/>
      <c r="BH263" s="492"/>
      <c r="BI263" s="492"/>
      <c r="BJ263" s="492"/>
      <c r="BK263" s="492"/>
      <c r="BL263" s="492"/>
      <c r="BM263" s="492"/>
      <c r="BN263" s="492"/>
      <c r="BO263" s="492"/>
      <c r="BP263" s="492"/>
      <c r="BQ263" s="493"/>
      <c r="BR263" s="493"/>
      <c r="BS263" s="493"/>
      <c r="BT263" s="493"/>
    </row>
    <row r="264" spans="1:75" ht="9.9499999999999993" customHeight="1">
      <c r="A264" s="490"/>
      <c r="B264" s="492"/>
      <c r="C264" s="492"/>
      <c r="D264" s="492"/>
      <c r="E264" s="492"/>
      <c r="F264" s="492"/>
      <c r="G264" s="492"/>
      <c r="H264" s="492"/>
      <c r="I264" s="492"/>
      <c r="J264" s="492"/>
      <c r="K264" s="492"/>
      <c r="L264" s="492"/>
      <c r="M264" s="492"/>
      <c r="N264" s="492"/>
      <c r="O264" s="492"/>
      <c r="P264" s="492"/>
      <c r="Q264" s="492"/>
      <c r="R264" s="492"/>
      <c r="S264" s="492"/>
      <c r="T264" s="492"/>
      <c r="U264" s="492"/>
      <c r="V264" s="492"/>
      <c r="W264" s="492"/>
      <c r="X264" s="492"/>
      <c r="Y264" s="492"/>
      <c r="Z264" s="492"/>
      <c r="AA264" s="492"/>
      <c r="AB264" s="492"/>
      <c r="AC264" s="492"/>
      <c r="AD264" s="492"/>
      <c r="AE264" s="492"/>
      <c r="AF264" s="492"/>
      <c r="AG264" s="492"/>
      <c r="AH264" s="492"/>
      <c r="AI264" s="492"/>
      <c r="AJ264" s="492"/>
      <c r="AK264" s="492"/>
      <c r="AL264" s="492"/>
      <c r="AM264" s="492"/>
      <c r="AN264" s="492"/>
      <c r="AO264" s="492"/>
      <c r="AP264" s="492"/>
      <c r="AQ264" s="492"/>
      <c r="AR264" s="492"/>
      <c r="AS264" s="492"/>
      <c r="AT264" s="492"/>
      <c r="AU264" s="492"/>
      <c r="AV264" s="492"/>
      <c r="AW264" s="492"/>
      <c r="AX264" s="492"/>
      <c r="AY264" s="492"/>
      <c r="AZ264" s="492"/>
      <c r="BA264" s="492"/>
      <c r="BB264" s="492"/>
      <c r="BC264" s="492"/>
      <c r="BD264" s="492"/>
      <c r="BE264" s="492"/>
      <c r="BF264" s="492"/>
      <c r="BG264" s="492"/>
      <c r="BH264" s="492"/>
      <c r="BI264" s="492"/>
      <c r="BJ264" s="492"/>
      <c r="BK264" s="492"/>
      <c r="BL264" s="492"/>
      <c r="BM264" s="492"/>
      <c r="BN264" s="492"/>
      <c r="BO264" s="492"/>
      <c r="BP264" s="492"/>
      <c r="BQ264" s="493"/>
      <c r="BR264" s="493"/>
      <c r="BS264" s="493"/>
      <c r="BT264" s="493"/>
    </row>
    <row r="265" spans="1:75" ht="9.9499999999999993" customHeight="1">
      <c r="A265" s="490"/>
      <c r="B265" s="492"/>
      <c r="C265" s="492"/>
      <c r="D265" s="492"/>
      <c r="E265" s="492"/>
      <c r="F265" s="492"/>
      <c r="G265" s="492"/>
      <c r="H265" s="492"/>
      <c r="I265" s="492"/>
      <c r="J265" s="492"/>
      <c r="K265" s="492"/>
      <c r="L265" s="492"/>
      <c r="M265" s="492"/>
      <c r="N265" s="492"/>
      <c r="O265" s="492"/>
      <c r="P265" s="492"/>
      <c r="Q265" s="492"/>
      <c r="R265" s="492"/>
      <c r="S265" s="492"/>
      <c r="T265" s="492"/>
      <c r="U265" s="492"/>
      <c r="V265" s="492"/>
      <c r="W265" s="492"/>
      <c r="X265" s="492"/>
      <c r="Y265" s="492"/>
      <c r="Z265" s="492"/>
      <c r="AA265" s="492"/>
      <c r="AB265" s="492"/>
      <c r="AC265" s="492"/>
      <c r="AD265" s="492"/>
      <c r="AE265" s="492"/>
      <c r="AF265" s="492"/>
      <c r="AG265" s="492"/>
      <c r="AH265" s="492"/>
      <c r="AI265" s="492"/>
      <c r="AJ265" s="492"/>
      <c r="AK265" s="492"/>
      <c r="AL265" s="492"/>
      <c r="AM265" s="492"/>
      <c r="AN265" s="492"/>
      <c r="AO265" s="492"/>
      <c r="AP265" s="492"/>
      <c r="AQ265" s="492"/>
      <c r="AR265" s="492"/>
      <c r="AS265" s="492"/>
      <c r="AT265" s="492"/>
      <c r="AU265" s="492"/>
      <c r="AV265" s="492"/>
      <c r="AW265" s="492"/>
      <c r="AX265" s="492"/>
      <c r="AY265" s="492"/>
      <c r="AZ265" s="492"/>
      <c r="BA265" s="492"/>
      <c r="BB265" s="492"/>
      <c r="BC265" s="492"/>
      <c r="BD265" s="492"/>
      <c r="BE265" s="492"/>
      <c r="BF265" s="492"/>
      <c r="BG265" s="492"/>
      <c r="BH265" s="492"/>
      <c r="BI265" s="492"/>
      <c r="BJ265" s="492"/>
      <c r="BK265" s="492"/>
      <c r="BL265" s="492"/>
      <c r="BM265" s="492"/>
      <c r="BN265" s="492"/>
      <c r="BO265" s="492"/>
      <c r="BP265" s="492"/>
      <c r="BQ265" s="493"/>
      <c r="BR265" s="493"/>
      <c r="BS265" s="493"/>
      <c r="BT265" s="493"/>
    </row>
    <row r="266" spans="1:75" ht="9.9499999999999993" customHeight="1">
      <c r="A266" s="490"/>
      <c r="B266" s="492"/>
      <c r="C266" s="492"/>
      <c r="D266" s="492"/>
      <c r="E266" s="492"/>
      <c r="F266" s="492"/>
      <c r="G266" s="492"/>
      <c r="H266" s="492"/>
      <c r="I266" s="492"/>
      <c r="J266" s="492"/>
      <c r="K266" s="492"/>
      <c r="L266" s="492"/>
      <c r="M266" s="492"/>
      <c r="N266" s="492"/>
      <c r="O266" s="492"/>
      <c r="P266" s="492"/>
      <c r="Q266" s="492"/>
      <c r="R266" s="492"/>
      <c r="S266" s="492"/>
      <c r="T266" s="492"/>
      <c r="U266" s="492"/>
      <c r="V266" s="492"/>
      <c r="W266" s="492"/>
      <c r="X266" s="492"/>
      <c r="Y266" s="492"/>
      <c r="Z266" s="492"/>
      <c r="AA266" s="492"/>
      <c r="AB266" s="492"/>
      <c r="AC266" s="492"/>
      <c r="AD266" s="492"/>
      <c r="AE266" s="492"/>
      <c r="AF266" s="492"/>
      <c r="AG266" s="492"/>
      <c r="AH266" s="492"/>
      <c r="AI266" s="492"/>
      <c r="AJ266" s="492"/>
      <c r="AK266" s="492"/>
      <c r="AL266" s="492"/>
      <c r="AM266" s="492"/>
      <c r="AN266" s="492"/>
      <c r="AO266" s="492"/>
      <c r="AP266" s="492"/>
      <c r="AQ266" s="492"/>
      <c r="AR266" s="492"/>
      <c r="AS266" s="492"/>
      <c r="AT266" s="492"/>
      <c r="AU266" s="492"/>
      <c r="AV266" s="492"/>
      <c r="AW266" s="492"/>
      <c r="AX266" s="492"/>
      <c r="AY266" s="492"/>
      <c r="AZ266" s="492"/>
      <c r="BA266" s="492"/>
      <c r="BB266" s="492"/>
      <c r="BC266" s="492"/>
      <c r="BD266" s="492"/>
      <c r="BE266" s="492"/>
      <c r="BF266" s="492"/>
      <c r="BG266" s="492"/>
      <c r="BH266" s="492"/>
      <c r="BI266" s="492"/>
      <c r="BJ266" s="492"/>
      <c r="BK266" s="492"/>
      <c r="BL266" s="492"/>
      <c r="BM266" s="492"/>
      <c r="BN266" s="492"/>
      <c r="BO266" s="492"/>
      <c r="BP266" s="492"/>
      <c r="BQ266" s="493"/>
      <c r="BR266" s="493"/>
      <c r="BS266" s="493"/>
      <c r="BT266" s="493"/>
    </row>
    <row r="267" spans="1:75" ht="9.9499999999999993" customHeight="1">
      <c r="A267" s="490"/>
      <c r="B267" s="492"/>
      <c r="C267" s="492"/>
      <c r="D267" s="492"/>
      <c r="E267" s="492"/>
      <c r="F267" s="492"/>
      <c r="G267" s="492"/>
      <c r="H267" s="492"/>
      <c r="I267" s="492"/>
      <c r="J267" s="492"/>
      <c r="K267" s="492"/>
      <c r="L267" s="492"/>
      <c r="M267" s="492"/>
      <c r="N267" s="492"/>
      <c r="O267" s="492"/>
      <c r="P267" s="492"/>
      <c r="Q267" s="492"/>
      <c r="R267" s="492"/>
      <c r="S267" s="492"/>
      <c r="T267" s="492"/>
      <c r="U267" s="492"/>
      <c r="V267" s="492"/>
      <c r="W267" s="492"/>
      <c r="X267" s="492"/>
      <c r="Y267" s="492"/>
      <c r="Z267" s="492"/>
      <c r="AA267" s="492"/>
      <c r="AB267" s="492"/>
      <c r="AC267" s="492"/>
      <c r="AD267" s="492"/>
      <c r="AE267" s="492"/>
      <c r="AF267" s="492"/>
      <c r="AG267" s="492"/>
      <c r="AH267" s="492"/>
      <c r="AI267" s="492"/>
      <c r="AJ267" s="492"/>
      <c r="AK267" s="492"/>
      <c r="AL267" s="492"/>
      <c r="AM267" s="492"/>
      <c r="AN267" s="492"/>
      <c r="AO267" s="492"/>
      <c r="AP267" s="492"/>
      <c r="AQ267" s="492"/>
      <c r="AR267" s="492"/>
      <c r="AS267" s="492"/>
      <c r="AT267" s="492"/>
      <c r="AU267" s="492"/>
      <c r="AV267" s="492"/>
      <c r="AW267" s="492"/>
      <c r="AX267" s="492"/>
      <c r="AY267" s="492"/>
      <c r="AZ267" s="492"/>
      <c r="BA267" s="492"/>
      <c r="BB267" s="492"/>
      <c r="BC267" s="492"/>
      <c r="BD267" s="492"/>
      <c r="BE267" s="492"/>
      <c r="BF267" s="492"/>
      <c r="BG267" s="492"/>
      <c r="BH267" s="492"/>
      <c r="BI267" s="492"/>
      <c r="BJ267" s="492"/>
      <c r="BK267" s="492"/>
      <c r="BL267" s="492"/>
      <c r="BM267" s="492"/>
      <c r="BN267" s="492"/>
      <c r="BO267" s="492"/>
      <c r="BP267" s="492"/>
      <c r="BQ267" s="493"/>
      <c r="BR267" s="493"/>
      <c r="BS267" s="493"/>
      <c r="BT267" s="493"/>
    </row>
    <row r="268" spans="1:75" ht="9.9499999999999993" customHeight="1">
      <c r="A268" s="490"/>
      <c r="B268" s="492"/>
      <c r="C268" s="492"/>
      <c r="D268" s="492"/>
      <c r="E268" s="492"/>
      <c r="F268" s="492"/>
      <c r="G268" s="492"/>
      <c r="H268" s="492"/>
      <c r="I268" s="492"/>
      <c r="J268" s="492"/>
      <c r="K268" s="492"/>
      <c r="L268" s="492"/>
      <c r="M268" s="492"/>
      <c r="N268" s="492"/>
      <c r="O268" s="492"/>
      <c r="P268" s="492"/>
      <c r="Q268" s="492"/>
      <c r="R268" s="492"/>
      <c r="S268" s="492"/>
      <c r="T268" s="492"/>
      <c r="U268" s="492"/>
      <c r="V268" s="492"/>
      <c r="W268" s="492"/>
      <c r="X268" s="492"/>
      <c r="Y268" s="492"/>
      <c r="Z268" s="492"/>
      <c r="AA268" s="492"/>
      <c r="AB268" s="492"/>
      <c r="AC268" s="492"/>
      <c r="AD268" s="492"/>
      <c r="AE268" s="492"/>
      <c r="AF268" s="492"/>
      <c r="AG268" s="492"/>
      <c r="AH268" s="492"/>
      <c r="AI268" s="492"/>
      <c r="AJ268" s="492"/>
      <c r="AK268" s="492"/>
      <c r="AL268" s="492"/>
      <c r="AM268" s="492"/>
      <c r="AN268" s="492"/>
      <c r="AO268" s="492"/>
      <c r="AP268" s="492"/>
      <c r="AQ268" s="492"/>
      <c r="AR268" s="492"/>
      <c r="AS268" s="492"/>
      <c r="AT268" s="492"/>
      <c r="AU268" s="492"/>
      <c r="AV268" s="492"/>
      <c r="AW268" s="492"/>
      <c r="AX268" s="492"/>
      <c r="AY268" s="492"/>
      <c r="AZ268" s="492"/>
      <c r="BA268" s="492"/>
      <c r="BB268" s="492"/>
      <c r="BC268" s="492"/>
      <c r="BD268" s="492"/>
      <c r="BE268" s="492"/>
      <c r="BF268" s="492"/>
      <c r="BG268" s="492"/>
      <c r="BH268" s="492"/>
      <c r="BI268" s="492"/>
      <c r="BJ268" s="492"/>
      <c r="BK268" s="492"/>
      <c r="BL268" s="492"/>
      <c r="BM268" s="492"/>
      <c r="BN268" s="492"/>
      <c r="BO268" s="492"/>
      <c r="BP268" s="492"/>
      <c r="BQ268" s="493"/>
      <c r="BR268" s="493"/>
      <c r="BS268" s="493"/>
      <c r="BT268" s="493"/>
    </row>
    <row r="269" spans="1:75" ht="9.9499999999999993" customHeight="1">
      <c r="A269" s="490"/>
      <c r="B269" s="492"/>
      <c r="C269" s="492"/>
      <c r="D269" s="492"/>
      <c r="E269" s="492"/>
      <c r="F269" s="492"/>
      <c r="G269" s="492"/>
      <c r="H269" s="492"/>
      <c r="I269" s="492"/>
      <c r="J269" s="492"/>
      <c r="K269" s="492"/>
      <c r="L269" s="492"/>
      <c r="M269" s="492"/>
      <c r="N269" s="492"/>
      <c r="O269" s="492"/>
      <c r="P269" s="492"/>
      <c r="Q269" s="492"/>
      <c r="R269" s="492"/>
      <c r="S269" s="492"/>
      <c r="T269" s="492"/>
      <c r="U269" s="492"/>
      <c r="V269" s="492"/>
      <c r="W269" s="492"/>
      <c r="X269" s="492"/>
      <c r="Y269" s="492"/>
      <c r="Z269" s="492"/>
      <c r="AA269" s="492"/>
      <c r="AB269" s="492"/>
      <c r="AC269" s="492"/>
      <c r="AD269" s="492"/>
      <c r="AE269" s="492"/>
      <c r="AF269" s="492"/>
      <c r="AG269" s="492"/>
      <c r="AH269" s="492"/>
      <c r="AI269" s="492"/>
      <c r="AJ269" s="492"/>
      <c r="AK269" s="492"/>
      <c r="AL269" s="492"/>
      <c r="AM269" s="492"/>
      <c r="AN269" s="492"/>
      <c r="AO269" s="492"/>
      <c r="AP269" s="492"/>
      <c r="AQ269" s="492"/>
      <c r="AR269" s="492"/>
      <c r="AS269" s="492"/>
      <c r="AT269" s="492"/>
      <c r="AU269" s="492"/>
      <c r="AV269" s="492"/>
      <c r="AW269" s="492"/>
      <c r="AX269" s="492"/>
      <c r="AY269" s="492"/>
      <c r="AZ269" s="492"/>
      <c r="BA269" s="492"/>
      <c r="BB269" s="492"/>
      <c r="BC269" s="492"/>
      <c r="BD269" s="492"/>
      <c r="BE269" s="492"/>
      <c r="BF269" s="492"/>
      <c r="BG269" s="492"/>
      <c r="BH269" s="492"/>
      <c r="BI269" s="492"/>
      <c r="BJ269" s="492"/>
      <c r="BK269" s="492"/>
      <c r="BL269" s="492"/>
      <c r="BM269" s="492"/>
      <c r="BN269" s="492"/>
      <c r="BO269" s="492"/>
      <c r="BP269" s="492"/>
      <c r="BQ269" s="493"/>
      <c r="BR269" s="493"/>
      <c r="BS269" s="493"/>
      <c r="BT269" s="493"/>
    </row>
    <row r="270" spans="1:75" ht="9.9499999999999993" customHeight="1">
      <c r="A270" s="490"/>
      <c r="B270" s="492"/>
      <c r="C270" s="492"/>
      <c r="D270" s="492"/>
      <c r="E270" s="492"/>
      <c r="F270" s="492"/>
      <c r="G270" s="492"/>
      <c r="H270" s="492"/>
      <c r="I270" s="492"/>
      <c r="J270" s="492"/>
      <c r="K270" s="492"/>
      <c r="L270" s="492"/>
      <c r="M270" s="492"/>
      <c r="N270" s="492"/>
      <c r="O270" s="492"/>
      <c r="P270" s="492"/>
      <c r="Q270" s="492"/>
      <c r="R270" s="492"/>
      <c r="S270" s="492"/>
      <c r="T270" s="492"/>
      <c r="U270" s="492"/>
      <c r="V270" s="492"/>
      <c r="W270" s="492"/>
      <c r="X270" s="492"/>
      <c r="Y270" s="492"/>
      <c r="Z270" s="492"/>
      <c r="AA270" s="492"/>
      <c r="AB270" s="492"/>
      <c r="AC270" s="492"/>
      <c r="AD270" s="492"/>
      <c r="AE270" s="492"/>
      <c r="AF270" s="492"/>
      <c r="AG270" s="492"/>
      <c r="AH270" s="492"/>
      <c r="AI270" s="492"/>
      <c r="AJ270" s="492"/>
      <c r="AK270" s="492"/>
      <c r="AL270" s="492"/>
      <c r="AM270" s="492"/>
      <c r="AN270" s="492"/>
      <c r="AO270" s="492"/>
      <c r="AP270" s="492"/>
      <c r="AQ270" s="492"/>
      <c r="AR270" s="492"/>
      <c r="AS270" s="492"/>
      <c r="AT270" s="492"/>
      <c r="AU270" s="492"/>
      <c r="AV270" s="492"/>
      <c r="AW270" s="492"/>
      <c r="AX270" s="492"/>
      <c r="AY270" s="492"/>
      <c r="AZ270" s="492"/>
      <c r="BA270" s="492"/>
      <c r="BB270" s="492"/>
      <c r="BC270" s="492"/>
      <c r="BD270" s="492"/>
      <c r="BE270" s="492"/>
      <c r="BF270" s="492"/>
      <c r="BG270" s="492"/>
      <c r="BH270" s="492"/>
      <c r="BI270" s="492"/>
      <c r="BJ270" s="492"/>
      <c r="BK270" s="492"/>
      <c r="BL270" s="492"/>
      <c r="BM270" s="492"/>
      <c r="BN270" s="492"/>
      <c r="BO270" s="492"/>
      <c r="BP270" s="492"/>
      <c r="BQ270" s="493"/>
      <c r="BR270" s="493"/>
      <c r="BS270" s="493"/>
      <c r="BT270" s="493"/>
    </row>
    <row r="271" spans="1:75" ht="9.9499999999999993" customHeight="1">
      <c r="A271" s="490"/>
      <c r="B271" s="492"/>
      <c r="C271" s="492"/>
      <c r="D271" s="492"/>
      <c r="E271" s="492"/>
      <c r="F271" s="492"/>
      <c r="G271" s="492"/>
      <c r="H271" s="492"/>
      <c r="I271" s="492"/>
      <c r="J271" s="492"/>
      <c r="K271" s="492"/>
      <c r="L271" s="492"/>
      <c r="M271" s="492"/>
      <c r="N271" s="492"/>
      <c r="O271" s="492"/>
      <c r="P271" s="492"/>
      <c r="Q271" s="492"/>
      <c r="R271" s="492"/>
      <c r="S271" s="492"/>
      <c r="T271" s="492"/>
      <c r="U271" s="492"/>
      <c r="V271" s="492"/>
      <c r="W271" s="492"/>
      <c r="X271" s="492"/>
      <c r="Y271" s="492"/>
      <c r="Z271" s="492"/>
      <c r="AA271" s="492"/>
      <c r="AB271" s="492"/>
      <c r="AC271" s="492"/>
      <c r="AD271" s="492"/>
      <c r="AE271" s="492"/>
      <c r="AF271" s="492"/>
      <c r="AG271" s="492"/>
      <c r="AH271" s="492"/>
      <c r="AI271" s="492"/>
      <c r="AJ271" s="492"/>
      <c r="AK271" s="492"/>
      <c r="AL271" s="492"/>
      <c r="AM271" s="492"/>
      <c r="AN271" s="492"/>
      <c r="AO271" s="492"/>
      <c r="AP271" s="492"/>
      <c r="AQ271" s="492"/>
      <c r="AR271" s="492"/>
      <c r="AS271" s="492"/>
      <c r="AT271" s="492"/>
      <c r="AU271" s="492"/>
      <c r="AV271" s="492"/>
      <c r="AW271" s="492"/>
      <c r="AX271" s="492"/>
      <c r="AY271" s="492"/>
      <c r="AZ271" s="492"/>
      <c r="BA271" s="492"/>
      <c r="BB271" s="492"/>
      <c r="BC271" s="492"/>
      <c r="BD271" s="492"/>
      <c r="BE271" s="492"/>
      <c r="BF271" s="492"/>
      <c r="BG271" s="492"/>
      <c r="BH271" s="492"/>
      <c r="BI271" s="492"/>
      <c r="BJ271" s="492"/>
      <c r="BK271" s="492"/>
      <c r="BL271" s="492"/>
      <c r="BM271" s="492"/>
      <c r="BN271" s="492"/>
      <c r="BO271" s="492"/>
      <c r="BP271" s="492"/>
      <c r="BQ271" s="493"/>
      <c r="BR271" s="493"/>
      <c r="BS271" s="493"/>
      <c r="BT271" s="493"/>
    </row>
    <row r="272" spans="1:75" ht="9.9499999999999993" customHeight="1">
      <c r="A272" s="490"/>
      <c r="B272" s="492"/>
      <c r="C272" s="492"/>
      <c r="D272" s="492"/>
      <c r="E272" s="492"/>
      <c r="F272" s="492"/>
      <c r="G272" s="492"/>
      <c r="H272" s="492"/>
      <c r="I272" s="492"/>
      <c r="J272" s="492"/>
      <c r="K272" s="492"/>
      <c r="L272" s="492"/>
      <c r="M272" s="492"/>
      <c r="N272" s="492"/>
      <c r="O272" s="492"/>
      <c r="P272" s="492"/>
      <c r="Q272" s="492"/>
      <c r="R272" s="492"/>
      <c r="S272" s="492"/>
      <c r="T272" s="492"/>
      <c r="U272" s="492"/>
      <c r="V272" s="492"/>
      <c r="W272" s="492"/>
      <c r="X272" s="492"/>
      <c r="Y272" s="492"/>
      <c r="Z272" s="492"/>
      <c r="AA272" s="492"/>
      <c r="AB272" s="492"/>
      <c r="AC272" s="492"/>
      <c r="AD272" s="492"/>
      <c r="AE272" s="492"/>
      <c r="AF272" s="492"/>
      <c r="AG272" s="492"/>
      <c r="AH272" s="492"/>
      <c r="AI272" s="492"/>
      <c r="AJ272" s="492"/>
      <c r="AK272" s="492"/>
      <c r="AL272" s="492"/>
      <c r="AM272" s="492"/>
      <c r="AN272" s="492"/>
      <c r="AO272" s="492"/>
      <c r="AP272" s="492"/>
      <c r="AQ272" s="492"/>
      <c r="AR272" s="492"/>
      <c r="AS272" s="492"/>
      <c r="AT272" s="492"/>
      <c r="AU272" s="492"/>
      <c r="AV272" s="492"/>
      <c r="AW272" s="492"/>
      <c r="AX272" s="492"/>
      <c r="AY272" s="492"/>
      <c r="AZ272" s="492"/>
      <c r="BA272" s="492"/>
      <c r="BB272" s="492"/>
      <c r="BC272" s="492"/>
      <c r="BD272" s="492"/>
      <c r="BE272" s="492"/>
      <c r="BF272" s="492"/>
      <c r="BG272" s="492"/>
      <c r="BH272" s="492"/>
      <c r="BI272" s="492"/>
      <c r="BJ272" s="492"/>
      <c r="BK272" s="492"/>
      <c r="BL272" s="492"/>
      <c r="BM272" s="492"/>
      <c r="BN272" s="492"/>
      <c r="BO272" s="492"/>
      <c r="BP272" s="492"/>
      <c r="BQ272" s="493"/>
      <c r="BR272" s="493"/>
      <c r="BS272" s="493"/>
      <c r="BT272" s="493"/>
    </row>
    <row r="273" spans="1:72" ht="9.9499999999999993" customHeight="1">
      <c r="A273" s="490"/>
      <c r="B273" s="492"/>
      <c r="C273" s="492"/>
      <c r="D273" s="492"/>
      <c r="E273" s="492"/>
      <c r="F273" s="492"/>
      <c r="G273" s="492"/>
      <c r="H273" s="492"/>
      <c r="I273" s="492"/>
      <c r="J273" s="492"/>
      <c r="K273" s="492"/>
      <c r="L273" s="492"/>
      <c r="M273" s="492"/>
      <c r="N273" s="492"/>
      <c r="O273" s="492"/>
      <c r="P273" s="492"/>
      <c r="Q273" s="492"/>
      <c r="R273" s="492"/>
      <c r="S273" s="492"/>
      <c r="T273" s="492"/>
      <c r="U273" s="492"/>
      <c r="V273" s="492"/>
      <c r="W273" s="492"/>
      <c r="X273" s="492"/>
      <c r="Y273" s="492"/>
      <c r="Z273" s="492"/>
      <c r="AA273" s="492"/>
      <c r="AB273" s="492"/>
      <c r="AC273" s="492"/>
      <c r="AD273" s="492"/>
      <c r="AE273" s="492"/>
      <c r="AF273" s="492"/>
      <c r="AG273" s="492"/>
      <c r="AH273" s="492"/>
      <c r="AI273" s="492"/>
      <c r="AJ273" s="492"/>
      <c r="AK273" s="492"/>
      <c r="AL273" s="492"/>
      <c r="AM273" s="492"/>
      <c r="AN273" s="492"/>
      <c r="AO273" s="492"/>
      <c r="AP273" s="492"/>
      <c r="AQ273" s="492"/>
      <c r="AR273" s="492"/>
      <c r="AS273" s="492"/>
      <c r="AT273" s="492"/>
      <c r="AU273" s="492"/>
      <c r="AV273" s="492"/>
      <c r="AW273" s="492"/>
      <c r="AX273" s="492"/>
      <c r="AY273" s="492"/>
      <c r="AZ273" s="492"/>
      <c r="BA273" s="492"/>
      <c r="BB273" s="492"/>
      <c r="BC273" s="492"/>
      <c r="BD273" s="492"/>
      <c r="BE273" s="492"/>
      <c r="BF273" s="492"/>
      <c r="BG273" s="492"/>
      <c r="BH273" s="492"/>
      <c r="BI273" s="492"/>
      <c r="BJ273" s="492"/>
      <c r="BK273" s="492"/>
      <c r="BL273" s="492"/>
      <c r="BM273" s="492"/>
      <c r="BN273" s="492"/>
      <c r="BO273" s="492"/>
      <c r="BP273" s="492"/>
      <c r="BQ273" s="493"/>
      <c r="BR273" s="493"/>
      <c r="BS273" s="493"/>
      <c r="BT273" s="493"/>
    </row>
    <row r="274" spans="1:72" ht="9.9499999999999993" customHeight="1">
      <c r="A274" s="490"/>
      <c r="B274" s="492"/>
      <c r="C274" s="492"/>
      <c r="D274" s="492"/>
      <c r="E274" s="492"/>
      <c r="F274" s="492"/>
      <c r="G274" s="492"/>
      <c r="H274" s="492"/>
      <c r="I274" s="492"/>
      <c r="J274" s="492"/>
      <c r="K274" s="492"/>
      <c r="L274" s="492"/>
      <c r="M274" s="492"/>
      <c r="N274" s="492"/>
      <c r="O274" s="492"/>
      <c r="P274" s="492"/>
      <c r="Q274" s="492"/>
      <c r="R274" s="492"/>
      <c r="S274" s="492"/>
      <c r="T274" s="492"/>
      <c r="U274" s="492"/>
      <c r="V274" s="492"/>
      <c r="W274" s="492"/>
      <c r="X274" s="492"/>
      <c r="Y274" s="492"/>
      <c r="Z274" s="492"/>
      <c r="AA274" s="492"/>
      <c r="AB274" s="492"/>
      <c r="AC274" s="492"/>
      <c r="AD274" s="492"/>
      <c r="AE274" s="492"/>
      <c r="AF274" s="492"/>
      <c r="AG274" s="492"/>
      <c r="AH274" s="492"/>
      <c r="AI274" s="492"/>
      <c r="AJ274" s="492"/>
      <c r="AK274" s="492"/>
      <c r="AL274" s="492"/>
      <c r="AM274" s="492"/>
      <c r="AN274" s="492"/>
      <c r="AO274" s="492"/>
      <c r="AP274" s="492"/>
      <c r="AQ274" s="492"/>
      <c r="AR274" s="492"/>
      <c r="AS274" s="492"/>
      <c r="AT274" s="492"/>
      <c r="AU274" s="492"/>
      <c r="AV274" s="492"/>
      <c r="AW274" s="492"/>
      <c r="AX274" s="492"/>
      <c r="AY274" s="492"/>
      <c r="AZ274" s="492"/>
      <c r="BA274" s="492"/>
      <c r="BB274" s="492"/>
      <c r="BC274" s="492"/>
      <c r="BD274" s="492"/>
      <c r="BE274" s="492"/>
      <c r="BF274" s="492"/>
      <c r="BG274" s="492"/>
      <c r="BH274" s="492"/>
      <c r="BI274" s="492"/>
      <c r="BJ274" s="492"/>
      <c r="BK274" s="492"/>
      <c r="BL274" s="492"/>
      <c r="BM274" s="492"/>
      <c r="BN274" s="492"/>
      <c r="BO274" s="492"/>
      <c r="BP274" s="492"/>
      <c r="BQ274" s="493"/>
      <c r="BR274" s="493"/>
      <c r="BS274" s="493"/>
      <c r="BT274" s="493"/>
    </row>
    <row r="275" spans="1:72" ht="9.9499999999999993" customHeight="1">
      <c r="A275" s="490"/>
      <c r="B275" s="492"/>
      <c r="C275" s="492"/>
      <c r="D275" s="492"/>
      <c r="E275" s="492"/>
      <c r="F275" s="492"/>
      <c r="G275" s="492"/>
      <c r="H275" s="492"/>
      <c r="I275" s="492"/>
      <c r="J275" s="492"/>
      <c r="K275" s="492"/>
      <c r="L275" s="492"/>
      <c r="M275" s="492"/>
      <c r="N275" s="492"/>
      <c r="O275" s="492"/>
      <c r="P275" s="492"/>
      <c r="Q275" s="492"/>
      <c r="R275" s="492"/>
      <c r="S275" s="492"/>
      <c r="T275" s="492"/>
      <c r="U275" s="492"/>
      <c r="V275" s="492"/>
      <c r="W275" s="492"/>
      <c r="X275" s="492"/>
      <c r="Y275" s="492"/>
      <c r="Z275" s="492"/>
      <c r="AA275" s="492"/>
      <c r="AB275" s="492"/>
      <c r="AC275" s="492"/>
      <c r="AD275" s="492"/>
      <c r="AE275" s="492"/>
      <c r="AF275" s="492"/>
      <c r="AG275" s="492"/>
      <c r="AH275" s="492"/>
      <c r="AI275" s="492"/>
      <c r="AJ275" s="492"/>
      <c r="AK275" s="492"/>
      <c r="AL275" s="492"/>
      <c r="AM275" s="492"/>
      <c r="AN275" s="492"/>
      <c r="AO275" s="492"/>
      <c r="AP275" s="492"/>
      <c r="AQ275" s="492"/>
      <c r="AR275" s="492"/>
      <c r="AS275" s="492"/>
      <c r="AT275" s="492"/>
      <c r="AU275" s="492"/>
      <c r="AV275" s="492"/>
      <c r="AW275" s="492"/>
      <c r="AX275" s="492"/>
      <c r="AY275" s="492"/>
      <c r="AZ275" s="492"/>
      <c r="BA275" s="492"/>
      <c r="BB275" s="492"/>
      <c r="BC275" s="492"/>
      <c r="BD275" s="492"/>
      <c r="BE275" s="492"/>
      <c r="BF275" s="492"/>
      <c r="BG275" s="492"/>
      <c r="BH275" s="492"/>
      <c r="BI275" s="492"/>
      <c r="BJ275" s="492"/>
      <c r="BK275" s="492"/>
      <c r="BL275" s="492"/>
      <c r="BM275" s="492"/>
      <c r="BN275" s="492"/>
      <c r="BO275" s="492"/>
      <c r="BP275" s="492"/>
      <c r="BQ275" s="493"/>
      <c r="BR275" s="493"/>
      <c r="BS275" s="493"/>
      <c r="BT275" s="493"/>
    </row>
    <row r="276" spans="1:72" ht="9.9499999999999993" customHeight="1">
      <c r="A276" s="490"/>
      <c r="B276" s="492"/>
      <c r="C276" s="492"/>
      <c r="D276" s="492"/>
      <c r="E276" s="492"/>
      <c r="F276" s="492"/>
      <c r="G276" s="492"/>
      <c r="H276" s="492"/>
      <c r="I276" s="492"/>
      <c r="J276" s="492"/>
      <c r="K276" s="492"/>
      <c r="L276" s="492"/>
      <c r="M276" s="492"/>
      <c r="N276" s="492"/>
      <c r="O276" s="492"/>
      <c r="P276" s="492"/>
      <c r="Q276" s="492"/>
      <c r="R276" s="492"/>
      <c r="S276" s="492"/>
      <c r="T276" s="492"/>
      <c r="U276" s="492"/>
      <c r="V276" s="492"/>
      <c r="W276" s="492"/>
      <c r="X276" s="492"/>
      <c r="Y276" s="492"/>
      <c r="Z276" s="492"/>
      <c r="AA276" s="492"/>
      <c r="AB276" s="492"/>
      <c r="AC276" s="492"/>
      <c r="AD276" s="492"/>
      <c r="AE276" s="492"/>
      <c r="AF276" s="492"/>
      <c r="AG276" s="492"/>
      <c r="AH276" s="492"/>
      <c r="AI276" s="492"/>
      <c r="AJ276" s="492"/>
      <c r="AK276" s="492"/>
      <c r="AL276" s="492"/>
      <c r="AM276" s="492"/>
      <c r="AN276" s="492"/>
      <c r="AO276" s="492"/>
      <c r="AP276" s="492"/>
      <c r="AQ276" s="492"/>
      <c r="AR276" s="492"/>
      <c r="AS276" s="492"/>
      <c r="AT276" s="492"/>
      <c r="AU276" s="492"/>
      <c r="AV276" s="492"/>
      <c r="AW276" s="492"/>
      <c r="AX276" s="492"/>
      <c r="AY276" s="492"/>
      <c r="AZ276" s="492"/>
      <c r="BA276" s="492"/>
      <c r="BB276" s="492"/>
      <c r="BC276" s="492"/>
      <c r="BD276" s="492"/>
      <c r="BE276" s="492"/>
      <c r="BF276" s="492"/>
      <c r="BG276" s="492"/>
      <c r="BH276" s="492"/>
      <c r="BI276" s="492"/>
      <c r="BJ276" s="492"/>
      <c r="BK276" s="492"/>
      <c r="BL276" s="492"/>
      <c r="BM276" s="492"/>
      <c r="BN276" s="492"/>
      <c r="BO276" s="492"/>
      <c r="BP276" s="492"/>
      <c r="BQ276" s="493"/>
      <c r="BR276" s="493"/>
      <c r="BS276" s="493"/>
      <c r="BT276" s="493"/>
    </row>
    <row r="277" spans="1:72" ht="9.9499999999999993" customHeight="1">
      <c r="A277" s="490"/>
      <c r="B277" s="492"/>
      <c r="C277" s="492"/>
      <c r="D277" s="492"/>
      <c r="E277" s="492"/>
      <c r="F277" s="492"/>
      <c r="G277" s="492"/>
      <c r="H277" s="492"/>
      <c r="I277" s="492"/>
      <c r="J277" s="492"/>
      <c r="K277" s="492"/>
      <c r="L277" s="492"/>
      <c r="M277" s="492"/>
      <c r="N277" s="492"/>
      <c r="O277" s="492"/>
      <c r="P277" s="492"/>
      <c r="Q277" s="492"/>
      <c r="R277" s="492"/>
      <c r="S277" s="492"/>
      <c r="T277" s="492"/>
      <c r="U277" s="492"/>
      <c r="V277" s="492"/>
      <c r="W277" s="492"/>
      <c r="X277" s="492"/>
      <c r="Y277" s="492"/>
      <c r="Z277" s="492"/>
      <c r="AA277" s="492"/>
      <c r="AB277" s="492"/>
      <c r="AC277" s="492"/>
      <c r="AD277" s="492"/>
      <c r="AE277" s="492"/>
      <c r="AF277" s="492"/>
      <c r="AG277" s="492"/>
      <c r="AH277" s="492"/>
      <c r="AI277" s="492"/>
      <c r="AJ277" s="492"/>
      <c r="AK277" s="492"/>
      <c r="AL277" s="492"/>
      <c r="AM277" s="492"/>
      <c r="AN277" s="492"/>
      <c r="AO277" s="492"/>
      <c r="AP277" s="492"/>
      <c r="AQ277" s="492"/>
      <c r="AR277" s="492"/>
      <c r="AS277" s="492"/>
      <c r="AT277" s="492"/>
      <c r="AU277" s="492"/>
      <c r="AV277" s="492"/>
      <c r="AW277" s="492"/>
      <c r="AX277" s="492"/>
      <c r="AY277" s="492"/>
      <c r="AZ277" s="492"/>
      <c r="BA277" s="492"/>
      <c r="BB277" s="492"/>
      <c r="BC277" s="492"/>
      <c r="BD277" s="492"/>
      <c r="BE277" s="492"/>
      <c r="BF277" s="492"/>
      <c r="BG277" s="492"/>
      <c r="BH277" s="492"/>
      <c r="BI277" s="492"/>
      <c r="BJ277" s="492"/>
      <c r="BK277" s="492"/>
      <c r="BL277" s="492"/>
      <c r="BM277" s="492"/>
      <c r="BN277" s="492"/>
      <c r="BO277" s="492"/>
      <c r="BP277" s="492"/>
      <c r="BQ277" s="493"/>
      <c r="BR277" s="493"/>
      <c r="BS277" s="493"/>
      <c r="BT277" s="493"/>
    </row>
    <row r="278" spans="1:72" ht="9.9499999999999993" customHeight="1">
      <c r="A278" s="490"/>
      <c r="B278" s="492"/>
      <c r="C278" s="492"/>
      <c r="D278" s="492"/>
      <c r="E278" s="492"/>
      <c r="F278" s="492"/>
      <c r="G278" s="492"/>
      <c r="H278" s="492"/>
      <c r="I278" s="492"/>
      <c r="J278" s="492"/>
      <c r="K278" s="492"/>
      <c r="L278" s="492"/>
      <c r="M278" s="492"/>
      <c r="N278" s="492"/>
      <c r="O278" s="492"/>
      <c r="P278" s="492"/>
      <c r="Q278" s="492"/>
      <c r="R278" s="492"/>
      <c r="S278" s="492"/>
      <c r="T278" s="492"/>
      <c r="U278" s="492"/>
      <c r="V278" s="492"/>
      <c r="W278" s="492"/>
      <c r="X278" s="492"/>
      <c r="Y278" s="492"/>
      <c r="Z278" s="492"/>
      <c r="AA278" s="492"/>
      <c r="AB278" s="492"/>
      <c r="AC278" s="492"/>
      <c r="AD278" s="492"/>
      <c r="AE278" s="492"/>
      <c r="AF278" s="492"/>
      <c r="AG278" s="492"/>
      <c r="AH278" s="492"/>
      <c r="AI278" s="492"/>
      <c r="AJ278" s="492"/>
      <c r="AK278" s="492"/>
      <c r="AL278" s="492"/>
      <c r="AM278" s="492"/>
      <c r="AN278" s="492"/>
      <c r="AO278" s="492"/>
      <c r="AP278" s="492"/>
      <c r="AQ278" s="492"/>
      <c r="AR278" s="492"/>
      <c r="AS278" s="492"/>
      <c r="AT278" s="492"/>
      <c r="AU278" s="492"/>
      <c r="AV278" s="492"/>
      <c r="AW278" s="492"/>
      <c r="AX278" s="492"/>
      <c r="AY278" s="492"/>
      <c r="AZ278" s="492"/>
      <c r="BA278" s="492"/>
      <c r="BB278" s="492"/>
      <c r="BC278" s="492"/>
      <c r="BD278" s="492"/>
      <c r="BE278" s="492"/>
      <c r="BF278" s="492"/>
      <c r="BG278" s="492"/>
      <c r="BH278" s="492"/>
      <c r="BI278" s="492"/>
      <c r="BJ278" s="492"/>
      <c r="BK278" s="492"/>
      <c r="BL278" s="492"/>
      <c r="BM278" s="492"/>
      <c r="BN278" s="492"/>
      <c r="BO278" s="492"/>
      <c r="BP278" s="492"/>
      <c r="BQ278" s="493"/>
      <c r="BR278" s="493"/>
      <c r="BS278" s="493"/>
      <c r="BT278" s="493"/>
    </row>
    <row r="279" spans="1:72" ht="9.9499999999999993" customHeight="1">
      <c r="A279" s="490"/>
      <c r="B279" s="492"/>
      <c r="C279" s="492"/>
      <c r="D279" s="492"/>
      <c r="E279" s="492"/>
      <c r="F279" s="492"/>
      <c r="G279" s="492"/>
      <c r="H279" s="492"/>
      <c r="I279" s="492"/>
      <c r="J279" s="492"/>
      <c r="K279" s="492"/>
      <c r="L279" s="492"/>
      <c r="M279" s="492"/>
      <c r="N279" s="492"/>
      <c r="O279" s="492"/>
      <c r="P279" s="492"/>
      <c r="Q279" s="492"/>
      <c r="R279" s="492"/>
      <c r="S279" s="492"/>
      <c r="T279" s="492"/>
      <c r="U279" s="492"/>
      <c r="V279" s="492"/>
      <c r="W279" s="492"/>
      <c r="X279" s="492"/>
      <c r="Y279" s="492"/>
      <c r="Z279" s="492"/>
      <c r="AA279" s="492"/>
      <c r="AB279" s="492"/>
      <c r="AC279" s="492"/>
      <c r="AD279" s="492"/>
      <c r="AE279" s="492"/>
      <c r="AF279" s="492"/>
      <c r="AG279" s="492"/>
      <c r="AH279" s="492"/>
      <c r="AI279" s="492"/>
      <c r="AJ279" s="492"/>
      <c r="AK279" s="492"/>
      <c r="AL279" s="492"/>
      <c r="AM279" s="492"/>
      <c r="AN279" s="492"/>
      <c r="AO279" s="492"/>
      <c r="AP279" s="492"/>
      <c r="AQ279" s="492"/>
      <c r="AR279" s="492"/>
      <c r="AS279" s="492"/>
      <c r="AT279" s="492"/>
      <c r="AU279" s="492"/>
      <c r="AV279" s="492"/>
      <c r="AW279" s="492"/>
      <c r="AX279" s="492"/>
      <c r="AY279" s="492"/>
      <c r="AZ279" s="492"/>
      <c r="BA279" s="492"/>
      <c r="BB279" s="492"/>
      <c r="BC279" s="492"/>
      <c r="BD279" s="492"/>
      <c r="BE279" s="492"/>
      <c r="BF279" s="492"/>
      <c r="BG279" s="492"/>
      <c r="BH279" s="492"/>
      <c r="BI279" s="492"/>
      <c r="BJ279" s="492"/>
      <c r="BK279" s="492"/>
      <c r="BL279" s="492"/>
      <c r="BM279" s="492"/>
      <c r="BN279" s="492"/>
      <c r="BO279" s="492"/>
      <c r="BP279" s="492"/>
      <c r="BQ279" s="493"/>
      <c r="BR279" s="493"/>
      <c r="BS279" s="493"/>
      <c r="BT279" s="493"/>
    </row>
    <row r="280" spans="1:72" ht="9.9499999999999993" customHeight="1">
      <c r="A280" s="490"/>
      <c r="B280" s="492"/>
      <c r="C280" s="492"/>
      <c r="D280" s="492"/>
      <c r="E280" s="492"/>
      <c r="F280" s="492"/>
      <c r="G280" s="492"/>
      <c r="H280" s="492"/>
      <c r="I280" s="492"/>
      <c r="J280" s="492"/>
      <c r="K280" s="492"/>
      <c r="L280" s="492"/>
      <c r="M280" s="492"/>
      <c r="N280" s="492"/>
      <c r="O280" s="492"/>
      <c r="P280" s="492"/>
      <c r="Q280" s="492"/>
      <c r="R280" s="492"/>
      <c r="S280" s="492"/>
      <c r="T280" s="492"/>
      <c r="U280" s="492"/>
      <c r="V280" s="492"/>
      <c r="W280" s="492"/>
      <c r="X280" s="492"/>
      <c r="Y280" s="492"/>
      <c r="Z280" s="492"/>
      <c r="AA280" s="492"/>
      <c r="AB280" s="492"/>
      <c r="AC280" s="492"/>
      <c r="AD280" s="492"/>
      <c r="AE280" s="492"/>
      <c r="AF280" s="492"/>
      <c r="AG280" s="492"/>
      <c r="AH280" s="492"/>
      <c r="AI280" s="492"/>
      <c r="AJ280" s="492"/>
      <c r="AK280" s="492"/>
      <c r="AL280" s="492"/>
      <c r="AM280" s="492"/>
      <c r="AN280" s="492"/>
      <c r="AO280" s="492"/>
      <c r="AP280" s="492"/>
      <c r="AQ280" s="492"/>
      <c r="AR280" s="492"/>
      <c r="AS280" s="492"/>
      <c r="AT280" s="492"/>
      <c r="AU280" s="492"/>
      <c r="AV280" s="492"/>
      <c r="AW280" s="492"/>
      <c r="AX280" s="492"/>
      <c r="AY280" s="492"/>
      <c r="AZ280" s="492"/>
      <c r="BA280" s="492"/>
      <c r="BB280" s="492"/>
      <c r="BC280" s="492"/>
      <c r="BD280" s="492"/>
      <c r="BE280" s="492"/>
      <c r="BF280" s="492"/>
      <c r="BG280" s="492"/>
      <c r="BH280" s="492"/>
      <c r="BI280" s="492"/>
      <c r="BJ280" s="492"/>
      <c r="BK280" s="492"/>
      <c r="BL280" s="492"/>
      <c r="BM280" s="492"/>
      <c r="BN280" s="492"/>
      <c r="BO280" s="492"/>
      <c r="BP280" s="492"/>
      <c r="BQ280" s="493"/>
      <c r="BR280" s="493"/>
      <c r="BS280" s="493"/>
      <c r="BT280" s="493"/>
    </row>
    <row r="281" spans="1:72" ht="9.9499999999999993" customHeight="1">
      <c r="A281" s="490"/>
      <c r="B281" s="492"/>
      <c r="C281" s="492"/>
      <c r="D281" s="492"/>
      <c r="E281" s="492"/>
      <c r="F281" s="492"/>
      <c r="G281" s="492"/>
      <c r="H281" s="492"/>
      <c r="I281" s="492"/>
      <c r="J281" s="492"/>
      <c r="K281" s="492"/>
      <c r="L281" s="492"/>
      <c r="M281" s="492"/>
      <c r="N281" s="492"/>
      <c r="O281" s="492"/>
      <c r="P281" s="492"/>
      <c r="Q281" s="492"/>
      <c r="R281" s="492"/>
      <c r="S281" s="492"/>
      <c r="T281" s="492"/>
      <c r="U281" s="492"/>
      <c r="V281" s="492"/>
      <c r="W281" s="492"/>
      <c r="X281" s="492"/>
      <c r="Y281" s="492"/>
      <c r="Z281" s="492"/>
      <c r="AA281" s="492"/>
      <c r="AB281" s="492"/>
      <c r="AC281" s="492"/>
      <c r="AD281" s="492"/>
      <c r="AE281" s="492"/>
      <c r="AF281" s="492"/>
      <c r="AG281" s="492"/>
      <c r="AH281" s="492"/>
      <c r="AI281" s="492"/>
      <c r="AJ281" s="492"/>
      <c r="AK281" s="492"/>
      <c r="AL281" s="492"/>
      <c r="AM281" s="492"/>
      <c r="AN281" s="492"/>
      <c r="AO281" s="492"/>
      <c r="AP281" s="492"/>
      <c r="AQ281" s="492"/>
      <c r="AR281" s="492"/>
      <c r="AS281" s="492"/>
      <c r="AT281" s="492"/>
      <c r="AU281" s="492"/>
      <c r="AV281" s="492"/>
      <c r="AW281" s="492"/>
      <c r="AX281" s="492"/>
      <c r="AY281" s="492"/>
      <c r="AZ281" s="492"/>
      <c r="BA281" s="492"/>
      <c r="BB281" s="492"/>
      <c r="BC281" s="492"/>
      <c r="BD281" s="492"/>
      <c r="BE281" s="492"/>
      <c r="BF281" s="492"/>
      <c r="BG281" s="492"/>
      <c r="BH281" s="492"/>
      <c r="BI281" s="492"/>
      <c r="BJ281" s="492"/>
      <c r="BK281" s="492"/>
      <c r="BL281" s="492"/>
      <c r="BM281" s="492"/>
      <c r="BN281" s="492"/>
      <c r="BO281" s="492"/>
      <c r="BP281" s="492"/>
      <c r="BQ281" s="493"/>
      <c r="BR281" s="493"/>
      <c r="BS281" s="493"/>
      <c r="BT281" s="493"/>
    </row>
    <row r="282" spans="1:72" ht="9.9499999999999993" customHeight="1">
      <c r="A282" s="490"/>
      <c r="B282" s="492"/>
      <c r="C282" s="492"/>
      <c r="D282" s="492"/>
      <c r="E282" s="492"/>
      <c r="F282" s="492"/>
      <c r="G282" s="492"/>
      <c r="H282" s="492"/>
      <c r="I282" s="492"/>
      <c r="J282" s="492"/>
      <c r="K282" s="492"/>
      <c r="L282" s="492"/>
      <c r="M282" s="492"/>
      <c r="N282" s="492"/>
      <c r="O282" s="492"/>
      <c r="P282" s="492"/>
      <c r="Q282" s="492"/>
      <c r="R282" s="492"/>
      <c r="S282" s="492"/>
      <c r="T282" s="492"/>
      <c r="U282" s="492"/>
      <c r="V282" s="492"/>
      <c r="W282" s="492"/>
      <c r="X282" s="492"/>
      <c r="Y282" s="492"/>
      <c r="Z282" s="492"/>
      <c r="AA282" s="492"/>
      <c r="AB282" s="492"/>
      <c r="AC282" s="492"/>
      <c r="AD282" s="492"/>
      <c r="AE282" s="492"/>
      <c r="AF282" s="492"/>
      <c r="AG282" s="492"/>
      <c r="AH282" s="492"/>
      <c r="AI282" s="492"/>
      <c r="AJ282" s="492"/>
      <c r="AK282" s="492"/>
      <c r="AL282" s="492"/>
      <c r="AM282" s="492"/>
      <c r="AN282" s="492"/>
      <c r="AO282" s="492"/>
      <c r="AP282" s="492"/>
      <c r="AQ282" s="492"/>
      <c r="AR282" s="492"/>
      <c r="AS282" s="492"/>
      <c r="AT282" s="492"/>
      <c r="AU282" s="492"/>
      <c r="AV282" s="492"/>
      <c r="AW282" s="492"/>
      <c r="AX282" s="492"/>
      <c r="AY282" s="492"/>
      <c r="AZ282" s="492"/>
      <c r="BA282" s="492"/>
      <c r="BB282" s="492"/>
      <c r="BC282" s="492"/>
      <c r="BD282" s="492"/>
      <c r="BE282" s="492"/>
      <c r="BF282" s="492"/>
      <c r="BG282" s="492"/>
      <c r="BH282" s="492"/>
      <c r="BI282" s="492"/>
      <c r="BJ282" s="492"/>
      <c r="BK282" s="492"/>
      <c r="BL282" s="492"/>
      <c r="BM282" s="492"/>
      <c r="BN282" s="492"/>
      <c r="BO282" s="492"/>
      <c r="BP282" s="492"/>
      <c r="BQ282" s="493"/>
      <c r="BR282" s="493"/>
      <c r="BS282" s="493"/>
      <c r="BT282" s="493"/>
    </row>
    <row r="283" spans="1:72" ht="9.9499999999999993" customHeight="1">
      <c r="A283" s="490"/>
      <c r="B283" s="492"/>
      <c r="C283" s="492"/>
      <c r="D283" s="492"/>
      <c r="E283" s="492"/>
      <c r="F283" s="492"/>
      <c r="G283" s="492"/>
      <c r="H283" s="492"/>
      <c r="I283" s="492"/>
      <c r="J283" s="492"/>
      <c r="K283" s="492"/>
      <c r="L283" s="492"/>
      <c r="M283" s="492"/>
      <c r="N283" s="492"/>
      <c r="O283" s="492"/>
      <c r="P283" s="492"/>
      <c r="Q283" s="492"/>
      <c r="R283" s="492"/>
      <c r="S283" s="492"/>
      <c r="T283" s="492"/>
      <c r="U283" s="492"/>
      <c r="V283" s="492"/>
      <c r="W283" s="492"/>
      <c r="X283" s="492"/>
      <c r="Y283" s="492"/>
      <c r="Z283" s="492"/>
      <c r="AA283" s="492"/>
      <c r="AB283" s="492"/>
      <c r="AC283" s="492"/>
      <c r="AD283" s="492"/>
      <c r="AE283" s="492"/>
      <c r="AF283" s="492"/>
      <c r="AG283" s="492"/>
      <c r="AH283" s="492"/>
      <c r="AI283" s="492"/>
      <c r="AJ283" s="492"/>
      <c r="AK283" s="492"/>
      <c r="AL283" s="492"/>
      <c r="AM283" s="492"/>
      <c r="AN283" s="492"/>
      <c r="AO283" s="492"/>
      <c r="AP283" s="492"/>
      <c r="AQ283" s="492"/>
      <c r="AR283" s="492"/>
      <c r="AS283" s="492"/>
      <c r="AT283" s="492"/>
      <c r="AU283" s="492"/>
      <c r="AV283" s="492"/>
      <c r="AW283" s="492"/>
      <c r="AX283" s="492"/>
      <c r="AY283" s="492"/>
      <c r="AZ283" s="492"/>
      <c r="BA283" s="492"/>
      <c r="BB283" s="492"/>
      <c r="BC283" s="492"/>
      <c r="BD283" s="492"/>
      <c r="BE283" s="492"/>
      <c r="BF283" s="492"/>
      <c r="BG283" s="492"/>
      <c r="BH283" s="492"/>
      <c r="BI283" s="492"/>
      <c r="BJ283" s="492"/>
      <c r="BK283" s="492"/>
      <c r="BL283" s="492"/>
      <c r="BM283" s="492"/>
      <c r="BN283" s="492"/>
      <c r="BO283" s="492"/>
      <c r="BP283" s="492"/>
      <c r="BQ283" s="493"/>
      <c r="BR283" s="493"/>
      <c r="BS283" s="493"/>
      <c r="BT283" s="493"/>
    </row>
    <row r="284" spans="1:72" ht="9.9499999999999993" customHeight="1">
      <c r="A284" s="490"/>
      <c r="B284" s="492"/>
      <c r="C284" s="492"/>
      <c r="D284" s="492"/>
      <c r="E284" s="492"/>
      <c r="F284" s="492"/>
      <c r="G284" s="492"/>
      <c r="H284" s="492"/>
      <c r="I284" s="492"/>
      <c r="J284" s="492"/>
      <c r="K284" s="492"/>
      <c r="L284" s="492"/>
      <c r="M284" s="492"/>
      <c r="N284" s="492"/>
      <c r="O284" s="492"/>
      <c r="P284" s="492"/>
      <c r="Q284" s="492"/>
      <c r="R284" s="492"/>
      <c r="S284" s="492"/>
      <c r="T284" s="492"/>
      <c r="U284" s="492"/>
      <c r="V284" s="492"/>
      <c r="W284" s="492"/>
      <c r="X284" s="492"/>
      <c r="Y284" s="492"/>
      <c r="Z284" s="492"/>
      <c r="AA284" s="492"/>
      <c r="AB284" s="492"/>
      <c r="AC284" s="492"/>
      <c r="AD284" s="492"/>
      <c r="AE284" s="492"/>
      <c r="AF284" s="492"/>
      <c r="AG284" s="492"/>
      <c r="AH284" s="492"/>
      <c r="AI284" s="492"/>
      <c r="AJ284" s="492"/>
      <c r="AK284" s="492"/>
      <c r="AL284" s="492"/>
      <c r="AM284" s="492"/>
      <c r="AN284" s="492"/>
      <c r="AO284" s="492"/>
      <c r="AP284" s="492"/>
      <c r="AQ284" s="492"/>
      <c r="AR284" s="492"/>
      <c r="AS284" s="492"/>
      <c r="AT284" s="492"/>
      <c r="AU284" s="492"/>
      <c r="AV284" s="492"/>
      <c r="AW284" s="492"/>
      <c r="AX284" s="492"/>
      <c r="AY284" s="492"/>
      <c r="AZ284" s="492"/>
      <c r="BA284" s="492"/>
      <c r="BB284" s="492"/>
      <c r="BC284" s="492"/>
      <c r="BD284" s="492"/>
      <c r="BE284" s="492"/>
      <c r="BF284" s="492"/>
      <c r="BG284" s="492"/>
      <c r="BH284" s="492"/>
      <c r="BI284" s="492"/>
      <c r="BJ284" s="492"/>
      <c r="BK284" s="492"/>
      <c r="BL284" s="492"/>
      <c r="BM284" s="492"/>
      <c r="BN284" s="492"/>
      <c r="BO284" s="492"/>
      <c r="BP284" s="492"/>
      <c r="BQ284" s="493"/>
      <c r="BR284" s="493"/>
      <c r="BS284" s="493"/>
      <c r="BT284" s="493"/>
    </row>
    <row r="285" spans="1:72" ht="9.9499999999999993" customHeight="1">
      <c r="A285" s="490"/>
      <c r="B285" s="492"/>
      <c r="C285" s="492"/>
      <c r="D285" s="492"/>
      <c r="E285" s="492"/>
      <c r="F285" s="492"/>
      <c r="G285" s="492"/>
      <c r="H285" s="492"/>
      <c r="I285" s="492"/>
      <c r="J285" s="492"/>
      <c r="K285" s="492"/>
      <c r="L285" s="492"/>
      <c r="M285" s="492"/>
      <c r="N285" s="492"/>
      <c r="O285" s="492"/>
      <c r="P285" s="492"/>
      <c r="Q285" s="492"/>
      <c r="R285" s="492"/>
      <c r="S285" s="492"/>
      <c r="T285" s="492"/>
      <c r="U285" s="492"/>
      <c r="V285" s="492"/>
      <c r="W285" s="492"/>
      <c r="X285" s="492"/>
      <c r="Y285" s="492"/>
      <c r="Z285" s="492"/>
      <c r="AA285" s="492"/>
      <c r="AB285" s="492"/>
      <c r="AC285" s="492"/>
      <c r="AD285" s="492"/>
      <c r="AE285" s="492"/>
      <c r="AF285" s="492"/>
      <c r="AG285" s="492"/>
      <c r="AH285" s="492"/>
      <c r="AI285" s="492"/>
      <c r="AJ285" s="492"/>
      <c r="AK285" s="492"/>
      <c r="AL285" s="492"/>
      <c r="AM285" s="492"/>
      <c r="AN285" s="492"/>
      <c r="AO285" s="492"/>
      <c r="AP285" s="492"/>
      <c r="AQ285" s="492"/>
      <c r="AR285" s="492"/>
      <c r="AS285" s="492"/>
      <c r="AT285" s="492"/>
      <c r="AU285" s="492"/>
      <c r="AV285" s="492"/>
      <c r="AW285" s="492"/>
      <c r="AX285" s="492"/>
      <c r="AY285" s="492"/>
      <c r="AZ285" s="492"/>
      <c r="BA285" s="492"/>
      <c r="BB285" s="492"/>
      <c r="BC285" s="492"/>
      <c r="BD285" s="492"/>
      <c r="BE285" s="492"/>
      <c r="BF285" s="492"/>
      <c r="BG285" s="492"/>
      <c r="BH285" s="492"/>
      <c r="BI285" s="492"/>
      <c r="BJ285" s="492"/>
      <c r="BK285" s="492"/>
      <c r="BL285" s="492"/>
      <c r="BM285" s="492"/>
      <c r="BN285" s="492"/>
      <c r="BO285" s="492"/>
      <c r="BP285" s="492"/>
      <c r="BQ285" s="493"/>
      <c r="BR285" s="493"/>
      <c r="BS285" s="493"/>
      <c r="BT285" s="493"/>
    </row>
    <row r="286" spans="1:72" ht="9.9499999999999993" customHeight="1">
      <c r="A286" s="490"/>
      <c r="B286" s="492"/>
      <c r="C286" s="492"/>
      <c r="D286" s="492"/>
      <c r="E286" s="492"/>
      <c r="F286" s="492"/>
      <c r="G286" s="492"/>
      <c r="H286" s="492"/>
      <c r="I286" s="492"/>
      <c r="J286" s="492"/>
      <c r="K286" s="492"/>
      <c r="L286" s="492"/>
      <c r="M286" s="492"/>
      <c r="N286" s="492"/>
      <c r="O286" s="492"/>
      <c r="P286" s="492"/>
      <c r="Q286" s="492"/>
      <c r="R286" s="492"/>
      <c r="S286" s="492"/>
      <c r="T286" s="492"/>
      <c r="U286" s="492"/>
      <c r="V286" s="492"/>
      <c r="W286" s="492"/>
      <c r="X286" s="492"/>
      <c r="Y286" s="492"/>
      <c r="Z286" s="492"/>
      <c r="AA286" s="492"/>
      <c r="AB286" s="492"/>
      <c r="AC286" s="492"/>
      <c r="AD286" s="492"/>
      <c r="AE286" s="492"/>
      <c r="AF286" s="492"/>
      <c r="AG286" s="492"/>
      <c r="AH286" s="492"/>
      <c r="AI286" s="492"/>
      <c r="AJ286" s="492"/>
      <c r="AK286" s="492"/>
      <c r="AL286" s="492"/>
      <c r="AM286" s="492"/>
      <c r="AN286" s="492"/>
      <c r="AO286" s="492"/>
      <c r="AP286" s="492"/>
      <c r="AQ286" s="492"/>
      <c r="AR286" s="492"/>
      <c r="AS286" s="492"/>
      <c r="AT286" s="492"/>
      <c r="AU286" s="492"/>
      <c r="AV286" s="492"/>
      <c r="AW286" s="492"/>
      <c r="AX286" s="492"/>
      <c r="AY286" s="492"/>
      <c r="AZ286" s="492"/>
      <c r="BA286" s="492"/>
      <c r="BB286" s="492"/>
      <c r="BC286" s="492"/>
      <c r="BD286" s="492"/>
      <c r="BE286" s="492"/>
      <c r="BF286" s="492"/>
      <c r="BG286" s="492"/>
      <c r="BH286" s="492"/>
      <c r="BI286" s="492"/>
      <c r="BJ286" s="492"/>
      <c r="BK286" s="492"/>
      <c r="BL286" s="492"/>
      <c r="BM286" s="492"/>
      <c r="BN286" s="492"/>
      <c r="BO286" s="492"/>
      <c r="BP286" s="492"/>
      <c r="BQ286" s="493"/>
      <c r="BR286" s="493"/>
      <c r="BS286" s="493"/>
      <c r="BT286" s="493"/>
    </row>
    <row r="287" spans="1:72" ht="9.9499999999999993" customHeight="1">
      <c r="A287" s="490"/>
      <c r="B287" s="492"/>
      <c r="C287" s="492"/>
      <c r="D287" s="492"/>
      <c r="E287" s="492"/>
      <c r="F287" s="492"/>
      <c r="G287" s="492"/>
      <c r="H287" s="492"/>
      <c r="I287" s="492"/>
      <c r="J287" s="492"/>
      <c r="K287" s="492"/>
      <c r="L287" s="492"/>
      <c r="M287" s="492"/>
      <c r="N287" s="492"/>
      <c r="O287" s="492"/>
      <c r="P287" s="492"/>
      <c r="Q287" s="492"/>
      <c r="R287" s="492"/>
      <c r="S287" s="492"/>
      <c r="T287" s="492"/>
      <c r="U287" s="492"/>
      <c r="V287" s="492"/>
      <c r="W287" s="492"/>
      <c r="X287" s="492"/>
      <c r="Y287" s="492"/>
      <c r="Z287" s="492"/>
      <c r="AA287" s="492"/>
      <c r="AB287" s="492"/>
      <c r="AC287" s="492"/>
      <c r="AD287" s="492"/>
      <c r="AE287" s="492"/>
      <c r="AF287" s="492"/>
      <c r="AG287" s="492"/>
      <c r="AH287" s="492"/>
      <c r="AI287" s="492"/>
      <c r="AJ287" s="492"/>
      <c r="AK287" s="492"/>
      <c r="AL287" s="492"/>
      <c r="AM287" s="492"/>
      <c r="AN287" s="492"/>
      <c r="AO287" s="492"/>
      <c r="AP287" s="492"/>
      <c r="AQ287" s="492"/>
      <c r="AR287" s="492"/>
      <c r="AS287" s="492"/>
      <c r="AT287" s="492"/>
      <c r="AU287" s="492"/>
      <c r="AV287" s="492"/>
      <c r="AW287" s="492"/>
      <c r="AX287" s="492"/>
      <c r="AY287" s="492"/>
      <c r="AZ287" s="492"/>
      <c r="BA287" s="492"/>
      <c r="BB287" s="492"/>
      <c r="BC287" s="492"/>
      <c r="BD287" s="492"/>
      <c r="BE287" s="492"/>
      <c r="BF287" s="492"/>
      <c r="BG287" s="492"/>
      <c r="BH287" s="492"/>
      <c r="BI287" s="492"/>
      <c r="BJ287" s="492"/>
      <c r="BK287" s="492"/>
      <c r="BL287" s="492"/>
      <c r="BM287" s="492"/>
      <c r="BN287" s="492"/>
      <c r="BO287" s="492"/>
      <c r="BP287" s="492"/>
      <c r="BQ287" s="493"/>
      <c r="BR287" s="493"/>
      <c r="BS287" s="493"/>
      <c r="BT287" s="493"/>
    </row>
    <row r="288" spans="1:72" ht="9.9499999999999993" customHeight="1">
      <c r="A288" s="490"/>
      <c r="B288" s="492"/>
      <c r="C288" s="492"/>
      <c r="D288" s="492"/>
      <c r="E288" s="492"/>
      <c r="F288" s="492"/>
      <c r="G288" s="492"/>
      <c r="H288" s="492"/>
      <c r="I288" s="492"/>
      <c r="J288" s="492"/>
      <c r="K288" s="492"/>
      <c r="L288" s="492"/>
      <c r="M288" s="492"/>
      <c r="N288" s="492"/>
      <c r="O288" s="492"/>
      <c r="P288" s="492"/>
      <c r="Q288" s="492"/>
      <c r="R288" s="492"/>
      <c r="S288" s="492"/>
      <c r="T288" s="492"/>
      <c r="U288" s="492"/>
      <c r="V288" s="492"/>
      <c r="W288" s="492"/>
      <c r="X288" s="492"/>
      <c r="Y288" s="492"/>
      <c r="Z288" s="492"/>
      <c r="AA288" s="492"/>
      <c r="AB288" s="492"/>
      <c r="AC288" s="492"/>
      <c r="AD288" s="492"/>
      <c r="AE288" s="492"/>
      <c r="AF288" s="492"/>
      <c r="AG288" s="492"/>
      <c r="AH288" s="492"/>
      <c r="AI288" s="492"/>
      <c r="AJ288" s="492"/>
      <c r="AK288" s="492"/>
      <c r="AL288" s="492"/>
      <c r="AM288" s="492"/>
      <c r="AN288" s="492"/>
      <c r="AO288" s="492"/>
      <c r="AP288" s="492"/>
      <c r="AQ288" s="492"/>
      <c r="AR288" s="492"/>
      <c r="AS288" s="492"/>
      <c r="AT288" s="492"/>
      <c r="AU288" s="492"/>
      <c r="AV288" s="492"/>
      <c r="AW288" s="492"/>
      <c r="AX288" s="492"/>
      <c r="AY288" s="492"/>
      <c r="AZ288" s="492"/>
      <c r="BA288" s="492"/>
      <c r="BB288" s="492"/>
      <c r="BC288" s="492"/>
      <c r="BD288" s="492"/>
      <c r="BE288" s="492"/>
      <c r="BF288" s="492"/>
      <c r="BG288" s="492"/>
      <c r="BH288" s="492"/>
      <c r="BI288" s="492"/>
      <c r="BJ288" s="492"/>
      <c r="BK288" s="492"/>
      <c r="BL288" s="492"/>
      <c r="BM288" s="492"/>
      <c r="BN288" s="492"/>
      <c r="BO288" s="492"/>
      <c r="BP288" s="492"/>
      <c r="BQ288" s="493"/>
      <c r="BR288" s="493"/>
      <c r="BS288" s="493"/>
      <c r="BT288" s="493"/>
    </row>
    <row r="289" spans="1:76" ht="9.9499999999999993" customHeight="1">
      <c r="A289" s="490"/>
      <c r="B289" s="492"/>
      <c r="C289" s="492"/>
      <c r="D289" s="492"/>
      <c r="E289" s="492"/>
      <c r="F289" s="492"/>
      <c r="G289" s="492"/>
      <c r="H289" s="492"/>
      <c r="I289" s="492"/>
      <c r="J289" s="492"/>
      <c r="K289" s="492"/>
      <c r="L289" s="492"/>
      <c r="M289" s="492"/>
      <c r="N289" s="492"/>
      <c r="O289" s="492"/>
      <c r="P289" s="492"/>
      <c r="Q289" s="492"/>
      <c r="R289" s="492"/>
      <c r="S289" s="492"/>
      <c r="T289" s="492"/>
      <c r="U289" s="492"/>
      <c r="V289" s="492"/>
      <c r="W289" s="492"/>
      <c r="X289" s="492"/>
      <c r="Y289" s="492"/>
      <c r="Z289" s="492"/>
      <c r="AA289" s="492"/>
      <c r="AB289" s="492"/>
      <c r="AC289" s="492"/>
      <c r="AD289" s="492"/>
      <c r="AE289" s="492"/>
      <c r="AF289" s="492"/>
      <c r="AG289" s="492"/>
      <c r="AH289" s="492"/>
      <c r="AI289" s="492"/>
      <c r="AJ289" s="492"/>
      <c r="AK289" s="492"/>
      <c r="AL289" s="492"/>
      <c r="AM289" s="492"/>
      <c r="AN289" s="492"/>
      <c r="AO289" s="492"/>
      <c r="AP289" s="492"/>
      <c r="AQ289" s="492"/>
      <c r="AR289" s="492"/>
      <c r="AS289" s="492"/>
      <c r="AT289" s="492"/>
      <c r="AU289" s="492"/>
      <c r="AV289" s="492"/>
      <c r="AW289" s="492"/>
      <c r="AX289" s="492"/>
      <c r="AY289" s="492"/>
      <c r="AZ289" s="492"/>
      <c r="BA289" s="492"/>
      <c r="BB289" s="492"/>
      <c r="BC289" s="492"/>
      <c r="BD289" s="492"/>
      <c r="BE289" s="492"/>
      <c r="BF289" s="492"/>
      <c r="BG289" s="492"/>
      <c r="BH289" s="492"/>
      <c r="BI289" s="492"/>
      <c r="BJ289" s="492"/>
      <c r="BK289" s="492"/>
      <c r="BL289" s="492"/>
      <c r="BM289" s="492"/>
      <c r="BN289" s="492"/>
      <c r="BO289" s="492"/>
      <c r="BP289" s="492"/>
      <c r="BQ289" s="493"/>
      <c r="BR289" s="493"/>
      <c r="BS289" s="493"/>
      <c r="BT289" s="493"/>
    </row>
    <row r="290" spans="1:76" ht="9.9499999999999993" customHeight="1">
      <c r="A290" s="510"/>
      <c r="B290" s="511"/>
      <c r="C290" s="511"/>
      <c r="D290" s="511"/>
      <c r="E290" s="511"/>
      <c r="F290" s="511"/>
      <c r="G290" s="511"/>
      <c r="H290" s="511"/>
      <c r="I290" s="511"/>
      <c r="J290" s="511"/>
      <c r="K290" s="511"/>
      <c r="L290" s="511"/>
      <c r="M290" s="511"/>
      <c r="N290" s="511"/>
      <c r="O290" s="511"/>
      <c r="P290" s="511"/>
      <c r="Q290" s="511"/>
      <c r="R290" s="511"/>
      <c r="S290" s="511"/>
      <c r="T290" s="511"/>
      <c r="U290" s="511"/>
      <c r="V290" s="511"/>
      <c r="W290" s="511"/>
      <c r="X290" s="511"/>
      <c r="Y290" s="511"/>
      <c r="Z290" s="511"/>
      <c r="AA290" s="511"/>
      <c r="AB290" s="511"/>
      <c r="AC290" s="511"/>
      <c r="AD290" s="511"/>
      <c r="AE290" s="511"/>
      <c r="AF290" s="511"/>
      <c r="AG290" s="511"/>
      <c r="AH290" s="511"/>
      <c r="AI290" s="511"/>
      <c r="AJ290" s="511"/>
      <c r="AK290" s="511"/>
      <c r="AL290" s="511"/>
      <c r="AM290" s="511"/>
      <c r="AN290" s="511"/>
      <c r="AO290" s="511"/>
      <c r="AP290" s="511"/>
      <c r="AQ290" s="511"/>
      <c r="AR290" s="511"/>
      <c r="AS290" s="511"/>
      <c r="AT290" s="511"/>
      <c r="AU290" s="511"/>
      <c r="AV290" s="511"/>
      <c r="AW290" s="511"/>
      <c r="AX290" s="511"/>
      <c r="AY290" s="511"/>
      <c r="AZ290" s="511"/>
      <c r="BA290" s="511"/>
      <c r="BB290" s="511"/>
      <c r="BC290" s="511"/>
      <c r="BD290" s="511"/>
      <c r="BE290" s="511"/>
      <c r="BF290" s="511"/>
      <c r="BG290" s="511"/>
      <c r="BH290" s="511"/>
      <c r="BI290" s="511"/>
      <c r="BJ290" s="511"/>
      <c r="BK290" s="511"/>
      <c r="BL290" s="511"/>
      <c r="BM290" s="511"/>
      <c r="BN290" s="511"/>
      <c r="BO290" s="511"/>
      <c r="BP290" s="511"/>
      <c r="BQ290" s="522"/>
      <c r="BR290" s="522"/>
      <c r="BS290" s="522"/>
      <c r="BT290" s="522"/>
    </row>
    <row r="291" spans="1:76" ht="30.75" customHeight="1">
      <c r="A291" s="1499" t="s">
        <v>611</v>
      </c>
      <c r="B291" s="1500"/>
      <c r="C291" s="1500"/>
      <c r="D291" s="1500"/>
      <c r="E291" s="1500"/>
      <c r="F291" s="1500"/>
      <c r="G291" s="1500"/>
      <c r="H291" s="1500"/>
      <c r="I291" s="1500"/>
      <c r="J291" s="1500"/>
      <c r="K291" s="1500"/>
      <c r="L291" s="1500"/>
      <c r="M291" s="1500"/>
      <c r="N291" s="1500"/>
      <c r="O291" s="1500"/>
      <c r="P291" s="1500"/>
      <c r="Q291" s="1500"/>
      <c r="R291" s="1500"/>
      <c r="S291" s="1500"/>
      <c r="T291" s="1500"/>
      <c r="U291" s="1500"/>
      <c r="V291" s="1500"/>
      <c r="W291" s="1500"/>
      <c r="X291" s="1500"/>
      <c r="Y291" s="1500"/>
      <c r="Z291" s="1500"/>
      <c r="AA291" s="1500"/>
      <c r="AB291" s="1500"/>
      <c r="AC291" s="1500"/>
      <c r="AD291" s="1500"/>
      <c r="AE291" s="1500"/>
      <c r="AF291" s="1500"/>
      <c r="AG291" s="1500"/>
      <c r="AH291" s="1500"/>
      <c r="AI291" s="1500"/>
      <c r="AJ291" s="1500"/>
      <c r="AK291" s="1500"/>
      <c r="AL291" s="1500"/>
      <c r="AM291" s="1500"/>
      <c r="AN291" s="1500"/>
      <c r="AO291" s="1500"/>
      <c r="AP291" s="1500"/>
      <c r="AQ291" s="1500"/>
      <c r="AR291" s="1500"/>
      <c r="AS291" s="1500"/>
      <c r="AT291" s="1500"/>
      <c r="AU291" s="1500"/>
      <c r="AV291" s="1500"/>
      <c r="AW291" s="1500"/>
      <c r="AX291" s="1500"/>
      <c r="AY291" s="1500"/>
      <c r="AZ291" s="1500"/>
      <c r="BA291" s="1500"/>
      <c r="BB291" s="1500"/>
      <c r="BC291" s="1500"/>
      <c r="BD291" s="1500"/>
      <c r="BE291" s="1500"/>
      <c r="BF291" s="1500"/>
      <c r="BG291" s="1500"/>
      <c r="BH291" s="1500"/>
      <c r="BI291" s="1500"/>
      <c r="BJ291" s="1500"/>
      <c r="BK291" s="1500"/>
      <c r="BL291" s="1500"/>
      <c r="BM291" s="1500"/>
      <c r="BN291" s="1500"/>
      <c r="BO291" s="1500"/>
      <c r="BP291" s="1501"/>
      <c r="BQ291" s="452" t="s">
        <v>109</v>
      </c>
      <c r="BR291" s="452" t="s">
        <v>110</v>
      </c>
      <c r="BS291" s="452" t="s">
        <v>111</v>
      </c>
      <c r="BT291" s="452" t="s">
        <v>61</v>
      </c>
    </row>
    <row r="292" spans="1:76" ht="18" customHeight="1">
      <c r="A292" s="250"/>
      <c r="B292" s="57" t="s">
        <v>574</v>
      </c>
      <c r="C292" s="252"/>
      <c r="D292" s="252"/>
      <c r="E292" s="252"/>
      <c r="F292" s="252"/>
      <c r="G292" s="252"/>
      <c r="H292" s="252"/>
      <c r="I292" s="252"/>
      <c r="J292" s="252"/>
      <c r="K292" s="251"/>
      <c r="L292" s="252"/>
      <c r="M292" s="252"/>
      <c r="N292" s="252"/>
      <c r="O292" s="252"/>
      <c r="P292" s="252"/>
      <c r="Q292" s="57" t="s">
        <v>572</v>
      </c>
      <c r="R292" s="252"/>
      <c r="S292" s="252"/>
      <c r="T292" s="252"/>
      <c r="U292" s="252"/>
      <c r="V292" s="252"/>
      <c r="W292" s="252"/>
      <c r="X292" s="252"/>
      <c r="Y292" s="252"/>
      <c r="Z292" s="252"/>
      <c r="AA292" s="252"/>
      <c r="AB292" s="252"/>
      <c r="AC292" s="252"/>
      <c r="AD292" s="252"/>
      <c r="AE292" s="252"/>
      <c r="AF292" s="252"/>
      <c r="AG292" s="252"/>
      <c r="AH292" s="252"/>
      <c r="AI292" s="252"/>
      <c r="AJ292" s="252"/>
      <c r="AK292" s="252"/>
      <c r="AL292" s="252"/>
      <c r="AM292" s="252"/>
      <c r="AN292" s="252"/>
      <c r="AO292" s="252"/>
      <c r="AP292" s="252"/>
      <c r="AQ292" s="252"/>
      <c r="AR292" s="252"/>
      <c r="AS292" s="252"/>
      <c r="AT292" s="252"/>
      <c r="AU292" s="252"/>
      <c r="AV292" s="252"/>
      <c r="AW292" s="252"/>
      <c r="AX292" s="252"/>
      <c r="AY292" s="252"/>
      <c r="AZ292" s="252"/>
      <c r="BA292" s="252"/>
      <c r="BB292" s="252"/>
      <c r="BC292" s="252"/>
      <c r="BD292" s="252"/>
      <c r="BE292" s="252"/>
      <c r="BF292" s="252"/>
      <c r="BG292" s="252"/>
      <c r="BH292" s="252"/>
      <c r="BI292" s="252"/>
      <c r="BJ292" s="252"/>
      <c r="BK292" s="252"/>
      <c r="BL292" s="252"/>
      <c r="BM292" s="252"/>
      <c r="BN292" s="252"/>
      <c r="BO292" s="252"/>
      <c r="BP292" s="252"/>
      <c r="BQ292" s="253" t="e">
        <f>BQ338</f>
        <v>#REF!</v>
      </c>
      <c r="BR292" s="253">
        <f>BR338</f>
        <v>3247</v>
      </c>
      <c r="BS292" s="253" t="e">
        <f>BS338</f>
        <v>#REF!</v>
      </c>
      <c r="BT292" s="253">
        <f>BT338</f>
        <v>1883</v>
      </c>
      <c r="BV292" s="171" t="s">
        <v>113</v>
      </c>
      <c r="BW292" s="249">
        <f>VLOOKUP(BV292,인건비!A:B,2,FALSE)</f>
        <v>228717</v>
      </c>
    </row>
    <row r="293" spans="1:76" ht="9.9499999999999993" customHeight="1">
      <c r="A293" s="490"/>
      <c r="B293" s="492" t="s">
        <v>153</v>
      </c>
      <c r="C293" s="492"/>
      <c r="D293" s="492"/>
      <c r="E293" s="492" t="s">
        <v>154</v>
      </c>
      <c r="F293" s="492"/>
      <c r="G293" s="492"/>
      <c r="H293" s="492"/>
      <c r="I293" s="492"/>
      <c r="J293" s="492"/>
      <c r="K293" s="492"/>
      <c r="L293" s="492"/>
      <c r="M293" s="492"/>
      <c r="N293" s="492"/>
      <c r="O293" s="498">
        <v>20</v>
      </c>
      <c r="P293" s="498"/>
      <c r="Q293" s="498"/>
      <c r="R293" s="498"/>
      <c r="S293" s="492" t="s">
        <v>155</v>
      </c>
      <c r="T293" s="492"/>
      <c r="U293" s="492"/>
      <c r="V293" s="492"/>
      <c r="W293" s="492"/>
      <c r="X293" s="498">
        <f>O293</f>
        <v>20</v>
      </c>
      <c r="Y293" s="498"/>
      <c r="Z293" s="498"/>
      <c r="AA293" s="492" t="s">
        <v>156</v>
      </c>
      <c r="AB293" s="492"/>
      <c r="AC293" s="492"/>
      <c r="AD293" s="492"/>
      <c r="AE293" s="492"/>
      <c r="AF293" s="492"/>
      <c r="AG293" s="492"/>
      <c r="AH293" s="492"/>
      <c r="AI293" s="492"/>
      <c r="AJ293" s="492"/>
      <c r="AK293" s="492"/>
      <c r="AL293" s="492"/>
      <c r="AM293" s="492"/>
      <c r="AN293" s="492"/>
      <c r="AO293" s="492"/>
      <c r="AP293" s="492"/>
      <c r="AQ293" s="492"/>
      <c r="AR293" s="492"/>
      <c r="AS293" s="492"/>
      <c r="AT293" s="492"/>
      <c r="AU293" s="492"/>
      <c r="AV293" s="492"/>
      <c r="AW293" s="492"/>
      <c r="AX293" s="492"/>
      <c r="AY293" s="492"/>
      <c r="AZ293" s="492"/>
      <c r="BA293" s="492"/>
      <c r="BB293" s="492"/>
      <c r="BC293" s="492"/>
      <c r="BD293" s="492"/>
      <c r="BE293" s="492"/>
      <c r="BF293" s="492"/>
      <c r="BG293" s="492"/>
      <c r="BH293" s="492"/>
      <c r="BI293" s="492"/>
      <c r="BJ293" s="492"/>
      <c r="BK293" s="492"/>
      <c r="BL293" s="492"/>
      <c r="BM293" s="492"/>
      <c r="BN293" s="492"/>
      <c r="BO293" s="492"/>
      <c r="BP293" s="492"/>
      <c r="BQ293" s="499"/>
      <c r="BR293" s="499"/>
      <c r="BS293" s="499"/>
      <c r="BT293" s="499"/>
      <c r="BV293" s="171" t="s">
        <v>114</v>
      </c>
      <c r="BW293" s="249">
        <f>VLOOKUP(BV293,인건비!A:B,2,FALSE)</f>
        <v>172698</v>
      </c>
    </row>
    <row r="294" spans="1:76" ht="9.9499999999999993" customHeight="1">
      <c r="A294" s="490"/>
      <c r="B294" s="492" t="s">
        <v>153</v>
      </c>
      <c r="C294" s="492"/>
      <c r="D294" s="492"/>
      <c r="E294" s="492" t="s">
        <v>157</v>
      </c>
      <c r="F294" s="492"/>
      <c r="G294" s="492"/>
      <c r="H294" s="492"/>
      <c r="I294" s="492"/>
      <c r="J294" s="492"/>
      <c r="K294" s="492"/>
      <c r="L294" s="492"/>
      <c r="M294" s="492"/>
      <c r="N294" s="492"/>
      <c r="O294" s="492"/>
      <c r="P294" s="492"/>
      <c r="Q294" s="492"/>
      <c r="R294" s="492"/>
      <c r="S294" s="492"/>
      <c r="T294" s="492"/>
      <c r="U294" s="492"/>
      <c r="V294" s="492"/>
      <c r="W294" s="492"/>
      <c r="X294" s="492"/>
      <c r="Y294" s="492"/>
      <c r="Z294" s="492"/>
      <c r="AA294" s="492"/>
      <c r="AB294" s="492"/>
      <c r="AC294" s="492"/>
      <c r="AD294" s="492"/>
      <c r="AE294" s="492"/>
      <c r="AF294" s="492"/>
      <c r="AG294" s="492"/>
      <c r="AH294" s="492"/>
      <c r="AI294" s="492"/>
      <c r="AJ294" s="492"/>
      <c r="AK294" s="492"/>
      <c r="AL294" s="492"/>
      <c r="AM294" s="492"/>
      <c r="AN294" s="492"/>
      <c r="AO294" s="492"/>
      <c r="AP294" s="492"/>
      <c r="AQ294" s="492"/>
      <c r="AR294" s="492"/>
      <c r="AS294" s="492"/>
      <c r="AT294" s="492"/>
      <c r="AU294" s="492"/>
      <c r="AV294" s="492"/>
      <c r="AW294" s="492"/>
      <c r="AX294" s="492"/>
      <c r="AY294" s="492"/>
      <c r="AZ294" s="492"/>
      <c r="BA294" s="492"/>
      <c r="BB294" s="492"/>
      <c r="BC294" s="492"/>
      <c r="BD294" s="492"/>
      <c r="BE294" s="492"/>
      <c r="BF294" s="492"/>
      <c r="BG294" s="492"/>
      <c r="BH294" s="492"/>
      <c r="BI294" s="492"/>
      <c r="BJ294" s="492"/>
      <c r="BK294" s="492"/>
      <c r="BL294" s="492"/>
      <c r="BM294" s="492"/>
      <c r="BN294" s="492"/>
      <c r="BO294" s="492"/>
      <c r="BP294" s="492"/>
      <c r="BQ294" s="499"/>
      <c r="BR294" s="499"/>
      <c r="BS294" s="499"/>
      <c r="BT294" s="499"/>
      <c r="BV294" s="49" t="s">
        <v>762</v>
      </c>
      <c r="BW294" s="249">
        <f>VLOOKUP(BV294,인건비!A:B,2,FALSE)</f>
        <v>221306</v>
      </c>
    </row>
    <row r="295" spans="1:76" ht="9.9499999999999993" customHeight="1">
      <c r="A295" s="490"/>
      <c r="B295" s="492"/>
      <c r="C295" s="492"/>
      <c r="D295" s="492"/>
      <c r="E295" s="1497" t="s">
        <v>563</v>
      </c>
      <c r="F295" s="1498"/>
      <c r="G295" s="1498"/>
      <c r="H295" s="1498"/>
      <c r="I295" s="1498"/>
      <c r="J295" s="1498"/>
      <c r="K295" s="1498"/>
      <c r="L295" s="1498"/>
      <c r="M295" s="1498"/>
      <c r="N295" s="1498"/>
      <c r="O295" s="1498"/>
      <c r="P295" s="1498"/>
      <c r="Q295" s="1498"/>
      <c r="R295" s="1498"/>
      <c r="S295" s="1498"/>
      <c r="T295" s="1498"/>
      <c r="U295" s="1498"/>
      <c r="V295" s="1498"/>
      <c r="W295" s="1498"/>
      <c r="X295" s="1498"/>
      <c r="Y295" s="1498"/>
      <c r="Z295" s="1498"/>
      <c r="AA295" s="1498"/>
      <c r="AB295" s="1498"/>
      <c r="AC295" s="1498"/>
      <c r="AD295" s="1498"/>
      <c r="AE295" s="1498"/>
      <c r="AF295" s="1498"/>
      <c r="AG295" s="1498"/>
      <c r="AH295" s="1498"/>
      <c r="AI295" s="1498"/>
      <c r="AJ295" s="1498"/>
      <c r="AK295" s="1498"/>
      <c r="AL295" s="1498"/>
      <c r="AM295" s="1498"/>
      <c r="AN295" s="1498"/>
      <c r="AO295" s="1498"/>
      <c r="AP295" s="1498"/>
      <c r="AQ295" s="1498"/>
      <c r="AR295" s="492"/>
      <c r="AS295" s="492"/>
      <c r="AT295" s="492"/>
      <c r="AU295" s="492"/>
      <c r="AV295" s="492"/>
      <c r="AW295" s="492"/>
      <c r="AX295" s="492"/>
      <c r="AY295" s="492"/>
      <c r="AZ295" s="492"/>
      <c r="BA295" s="492"/>
      <c r="BB295" s="492"/>
      <c r="BC295" s="492"/>
      <c r="BD295" s="492"/>
      <c r="BE295" s="492"/>
      <c r="BF295" s="492"/>
      <c r="BG295" s="492"/>
      <c r="BH295" s="492"/>
      <c r="BI295" s="492"/>
      <c r="BJ295" s="492"/>
      <c r="BK295" s="492"/>
      <c r="BL295" s="492"/>
      <c r="BM295" s="492"/>
      <c r="BN295" s="492"/>
      <c r="BO295" s="492"/>
      <c r="BP295" s="492"/>
      <c r="BQ295" s="499"/>
      <c r="BR295" s="499"/>
      <c r="BS295" s="499"/>
      <c r="BT295" s="499"/>
      <c r="BV295" s="655" t="s">
        <v>718</v>
      </c>
      <c r="BW295" s="656" t="s">
        <v>629</v>
      </c>
      <c r="BX295" s="657"/>
    </row>
    <row r="296" spans="1:76" ht="9.9499999999999993" customHeight="1">
      <c r="A296" s="490"/>
      <c r="B296" s="492"/>
      <c r="C296" s="492"/>
      <c r="D296" s="492"/>
      <c r="E296" s="1497" t="s">
        <v>564</v>
      </c>
      <c r="F296" s="1498"/>
      <c r="G296" s="1498"/>
      <c r="H296" s="1498"/>
      <c r="I296" s="1498"/>
      <c r="J296" s="1498"/>
      <c r="K296" s="1498"/>
      <c r="L296" s="1498"/>
      <c r="M296" s="1498"/>
      <c r="N296" s="1498"/>
      <c r="O296" s="1498"/>
      <c r="P296" s="1498"/>
      <c r="Q296" s="1498"/>
      <c r="R296" s="1498"/>
      <c r="S296" s="1498"/>
      <c r="T296" s="1498"/>
      <c r="U296" s="1498"/>
      <c r="V296" s="1498"/>
      <c r="W296" s="1498"/>
      <c r="X296" s="1498"/>
      <c r="Y296" s="1498"/>
      <c r="Z296" s="1498"/>
      <c r="AA296" s="1498"/>
      <c r="AB296" s="1498"/>
      <c r="AC296" s="1498"/>
      <c r="AD296" s="1498"/>
      <c r="AE296" s="1498"/>
      <c r="AF296" s="1498"/>
      <c r="AG296" s="1498"/>
      <c r="AH296" s="1498"/>
      <c r="AI296" s="1498"/>
      <c r="AJ296" s="1498"/>
      <c r="AK296" s="1498"/>
      <c r="AL296" s="1498"/>
      <c r="AM296" s="1498"/>
      <c r="AN296" s="1498"/>
      <c r="AO296" s="1498"/>
      <c r="AP296" s="1498"/>
      <c r="AQ296" s="1498"/>
      <c r="AR296" s="492"/>
      <c r="AS296" s="492"/>
      <c r="AT296" s="492"/>
      <c r="AU296" s="492"/>
      <c r="AV296" s="492"/>
      <c r="AW296" s="492"/>
      <c r="AX296" s="492"/>
      <c r="AY296" s="492"/>
      <c r="AZ296" s="492"/>
      <c r="BA296" s="492"/>
      <c r="BB296" s="492"/>
      <c r="BC296" s="492"/>
      <c r="BD296" s="492"/>
      <c r="BE296" s="492"/>
      <c r="BF296" s="492"/>
      <c r="BG296" s="492"/>
      <c r="BH296" s="492"/>
      <c r="BI296" s="492"/>
      <c r="BJ296" s="492"/>
      <c r="BK296" s="492"/>
      <c r="BL296" s="492"/>
      <c r="BM296" s="492"/>
      <c r="BN296" s="492"/>
      <c r="BO296" s="492"/>
      <c r="BP296" s="492"/>
      <c r="BQ296" s="499"/>
      <c r="BR296" s="499"/>
      <c r="BS296" s="499"/>
      <c r="BT296" s="499"/>
      <c r="BW296" s="249"/>
    </row>
    <row r="297" spans="1:76" ht="9.9499999999999993" customHeight="1">
      <c r="A297" s="490"/>
      <c r="B297" s="492" t="s">
        <v>686</v>
      </c>
      <c r="C297" s="492"/>
      <c r="D297" s="492"/>
      <c r="E297" s="492"/>
      <c r="F297" s="492"/>
      <c r="G297" s="492"/>
      <c r="H297" s="492"/>
      <c r="I297" s="492"/>
      <c r="J297" s="492"/>
      <c r="K297" s="492"/>
      <c r="L297" s="492"/>
      <c r="M297" s="492"/>
      <c r="N297" s="492"/>
      <c r="O297" s="492"/>
      <c r="P297" s="492"/>
      <c r="Q297" s="492"/>
      <c r="R297" s="492"/>
      <c r="S297" s="492"/>
      <c r="T297" s="492"/>
      <c r="U297" s="492"/>
      <c r="V297" s="492"/>
      <c r="W297" s="492"/>
      <c r="X297" s="492"/>
      <c r="Y297" s="492"/>
      <c r="Z297" s="492"/>
      <c r="AA297" s="492"/>
      <c r="AB297" s="492"/>
      <c r="AC297" s="492"/>
      <c r="AD297" s="492"/>
      <c r="AE297" s="492"/>
      <c r="AF297" s="492"/>
      <c r="AG297" s="492"/>
      <c r="AH297" s="492"/>
      <c r="AI297" s="492"/>
      <c r="AJ297" s="492"/>
      <c r="AK297" s="492"/>
      <c r="AL297" s="492"/>
      <c r="AM297" s="492"/>
      <c r="AN297" s="492"/>
      <c r="AO297" s="492"/>
      <c r="AP297" s="492"/>
      <c r="AQ297" s="492"/>
      <c r="AR297" s="492"/>
      <c r="AS297" s="492"/>
      <c r="AT297" s="492"/>
      <c r="AU297" s="492"/>
      <c r="AV297" s="492"/>
      <c r="AW297" s="492"/>
      <c r="AX297" s="492"/>
      <c r="AY297" s="492"/>
      <c r="AZ297" s="492"/>
      <c r="BA297" s="492"/>
      <c r="BB297" s="492"/>
      <c r="BC297" s="492"/>
      <c r="BD297" s="492"/>
      <c r="BE297" s="492"/>
      <c r="BF297" s="492"/>
      <c r="BG297" s="492"/>
      <c r="BH297" s="492"/>
      <c r="BI297" s="492"/>
      <c r="BJ297" s="492"/>
      <c r="BK297" s="492"/>
      <c r="BL297" s="492"/>
      <c r="BM297" s="492"/>
      <c r="BN297" s="492"/>
      <c r="BO297" s="492"/>
      <c r="BP297" s="492"/>
      <c r="BQ297" s="493"/>
      <c r="BR297" s="493"/>
      <c r="BS297" s="493"/>
      <c r="BT297" s="493"/>
      <c r="BW297" s="210"/>
    </row>
    <row r="298" spans="1:76" ht="9.9499999999999993" customHeight="1">
      <c r="A298" s="490"/>
      <c r="B298" s="492"/>
      <c r="C298" s="492" t="s">
        <v>565</v>
      </c>
      <c r="D298" s="492"/>
      <c r="E298" s="492"/>
      <c r="F298" s="492"/>
      <c r="G298" s="495"/>
      <c r="H298" s="495"/>
      <c r="I298" s="495"/>
      <c r="J298" s="495"/>
      <c r="K298" s="495"/>
      <c r="L298" s="492"/>
      <c r="M298" s="492"/>
      <c r="N298" s="492"/>
      <c r="O298" s="492"/>
      <c r="P298" s="492"/>
      <c r="Q298" s="492"/>
      <c r="R298" s="495"/>
      <c r="S298" s="495"/>
      <c r="T298" s="495"/>
      <c r="U298" s="495"/>
      <c r="V298" s="495"/>
      <c r="W298" s="492"/>
      <c r="X298" s="492"/>
      <c r="Y298" s="492"/>
      <c r="Z298" s="492"/>
      <c r="AA298" s="492"/>
      <c r="AB298" s="492"/>
      <c r="AC298" s="492"/>
      <c r="AD298" s="492"/>
      <c r="AE298" s="492"/>
      <c r="AF298" s="496"/>
      <c r="AG298" s="492"/>
      <c r="AH298" s="495"/>
      <c r="AI298" s="495"/>
      <c r="AJ298" s="495"/>
      <c r="AK298" s="495"/>
      <c r="AL298" s="495"/>
      <c r="AM298" s="496"/>
      <c r="AN298" s="492"/>
      <c r="AO298" s="495"/>
      <c r="AP298" s="495"/>
      <c r="AQ298" s="495"/>
      <c r="AR298" s="495"/>
      <c r="AS298" s="495"/>
      <c r="AT298" s="495"/>
      <c r="AU298" s="492"/>
      <c r="AV298" s="492"/>
      <c r="AW298" s="492"/>
      <c r="AX298" s="492"/>
      <c r="AY298" s="492"/>
      <c r="AZ298" s="492"/>
      <c r="BA298" s="492"/>
      <c r="BB298" s="492"/>
      <c r="BC298" s="492"/>
      <c r="BD298" s="492"/>
      <c r="BE298" s="492"/>
      <c r="BF298" s="492"/>
      <c r="BG298" s="492"/>
      <c r="BH298" s="492"/>
      <c r="BI298" s="492"/>
      <c r="BJ298" s="492"/>
      <c r="BK298" s="492"/>
      <c r="BL298" s="492"/>
      <c r="BM298" s="492"/>
      <c r="BN298" s="492"/>
      <c r="BO298" s="492"/>
      <c r="BP298" s="492"/>
      <c r="BQ298" s="493"/>
      <c r="BR298" s="493"/>
      <c r="BS298" s="493"/>
      <c r="BT298" s="493"/>
      <c r="BW298" s="241"/>
    </row>
    <row r="299" spans="1:76" ht="9.9499999999999993" customHeight="1">
      <c r="A299" s="490"/>
      <c r="B299" s="492"/>
      <c r="C299" s="492"/>
      <c r="D299" s="492"/>
      <c r="E299" s="492" t="s">
        <v>66</v>
      </c>
      <c r="F299" s="492"/>
      <c r="G299" s="492"/>
      <c r="H299" s="492"/>
      <c r="I299" s="492"/>
      <c r="J299" s="492"/>
      <c r="K299" s="492"/>
      <c r="L299" s="502"/>
      <c r="M299" s="492"/>
      <c r="N299" s="492"/>
      <c r="O299" s="492"/>
      <c r="P299" s="1505" t="e">
        <f>'기계경비(OLD)'!$AT$369</f>
        <v>#REF!</v>
      </c>
      <c r="Q299" s="1498"/>
      <c r="R299" s="1498"/>
      <c r="S299" s="1498"/>
      <c r="T299" s="1498"/>
      <c r="U299" s="1498"/>
      <c r="V299" s="1498"/>
      <c r="W299" s="507" t="s">
        <v>99</v>
      </c>
      <c r="X299" s="497"/>
      <c r="Y299" s="1502">
        <v>68</v>
      </c>
      <c r="Z299" s="1503"/>
      <c r="AA299" s="1503"/>
      <c r="AB299" s="1503"/>
      <c r="AC299" s="1503"/>
      <c r="AD299" s="1503"/>
      <c r="AE299" s="1503"/>
      <c r="AF299" s="1503"/>
      <c r="AG299" s="507" t="s">
        <v>103</v>
      </c>
      <c r="AH299" s="497"/>
      <c r="AI299" s="1504" t="e">
        <f>INT(P299/Y299)</f>
        <v>#REF!</v>
      </c>
      <c r="AJ299" s="1494"/>
      <c r="AK299" s="1494"/>
      <c r="AL299" s="1494"/>
      <c r="AM299" s="1494"/>
      <c r="AN299" s="1494"/>
      <c r="AO299" s="1494"/>
      <c r="AP299" s="1496" t="s">
        <v>687</v>
      </c>
      <c r="AQ299" s="1496"/>
      <c r="AR299" s="1496"/>
      <c r="AS299" s="1496"/>
      <c r="AT299" s="1496"/>
      <c r="AU299" s="1496"/>
      <c r="AV299" s="1496"/>
      <c r="AW299" s="1496"/>
      <c r="AX299" s="1496"/>
      <c r="AY299" s="1496"/>
      <c r="AZ299" s="1496"/>
      <c r="BA299" s="492"/>
      <c r="BB299" s="492"/>
      <c r="BC299" s="492"/>
      <c r="BD299" s="492"/>
      <c r="BE299" s="492"/>
      <c r="BF299" s="492"/>
      <c r="BG299" s="492"/>
      <c r="BH299" s="492"/>
      <c r="BI299" s="492"/>
      <c r="BJ299" s="492"/>
      <c r="BK299" s="492"/>
      <c r="BL299" s="492"/>
      <c r="BM299" s="492"/>
      <c r="BN299" s="492"/>
      <c r="BO299" s="492"/>
      <c r="BP299" s="492"/>
      <c r="BQ299" s="499" t="e">
        <f>SUM(BR299:BT299)</f>
        <v>#REF!</v>
      </c>
      <c r="BR299" s="499"/>
      <c r="BS299" s="499" t="e">
        <f>AI299</f>
        <v>#REF!</v>
      </c>
      <c r="BT299" s="499"/>
    </row>
    <row r="300" spans="1:76" ht="9.9499999999999993" customHeight="1">
      <c r="A300" s="490"/>
      <c r="B300" s="492"/>
      <c r="C300" s="492"/>
      <c r="D300" s="492"/>
      <c r="E300" s="492" t="s">
        <v>67</v>
      </c>
      <c r="F300" s="492"/>
      <c r="G300" s="492"/>
      <c r="H300" s="492"/>
      <c r="I300" s="492"/>
      <c r="J300" s="492"/>
      <c r="K300" s="492"/>
      <c r="L300" s="502"/>
      <c r="M300" s="492"/>
      <c r="N300" s="492"/>
      <c r="O300" s="492"/>
      <c r="P300" s="1505">
        <f>'기계경비(OLD)'!$BU$362</f>
        <v>59025</v>
      </c>
      <c r="Q300" s="1498"/>
      <c r="R300" s="1498"/>
      <c r="S300" s="1498"/>
      <c r="T300" s="1498"/>
      <c r="U300" s="1498"/>
      <c r="V300" s="1498"/>
      <c r="W300" s="507" t="s">
        <v>99</v>
      </c>
      <c r="X300" s="497"/>
      <c r="Y300" s="1502">
        <v>68</v>
      </c>
      <c r="Z300" s="1503"/>
      <c r="AA300" s="1503"/>
      <c r="AB300" s="1503"/>
      <c r="AC300" s="1503"/>
      <c r="AD300" s="1503"/>
      <c r="AE300" s="1503"/>
      <c r="AF300" s="1503"/>
      <c r="AG300" s="507" t="s">
        <v>103</v>
      </c>
      <c r="AH300" s="497"/>
      <c r="AI300" s="1504">
        <f>INT(P300/Y300)</f>
        <v>868</v>
      </c>
      <c r="AJ300" s="1494"/>
      <c r="AK300" s="1494"/>
      <c r="AL300" s="1494"/>
      <c r="AM300" s="1494"/>
      <c r="AN300" s="1494"/>
      <c r="AO300" s="1494"/>
      <c r="AP300" s="1496" t="s">
        <v>687</v>
      </c>
      <c r="AQ300" s="1496"/>
      <c r="AR300" s="1496"/>
      <c r="AS300" s="1496"/>
      <c r="AT300" s="1496"/>
      <c r="AU300" s="1496"/>
      <c r="AV300" s="1496"/>
      <c r="AW300" s="1496"/>
      <c r="AX300" s="1496"/>
      <c r="AY300" s="1496"/>
      <c r="AZ300" s="1496"/>
      <c r="BA300" s="492"/>
      <c r="BB300" s="492"/>
      <c r="BC300" s="492"/>
      <c r="BD300" s="492"/>
      <c r="BE300" s="492"/>
      <c r="BF300" s="492"/>
      <c r="BG300" s="492"/>
      <c r="BH300" s="492"/>
      <c r="BI300" s="492"/>
      <c r="BJ300" s="492"/>
      <c r="BK300" s="492"/>
      <c r="BL300" s="492"/>
      <c r="BM300" s="492"/>
      <c r="BN300" s="492"/>
      <c r="BO300" s="492"/>
      <c r="BP300" s="492"/>
      <c r="BQ300" s="499">
        <f>SUM(BR300:BT300)</f>
        <v>868</v>
      </c>
      <c r="BR300" s="499">
        <f>AI300</f>
        <v>868</v>
      </c>
      <c r="BS300" s="499"/>
      <c r="BT300" s="499"/>
    </row>
    <row r="301" spans="1:76" ht="9.9499999999999993" customHeight="1">
      <c r="A301" s="490"/>
      <c r="B301" s="492"/>
      <c r="C301" s="492"/>
      <c r="D301" s="492"/>
      <c r="E301" s="492" t="s">
        <v>68</v>
      </c>
      <c r="F301" s="492"/>
      <c r="G301" s="492"/>
      <c r="H301" s="492"/>
      <c r="I301" s="492"/>
      <c r="J301" s="492"/>
      <c r="K301" s="492"/>
      <c r="L301" s="502"/>
      <c r="M301" s="492"/>
      <c r="N301" s="492"/>
      <c r="O301" s="492"/>
      <c r="P301" s="1505">
        <f>'기계경비(OLD)'!$BN$373</f>
        <v>45240</v>
      </c>
      <c r="Q301" s="1498"/>
      <c r="R301" s="1498"/>
      <c r="S301" s="1498"/>
      <c r="T301" s="1498"/>
      <c r="U301" s="1498"/>
      <c r="V301" s="1498"/>
      <c r="W301" s="507" t="s">
        <v>99</v>
      </c>
      <c r="X301" s="497"/>
      <c r="Y301" s="1502">
        <v>68</v>
      </c>
      <c r="Z301" s="1503"/>
      <c r="AA301" s="1503"/>
      <c r="AB301" s="1503"/>
      <c r="AC301" s="1503"/>
      <c r="AD301" s="1503"/>
      <c r="AE301" s="1503"/>
      <c r="AF301" s="1503"/>
      <c r="AG301" s="507" t="s">
        <v>103</v>
      </c>
      <c r="AH301" s="497"/>
      <c r="AI301" s="1504">
        <f>INT(P301/Y301)</f>
        <v>665</v>
      </c>
      <c r="AJ301" s="1494"/>
      <c r="AK301" s="1494"/>
      <c r="AL301" s="1494"/>
      <c r="AM301" s="1494"/>
      <c r="AN301" s="1494"/>
      <c r="AO301" s="1494"/>
      <c r="AP301" s="1496" t="s">
        <v>687</v>
      </c>
      <c r="AQ301" s="1496"/>
      <c r="AR301" s="1496"/>
      <c r="AS301" s="1496"/>
      <c r="AT301" s="1496"/>
      <c r="AU301" s="1496"/>
      <c r="AV301" s="1496"/>
      <c r="AW301" s="1496"/>
      <c r="AX301" s="1496"/>
      <c r="AY301" s="1496"/>
      <c r="AZ301" s="1496"/>
      <c r="BA301" s="492"/>
      <c r="BB301" s="492"/>
      <c r="BC301" s="492"/>
      <c r="BD301" s="492"/>
      <c r="BE301" s="492"/>
      <c r="BF301" s="492"/>
      <c r="BG301" s="492"/>
      <c r="BH301" s="492"/>
      <c r="BI301" s="492"/>
      <c r="BJ301" s="492"/>
      <c r="BK301" s="492"/>
      <c r="BL301" s="492"/>
      <c r="BM301" s="492"/>
      <c r="BN301" s="492"/>
      <c r="BO301" s="492"/>
      <c r="BP301" s="492"/>
      <c r="BQ301" s="499">
        <f>SUM(BR301:BT301)</f>
        <v>665</v>
      </c>
      <c r="BR301" s="499"/>
      <c r="BS301" s="499"/>
      <c r="BT301" s="499">
        <f>AI301</f>
        <v>665</v>
      </c>
    </row>
    <row r="302" spans="1:76" ht="9.9499999999999993" customHeight="1">
      <c r="A302" s="490"/>
      <c r="B302" s="492"/>
      <c r="C302" s="492" t="s">
        <v>63</v>
      </c>
      <c r="D302" s="492"/>
      <c r="E302" s="492"/>
      <c r="F302" s="492"/>
      <c r="G302" s="492"/>
      <c r="H302" s="492"/>
      <c r="I302" s="492"/>
      <c r="J302" s="492"/>
      <c r="K302" s="492"/>
      <c r="L302" s="502"/>
      <c r="M302" s="492"/>
      <c r="N302" s="492"/>
      <c r="O302" s="492"/>
      <c r="P302" s="492"/>
      <c r="Q302" s="492"/>
      <c r="R302" s="492"/>
      <c r="S302" s="492"/>
      <c r="T302" s="496"/>
      <c r="U302" s="492"/>
      <c r="V302" s="492"/>
      <c r="W302" s="492"/>
      <c r="X302" s="492"/>
      <c r="Y302" s="492"/>
      <c r="Z302" s="492"/>
      <c r="AA302" s="492"/>
      <c r="AB302" s="492"/>
      <c r="AC302" s="492"/>
      <c r="AD302" s="492"/>
      <c r="AE302" s="492"/>
      <c r="AF302" s="492"/>
      <c r="AG302" s="492"/>
      <c r="AH302" s="492"/>
      <c r="AI302" s="496"/>
      <c r="AJ302" s="492"/>
      <c r="AK302" s="492"/>
      <c r="AL302" s="492"/>
      <c r="AM302" s="492"/>
      <c r="AN302" s="492"/>
      <c r="AO302" s="492"/>
      <c r="AP302" s="492"/>
      <c r="AQ302" s="492"/>
      <c r="AR302" s="492"/>
      <c r="AS302" s="492"/>
      <c r="AT302" s="492"/>
      <c r="AU302" s="492"/>
      <c r="AV302" s="492"/>
      <c r="AW302" s="492"/>
      <c r="AX302" s="492"/>
      <c r="AY302" s="492"/>
      <c r="AZ302" s="492"/>
      <c r="BA302" s="492"/>
      <c r="BB302" s="492"/>
      <c r="BC302" s="492"/>
      <c r="BD302" s="492"/>
      <c r="BE302" s="492"/>
      <c r="BF302" s="492"/>
      <c r="BG302" s="492"/>
      <c r="BH302" s="492"/>
      <c r="BI302" s="492"/>
      <c r="BJ302" s="492"/>
      <c r="BK302" s="492"/>
      <c r="BL302" s="492"/>
      <c r="BM302" s="492"/>
      <c r="BN302" s="492"/>
      <c r="BO302" s="492"/>
      <c r="BP302" s="492"/>
      <c r="BQ302" s="503" t="e">
        <f>SUM(BR302:BT302)</f>
        <v>#REF!</v>
      </c>
      <c r="BR302" s="503">
        <f>SUM(BR299:BR301)</f>
        <v>868</v>
      </c>
      <c r="BS302" s="503" t="e">
        <f>SUM(BS299:BS301)</f>
        <v>#REF!</v>
      </c>
      <c r="BT302" s="503">
        <f>SUM(BT299:BT301)</f>
        <v>665</v>
      </c>
    </row>
    <row r="303" spans="1:76" ht="9.9499999999999993" customHeight="1">
      <c r="A303" s="490"/>
      <c r="B303" s="492" t="s">
        <v>158</v>
      </c>
      <c r="C303" s="492"/>
      <c r="D303" s="492"/>
      <c r="E303" s="492"/>
      <c r="F303" s="492"/>
      <c r="G303" s="492"/>
      <c r="H303" s="492"/>
      <c r="I303" s="492"/>
      <c r="J303" s="492"/>
      <c r="K303" s="492"/>
      <c r="L303" s="492"/>
      <c r="M303" s="492"/>
      <c r="N303" s="492"/>
      <c r="O303" s="492"/>
      <c r="P303" s="492"/>
      <c r="Q303" s="492"/>
      <c r="R303" s="492"/>
      <c r="S303" s="492"/>
      <c r="T303" s="492"/>
      <c r="U303" s="492"/>
      <c r="V303" s="492"/>
      <c r="W303" s="492"/>
      <c r="X303" s="492"/>
      <c r="Y303" s="492"/>
      <c r="Z303" s="492"/>
      <c r="AA303" s="492"/>
      <c r="AB303" s="492"/>
      <c r="AC303" s="492"/>
      <c r="AD303" s="492"/>
      <c r="AE303" s="492"/>
      <c r="AF303" s="492"/>
      <c r="AG303" s="492"/>
      <c r="AH303" s="492"/>
      <c r="AI303" s="492"/>
      <c r="AJ303" s="492"/>
      <c r="AK303" s="492"/>
      <c r="AL303" s="492"/>
      <c r="AM303" s="492"/>
      <c r="AN303" s="492"/>
      <c r="AO303" s="492"/>
      <c r="AP303" s="492"/>
      <c r="AQ303" s="492"/>
      <c r="AR303" s="492"/>
      <c r="AS303" s="492"/>
      <c r="AT303" s="492"/>
      <c r="AU303" s="492"/>
      <c r="AV303" s="492"/>
      <c r="AW303" s="492"/>
      <c r="AX303" s="492"/>
      <c r="AY303" s="492"/>
      <c r="AZ303" s="492"/>
      <c r="BA303" s="492"/>
      <c r="BB303" s="492"/>
      <c r="BC303" s="492"/>
      <c r="BD303" s="492"/>
      <c r="BE303" s="492"/>
      <c r="BF303" s="492"/>
      <c r="BG303" s="492"/>
      <c r="BH303" s="492"/>
      <c r="BI303" s="492"/>
      <c r="BJ303" s="492"/>
      <c r="BK303" s="492"/>
      <c r="BL303" s="492"/>
      <c r="BM303" s="492"/>
      <c r="BN303" s="492"/>
      <c r="BO303" s="492"/>
      <c r="BP303" s="492"/>
      <c r="BQ303" s="493"/>
      <c r="BR303" s="493"/>
      <c r="BS303" s="493"/>
      <c r="BT303" s="493"/>
      <c r="BW303" s="210"/>
    </row>
    <row r="304" spans="1:76" ht="9.9499999999999993" customHeight="1">
      <c r="A304" s="490"/>
      <c r="B304" s="492"/>
      <c r="C304" s="496" t="s">
        <v>769</v>
      </c>
      <c r="D304" s="492"/>
      <c r="E304" s="492"/>
      <c r="F304" s="492"/>
      <c r="G304" s="492"/>
      <c r="H304" s="492"/>
      <c r="I304" s="492"/>
      <c r="J304" s="492"/>
      <c r="K304" s="492"/>
      <c r="L304" s="502"/>
      <c r="M304" s="492"/>
      <c r="N304" s="492"/>
      <c r="O304" s="1512">
        <v>2</v>
      </c>
      <c r="P304" s="1494"/>
      <c r="Q304" s="1494"/>
      <c r="R304" s="492" t="s">
        <v>105</v>
      </c>
      <c r="S304" s="492"/>
      <c r="T304" s="497"/>
      <c r="U304" s="497"/>
      <c r="V304" s="492"/>
      <c r="W304" s="1511">
        <f>$BW$294</f>
        <v>221306</v>
      </c>
      <c r="X304" s="1494"/>
      <c r="Y304" s="1494"/>
      <c r="Z304" s="1494"/>
      <c r="AA304" s="1494"/>
      <c r="AB304" s="1494"/>
      <c r="AC304" s="1497" t="s">
        <v>680</v>
      </c>
      <c r="AD304" s="1498"/>
      <c r="AE304" s="1498"/>
      <c r="AF304" s="1498"/>
      <c r="AG304" s="1498"/>
      <c r="AH304" s="1497" t="s">
        <v>103</v>
      </c>
      <c r="AI304" s="1498"/>
      <c r="AJ304" s="1497">
        <f>INT(O304*W304/(1600))</f>
        <v>276</v>
      </c>
      <c r="AK304" s="1498"/>
      <c r="AL304" s="1498"/>
      <c r="AM304" s="1498"/>
      <c r="AN304" s="1498"/>
      <c r="AO304" s="1498"/>
      <c r="AP304" s="1498"/>
      <c r="AQ304" s="492"/>
      <c r="AR304" s="492"/>
      <c r="AS304" s="492"/>
      <c r="AT304" s="492"/>
      <c r="AU304" s="492"/>
      <c r="AV304" s="492"/>
      <c r="AW304" s="492"/>
      <c r="AX304" s="492"/>
      <c r="AY304" s="492"/>
      <c r="AZ304" s="492"/>
      <c r="BA304" s="492"/>
      <c r="BB304" s="492"/>
      <c r="BC304" s="492"/>
      <c r="BD304" s="492"/>
      <c r="BE304" s="492"/>
      <c r="BF304" s="492"/>
      <c r="BG304" s="492"/>
      <c r="BH304" s="492"/>
      <c r="BI304" s="492"/>
      <c r="BJ304" s="492"/>
      <c r="BK304" s="492"/>
      <c r="BL304" s="492"/>
      <c r="BM304" s="492"/>
      <c r="BN304" s="492"/>
      <c r="BO304" s="492"/>
      <c r="BP304" s="492"/>
      <c r="BQ304" s="499">
        <f>SUM(BR304:BT304)</f>
        <v>276</v>
      </c>
      <c r="BR304" s="499">
        <f>AJ304</f>
        <v>276</v>
      </c>
      <c r="BS304" s="499"/>
      <c r="BT304" s="499"/>
    </row>
    <row r="305" spans="1:75" ht="9.9499999999999993" customHeight="1">
      <c r="A305" s="490"/>
      <c r="B305" s="492"/>
      <c r="C305" s="496"/>
      <c r="D305" s="492"/>
      <c r="E305" s="492"/>
      <c r="F305" s="492"/>
      <c r="G305" s="492"/>
      <c r="H305" s="492"/>
      <c r="I305" s="492"/>
      <c r="J305" s="492"/>
      <c r="K305" s="492"/>
      <c r="L305" s="502"/>
      <c r="M305" s="492"/>
      <c r="N305" s="492"/>
      <c r="O305" s="1512"/>
      <c r="P305" s="1494"/>
      <c r="Q305" s="1494"/>
      <c r="R305" s="492"/>
      <c r="S305" s="492"/>
      <c r="T305" s="497"/>
      <c r="U305" s="497"/>
      <c r="V305" s="492"/>
      <c r="W305" s="1511"/>
      <c r="X305" s="1494"/>
      <c r="Y305" s="1494"/>
      <c r="Z305" s="1494"/>
      <c r="AA305" s="1494"/>
      <c r="AB305" s="1494"/>
      <c r="AC305" s="1497"/>
      <c r="AD305" s="1498"/>
      <c r="AE305" s="1498"/>
      <c r="AF305" s="1498"/>
      <c r="AG305" s="1498"/>
      <c r="AH305" s="1497"/>
      <c r="AI305" s="1498"/>
      <c r="AJ305" s="1497"/>
      <c r="AK305" s="1498"/>
      <c r="AL305" s="1498"/>
      <c r="AM305" s="1498"/>
      <c r="AN305" s="1498"/>
      <c r="AO305" s="1498"/>
      <c r="AP305" s="1498"/>
      <c r="AQ305" s="492"/>
      <c r="AR305" s="492"/>
      <c r="AS305" s="492"/>
      <c r="AT305" s="492"/>
      <c r="AU305" s="492"/>
      <c r="AV305" s="492"/>
      <c r="AW305" s="492"/>
      <c r="AX305" s="492"/>
      <c r="AY305" s="492"/>
      <c r="AZ305" s="492"/>
      <c r="BA305" s="492"/>
      <c r="BB305" s="492"/>
      <c r="BC305" s="492"/>
      <c r="BD305" s="492"/>
      <c r="BE305" s="492"/>
      <c r="BF305" s="492"/>
      <c r="BG305" s="492"/>
      <c r="BH305" s="492"/>
      <c r="BI305" s="492"/>
      <c r="BJ305" s="492"/>
      <c r="BK305" s="492"/>
      <c r="BL305" s="492"/>
      <c r="BM305" s="492"/>
      <c r="BN305" s="492"/>
      <c r="BO305" s="492"/>
      <c r="BP305" s="492"/>
      <c r="BQ305" s="499">
        <f>SUM(BR305:BT305)</f>
        <v>0</v>
      </c>
      <c r="BR305" s="499">
        <f>AJ305</f>
        <v>0</v>
      </c>
      <c r="BS305" s="499"/>
      <c r="BT305" s="499"/>
    </row>
    <row r="306" spans="1:75" ht="9.9499999999999993" customHeight="1">
      <c r="A306" s="490"/>
      <c r="B306" s="492"/>
      <c r="C306" s="492" t="s">
        <v>63</v>
      </c>
      <c r="D306" s="492"/>
      <c r="E306" s="492"/>
      <c r="F306" s="492"/>
      <c r="G306" s="492"/>
      <c r="H306" s="492"/>
      <c r="I306" s="492"/>
      <c r="J306" s="492"/>
      <c r="K306" s="492"/>
      <c r="L306" s="502"/>
      <c r="M306" s="492"/>
      <c r="N306" s="492"/>
      <c r="O306" s="492"/>
      <c r="P306" s="492"/>
      <c r="Q306" s="492"/>
      <c r="R306" s="492"/>
      <c r="S306" s="492"/>
      <c r="T306" s="496"/>
      <c r="U306" s="492"/>
      <c r="V306" s="492"/>
      <c r="W306" s="492"/>
      <c r="X306" s="492"/>
      <c r="Y306" s="492"/>
      <c r="Z306" s="492"/>
      <c r="AA306" s="492"/>
      <c r="AB306" s="492"/>
      <c r="AC306" s="492"/>
      <c r="AD306" s="492"/>
      <c r="AE306" s="492"/>
      <c r="AF306" s="492"/>
      <c r="AG306" s="492"/>
      <c r="AH306" s="492"/>
      <c r="AI306" s="496"/>
      <c r="AJ306" s="492"/>
      <c r="AK306" s="492"/>
      <c r="AL306" s="492"/>
      <c r="AM306" s="492"/>
      <c r="AN306" s="492"/>
      <c r="AO306" s="492"/>
      <c r="AP306" s="492"/>
      <c r="AQ306" s="492"/>
      <c r="AR306" s="492"/>
      <c r="AS306" s="492"/>
      <c r="AT306" s="492"/>
      <c r="AU306" s="492"/>
      <c r="AV306" s="492"/>
      <c r="AW306" s="492"/>
      <c r="AX306" s="492"/>
      <c r="AY306" s="492"/>
      <c r="AZ306" s="492"/>
      <c r="BA306" s="492"/>
      <c r="BB306" s="492"/>
      <c r="BC306" s="492"/>
      <c r="BD306" s="492"/>
      <c r="BE306" s="492"/>
      <c r="BF306" s="492"/>
      <c r="BG306" s="492"/>
      <c r="BH306" s="492"/>
      <c r="BI306" s="492"/>
      <c r="BJ306" s="492"/>
      <c r="BK306" s="492"/>
      <c r="BL306" s="492"/>
      <c r="BM306" s="492"/>
      <c r="BN306" s="492"/>
      <c r="BO306" s="492"/>
      <c r="BP306" s="492"/>
      <c r="BQ306" s="503">
        <f>SUM(BR306:BT306)</f>
        <v>276</v>
      </c>
      <c r="BR306" s="503">
        <f>SUM(BR304:BR305)</f>
        <v>276</v>
      </c>
      <c r="BS306" s="503">
        <f>SUM(BS304:BS305)</f>
        <v>0</v>
      </c>
      <c r="BT306" s="503">
        <f>SUM(BT304:BT305)</f>
        <v>0</v>
      </c>
    </row>
    <row r="307" spans="1:75" ht="9.9499999999999993" customHeight="1">
      <c r="A307" s="490"/>
      <c r="B307" s="492" t="s">
        <v>552</v>
      </c>
      <c r="C307" s="492"/>
      <c r="D307" s="492"/>
      <c r="E307" s="492"/>
      <c r="F307" s="492"/>
      <c r="G307" s="492"/>
      <c r="H307" s="492"/>
      <c r="I307" s="492"/>
      <c r="J307" s="492"/>
      <c r="K307" s="492"/>
      <c r="L307" s="492"/>
      <c r="M307" s="492"/>
      <c r="N307" s="492"/>
      <c r="O307" s="492"/>
      <c r="P307" s="492"/>
      <c r="Q307" s="492"/>
      <c r="R307" s="492"/>
      <c r="S307" s="492"/>
      <c r="T307" s="492"/>
      <c r="U307" s="492"/>
      <c r="V307" s="492"/>
      <c r="W307" s="492"/>
      <c r="X307" s="492"/>
      <c r="Y307" s="492"/>
      <c r="Z307" s="492"/>
      <c r="AA307" s="492"/>
      <c r="AB307" s="492"/>
      <c r="AC307" s="492"/>
      <c r="AD307" s="492"/>
      <c r="AE307" s="492"/>
      <c r="AF307" s="492"/>
      <c r="AG307" s="492"/>
      <c r="AH307" s="492"/>
      <c r="AI307" s="492"/>
      <c r="AJ307" s="492"/>
      <c r="AK307" s="492"/>
      <c r="AL307" s="492"/>
      <c r="AM307" s="492"/>
      <c r="AN307" s="492"/>
      <c r="AO307" s="492"/>
      <c r="AP307" s="492"/>
      <c r="AQ307" s="492"/>
      <c r="AR307" s="492"/>
      <c r="AS307" s="492"/>
      <c r="AT307" s="492"/>
      <c r="AU307" s="492"/>
      <c r="AV307" s="492"/>
      <c r="AW307" s="492"/>
      <c r="AX307" s="492"/>
      <c r="AY307" s="492"/>
      <c r="AZ307" s="492"/>
      <c r="BA307" s="492"/>
      <c r="BB307" s="492"/>
      <c r="BC307" s="492"/>
      <c r="BD307" s="492"/>
      <c r="BE307" s="492"/>
      <c r="BF307" s="492"/>
      <c r="BG307" s="492"/>
      <c r="BH307" s="492"/>
      <c r="BI307" s="492"/>
      <c r="BJ307" s="492"/>
      <c r="BK307" s="492"/>
      <c r="BL307" s="492"/>
      <c r="BM307" s="492"/>
      <c r="BN307" s="492"/>
      <c r="BO307" s="492"/>
      <c r="BP307" s="492"/>
      <c r="BQ307" s="493"/>
      <c r="BR307" s="493"/>
      <c r="BS307" s="493"/>
      <c r="BT307" s="493"/>
      <c r="BW307" s="210"/>
    </row>
    <row r="308" spans="1:75" ht="9.9499999999999993" customHeight="1">
      <c r="A308" s="490"/>
      <c r="B308" s="492"/>
      <c r="C308" s="1497" t="s">
        <v>820</v>
      </c>
      <c r="D308" s="1498"/>
      <c r="E308" s="1498"/>
      <c r="F308" s="1498"/>
      <c r="G308" s="1498"/>
      <c r="H308" s="1498"/>
      <c r="I308" s="1498"/>
      <c r="J308" s="1498"/>
      <c r="K308" s="1498"/>
      <c r="L308" s="1498"/>
      <c r="M308" s="1498"/>
      <c r="N308" s="1498"/>
      <c r="O308" s="1498"/>
      <c r="P308" s="1498"/>
      <c r="Q308" s="1498"/>
      <c r="R308" s="1498"/>
      <c r="S308" s="1498"/>
      <c r="T308" s="1498"/>
      <c r="U308" s="1498"/>
      <c r="V308" s="1498"/>
      <c r="W308" s="1496" t="s">
        <v>687</v>
      </c>
      <c r="X308" s="1496"/>
      <c r="Y308" s="1496"/>
      <c r="Z308" s="1496"/>
      <c r="AA308" s="1496"/>
      <c r="AB308" s="1496"/>
      <c r="AC308" s="1496"/>
      <c r="AD308" s="1496"/>
      <c r="AE308" s="1496"/>
      <c r="AF308" s="1496"/>
      <c r="AG308" s="1496"/>
      <c r="AH308" s="492"/>
      <c r="AI308" s="496"/>
      <c r="AJ308" s="492"/>
      <c r="AK308" s="492"/>
      <c r="AL308" s="492"/>
      <c r="AM308" s="492"/>
      <c r="AN308" s="492"/>
      <c r="AO308" s="492"/>
      <c r="AP308" s="492"/>
      <c r="AQ308" s="492"/>
      <c r="AR308" s="492"/>
      <c r="AS308" s="492"/>
      <c r="AT308" s="492"/>
      <c r="AU308" s="492"/>
      <c r="AV308" s="492"/>
      <c r="AW308" s="492"/>
      <c r="AX308" s="492"/>
      <c r="AY308" s="492"/>
      <c r="AZ308" s="492"/>
      <c r="BA308" s="492"/>
      <c r="BB308" s="492"/>
      <c r="BC308" s="492"/>
      <c r="BD308" s="492"/>
      <c r="BE308" s="492"/>
      <c r="BF308" s="492"/>
      <c r="BG308" s="492"/>
      <c r="BH308" s="492"/>
      <c r="BI308" s="492"/>
      <c r="BJ308" s="492"/>
      <c r="BK308" s="492"/>
      <c r="BL308" s="492"/>
      <c r="BM308" s="492"/>
      <c r="BN308" s="492"/>
      <c r="BO308" s="492"/>
      <c r="BP308" s="492"/>
      <c r="BQ308" s="499"/>
      <c r="BR308" s="499"/>
      <c r="BS308" s="499"/>
      <c r="BT308" s="499"/>
    </row>
    <row r="309" spans="1:75" ht="9.9499999999999993" customHeight="1">
      <c r="A309" s="490"/>
      <c r="B309" s="492"/>
      <c r="C309" s="1497" t="s">
        <v>563</v>
      </c>
      <c r="D309" s="1498"/>
      <c r="E309" s="1498"/>
      <c r="F309" s="1498"/>
      <c r="G309" s="1498"/>
      <c r="H309" s="1498"/>
      <c r="I309" s="1498"/>
      <c r="J309" s="1498"/>
      <c r="K309" s="1498"/>
      <c r="L309" s="1498"/>
      <c r="M309" s="1498"/>
      <c r="N309" s="1498"/>
      <c r="O309" s="1498"/>
      <c r="P309" s="1498"/>
      <c r="Q309" s="1498"/>
      <c r="R309" s="1498"/>
      <c r="S309" s="1498"/>
      <c r="T309" s="1498"/>
      <c r="U309" s="1498"/>
      <c r="V309" s="1498"/>
      <c r="W309" s="1498"/>
      <c r="X309" s="1498"/>
      <c r="Y309" s="1498"/>
      <c r="Z309" s="1498"/>
      <c r="AA309" s="1498"/>
      <c r="AB309" s="1498"/>
      <c r="AC309" s="1498"/>
      <c r="AD309" s="1498"/>
      <c r="AE309" s="1498"/>
      <c r="AF309" s="1498"/>
      <c r="AG309" s="1498"/>
      <c r="AH309" s="1498"/>
      <c r="AI309" s="1498"/>
      <c r="AJ309" s="1498"/>
      <c r="AK309" s="1498"/>
      <c r="AL309" s="1498"/>
      <c r="AM309" s="1498"/>
      <c r="AN309" s="1498"/>
      <c r="AO309" s="1498"/>
      <c r="AP309" s="498"/>
      <c r="AQ309" s="498"/>
      <c r="AR309" s="498"/>
      <c r="AS309" s="492"/>
      <c r="AT309" s="492"/>
      <c r="AU309" s="492"/>
      <c r="AV309" s="492"/>
      <c r="AW309" s="492"/>
      <c r="AX309" s="492"/>
      <c r="AY309" s="492"/>
      <c r="AZ309" s="492"/>
      <c r="BA309" s="492"/>
      <c r="BB309" s="492"/>
      <c r="BC309" s="492"/>
      <c r="BD309" s="492"/>
      <c r="BE309" s="492"/>
      <c r="BF309" s="492"/>
      <c r="BG309" s="492"/>
      <c r="BH309" s="492"/>
      <c r="BI309" s="492"/>
      <c r="BJ309" s="492"/>
      <c r="BK309" s="492"/>
      <c r="BL309" s="492"/>
      <c r="BM309" s="492"/>
      <c r="BN309" s="492"/>
      <c r="BO309" s="492"/>
      <c r="BP309" s="492"/>
      <c r="BQ309" s="499"/>
      <c r="BR309" s="499"/>
      <c r="BS309" s="499"/>
      <c r="BT309" s="499"/>
    </row>
    <row r="310" spans="1:75" ht="9.9499999999999993" customHeight="1">
      <c r="A310" s="490"/>
      <c r="B310" s="492"/>
      <c r="C310" s="1497" t="s">
        <v>564</v>
      </c>
      <c r="D310" s="1498"/>
      <c r="E310" s="1498"/>
      <c r="F310" s="1498"/>
      <c r="G310" s="1498"/>
      <c r="H310" s="1498"/>
      <c r="I310" s="1498"/>
      <c r="J310" s="1498"/>
      <c r="K310" s="1498"/>
      <c r="L310" s="1498"/>
      <c r="M310" s="1498"/>
      <c r="N310" s="1498"/>
      <c r="O310" s="1498"/>
      <c r="P310" s="1498"/>
      <c r="Q310" s="1498"/>
      <c r="R310" s="1498"/>
      <c r="S310" s="1498"/>
      <c r="T310" s="1498"/>
      <c r="U310" s="1498"/>
      <c r="V310" s="1498"/>
      <c r="W310" s="1498"/>
      <c r="X310" s="1498"/>
      <c r="Y310" s="1498"/>
      <c r="Z310" s="1498"/>
      <c r="AA310" s="1498"/>
      <c r="AB310" s="1498"/>
      <c r="AC310" s="1498"/>
      <c r="AD310" s="1498"/>
      <c r="AE310" s="1498"/>
      <c r="AF310" s="1498"/>
      <c r="AG310" s="1498"/>
      <c r="AH310" s="1498"/>
      <c r="AI310" s="1498"/>
      <c r="AJ310" s="1498"/>
      <c r="AK310" s="1498"/>
      <c r="AL310" s="1498"/>
      <c r="AM310" s="1498"/>
      <c r="AN310" s="1498"/>
      <c r="AO310" s="1498"/>
      <c r="AP310" s="498"/>
      <c r="AQ310" s="498"/>
      <c r="AR310" s="498"/>
      <c r="AS310" s="492"/>
      <c r="AT310" s="492"/>
      <c r="AU310" s="492"/>
      <c r="AV310" s="492"/>
      <c r="AW310" s="492"/>
      <c r="AX310" s="492"/>
      <c r="AY310" s="492"/>
      <c r="AZ310" s="492"/>
      <c r="BA310" s="492"/>
      <c r="BB310" s="492"/>
      <c r="BC310" s="492"/>
      <c r="BD310" s="492"/>
      <c r="BE310" s="492"/>
      <c r="BF310" s="492"/>
      <c r="BG310" s="492"/>
      <c r="BH310" s="492"/>
      <c r="BI310" s="492"/>
      <c r="BJ310" s="492"/>
      <c r="BK310" s="492"/>
      <c r="BL310" s="492"/>
      <c r="BM310" s="492"/>
      <c r="BN310" s="492"/>
      <c r="BO310" s="492"/>
      <c r="BP310" s="492"/>
      <c r="BQ310" s="499"/>
      <c r="BR310" s="499"/>
      <c r="BS310" s="499"/>
      <c r="BT310" s="499"/>
    </row>
    <row r="311" spans="1:75" ht="9.9499999999999993" customHeight="1">
      <c r="A311" s="490"/>
      <c r="B311" s="492"/>
      <c r="C311" s="492" t="s">
        <v>66</v>
      </c>
      <c r="D311" s="492"/>
      <c r="E311" s="492"/>
      <c r="F311" s="492"/>
      <c r="G311" s="497"/>
      <c r="H311" s="497"/>
      <c r="I311" s="497"/>
      <c r="J311" s="497"/>
      <c r="K311" s="497"/>
      <c r="L311" s="492"/>
      <c r="M311" s="492"/>
      <c r="N311" s="1493" t="e">
        <f>'기계경비(OLD)'!$AT$369</f>
        <v>#REF!</v>
      </c>
      <c r="O311" s="1494"/>
      <c r="P311" s="1494"/>
      <c r="Q311" s="1494"/>
      <c r="R311" s="1494"/>
      <c r="S311" s="1494"/>
      <c r="T311" s="1494"/>
      <c r="U311" s="1494"/>
      <c r="V311" s="507" t="s">
        <v>99</v>
      </c>
      <c r="W311" s="497"/>
      <c r="X311" s="1495" t="s">
        <v>551</v>
      </c>
      <c r="Y311" s="1494"/>
      <c r="Z311" s="1494"/>
      <c r="AA311" s="1494"/>
      <c r="AB311" s="507" t="s">
        <v>103</v>
      </c>
      <c r="AC311" s="497"/>
      <c r="AD311" s="1495" t="e">
        <f>INT(N311/68)</f>
        <v>#REF!</v>
      </c>
      <c r="AE311" s="1494"/>
      <c r="AF311" s="1494"/>
      <c r="AG311" s="1494"/>
      <c r="AH311" s="1494"/>
      <c r="AI311" s="1494"/>
      <c r="AJ311" s="1494"/>
      <c r="AK311" s="523"/>
      <c r="AL311" s="492"/>
      <c r="AM311" s="492"/>
      <c r="AN311" s="492"/>
      <c r="AO311" s="492"/>
      <c r="AP311" s="492"/>
      <c r="AQ311" s="492"/>
      <c r="AR311" s="492"/>
      <c r="AS311" s="492"/>
      <c r="AT311" s="492"/>
      <c r="AU311" s="492"/>
      <c r="AV311" s="492"/>
      <c r="AW311" s="492"/>
      <c r="AX311" s="492"/>
      <c r="AY311" s="492"/>
      <c r="AZ311" s="492"/>
      <c r="BA311" s="492"/>
      <c r="BB311" s="492"/>
      <c r="BC311" s="492"/>
      <c r="BD311" s="492"/>
      <c r="BE311" s="492"/>
      <c r="BF311" s="492"/>
      <c r="BG311" s="492"/>
      <c r="BH311" s="492"/>
      <c r="BI311" s="492"/>
      <c r="BJ311" s="492"/>
      <c r="BK311" s="492"/>
      <c r="BL311" s="492"/>
      <c r="BM311" s="492"/>
      <c r="BN311" s="492"/>
      <c r="BO311" s="492"/>
      <c r="BP311" s="492"/>
      <c r="BQ311" s="499" t="e">
        <f>SUM(BR311:BT311)</f>
        <v>#REF!</v>
      </c>
      <c r="BR311" s="499"/>
      <c r="BS311" s="499" t="e">
        <f>AD311</f>
        <v>#REF!</v>
      </c>
      <c r="BT311" s="499"/>
      <c r="BW311" s="241"/>
    </row>
    <row r="312" spans="1:75" ht="9.9499999999999993" customHeight="1">
      <c r="A312" s="490"/>
      <c r="B312" s="492"/>
      <c r="C312" s="492" t="s">
        <v>67</v>
      </c>
      <c r="D312" s="492"/>
      <c r="E312" s="492"/>
      <c r="F312" s="492"/>
      <c r="G312" s="497"/>
      <c r="H312" s="497"/>
      <c r="I312" s="497"/>
      <c r="J312" s="497"/>
      <c r="K312" s="492"/>
      <c r="L312" s="492"/>
      <c r="M312" s="492"/>
      <c r="N312" s="1493">
        <f>'기계경비(OLD)'!$BU$362</f>
        <v>59025</v>
      </c>
      <c r="O312" s="1494"/>
      <c r="P312" s="1494"/>
      <c r="Q312" s="1494"/>
      <c r="R312" s="1494"/>
      <c r="S312" s="1494"/>
      <c r="T312" s="1494"/>
      <c r="U312" s="1494"/>
      <c r="V312" s="507" t="s">
        <v>99</v>
      </c>
      <c r="W312" s="497"/>
      <c r="X312" s="1495" t="s">
        <v>551</v>
      </c>
      <c r="Y312" s="1494"/>
      <c r="Z312" s="1494"/>
      <c r="AA312" s="1494"/>
      <c r="AB312" s="507" t="s">
        <v>103</v>
      </c>
      <c r="AC312" s="497"/>
      <c r="AD312" s="1495">
        <f>INT(N312/68)</f>
        <v>868</v>
      </c>
      <c r="AE312" s="1494"/>
      <c r="AF312" s="1494"/>
      <c r="AG312" s="1494"/>
      <c r="AH312" s="1494"/>
      <c r="AI312" s="1494"/>
      <c r="AJ312" s="1494"/>
      <c r="AK312" s="523"/>
      <c r="AL312" s="492"/>
      <c r="AM312" s="492"/>
      <c r="AN312" s="492"/>
      <c r="AO312" s="492"/>
      <c r="AP312" s="492"/>
      <c r="AQ312" s="492"/>
      <c r="AR312" s="492"/>
      <c r="AS312" s="492"/>
      <c r="AT312" s="492"/>
      <c r="AU312" s="492"/>
      <c r="AV312" s="492"/>
      <c r="AW312" s="492"/>
      <c r="AX312" s="492"/>
      <c r="AY312" s="492"/>
      <c r="AZ312" s="492"/>
      <c r="BA312" s="492"/>
      <c r="BB312" s="492"/>
      <c r="BC312" s="492"/>
      <c r="BD312" s="492"/>
      <c r="BE312" s="492"/>
      <c r="BF312" s="492"/>
      <c r="BG312" s="492"/>
      <c r="BH312" s="492"/>
      <c r="BI312" s="492"/>
      <c r="BJ312" s="492"/>
      <c r="BK312" s="492"/>
      <c r="BL312" s="492"/>
      <c r="BM312" s="492"/>
      <c r="BN312" s="492"/>
      <c r="BO312" s="492"/>
      <c r="BP312" s="492"/>
      <c r="BQ312" s="499">
        <f>SUM(BR312:BT312)</f>
        <v>868</v>
      </c>
      <c r="BR312" s="499">
        <f>AD312</f>
        <v>868</v>
      </c>
      <c r="BS312" s="499"/>
      <c r="BT312" s="499"/>
      <c r="BW312" s="241"/>
    </row>
    <row r="313" spans="1:75" ht="9.9499999999999993" customHeight="1">
      <c r="A313" s="490"/>
      <c r="B313" s="492"/>
      <c r="C313" s="492" t="s">
        <v>68</v>
      </c>
      <c r="D313" s="492"/>
      <c r="E313" s="492"/>
      <c r="F313" s="492"/>
      <c r="G313" s="492"/>
      <c r="H313" s="492"/>
      <c r="I313" s="492"/>
      <c r="J313" s="492"/>
      <c r="K313" s="492"/>
      <c r="L313" s="492"/>
      <c r="M313" s="492"/>
      <c r="N313" s="1493">
        <f>'기계경비(OLD)'!$BN$373</f>
        <v>45240</v>
      </c>
      <c r="O313" s="1494"/>
      <c r="P313" s="1494"/>
      <c r="Q313" s="1494"/>
      <c r="R313" s="1494"/>
      <c r="S313" s="1494"/>
      <c r="T313" s="1494"/>
      <c r="U313" s="1494"/>
      <c r="V313" s="507" t="s">
        <v>99</v>
      </c>
      <c r="W313" s="497"/>
      <c r="X313" s="1495" t="s">
        <v>551</v>
      </c>
      <c r="Y313" s="1494"/>
      <c r="Z313" s="1494"/>
      <c r="AA313" s="1494"/>
      <c r="AB313" s="507" t="s">
        <v>103</v>
      </c>
      <c r="AC313" s="497"/>
      <c r="AD313" s="1495">
        <f>INT(N313/68)</f>
        <v>665</v>
      </c>
      <c r="AE313" s="1494"/>
      <c r="AF313" s="1494"/>
      <c r="AG313" s="1494"/>
      <c r="AH313" s="1494"/>
      <c r="AI313" s="1494"/>
      <c r="AJ313" s="1494"/>
      <c r="AK313" s="523"/>
      <c r="AL313" s="492"/>
      <c r="AM313" s="492"/>
      <c r="AN313" s="492"/>
      <c r="AO313" s="492"/>
      <c r="AP313" s="492"/>
      <c r="AQ313" s="492"/>
      <c r="AR313" s="492"/>
      <c r="AS313" s="492"/>
      <c r="AT313" s="492"/>
      <c r="AU313" s="492"/>
      <c r="AV313" s="492"/>
      <c r="AW313" s="492"/>
      <c r="AX313" s="492"/>
      <c r="AY313" s="492"/>
      <c r="AZ313" s="492"/>
      <c r="BA313" s="492"/>
      <c r="BB313" s="492"/>
      <c r="BC313" s="492"/>
      <c r="BD313" s="492"/>
      <c r="BE313" s="492"/>
      <c r="BF313" s="492"/>
      <c r="BG313" s="492"/>
      <c r="BH313" s="492"/>
      <c r="BI313" s="492"/>
      <c r="BJ313" s="492"/>
      <c r="BK313" s="492"/>
      <c r="BL313" s="492"/>
      <c r="BM313" s="492"/>
      <c r="BN313" s="492"/>
      <c r="BO313" s="492"/>
      <c r="BP313" s="492"/>
      <c r="BQ313" s="499">
        <f>SUM(BR313:BT313)</f>
        <v>665</v>
      </c>
      <c r="BR313" s="499"/>
      <c r="BS313" s="499"/>
      <c r="BT313" s="499">
        <f>AD313</f>
        <v>665</v>
      </c>
    </row>
    <row r="314" spans="1:75" ht="9.9499999999999993" customHeight="1">
      <c r="A314" s="490"/>
      <c r="B314" s="492"/>
      <c r="C314" s="492" t="s">
        <v>63</v>
      </c>
      <c r="D314" s="492"/>
      <c r="E314" s="492"/>
      <c r="F314" s="492"/>
      <c r="G314" s="492"/>
      <c r="H314" s="492"/>
      <c r="I314" s="492"/>
      <c r="J314" s="492"/>
      <c r="K314" s="492"/>
      <c r="L314" s="502"/>
      <c r="M314" s="492"/>
      <c r="N314" s="492"/>
      <c r="O314" s="492"/>
      <c r="P314" s="492"/>
      <c r="Q314" s="492"/>
      <c r="R314" s="492"/>
      <c r="S314" s="492"/>
      <c r="T314" s="496"/>
      <c r="U314" s="492"/>
      <c r="V314" s="492"/>
      <c r="W314" s="492"/>
      <c r="X314" s="492"/>
      <c r="Y314" s="492"/>
      <c r="Z314" s="492"/>
      <c r="AA314" s="492"/>
      <c r="AB314" s="492"/>
      <c r="AC314" s="492"/>
      <c r="AD314" s="492"/>
      <c r="AE314" s="492"/>
      <c r="AF314" s="492"/>
      <c r="AG314" s="492"/>
      <c r="AH314" s="492"/>
      <c r="AI314" s="496"/>
      <c r="AJ314" s="492"/>
      <c r="AK314" s="492"/>
      <c r="AL314" s="492"/>
      <c r="AM314" s="492"/>
      <c r="AN314" s="492"/>
      <c r="AO314" s="492"/>
      <c r="AP314" s="492"/>
      <c r="AQ314" s="492"/>
      <c r="AR314" s="492"/>
      <c r="AS314" s="492"/>
      <c r="AT314" s="492"/>
      <c r="AU314" s="492"/>
      <c r="AV314" s="492"/>
      <c r="AW314" s="492"/>
      <c r="AX314" s="492"/>
      <c r="AY314" s="492"/>
      <c r="AZ314" s="492"/>
      <c r="BA314" s="492"/>
      <c r="BB314" s="492"/>
      <c r="BC314" s="492"/>
      <c r="BD314" s="492"/>
      <c r="BE314" s="492"/>
      <c r="BF314" s="492"/>
      <c r="BG314" s="492"/>
      <c r="BH314" s="492"/>
      <c r="BI314" s="492"/>
      <c r="BJ314" s="492"/>
      <c r="BK314" s="492"/>
      <c r="BL314" s="492"/>
      <c r="BM314" s="492"/>
      <c r="BN314" s="492"/>
      <c r="BO314" s="492"/>
      <c r="BP314" s="492"/>
      <c r="BQ314" s="503" t="e">
        <f>SUM(BR314:BT314)</f>
        <v>#REF!</v>
      </c>
      <c r="BR314" s="503">
        <f>SUM(BR311:BR313)</f>
        <v>868</v>
      </c>
      <c r="BS314" s="503" t="e">
        <f>SUM(BS311:BS313)</f>
        <v>#REF!</v>
      </c>
      <c r="BT314" s="503">
        <f>SUM(BT311:BT313)</f>
        <v>665</v>
      </c>
    </row>
    <row r="315" spans="1:75" ht="9.9499999999999993" customHeight="1">
      <c r="A315" s="490"/>
      <c r="B315" s="492"/>
      <c r="C315" s="1497" t="s">
        <v>819</v>
      </c>
      <c r="D315" s="1498"/>
      <c r="E315" s="1498"/>
      <c r="F315" s="1498"/>
      <c r="G315" s="1498"/>
      <c r="H315" s="1498"/>
      <c r="I315" s="1498"/>
      <c r="J315" s="1498"/>
      <c r="K315" s="1498"/>
      <c r="L315" s="1498"/>
      <c r="M315" s="1498"/>
      <c r="N315" s="1498"/>
      <c r="O315" s="1498"/>
      <c r="P315" s="1498"/>
      <c r="Q315" s="1498"/>
      <c r="R315" s="1498"/>
      <c r="S315" s="1498"/>
      <c r="T315" s="1498"/>
      <c r="U315" s="1498"/>
      <c r="V315" s="1498"/>
      <c r="W315" s="1496" t="s">
        <v>688</v>
      </c>
      <c r="X315" s="1496"/>
      <c r="Y315" s="1496"/>
      <c r="Z315" s="1496"/>
      <c r="AA315" s="1496"/>
      <c r="AB315" s="1496"/>
      <c r="AC315" s="1496"/>
      <c r="AD315" s="1496"/>
      <c r="AE315" s="1496"/>
      <c r="AF315" s="1496"/>
      <c r="AG315" s="1496"/>
      <c r="AH315" s="492"/>
      <c r="AI315" s="496"/>
      <c r="AJ315" s="492"/>
      <c r="AK315" s="492"/>
      <c r="AL315" s="492"/>
      <c r="AM315" s="492"/>
      <c r="AN315" s="492"/>
      <c r="AO315" s="492"/>
      <c r="AP315" s="492"/>
      <c r="AQ315" s="492"/>
      <c r="AR315" s="492"/>
      <c r="AS315" s="492"/>
      <c r="AT315" s="492"/>
      <c r="AU315" s="492"/>
      <c r="AV315" s="492"/>
      <c r="AW315" s="492"/>
      <c r="AX315" s="492"/>
      <c r="AY315" s="492"/>
      <c r="AZ315" s="492"/>
      <c r="BA315" s="492"/>
      <c r="BB315" s="492"/>
      <c r="BC315" s="492"/>
      <c r="BD315" s="492"/>
      <c r="BE315" s="492"/>
      <c r="BF315" s="492"/>
      <c r="BG315" s="492"/>
      <c r="BH315" s="492"/>
      <c r="BI315" s="492"/>
      <c r="BJ315" s="492"/>
      <c r="BK315" s="492"/>
      <c r="BL315" s="492"/>
      <c r="BM315" s="492"/>
      <c r="BN315" s="492"/>
      <c r="BO315" s="492"/>
      <c r="BP315" s="492"/>
      <c r="BQ315" s="499"/>
      <c r="BR315" s="499"/>
      <c r="BS315" s="499"/>
      <c r="BT315" s="499"/>
    </row>
    <row r="316" spans="1:75" ht="9.9499999999999993" customHeight="1">
      <c r="A316" s="490"/>
      <c r="B316" s="492"/>
      <c r="C316" s="1497" t="s">
        <v>563</v>
      </c>
      <c r="D316" s="1498"/>
      <c r="E316" s="1498"/>
      <c r="F316" s="1498"/>
      <c r="G316" s="1498"/>
      <c r="H316" s="1498"/>
      <c r="I316" s="1498"/>
      <c r="J316" s="1498"/>
      <c r="K316" s="1498"/>
      <c r="L316" s="1498"/>
      <c r="M316" s="1498"/>
      <c r="N316" s="1498"/>
      <c r="O316" s="1498"/>
      <c r="P316" s="1498"/>
      <c r="Q316" s="1498"/>
      <c r="R316" s="1498"/>
      <c r="S316" s="1498"/>
      <c r="T316" s="1498"/>
      <c r="U316" s="1498"/>
      <c r="V316" s="1498"/>
      <c r="W316" s="1498"/>
      <c r="X316" s="1498"/>
      <c r="Y316" s="1498"/>
      <c r="Z316" s="1498"/>
      <c r="AA316" s="1498"/>
      <c r="AB316" s="1498"/>
      <c r="AC316" s="1498"/>
      <c r="AD316" s="1498"/>
      <c r="AE316" s="1498"/>
      <c r="AF316" s="1498"/>
      <c r="AG316" s="1498"/>
      <c r="AH316" s="1498"/>
      <c r="AI316" s="1498"/>
      <c r="AJ316" s="1498"/>
      <c r="AK316" s="1498"/>
      <c r="AL316" s="1498"/>
      <c r="AM316" s="1498"/>
      <c r="AN316" s="1498"/>
      <c r="AO316" s="1498"/>
      <c r="AP316" s="498"/>
      <c r="AQ316" s="498"/>
      <c r="AR316" s="498"/>
      <c r="AS316" s="492"/>
      <c r="AT316" s="492"/>
      <c r="AU316" s="492"/>
      <c r="AV316" s="492"/>
      <c r="AW316" s="492"/>
      <c r="AX316" s="492"/>
      <c r="AY316" s="492"/>
      <c r="AZ316" s="492"/>
      <c r="BA316" s="492"/>
      <c r="BB316" s="492"/>
      <c r="BC316" s="492"/>
      <c r="BD316" s="492"/>
      <c r="BE316" s="492"/>
      <c r="BF316" s="492"/>
      <c r="BG316" s="492"/>
      <c r="BH316" s="492"/>
      <c r="BI316" s="492"/>
      <c r="BJ316" s="492"/>
      <c r="BK316" s="492"/>
      <c r="BL316" s="492"/>
      <c r="BM316" s="492"/>
      <c r="BN316" s="492"/>
      <c r="BO316" s="492"/>
      <c r="BP316" s="492"/>
      <c r="BQ316" s="499"/>
      <c r="BR316" s="499"/>
      <c r="BS316" s="499"/>
      <c r="BT316" s="499"/>
    </row>
    <row r="317" spans="1:75" ht="9.9499999999999993" customHeight="1">
      <c r="A317" s="490"/>
      <c r="B317" s="492"/>
      <c r="C317" s="1497" t="s">
        <v>564</v>
      </c>
      <c r="D317" s="1498"/>
      <c r="E317" s="1498"/>
      <c r="F317" s="1498"/>
      <c r="G317" s="1498"/>
      <c r="H317" s="1498"/>
      <c r="I317" s="1498"/>
      <c r="J317" s="1498"/>
      <c r="K317" s="1498"/>
      <c r="L317" s="1498"/>
      <c r="M317" s="1498"/>
      <c r="N317" s="1498"/>
      <c r="O317" s="1498"/>
      <c r="P317" s="1498"/>
      <c r="Q317" s="1498"/>
      <c r="R317" s="1498"/>
      <c r="S317" s="1498"/>
      <c r="T317" s="1498"/>
      <c r="U317" s="1498"/>
      <c r="V317" s="1498"/>
      <c r="W317" s="1498"/>
      <c r="X317" s="1498"/>
      <c r="Y317" s="1498"/>
      <c r="Z317" s="1498"/>
      <c r="AA317" s="1498"/>
      <c r="AB317" s="1498"/>
      <c r="AC317" s="1498"/>
      <c r="AD317" s="1498"/>
      <c r="AE317" s="1498"/>
      <c r="AF317" s="1498"/>
      <c r="AG317" s="1498"/>
      <c r="AH317" s="1498"/>
      <c r="AI317" s="1498"/>
      <c r="AJ317" s="1498"/>
      <c r="AK317" s="1498"/>
      <c r="AL317" s="1498"/>
      <c r="AM317" s="1498"/>
      <c r="AN317" s="1498"/>
      <c r="AO317" s="1498"/>
      <c r="AP317" s="498"/>
      <c r="AQ317" s="498"/>
      <c r="AR317" s="498"/>
      <c r="AS317" s="492"/>
      <c r="AT317" s="492"/>
      <c r="AU317" s="492"/>
      <c r="AV317" s="492"/>
      <c r="AW317" s="492"/>
      <c r="AX317" s="492"/>
      <c r="AY317" s="492"/>
      <c r="AZ317" s="492"/>
      <c r="BA317" s="492"/>
      <c r="BB317" s="492"/>
      <c r="BC317" s="492"/>
      <c r="BD317" s="492"/>
      <c r="BE317" s="492"/>
      <c r="BF317" s="492"/>
      <c r="BG317" s="492"/>
      <c r="BH317" s="492"/>
      <c r="BI317" s="492"/>
      <c r="BJ317" s="492"/>
      <c r="BK317" s="492"/>
      <c r="BL317" s="492"/>
      <c r="BM317" s="492"/>
      <c r="BN317" s="492"/>
      <c r="BO317" s="492"/>
      <c r="BP317" s="492"/>
      <c r="BQ317" s="499"/>
      <c r="BR317" s="499"/>
      <c r="BS317" s="499"/>
      <c r="BT317" s="499"/>
    </row>
    <row r="318" spans="1:75" ht="9.9499999999999993" customHeight="1">
      <c r="A318" s="490"/>
      <c r="B318" s="492"/>
      <c r="C318" s="492" t="s">
        <v>66</v>
      </c>
      <c r="D318" s="492"/>
      <c r="E318" s="492"/>
      <c r="F318" s="492"/>
      <c r="G318" s="497"/>
      <c r="H318" s="497"/>
      <c r="I318" s="497"/>
      <c r="J318" s="497"/>
      <c r="K318" s="497"/>
      <c r="L318" s="492"/>
      <c r="M318" s="492"/>
      <c r="N318" s="1493" t="e">
        <f>'기계경비(OLD)'!$AT$315</f>
        <v>#REF!</v>
      </c>
      <c r="O318" s="1494"/>
      <c r="P318" s="1494"/>
      <c r="Q318" s="1494"/>
      <c r="R318" s="1494"/>
      <c r="S318" s="1494"/>
      <c r="T318" s="1494"/>
      <c r="U318" s="1494"/>
      <c r="V318" s="507" t="s">
        <v>99</v>
      </c>
      <c r="W318" s="497"/>
      <c r="X318" s="1495" t="s">
        <v>551</v>
      </c>
      <c r="Y318" s="1494"/>
      <c r="Z318" s="1494"/>
      <c r="AA318" s="1494"/>
      <c r="AB318" s="507" t="s">
        <v>103</v>
      </c>
      <c r="AC318" s="497"/>
      <c r="AD318" s="1495" t="e">
        <f>INT(N318/68)</f>
        <v>#REF!</v>
      </c>
      <c r="AE318" s="1494"/>
      <c r="AF318" s="1494"/>
      <c r="AG318" s="1494"/>
      <c r="AH318" s="1494"/>
      <c r="AI318" s="1494"/>
      <c r="AJ318" s="1494"/>
      <c r="AK318" s="523"/>
      <c r="AL318" s="492"/>
      <c r="AM318" s="492"/>
      <c r="AN318" s="492"/>
      <c r="AO318" s="492"/>
      <c r="AP318" s="492"/>
      <c r="AQ318" s="492"/>
      <c r="AR318" s="492"/>
      <c r="AS318" s="492"/>
      <c r="AT318" s="492"/>
      <c r="AU318" s="492"/>
      <c r="AV318" s="492"/>
      <c r="AW318" s="492"/>
      <c r="AX318" s="492"/>
      <c r="AY318" s="492"/>
      <c r="AZ318" s="492"/>
      <c r="BA318" s="492"/>
      <c r="BB318" s="492"/>
      <c r="BC318" s="492"/>
      <c r="BD318" s="492"/>
      <c r="BE318" s="492"/>
      <c r="BF318" s="492"/>
      <c r="BG318" s="492"/>
      <c r="BH318" s="492"/>
      <c r="BI318" s="492"/>
      <c r="BJ318" s="492"/>
      <c r="BK318" s="492"/>
      <c r="BL318" s="492"/>
      <c r="BM318" s="492"/>
      <c r="BN318" s="492"/>
      <c r="BO318" s="492"/>
      <c r="BP318" s="492"/>
      <c r="BQ318" s="499" t="e">
        <f>SUM(BR318:BT318)</f>
        <v>#REF!</v>
      </c>
      <c r="BR318" s="499"/>
      <c r="BS318" s="499" t="e">
        <f>AD318</f>
        <v>#REF!</v>
      </c>
      <c r="BT318" s="499"/>
      <c r="BW318" s="241"/>
    </row>
    <row r="319" spans="1:75" ht="9.9499999999999993" customHeight="1">
      <c r="A319" s="490"/>
      <c r="B319" s="492"/>
      <c r="C319" s="492" t="s">
        <v>67</v>
      </c>
      <c r="D319" s="492"/>
      <c r="E319" s="492"/>
      <c r="F319" s="492"/>
      <c r="G319" s="497"/>
      <c r="H319" s="497"/>
      <c r="I319" s="497"/>
      <c r="J319" s="497"/>
      <c r="K319" s="492"/>
      <c r="L319" s="492"/>
      <c r="M319" s="492"/>
      <c r="N319" s="1493">
        <f>'기계경비(OLD)'!$BU$309</f>
        <v>59025</v>
      </c>
      <c r="O319" s="1494"/>
      <c r="P319" s="1494"/>
      <c r="Q319" s="1494"/>
      <c r="R319" s="1494"/>
      <c r="S319" s="1494"/>
      <c r="T319" s="1494"/>
      <c r="U319" s="1494"/>
      <c r="V319" s="507" t="s">
        <v>99</v>
      </c>
      <c r="W319" s="497"/>
      <c r="X319" s="1495" t="s">
        <v>551</v>
      </c>
      <c r="Y319" s="1494"/>
      <c r="Z319" s="1494"/>
      <c r="AA319" s="1494"/>
      <c r="AB319" s="507" t="s">
        <v>103</v>
      </c>
      <c r="AC319" s="497"/>
      <c r="AD319" s="1495">
        <f>INT(N319/68)</f>
        <v>868</v>
      </c>
      <c r="AE319" s="1494"/>
      <c r="AF319" s="1494"/>
      <c r="AG319" s="1494"/>
      <c r="AH319" s="1494"/>
      <c r="AI319" s="1494"/>
      <c r="AJ319" s="1494"/>
      <c r="AK319" s="523"/>
      <c r="AL319" s="492"/>
      <c r="AM319" s="492"/>
      <c r="AN319" s="492"/>
      <c r="AO319" s="492"/>
      <c r="AP319" s="492"/>
      <c r="AQ319" s="492"/>
      <c r="AR319" s="492"/>
      <c r="AS319" s="492"/>
      <c r="AT319" s="492"/>
      <c r="AU319" s="492"/>
      <c r="AV319" s="492"/>
      <c r="AW319" s="492"/>
      <c r="AX319" s="492"/>
      <c r="AY319" s="492"/>
      <c r="AZ319" s="492"/>
      <c r="BA319" s="492"/>
      <c r="BB319" s="492"/>
      <c r="BC319" s="492"/>
      <c r="BD319" s="492"/>
      <c r="BE319" s="492"/>
      <c r="BF319" s="492"/>
      <c r="BG319" s="492"/>
      <c r="BH319" s="492"/>
      <c r="BI319" s="492"/>
      <c r="BJ319" s="492"/>
      <c r="BK319" s="492"/>
      <c r="BL319" s="492"/>
      <c r="BM319" s="492"/>
      <c r="BN319" s="492"/>
      <c r="BO319" s="492"/>
      <c r="BP319" s="492"/>
      <c r="BQ319" s="499">
        <f>SUM(BR319:BT319)</f>
        <v>868</v>
      </c>
      <c r="BR319" s="499">
        <f>AD319</f>
        <v>868</v>
      </c>
      <c r="BS319" s="499"/>
      <c r="BT319" s="499"/>
      <c r="BW319" s="241"/>
    </row>
    <row r="320" spans="1:75" ht="9.9499999999999993" customHeight="1">
      <c r="A320" s="490"/>
      <c r="B320" s="492"/>
      <c r="C320" s="492" t="s">
        <v>68</v>
      </c>
      <c r="D320" s="492"/>
      <c r="E320" s="492"/>
      <c r="F320" s="492"/>
      <c r="G320" s="492"/>
      <c r="H320" s="492"/>
      <c r="I320" s="492"/>
      <c r="J320" s="492"/>
      <c r="K320" s="492"/>
      <c r="L320" s="492"/>
      <c r="M320" s="492"/>
      <c r="N320" s="1493">
        <f>'기계경비(OLD)'!$BN$319</f>
        <v>28344</v>
      </c>
      <c r="O320" s="1494"/>
      <c r="P320" s="1494"/>
      <c r="Q320" s="1494"/>
      <c r="R320" s="1494"/>
      <c r="S320" s="1494"/>
      <c r="T320" s="1494"/>
      <c r="U320" s="1494"/>
      <c r="V320" s="507" t="s">
        <v>99</v>
      </c>
      <c r="W320" s="497"/>
      <c r="X320" s="1495" t="s">
        <v>551</v>
      </c>
      <c r="Y320" s="1494"/>
      <c r="Z320" s="1494"/>
      <c r="AA320" s="1494"/>
      <c r="AB320" s="507" t="s">
        <v>103</v>
      </c>
      <c r="AC320" s="497"/>
      <c r="AD320" s="1495">
        <f>INT(N320/68)</f>
        <v>416</v>
      </c>
      <c r="AE320" s="1494"/>
      <c r="AF320" s="1494"/>
      <c r="AG320" s="1494"/>
      <c r="AH320" s="1494"/>
      <c r="AI320" s="1494"/>
      <c r="AJ320" s="1494"/>
      <c r="AK320" s="523"/>
      <c r="AL320" s="492"/>
      <c r="AM320" s="492"/>
      <c r="AN320" s="492"/>
      <c r="AO320" s="492"/>
      <c r="AP320" s="492"/>
      <c r="AQ320" s="492"/>
      <c r="AR320" s="492"/>
      <c r="AS320" s="492"/>
      <c r="AT320" s="492"/>
      <c r="AU320" s="492"/>
      <c r="AV320" s="492"/>
      <c r="AW320" s="492"/>
      <c r="AX320" s="492"/>
      <c r="AY320" s="492"/>
      <c r="AZ320" s="492"/>
      <c r="BA320" s="492"/>
      <c r="BB320" s="492"/>
      <c r="BC320" s="492"/>
      <c r="BD320" s="492"/>
      <c r="BE320" s="492"/>
      <c r="BF320" s="492"/>
      <c r="BG320" s="492"/>
      <c r="BH320" s="492"/>
      <c r="BI320" s="492"/>
      <c r="BJ320" s="492"/>
      <c r="BK320" s="492"/>
      <c r="BL320" s="492"/>
      <c r="BM320" s="492"/>
      <c r="BN320" s="492"/>
      <c r="BO320" s="492"/>
      <c r="BP320" s="492"/>
      <c r="BQ320" s="499">
        <f>SUM(BR320:BT320)</f>
        <v>416</v>
      </c>
      <c r="BR320" s="499"/>
      <c r="BS320" s="499"/>
      <c r="BT320" s="499">
        <f>AD320</f>
        <v>416</v>
      </c>
    </row>
    <row r="321" spans="1:72" ht="9.9499999999999993" customHeight="1">
      <c r="A321" s="490"/>
      <c r="B321" s="492"/>
      <c r="C321" s="492" t="s">
        <v>63</v>
      </c>
      <c r="D321" s="492"/>
      <c r="E321" s="492"/>
      <c r="F321" s="492"/>
      <c r="G321" s="492"/>
      <c r="H321" s="492"/>
      <c r="I321" s="492"/>
      <c r="J321" s="492"/>
      <c r="K321" s="492"/>
      <c r="L321" s="502"/>
      <c r="M321" s="492"/>
      <c r="N321" s="492"/>
      <c r="O321" s="492"/>
      <c r="P321" s="492"/>
      <c r="Q321" s="492"/>
      <c r="R321" s="492"/>
      <c r="S321" s="492"/>
      <c r="T321" s="496"/>
      <c r="U321" s="492"/>
      <c r="V321" s="492"/>
      <c r="W321" s="492"/>
      <c r="X321" s="492"/>
      <c r="Y321" s="492"/>
      <c r="Z321" s="492"/>
      <c r="AA321" s="492"/>
      <c r="AB321" s="492"/>
      <c r="AC321" s="492"/>
      <c r="AD321" s="492"/>
      <c r="AE321" s="492"/>
      <c r="AF321" s="492"/>
      <c r="AG321" s="492"/>
      <c r="AH321" s="492"/>
      <c r="AI321" s="496"/>
      <c r="AJ321" s="492"/>
      <c r="AK321" s="492"/>
      <c r="AL321" s="492"/>
      <c r="AM321" s="492"/>
      <c r="AN321" s="492"/>
      <c r="AO321" s="492"/>
      <c r="AP321" s="492"/>
      <c r="AQ321" s="492"/>
      <c r="AR321" s="492"/>
      <c r="AS321" s="492"/>
      <c r="AT321" s="492"/>
      <c r="AU321" s="492"/>
      <c r="AV321" s="492"/>
      <c r="AW321" s="492"/>
      <c r="AX321" s="492"/>
      <c r="AY321" s="492"/>
      <c r="AZ321" s="492"/>
      <c r="BA321" s="492"/>
      <c r="BB321" s="492"/>
      <c r="BC321" s="492"/>
      <c r="BD321" s="492"/>
      <c r="BE321" s="492"/>
      <c r="BF321" s="492"/>
      <c r="BG321" s="492"/>
      <c r="BH321" s="492"/>
      <c r="BI321" s="492"/>
      <c r="BJ321" s="492"/>
      <c r="BK321" s="492"/>
      <c r="BL321" s="492"/>
      <c r="BM321" s="492"/>
      <c r="BN321" s="492"/>
      <c r="BO321" s="492"/>
      <c r="BP321" s="492"/>
      <c r="BQ321" s="503" t="e">
        <f>SUM(BR321:BT321)</f>
        <v>#REF!</v>
      </c>
      <c r="BR321" s="503">
        <f>SUM(BR318:BR320)</f>
        <v>868</v>
      </c>
      <c r="BS321" s="503" t="e">
        <f>SUM(BS318:BS320)</f>
        <v>#REF!</v>
      </c>
      <c r="BT321" s="503">
        <f>SUM(BT318:BT320)</f>
        <v>416</v>
      </c>
    </row>
    <row r="322" spans="1:72" ht="9.9499999999999993" customHeight="1">
      <c r="A322" s="490"/>
      <c r="B322" s="492" t="s">
        <v>553</v>
      </c>
      <c r="C322" s="492"/>
      <c r="D322" s="492"/>
      <c r="E322" s="492"/>
      <c r="F322" s="492"/>
      <c r="G322" s="492"/>
      <c r="H322" s="492"/>
      <c r="I322" s="492"/>
      <c r="J322" s="492"/>
      <c r="K322" s="492"/>
      <c r="L322" s="502"/>
      <c r="M322" s="492"/>
      <c r="N322" s="492"/>
      <c r="O322" s="492"/>
      <c r="P322" s="492"/>
      <c r="Q322" s="492"/>
      <c r="R322" s="492"/>
      <c r="S322" s="492"/>
      <c r="T322" s="496"/>
      <c r="U322" s="492"/>
      <c r="V322" s="492"/>
      <c r="W322" s="492"/>
      <c r="X322" s="492"/>
      <c r="Y322" s="492"/>
      <c r="Z322" s="492"/>
      <c r="AA322" s="492"/>
      <c r="AB322" s="492"/>
      <c r="AC322" s="492"/>
      <c r="AD322" s="492"/>
      <c r="AE322" s="492"/>
      <c r="AF322" s="492"/>
      <c r="AG322" s="492"/>
      <c r="AH322" s="492"/>
      <c r="AI322" s="492"/>
      <c r="AJ322" s="492"/>
      <c r="AK322" s="492"/>
      <c r="AL322" s="492"/>
      <c r="AM322" s="492"/>
      <c r="AN322" s="492"/>
      <c r="AO322" s="492"/>
      <c r="AP322" s="492"/>
      <c r="AQ322" s="492"/>
      <c r="AR322" s="492"/>
      <c r="AS322" s="492"/>
      <c r="AT322" s="492"/>
      <c r="AU322" s="492"/>
      <c r="AV322" s="492"/>
      <c r="AW322" s="492"/>
      <c r="AX322" s="492"/>
      <c r="AY322" s="492"/>
      <c r="AZ322" s="492"/>
      <c r="BA322" s="492"/>
      <c r="BB322" s="492"/>
      <c r="BC322" s="492"/>
      <c r="BD322" s="492"/>
      <c r="BE322" s="492"/>
      <c r="BF322" s="492"/>
      <c r="BG322" s="492"/>
      <c r="BH322" s="492"/>
      <c r="BI322" s="492"/>
      <c r="BJ322" s="492"/>
      <c r="BK322" s="492"/>
      <c r="BL322" s="492"/>
      <c r="BM322" s="492"/>
      <c r="BN322" s="492"/>
      <c r="BO322" s="492"/>
      <c r="BP322" s="492"/>
      <c r="BQ322" s="499"/>
      <c r="BR322" s="499"/>
      <c r="BS322" s="499"/>
      <c r="BT322" s="499"/>
    </row>
    <row r="323" spans="1:72" ht="9.9499999999999993" customHeight="1">
      <c r="A323" s="490"/>
      <c r="B323" s="492"/>
      <c r="C323" s="492" t="s">
        <v>568</v>
      </c>
      <c r="D323" s="492"/>
      <c r="E323" s="492"/>
      <c r="F323" s="492"/>
      <c r="G323" s="492"/>
      <c r="H323" s="492"/>
      <c r="I323" s="492"/>
      <c r="J323" s="492"/>
      <c r="K323" s="492"/>
      <c r="L323" s="502"/>
      <c r="M323" s="492"/>
      <c r="N323" s="1509" t="s">
        <v>689</v>
      </c>
      <c r="O323" s="1510"/>
      <c r="P323" s="1510"/>
      <c r="Q323" s="1510"/>
      <c r="R323" s="1510"/>
      <c r="S323" s="1510"/>
      <c r="T323" s="1510"/>
      <c r="U323" s="1510"/>
      <c r="V323" s="1510"/>
      <c r="W323" s="1510"/>
      <c r="X323" s="1510"/>
      <c r="Y323" s="1510"/>
      <c r="Z323" s="1510"/>
      <c r="AA323" s="492"/>
      <c r="AB323" s="492"/>
      <c r="AC323" s="492"/>
      <c r="AD323" s="492"/>
      <c r="AE323" s="492"/>
      <c r="AF323" s="492"/>
      <c r="AG323" s="492"/>
      <c r="AH323" s="492"/>
      <c r="AI323" s="492"/>
      <c r="AJ323" s="492"/>
      <c r="AK323" s="492"/>
      <c r="AL323" s="492"/>
      <c r="AM323" s="492"/>
      <c r="AN323" s="492"/>
      <c r="AO323" s="492"/>
      <c r="AP323" s="492"/>
      <c r="AQ323" s="492"/>
      <c r="AR323" s="492"/>
      <c r="AS323" s="492"/>
      <c r="AT323" s="492"/>
      <c r="AU323" s="492"/>
      <c r="AV323" s="492"/>
      <c r="AW323" s="492"/>
      <c r="AX323" s="492"/>
      <c r="AY323" s="492"/>
      <c r="AZ323" s="492"/>
      <c r="BA323" s="492"/>
      <c r="BB323" s="492"/>
      <c r="BC323" s="492"/>
      <c r="BD323" s="492"/>
      <c r="BE323" s="492"/>
      <c r="BF323" s="492"/>
      <c r="BG323" s="492"/>
      <c r="BH323" s="492"/>
      <c r="BI323" s="492"/>
      <c r="BJ323" s="492"/>
      <c r="BK323" s="492"/>
      <c r="BL323" s="492"/>
      <c r="BM323" s="492"/>
      <c r="BN323" s="492"/>
      <c r="BO323" s="492"/>
      <c r="BP323" s="492"/>
      <c r="BQ323" s="499"/>
      <c r="BR323" s="499"/>
      <c r="BS323" s="499"/>
      <c r="BT323" s="499"/>
    </row>
    <row r="324" spans="1:72" ht="9.9499999999999993" customHeight="1">
      <c r="A324" s="490"/>
      <c r="B324" s="492"/>
      <c r="C324" s="1497" t="s">
        <v>563</v>
      </c>
      <c r="D324" s="1498"/>
      <c r="E324" s="1498"/>
      <c r="F324" s="1498"/>
      <c r="G324" s="1498"/>
      <c r="H324" s="1498"/>
      <c r="I324" s="1498"/>
      <c r="J324" s="1498"/>
      <c r="K324" s="1498"/>
      <c r="L324" s="1498"/>
      <c r="M324" s="1498"/>
      <c r="N324" s="1498"/>
      <c r="O324" s="1498"/>
      <c r="P324" s="1498"/>
      <c r="Q324" s="1498"/>
      <c r="R324" s="1498"/>
      <c r="S324" s="1498"/>
      <c r="T324" s="1498"/>
      <c r="U324" s="1498"/>
      <c r="V324" s="1498"/>
      <c r="W324" s="1498"/>
      <c r="X324" s="1498"/>
      <c r="Y324" s="1498"/>
      <c r="Z324" s="1498"/>
      <c r="AA324" s="1498"/>
      <c r="AB324" s="1498"/>
      <c r="AC324" s="1498"/>
      <c r="AD324" s="1498"/>
      <c r="AE324" s="1498"/>
      <c r="AF324" s="1498"/>
      <c r="AG324" s="1498"/>
      <c r="AH324" s="1498"/>
      <c r="AI324" s="1498"/>
      <c r="AJ324" s="1498"/>
      <c r="AK324" s="1498"/>
      <c r="AL324" s="1498"/>
      <c r="AM324" s="1498"/>
      <c r="AN324" s="1498"/>
      <c r="AO324" s="1498"/>
      <c r="AP324" s="498"/>
      <c r="AQ324" s="498"/>
      <c r="AR324" s="498"/>
      <c r="AS324" s="492"/>
      <c r="AT324" s="492"/>
      <c r="AU324" s="492"/>
      <c r="AV324" s="492"/>
      <c r="AW324" s="492"/>
      <c r="AX324" s="492"/>
      <c r="AY324" s="492"/>
      <c r="AZ324" s="492"/>
      <c r="BA324" s="492"/>
      <c r="BB324" s="492"/>
      <c r="BC324" s="492"/>
      <c r="BD324" s="492"/>
      <c r="BE324" s="492"/>
      <c r="BF324" s="492"/>
      <c r="BG324" s="492"/>
      <c r="BH324" s="492"/>
      <c r="BI324" s="492"/>
      <c r="BJ324" s="492"/>
      <c r="BK324" s="492"/>
      <c r="BL324" s="492"/>
      <c r="BM324" s="492"/>
      <c r="BN324" s="492"/>
      <c r="BO324" s="492"/>
      <c r="BP324" s="492"/>
      <c r="BQ324" s="499"/>
      <c r="BR324" s="499"/>
      <c r="BS324" s="499"/>
      <c r="BT324" s="499"/>
    </row>
    <row r="325" spans="1:72" ht="9.9499999999999993" customHeight="1">
      <c r="A325" s="490"/>
      <c r="B325" s="492"/>
      <c r="C325" s="1497" t="s">
        <v>564</v>
      </c>
      <c r="D325" s="1498"/>
      <c r="E325" s="1498"/>
      <c r="F325" s="1498"/>
      <c r="G325" s="1498"/>
      <c r="H325" s="1498"/>
      <c r="I325" s="1498"/>
      <c r="J325" s="1498"/>
      <c r="K325" s="1498"/>
      <c r="L325" s="1498"/>
      <c r="M325" s="1498"/>
      <c r="N325" s="1498"/>
      <c r="O325" s="1498"/>
      <c r="P325" s="1498"/>
      <c r="Q325" s="1498"/>
      <c r="R325" s="1498"/>
      <c r="S325" s="1498"/>
      <c r="T325" s="1498"/>
      <c r="U325" s="1498"/>
      <c r="V325" s="1498"/>
      <c r="W325" s="1498"/>
      <c r="X325" s="1498"/>
      <c r="Y325" s="1498"/>
      <c r="Z325" s="1498"/>
      <c r="AA325" s="1498"/>
      <c r="AB325" s="1498"/>
      <c r="AC325" s="1498"/>
      <c r="AD325" s="1498"/>
      <c r="AE325" s="1498"/>
      <c r="AF325" s="1498"/>
      <c r="AG325" s="1498"/>
      <c r="AH325" s="1498"/>
      <c r="AI325" s="1498"/>
      <c r="AJ325" s="1498"/>
      <c r="AK325" s="1498"/>
      <c r="AL325" s="1498"/>
      <c r="AM325" s="1498"/>
      <c r="AN325" s="1498"/>
      <c r="AO325" s="1498"/>
      <c r="AP325" s="498"/>
      <c r="AQ325" s="498"/>
      <c r="AR325" s="498"/>
      <c r="AS325" s="492"/>
      <c r="AT325" s="492"/>
      <c r="AU325" s="492"/>
      <c r="AV325" s="492"/>
      <c r="AW325" s="492"/>
      <c r="AX325" s="492"/>
      <c r="AY325" s="492"/>
      <c r="AZ325" s="492"/>
      <c r="BA325" s="492"/>
      <c r="BB325" s="492"/>
      <c r="BC325" s="492"/>
      <c r="BD325" s="492"/>
      <c r="BE325" s="492"/>
      <c r="BF325" s="492"/>
      <c r="BG325" s="492"/>
      <c r="BH325" s="492"/>
      <c r="BI325" s="492"/>
      <c r="BJ325" s="492"/>
      <c r="BK325" s="492"/>
      <c r="BL325" s="492"/>
      <c r="BM325" s="492"/>
      <c r="BN325" s="492"/>
      <c r="BO325" s="492"/>
      <c r="BP325" s="492"/>
      <c r="BQ325" s="499"/>
      <c r="BR325" s="499"/>
      <c r="BS325" s="499"/>
      <c r="BT325" s="499"/>
    </row>
    <row r="326" spans="1:72" ht="9.9499999999999993" customHeight="1">
      <c r="A326" s="490"/>
      <c r="B326" s="492"/>
      <c r="C326" s="492"/>
      <c r="D326" s="492"/>
      <c r="E326" s="492" t="s">
        <v>66</v>
      </c>
      <c r="F326" s="492"/>
      <c r="G326" s="492"/>
      <c r="H326" s="492"/>
      <c r="I326" s="492"/>
      <c r="J326" s="492"/>
      <c r="K326" s="492"/>
      <c r="L326" s="502"/>
      <c r="M326" s="492"/>
      <c r="N326" s="492"/>
      <c r="O326" s="492"/>
      <c r="P326" s="1505" t="e">
        <f>'기계경비(OLD)'!$AT$151</f>
        <v>#REF!</v>
      </c>
      <c r="Q326" s="1506"/>
      <c r="R326" s="1506"/>
      <c r="S326" s="1506"/>
      <c r="T326" s="1506"/>
      <c r="U326" s="1506"/>
      <c r="V326" s="507" t="s">
        <v>99</v>
      </c>
      <c r="W326" s="497"/>
      <c r="X326" s="1495" t="s">
        <v>551</v>
      </c>
      <c r="Y326" s="1494"/>
      <c r="Z326" s="1494"/>
      <c r="AA326" s="1494"/>
      <c r="AB326" s="507" t="s">
        <v>103</v>
      </c>
      <c r="AC326" s="497"/>
      <c r="AD326" s="1495" t="e">
        <f>INT((P326/68)*0.5)</f>
        <v>#REF!</v>
      </c>
      <c r="AE326" s="1494"/>
      <c r="AF326" s="1494"/>
      <c r="AG326" s="1494"/>
      <c r="AH326" s="1494"/>
      <c r="AI326" s="1494"/>
      <c r="AJ326" s="1494"/>
      <c r="AK326" s="1496" t="s">
        <v>559</v>
      </c>
      <c r="AL326" s="1496"/>
      <c r="AM326" s="1496"/>
      <c r="AN326" s="1496"/>
      <c r="AO326" s="1496"/>
      <c r="AP326" s="1496"/>
      <c r="AQ326" s="1496"/>
      <c r="AR326" s="1496"/>
      <c r="AS326" s="1496"/>
      <c r="AT326" s="1496"/>
      <c r="AU326" s="1496"/>
      <c r="AV326" s="1498"/>
      <c r="AW326" s="1498"/>
      <c r="AX326" s="1498"/>
      <c r="AY326" s="1498"/>
      <c r="AZ326" s="1498"/>
      <c r="BA326" s="1498"/>
      <c r="BB326" s="1498"/>
      <c r="BC326" s="492"/>
      <c r="BD326" s="492"/>
      <c r="BE326" s="492"/>
      <c r="BF326" s="492"/>
      <c r="BG326" s="492"/>
      <c r="BH326" s="492"/>
      <c r="BI326" s="492"/>
      <c r="BJ326" s="492"/>
      <c r="BK326" s="492"/>
      <c r="BL326" s="492"/>
      <c r="BM326" s="492"/>
      <c r="BN326" s="492"/>
      <c r="BO326" s="492"/>
      <c r="BP326" s="492"/>
      <c r="BQ326" s="499" t="e">
        <f>SUM(BR326:BT326)</f>
        <v>#REF!</v>
      </c>
      <c r="BR326" s="493"/>
      <c r="BS326" s="493" t="e">
        <f>INT(AD326)</f>
        <v>#REF!</v>
      </c>
      <c r="BT326" s="493"/>
    </row>
    <row r="327" spans="1:72" ht="9.9499999999999993" customHeight="1">
      <c r="A327" s="490"/>
      <c r="B327" s="492"/>
      <c r="C327" s="492"/>
      <c r="D327" s="492"/>
      <c r="E327" s="492" t="s">
        <v>67</v>
      </c>
      <c r="F327" s="492"/>
      <c r="G327" s="492"/>
      <c r="H327" s="492"/>
      <c r="I327" s="492"/>
      <c r="J327" s="492"/>
      <c r="K327" s="492"/>
      <c r="L327" s="502"/>
      <c r="M327" s="492"/>
      <c r="N327" s="492"/>
      <c r="O327" s="492"/>
      <c r="P327" s="1505">
        <f>'기계경비(OLD)'!$BU$146</f>
        <v>50008</v>
      </c>
      <c r="Q327" s="1506"/>
      <c r="R327" s="1506"/>
      <c r="S327" s="1506"/>
      <c r="T327" s="1506"/>
      <c r="U327" s="1506"/>
      <c r="V327" s="507" t="s">
        <v>99</v>
      </c>
      <c r="W327" s="497"/>
      <c r="X327" s="1495" t="s">
        <v>551</v>
      </c>
      <c r="Y327" s="1494"/>
      <c r="Z327" s="1494"/>
      <c r="AA327" s="1494"/>
      <c r="AB327" s="507" t="s">
        <v>103</v>
      </c>
      <c r="AC327" s="497"/>
      <c r="AD327" s="1495">
        <f>INT((P327/68)*0.5)</f>
        <v>367</v>
      </c>
      <c r="AE327" s="1494"/>
      <c r="AF327" s="1494"/>
      <c r="AG327" s="1494"/>
      <c r="AH327" s="1494"/>
      <c r="AI327" s="1494"/>
      <c r="AJ327" s="1494"/>
      <c r="AK327" s="1496" t="s">
        <v>559</v>
      </c>
      <c r="AL327" s="1496"/>
      <c r="AM327" s="1496"/>
      <c r="AN327" s="1496"/>
      <c r="AO327" s="1496"/>
      <c r="AP327" s="1496"/>
      <c r="AQ327" s="1496"/>
      <c r="AR327" s="1496"/>
      <c r="AS327" s="1496"/>
      <c r="AT327" s="1496"/>
      <c r="AU327" s="1496"/>
      <c r="AV327" s="1498"/>
      <c r="AW327" s="1498"/>
      <c r="AX327" s="1498"/>
      <c r="AY327" s="1498"/>
      <c r="AZ327" s="1498"/>
      <c r="BA327" s="1498"/>
      <c r="BB327" s="1498"/>
      <c r="BC327" s="492"/>
      <c r="BD327" s="492"/>
      <c r="BE327" s="492"/>
      <c r="BF327" s="492"/>
      <c r="BG327" s="492"/>
      <c r="BH327" s="492"/>
      <c r="BI327" s="492"/>
      <c r="BJ327" s="492"/>
      <c r="BK327" s="492"/>
      <c r="BL327" s="492"/>
      <c r="BM327" s="492"/>
      <c r="BN327" s="492"/>
      <c r="BO327" s="492"/>
      <c r="BP327" s="492"/>
      <c r="BQ327" s="499">
        <f>SUM(BR327:BT327)</f>
        <v>367</v>
      </c>
      <c r="BR327" s="493">
        <f>AD327</f>
        <v>367</v>
      </c>
      <c r="BS327" s="493"/>
      <c r="BT327" s="493"/>
    </row>
    <row r="328" spans="1:72" ht="9.9499999999999993" customHeight="1">
      <c r="A328" s="490"/>
      <c r="B328" s="492"/>
      <c r="C328" s="492"/>
      <c r="D328" s="492"/>
      <c r="E328" s="492" t="s">
        <v>68</v>
      </c>
      <c r="F328" s="492"/>
      <c r="G328" s="492"/>
      <c r="H328" s="492"/>
      <c r="I328" s="492"/>
      <c r="J328" s="492"/>
      <c r="K328" s="492"/>
      <c r="L328" s="502"/>
      <c r="M328" s="492"/>
      <c r="N328" s="492"/>
      <c r="O328" s="492"/>
      <c r="P328" s="1505">
        <f>'기계경비(OLD)'!$BN$155</f>
        <v>18728</v>
      </c>
      <c r="Q328" s="1506"/>
      <c r="R328" s="1506"/>
      <c r="S328" s="1506"/>
      <c r="T328" s="1506"/>
      <c r="U328" s="1506"/>
      <c r="V328" s="507" t="s">
        <v>99</v>
      </c>
      <c r="W328" s="497"/>
      <c r="X328" s="1495" t="s">
        <v>551</v>
      </c>
      <c r="Y328" s="1494"/>
      <c r="Z328" s="1494"/>
      <c r="AA328" s="1494"/>
      <c r="AB328" s="507" t="s">
        <v>103</v>
      </c>
      <c r="AC328" s="497"/>
      <c r="AD328" s="1495">
        <f>INT((P328/68)*0.5)</f>
        <v>137</v>
      </c>
      <c r="AE328" s="1494"/>
      <c r="AF328" s="1494"/>
      <c r="AG328" s="1494"/>
      <c r="AH328" s="1494"/>
      <c r="AI328" s="1494"/>
      <c r="AJ328" s="1494"/>
      <c r="AK328" s="1496" t="s">
        <v>559</v>
      </c>
      <c r="AL328" s="1496"/>
      <c r="AM328" s="1496"/>
      <c r="AN328" s="1496"/>
      <c r="AO328" s="1496"/>
      <c r="AP328" s="1496"/>
      <c r="AQ328" s="1496"/>
      <c r="AR328" s="1496"/>
      <c r="AS328" s="1496"/>
      <c r="AT328" s="1496"/>
      <c r="AU328" s="1496"/>
      <c r="AV328" s="1498"/>
      <c r="AW328" s="1498"/>
      <c r="AX328" s="1498"/>
      <c r="AY328" s="1498"/>
      <c r="AZ328" s="1498"/>
      <c r="BA328" s="1498"/>
      <c r="BB328" s="1498"/>
      <c r="BC328" s="492"/>
      <c r="BD328" s="492"/>
      <c r="BE328" s="492"/>
      <c r="BF328" s="492"/>
      <c r="BG328" s="492"/>
      <c r="BH328" s="492"/>
      <c r="BI328" s="492"/>
      <c r="BJ328" s="492"/>
      <c r="BK328" s="492"/>
      <c r="BL328" s="492"/>
      <c r="BM328" s="492"/>
      <c r="BN328" s="492"/>
      <c r="BO328" s="492"/>
      <c r="BP328" s="492"/>
      <c r="BQ328" s="499">
        <f>SUM(BR328:BT328)</f>
        <v>137</v>
      </c>
      <c r="BR328" s="493"/>
      <c r="BS328" s="493"/>
      <c r="BT328" s="509">
        <f>AD328</f>
        <v>137</v>
      </c>
    </row>
    <row r="329" spans="1:72" ht="9.9499999999999993" customHeight="1">
      <c r="A329" s="490"/>
      <c r="B329" s="492"/>
      <c r="C329" s="492" t="s">
        <v>63</v>
      </c>
      <c r="D329" s="492"/>
      <c r="E329" s="492"/>
      <c r="F329" s="492"/>
      <c r="G329" s="492"/>
      <c r="H329" s="492"/>
      <c r="I329" s="492"/>
      <c r="J329" s="492"/>
      <c r="K329" s="492"/>
      <c r="L329" s="502"/>
      <c r="M329" s="492"/>
      <c r="N329" s="492"/>
      <c r="O329" s="492"/>
      <c r="P329" s="492"/>
      <c r="Q329" s="492"/>
      <c r="R329" s="492"/>
      <c r="S329" s="492"/>
      <c r="T329" s="496"/>
      <c r="U329" s="492"/>
      <c r="V329" s="492"/>
      <c r="W329" s="492"/>
      <c r="X329" s="492"/>
      <c r="Y329" s="492"/>
      <c r="Z329" s="492"/>
      <c r="AA329" s="492"/>
      <c r="AB329" s="492"/>
      <c r="AC329" s="492"/>
      <c r="AD329" s="492"/>
      <c r="AE329" s="492"/>
      <c r="AF329" s="492"/>
      <c r="AG329" s="492"/>
      <c r="AH329" s="492"/>
      <c r="AI329" s="496"/>
      <c r="AJ329" s="492"/>
      <c r="AK329" s="492"/>
      <c r="AL329" s="492"/>
      <c r="AM329" s="492"/>
      <c r="AN329" s="492"/>
      <c r="AO329" s="492"/>
      <c r="AP329" s="492"/>
      <c r="AQ329" s="492"/>
      <c r="AR329" s="492"/>
      <c r="AS329" s="492"/>
      <c r="AT329" s="492"/>
      <c r="AU329" s="492"/>
      <c r="AV329" s="492"/>
      <c r="AW329" s="492"/>
      <c r="AX329" s="492"/>
      <c r="AY329" s="492"/>
      <c r="AZ329" s="492"/>
      <c r="BA329" s="492"/>
      <c r="BB329" s="492"/>
      <c r="BC329" s="492"/>
      <c r="BD329" s="492"/>
      <c r="BE329" s="492"/>
      <c r="BF329" s="492"/>
      <c r="BG329" s="492"/>
      <c r="BH329" s="492"/>
      <c r="BI329" s="492"/>
      <c r="BJ329" s="492"/>
      <c r="BK329" s="492"/>
      <c r="BL329" s="492"/>
      <c r="BM329" s="492"/>
      <c r="BN329" s="492"/>
      <c r="BO329" s="492"/>
      <c r="BP329" s="492"/>
      <c r="BQ329" s="503" t="e">
        <f>SUM(BR329:BT329)</f>
        <v>#REF!</v>
      </c>
      <c r="BR329" s="503">
        <f>SUM(BR322:BR328)</f>
        <v>367</v>
      </c>
      <c r="BS329" s="503" t="e">
        <f>SUM(BS322:BS328)</f>
        <v>#REF!</v>
      </c>
      <c r="BT329" s="503">
        <f>SUM(BT322:BT328)</f>
        <v>137</v>
      </c>
    </row>
    <row r="330" spans="1:72" ht="9.9499999999999993" customHeight="1">
      <c r="A330" s="490"/>
      <c r="B330" s="492"/>
      <c r="C330" s="492"/>
      <c r="D330" s="492"/>
      <c r="E330" s="492"/>
      <c r="F330" s="492"/>
      <c r="G330" s="492"/>
      <c r="H330" s="492"/>
      <c r="I330" s="492"/>
      <c r="J330" s="492"/>
      <c r="K330" s="492"/>
      <c r="L330" s="502"/>
      <c r="M330" s="492"/>
      <c r="N330" s="492"/>
      <c r="O330" s="492"/>
      <c r="P330" s="492"/>
      <c r="Q330" s="492"/>
      <c r="R330" s="492"/>
      <c r="S330" s="492"/>
      <c r="T330" s="496"/>
      <c r="U330" s="492"/>
      <c r="V330" s="492"/>
      <c r="W330" s="492"/>
      <c r="X330" s="492"/>
      <c r="Y330" s="492"/>
      <c r="Z330" s="492"/>
      <c r="AA330" s="492"/>
      <c r="AB330" s="492"/>
      <c r="AC330" s="492"/>
      <c r="AD330" s="492"/>
      <c r="AE330" s="492"/>
      <c r="AF330" s="492"/>
      <c r="AG330" s="492"/>
      <c r="AH330" s="492"/>
      <c r="AI330" s="496"/>
      <c r="AJ330" s="492"/>
      <c r="AK330" s="492"/>
      <c r="AL330" s="492"/>
      <c r="AM330" s="492"/>
      <c r="AN330" s="492"/>
      <c r="AO330" s="492"/>
      <c r="AP330" s="492"/>
      <c r="AQ330" s="492"/>
      <c r="AR330" s="492"/>
      <c r="AS330" s="492"/>
      <c r="AT330" s="492"/>
      <c r="AU330" s="492"/>
      <c r="AV330" s="492"/>
      <c r="AW330" s="492"/>
      <c r="AX330" s="492"/>
      <c r="AY330" s="492"/>
      <c r="AZ330" s="492"/>
      <c r="BA330" s="492"/>
      <c r="BB330" s="492"/>
      <c r="BC330" s="492"/>
      <c r="BD330" s="492"/>
      <c r="BE330" s="492"/>
      <c r="BF330" s="492"/>
      <c r="BG330" s="492"/>
      <c r="BH330" s="492"/>
      <c r="BI330" s="492"/>
      <c r="BJ330" s="492"/>
      <c r="BK330" s="492"/>
      <c r="BL330" s="492"/>
      <c r="BM330" s="492"/>
      <c r="BN330" s="492"/>
      <c r="BO330" s="492"/>
      <c r="BP330" s="492"/>
      <c r="BQ330" s="499"/>
      <c r="BR330" s="499"/>
      <c r="BS330" s="499"/>
      <c r="BT330" s="499"/>
    </row>
    <row r="331" spans="1:72" ht="9.9499999999999993" customHeight="1">
      <c r="A331" s="490"/>
      <c r="B331" s="492"/>
      <c r="C331" s="492"/>
      <c r="D331" s="492"/>
      <c r="E331" s="492"/>
      <c r="F331" s="492"/>
      <c r="G331" s="492"/>
      <c r="H331" s="492"/>
      <c r="I331" s="492"/>
      <c r="J331" s="492"/>
      <c r="K331" s="492"/>
      <c r="L331" s="502"/>
      <c r="M331" s="492"/>
      <c r="N331" s="492"/>
      <c r="O331" s="492"/>
      <c r="P331" s="492"/>
      <c r="Q331" s="492"/>
      <c r="R331" s="492"/>
      <c r="S331" s="492"/>
      <c r="T331" s="496"/>
      <c r="U331" s="492"/>
      <c r="V331" s="492"/>
      <c r="W331" s="492"/>
      <c r="X331" s="492"/>
      <c r="Y331" s="492"/>
      <c r="Z331" s="492"/>
      <c r="AA331" s="492"/>
      <c r="AB331" s="492"/>
      <c r="AC331" s="492"/>
      <c r="AD331" s="492"/>
      <c r="AE331" s="492"/>
      <c r="AF331" s="492"/>
      <c r="AG331" s="492"/>
      <c r="AH331" s="492"/>
      <c r="AI331" s="496"/>
      <c r="AJ331" s="492"/>
      <c r="AK331" s="492"/>
      <c r="AL331" s="492"/>
      <c r="AM331" s="492"/>
      <c r="AN331" s="492"/>
      <c r="AO331" s="492"/>
      <c r="AP331" s="492"/>
      <c r="AQ331" s="492"/>
      <c r="AR331" s="492"/>
      <c r="AS331" s="492"/>
      <c r="AT331" s="492"/>
      <c r="AU331" s="492"/>
      <c r="AV331" s="492"/>
      <c r="AW331" s="492"/>
      <c r="AX331" s="492"/>
      <c r="AY331" s="492"/>
      <c r="AZ331" s="492"/>
      <c r="BA331" s="492"/>
      <c r="BB331" s="492"/>
      <c r="BC331" s="492"/>
      <c r="BD331" s="492"/>
      <c r="BE331" s="492"/>
      <c r="BF331" s="492"/>
      <c r="BG331" s="492"/>
      <c r="BH331" s="492"/>
      <c r="BI331" s="492"/>
      <c r="BJ331" s="492"/>
      <c r="BK331" s="492"/>
      <c r="BL331" s="492"/>
      <c r="BM331" s="492"/>
      <c r="BN331" s="492"/>
      <c r="BO331" s="492"/>
      <c r="BP331" s="492"/>
      <c r="BQ331" s="499"/>
      <c r="BR331" s="499"/>
      <c r="BS331" s="499"/>
      <c r="BT331" s="499"/>
    </row>
    <row r="332" spans="1:72" ht="9.9499999999999993" customHeight="1">
      <c r="A332" s="490"/>
      <c r="B332" s="492"/>
      <c r="C332" s="492"/>
      <c r="D332" s="492"/>
      <c r="E332" s="492"/>
      <c r="F332" s="492"/>
      <c r="G332" s="492"/>
      <c r="H332" s="492"/>
      <c r="I332" s="492"/>
      <c r="J332" s="492"/>
      <c r="K332" s="492"/>
      <c r="L332" s="502"/>
      <c r="M332" s="492"/>
      <c r="N332" s="492"/>
      <c r="O332" s="492"/>
      <c r="P332" s="492"/>
      <c r="Q332" s="492"/>
      <c r="R332" s="492"/>
      <c r="S332" s="492"/>
      <c r="T332" s="496"/>
      <c r="U332" s="492"/>
      <c r="V332" s="492"/>
      <c r="W332" s="492"/>
      <c r="X332" s="492"/>
      <c r="Y332" s="492"/>
      <c r="Z332" s="492"/>
      <c r="AA332" s="492"/>
      <c r="AB332" s="492"/>
      <c r="AC332" s="492"/>
      <c r="AD332" s="492"/>
      <c r="AE332" s="492"/>
      <c r="AF332" s="492"/>
      <c r="AG332" s="492"/>
      <c r="AH332" s="492"/>
      <c r="AI332" s="496"/>
      <c r="AJ332" s="492"/>
      <c r="AK332" s="492"/>
      <c r="AL332" s="492"/>
      <c r="AM332" s="492"/>
      <c r="AN332" s="492"/>
      <c r="AO332" s="492"/>
      <c r="AP332" s="492"/>
      <c r="AQ332" s="492"/>
      <c r="AR332" s="492"/>
      <c r="AS332" s="492"/>
      <c r="AT332" s="492"/>
      <c r="AU332" s="492"/>
      <c r="AV332" s="492"/>
      <c r="AW332" s="492"/>
      <c r="AX332" s="492"/>
      <c r="AY332" s="492"/>
      <c r="AZ332" s="492"/>
      <c r="BA332" s="492"/>
      <c r="BB332" s="492"/>
      <c r="BC332" s="492"/>
      <c r="BD332" s="492"/>
      <c r="BE332" s="492"/>
      <c r="BF332" s="492"/>
      <c r="BG332" s="492"/>
      <c r="BH332" s="492"/>
      <c r="BI332" s="492"/>
      <c r="BJ332" s="492"/>
      <c r="BK332" s="492"/>
      <c r="BL332" s="492"/>
      <c r="BM332" s="492"/>
      <c r="BN332" s="492"/>
      <c r="BO332" s="492"/>
      <c r="BP332" s="492"/>
      <c r="BQ332" s="499"/>
      <c r="BR332" s="499"/>
      <c r="BS332" s="499"/>
      <c r="BT332" s="499"/>
    </row>
    <row r="333" spans="1:72" ht="9.9499999999999993" customHeight="1">
      <c r="A333" s="490"/>
      <c r="B333" s="492"/>
      <c r="C333" s="492"/>
      <c r="D333" s="492"/>
      <c r="E333" s="492"/>
      <c r="F333" s="492"/>
      <c r="G333" s="492"/>
      <c r="H333" s="492"/>
      <c r="I333" s="492"/>
      <c r="J333" s="492"/>
      <c r="K333" s="492"/>
      <c r="L333" s="502"/>
      <c r="M333" s="492"/>
      <c r="N333" s="492"/>
      <c r="O333" s="492"/>
      <c r="P333" s="492"/>
      <c r="Q333" s="492"/>
      <c r="R333" s="492"/>
      <c r="S333" s="492"/>
      <c r="T333" s="496"/>
      <c r="U333" s="492"/>
      <c r="V333" s="492"/>
      <c r="W333" s="492"/>
      <c r="X333" s="492"/>
      <c r="Y333" s="492"/>
      <c r="Z333" s="492"/>
      <c r="AA333" s="492"/>
      <c r="AB333" s="492"/>
      <c r="AC333" s="492"/>
      <c r="AD333" s="492"/>
      <c r="AE333" s="492"/>
      <c r="AF333" s="492"/>
      <c r="AG333" s="492"/>
      <c r="AH333" s="492"/>
      <c r="AI333" s="496"/>
      <c r="AJ333" s="492"/>
      <c r="AK333" s="492"/>
      <c r="AL333" s="492"/>
      <c r="AM333" s="492"/>
      <c r="AN333" s="492"/>
      <c r="AO333" s="492"/>
      <c r="AP333" s="492"/>
      <c r="AQ333" s="492"/>
      <c r="AR333" s="492"/>
      <c r="AS333" s="492"/>
      <c r="AT333" s="492"/>
      <c r="AU333" s="492"/>
      <c r="AV333" s="492"/>
      <c r="AW333" s="492"/>
      <c r="AX333" s="492"/>
      <c r="AY333" s="492"/>
      <c r="AZ333" s="492"/>
      <c r="BA333" s="492"/>
      <c r="BB333" s="492"/>
      <c r="BC333" s="492"/>
      <c r="BD333" s="492"/>
      <c r="BE333" s="492"/>
      <c r="BF333" s="492"/>
      <c r="BG333" s="492"/>
      <c r="BH333" s="492"/>
      <c r="BI333" s="492"/>
      <c r="BJ333" s="492"/>
      <c r="BK333" s="492"/>
      <c r="BL333" s="492"/>
      <c r="BM333" s="492"/>
      <c r="BN333" s="492"/>
      <c r="BO333" s="492"/>
      <c r="BP333" s="492"/>
      <c r="BQ333" s="499"/>
      <c r="BR333" s="499"/>
      <c r="BS333" s="499"/>
      <c r="BT333" s="499"/>
    </row>
    <row r="334" spans="1:72" ht="9.9499999999999993" customHeight="1">
      <c r="A334" s="490"/>
      <c r="B334" s="492"/>
      <c r="C334" s="492"/>
      <c r="D334" s="492"/>
      <c r="E334" s="492"/>
      <c r="F334" s="492"/>
      <c r="G334" s="492"/>
      <c r="H334" s="492"/>
      <c r="I334" s="492"/>
      <c r="J334" s="492"/>
      <c r="K334" s="492"/>
      <c r="L334" s="502"/>
      <c r="M334" s="492"/>
      <c r="N334" s="492"/>
      <c r="O334" s="492"/>
      <c r="P334" s="492"/>
      <c r="Q334" s="492"/>
      <c r="R334" s="492"/>
      <c r="S334" s="492"/>
      <c r="T334" s="496"/>
      <c r="U334" s="492"/>
      <c r="V334" s="492"/>
      <c r="W334" s="492"/>
      <c r="X334" s="492"/>
      <c r="Y334" s="492"/>
      <c r="Z334" s="492"/>
      <c r="AA334" s="492"/>
      <c r="AB334" s="492"/>
      <c r="AC334" s="492"/>
      <c r="AD334" s="492"/>
      <c r="AE334" s="492"/>
      <c r="AF334" s="492"/>
      <c r="AG334" s="492"/>
      <c r="AH334" s="492"/>
      <c r="AI334" s="496"/>
      <c r="AJ334" s="492"/>
      <c r="AK334" s="492"/>
      <c r="AL334" s="492"/>
      <c r="AM334" s="492"/>
      <c r="AN334" s="492"/>
      <c r="AO334" s="492"/>
      <c r="AP334" s="492"/>
      <c r="AQ334" s="492"/>
      <c r="AR334" s="492"/>
      <c r="AS334" s="492"/>
      <c r="AT334" s="492"/>
      <c r="AU334" s="492"/>
      <c r="AV334" s="492"/>
      <c r="AW334" s="492"/>
      <c r="AX334" s="492"/>
      <c r="AY334" s="492"/>
      <c r="AZ334" s="492"/>
      <c r="BA334" s="492"/>
      <c r="BB334" s="492"/>
      <c r="BC334" s="492"/>
      <c r="BD334" s="492"/>
      <c r="BE334" s="492"/>
      <c r="BF334" s="492"/>
      <c r="BG334" s="492"/>
      <c r="BH334" s="492"/>
      <c r="BI334" s="492"/>
      <c r="BJ334" s="492"/>
      <c r="BK334" s="492"/>
      <c r="BL334" s="492"/>
      <c r="BM334" s="492"/>
      <c r="BN334" s="492"/>
      <c r="BO334" s="492"/>
      <c r="BP334" s="492"/>
      <c r="BQ334" s="499"/>
      <c r="BR334" s="499"/>
      <c r="BS334" s="499"/>
      <c r="BT334" s="499"/>
    </row>
    <row r="335" spans="1:72" ht="9.9499999999999993" customHeight="1">
      <c r="A335" s="490"/>
      <c r="B335" s="492"/>
      <c r="C335" s="492"/>
      <c r="D335" s="492"/>
      <c r="E335" s="492"/>
      <c r="F335" s="492"/>
      <c r="G335" s="492"/>
      <c r="H335" s="492"/>
      <c r="I335" s="492"/>
      <c r="J335" s="492"/>
      <c r="K335" s="492"/>
      <c r="L335" s="502"/>
      <c r="M335" s="492"/>
      <c r="N335" s="492"/>
      <c r="O335" s="492"/>
      <c r="P335" s="492"/>
      <c r="Q335" s="492"/>
      <c r="R335" s="492"/>
      <c r="S335" s="492"/>
      <c r="T335" s="496"/>
      <c r="U335" s="492"/>
      <c r="V335" s="492"/>
      <c r="W335" s="492"/>
      <c r="X335" s="492"/>
      <c r="Y335" s="492"/>
      <c r="Z335" s="492"/>
      <c r="AA335" s="492"/>
      <c r="AB335" s="492"/>
      <c r="AC335" s="492"/>
      <c r="AD335" s="492"/>
      <c r="AE335" s="492"/>
      <c r="AF335" s="492"/>
      <c r="AG335" s="492"/>
      <c r="AH335" s="492"/>
      <c r="AI335" s="496"/>
      <c r="AJ335" s="492"/>
      <c r="AK335" s="492"/>
      <c r="AL335" s="492"/>
      <c r="AM335" s="492"/>
      <c r="AN335" s="492"/>
      <c r="AO335" s="492"/>
      <c r="AP335" s="492"/>
      <c r="AQ335" s="492"/>
      <c r="AR335" s="492"/>
      <c r="AS335" s="492"/>
      <c r="AT335" s="492"/>
      <c r="AU335" s="492"/>
      <c r="AV335" s="492"/>
      <c r="AW335" s="492"/>
      <c r="AX335" s="492"/>
      <c r="AY335" s="492"/>
      <c r="AZ335" s="492"/>
      <c r="BA335" s="492"/>
      <c r="BB335" s="492"/>
      <c r="BC335" s="492"/>
      <c r="BD335" s="492"/>
      <c r="BE335" s="492"/>
      <c r="BF335" s="492"/>
      <c r="BG335" s="492"/>
      <c r="BH335" s="492"/>
      <c r="BI335" s="492"/>
      <c r="BJ335" s="492"/>
      <c r="BK335" s="492"/>
      <c r="BL335" s="492"/>
      <c r="BM335" s="492"/>
      <c r="BN335" s="492"/>
      <c r="BO335" s="492"/>
      <c r="BP335" s="492"/>
      <c r="BQ335" s="499"/>
      <c r="BR335" s="499"/>
      <c r="BS335" s="499"/>
      <c r="BT335" s="499"/>
    </row>
    <row r="336" spans="1:72" ht="9.9499999999999993" customHeight="1">
      <c r="A336" s="490"/>
      <c r="B336" s="492"/>
      <c r="C336" s="492"/>
      <c r="D336" s="492"/>
      <c r="E336" s="492"/>
      <c r="F336" s="492"/>
      <c r="G336" s="492"/>
      <c r="H336" s="492"/>
      <c r="I336" s="492"/>
      <c r="J336" s="492"/>
      <c r="K336" s="492"/>
      <c r="L336" s="502"/>
      <c r="M336" s="492"/>
      <c r="N336" s="492"/>
      <c r="O336" s="492"/>
      <c r="P336" s="492"/>
      <c r="Q336" s="492"/>
      <c r="R336" s="492"/>
      <c r="S336" s="492"/>
      <c r="T336" s="496"/>
      <c r="U336" s="492"/>
      <c r="V336" s="492"/>
      <c r="W336" s="492"/>
      <c r="X336" s="492"/>
      <c r="Y336" s="492"/>
      <c r="Z336" s="492"/>
      <c r="AA336" s="492"/>
      <c r="AB336" s="492"/>
      <c r="AC336" s="492"/>
      <c r="AD336" s="492"/>
      <c r="AE336" s="492"/>
      <c r="AF336" s="492"/>
      <c r="AG336" s="492"/>
      <c r="AH336" s="492"/>
      <c r="AI336" s="496"/>
      <c r="AJ336" s="492"/>
      <c r="AK336" s="492"/>
      <c r="AL336" s="492"/>
      <c r="AM336" s="492"/>
      <c r="AN336" s="492"/>
      <c r="AO336" s="492"/>
      <c r="AP336" s="492"/>
      <c r="AQ336" s="492"/>
      <c r="AR336" s="492"/>
      <c r="AS336" s="492"/>
      <c r="AT336" s="492"/>
      <c r="AU336" s="492"/>
      <c r="AV336" s="492"/>
      <c r="AW336" s="492"/>
      <c r="AX336" s="492"/>
      <c r="AY336" s="492"/>
      <c r="AZ336" s="492"/>
      <c r="BA336" s="492"/>
      <c r="BB336" s="492"/>
      <c r="BC336" s="492"/>
      <c r="BD336" s="492"/>
      <c r="BE336" s="492"/>
      <c r="BF336" s="492"/>
      <c r="BG336" s="492"/>
      <c r="BH336" s="492"/>
      <c r="BI336" s="492"/>
      <c r="BJ336" s="492"/>
      <c r="BK336" s="492"/>
      <c r="BL336" s="492"/>
      <c r="BM336" s="492"/>
      <c r="BN336" s="492"/>
      <c r="BO336" s="492"/>
      <c r="BP336" s="492"/>
      <c r="BQ336" s="499"/>
      <c r="BR336" s="499"/>
      <c r="BS336" s="499"/>
      <c r="BT336" s="499"/>
    </row>
    <row r="337" spans="1:76" ht="9.9499999999999993" customHeight="1">
      <c r="A337" s="490"/>
      <c r="B337" s="492"/>
      <c r="C337" s="492"/>
      <c r="D337" s="492"/>
      <c r="E337" s="492"/>
      <c r="F337" s="492"/>
      <c r="G337" s="492"/>
      <c r="H337" s="492"/>
      <c r="I337" s="492"/>
      <c r="J337" s="492"/>
      <c r="K337" s="492"/>
      <c r="L337" s="502"/>
      <c r="M337" s="492"/>
      <c r="N337" s="492"/>
      <c r="O337" s="492"/>
      <c r="P337" s="492"/>
      <c r="Q337" s="492"/>
      <c r="R337" s="492"/>
      <c r="S337" s="492"/>
      <c r="T337" s="496"/>
      <c r="U337" s="492"/>
      <c r="V337" s="492"/>
      <c r="W337" s="492"/>
      <c r="X337" s="492"/>
      <c r="Y337" s="492"/>
      <c r="Z337" s="492"/>
      <c r="AA337" s="492"/>
      <c r="AB337" s="492"/>
      <c r="AC337" s="492"/>
      <c r="AD337" s="492"/>
      <c r="AE337" s="492"/>
      <c r="AF337" s="492"/>
      <c r="AG337" s="492"/>
      <c r="AH337" s="492"/>
      <c r="AI337" s="496"/>
      <c r="AJ337" s="492"/>
      <c r="AK337" s="492"/>
      <c r="AL337" s="492"/>
      <c r="AM337" s="492"/>
      <c r="AN337" s="492"/>
      <c r="AO337" s="492"/>
      <c r="AP337" s="492"/>
      <c r="AQ337" s="492"/>
      <c r="AR337" s="492"/>
      <c r="AS337" s="492"/>
      <c r="AT337" s="492"/>
      <c r="AU337" s="492"/>
      <c r="AV337" s="492"/>
      <c r="AW337" s="492"/>
      <c r="AX337" s="492"/>
      <c r="AY337" s="492"/>
      <c r="AZ337" s="492"/>
      <c r="BA337" s="492"/>
      <c r="BB337" s="492"/>
      <c r="BC337" s="492"/>
      <c r="BD337" s="492"/>
      <c r="BE337" s="492"/>
      <c r="BF337" s="492"/>
      <c r="BG337" s="492"/>
      <c r="BH337" s="492"/>
      <c r="BI337" s="492"/>
      <c r="BJ337" s="492"/>
      <c r="BK337" s="492"/>
      <c r="BL337" s="492"/>
      <c r="BM337" s="492"/>
      <c r="BN337" s="492"/>
      <c r="BO337" s="492"/>
      <c r="BP337" s="492"/>
      <c r="BQ337" s="499"/>
      <c r="BR337" s="499"/>
      <c r="BS337" s="499"/>
      <c r="BT337" s="499"/>
    </row>
    <row r="338" spans="1:76" ht="9.9499999999999993" customHeight="1">
      <c r="A338" s="510"/>
      <c r="B338" s="511"/>
      <c r="C338" s="511" t="s">
        <v>69</v>
      </c>
      <c r="D338" s="511"/>
      <c r="E338" s="511"/>
      <c r="F338" s="511"/>
      <c r="G338" s="511"/>
      <c r="H338" s="511"/>
      <c r="I338" s="511"/>
      <c r="J338" s="511"/>
      <c r="K338" s="511"/>
      <c r="L338" s="512"/>
      <c r="M338" s="511"/>
      <c r="N338" s="511"/>
      <c r="O338" s="511"/>
      <c r="P338" s="511"/>
      <c r="Q338" s="511"/>
      <c r="R338" s="511"/>
      <c r="S338" s="511"/>
      <c r="T338" s="513"/>
      <c r="U338" s="511"/>
      <c r="V338" s="511"/>
      <c r="W338" s="511"/>
      <c r="X338" s="511"/>
      <c r="Y338" s="511"/>
      <c r="Z338" s="511"/>
      <c r="AA338" s="511"/>
      <c r="AB338" s="511"/>
      <c r="AC338" s="511"/>
      <c r="AD338" s="511"/>
      <c r="AE338" s="511"/>
      <c r="AF338" s="511"/>
      <c r="AG338" s="511"/>
      <c r="AH338" s="511"/>
      <c r="AI338" s="513"/>
      <c r="AJ338" s="511"/>
      <c r="AK338" s="511"/>
      <c r="AL338" s="511"/>
      <c r="AM338" s="511"/>
      <c r="AN338" s="511"/>
      <c r="AO338" s="511"/>
      <c r="AP338" s="511"/>
      <c r="AQ338" s="511"/>
      <c r="AR338" s="511"/>
      <c r="AS338" s="511"/>
      <c r="AT338" s="511"/>
      <c r="AU338" s="511"/>
      <c r="AV338" s="511"/>
      <c r="AW338" s="511"/>
      <c r="AX338" s="511"/>
      <c r="AY338" s="511"/>
      <c r="AZ338" s="511"/>
      <c r="BA338" s="511"/>
      <c r="BB338" s="511"/>
      <c r="BC338" s="511"/>
      <c r="BD338" s="511"/>
      <c r="BE338" s="511"/>
      <c r="BF338" s="511"/>
      <c r="BG338" s="511"/>
      <c r="BH338" s="511"/>
      <c r="BI338" s="511"/>
      <c r="BJ338" s="511"/>
      <c r="BK338" s="511"/>
      <c r="BL338" s="511"/>
      <c r="BM338" s="511"/>
      <c r="BN338" s="511"/>
      <c r="BO338" s="511"/>
      <c r="BP338" s="511"/>
      <c r="BQ338" s="514" t="e">
        <f>SUM(BR338:BT338)</f>
        <v>#REF!</v>
      </c>
      <c r="BR338" s="514">
        <f>BR302+BR306+BR321+BR329+BR314</f>
        <v>3247</v>
      </c>
      <c r="BS338" s="514" t="e">
        <f>BS302+BS306+BS321+BS329+BS314</f>
        <v>#REF!</v>
      </c>
      <c r="BT338" s="514">
        <f>BT302+BT306+BT321+BT329+BT314</f>
        <v>1883</v>
      </c>
    </row>
    <row r="339" spans="1:76" ht="30.75" hidden="1" customHeight="1">
      <c r="A339" s="1499" t="s">
        <v>804</v>
      </c>
      <c r="B339" s="1500"/>
      <c r="C339" s="1500"/>
      <c r="D339" s="1500"/>
      <c r="E339" s="1500"/>
      <c r="F339" s="1500"/>
      <c r="G339" s="1500"/>
      <c r="H339" s="1500"/>
      <c r="I339" s="1500"/>
      <c r="J339" s="1500"/>
      <c r="K339" s="1500"/>
      <c r="L339" s="1500"/>
      <c r="M339" s="1500"/>
      <c r="N339" s="1500"/>
      <c r="O339" s="1500"/>
      <c r="P339" s="1500"/>
      <c r="Q339" s="1500"/>
      <c r="R339" s="1500"/>
      <c r="S339" s="1500"/>
      <c r="T339" s="1500"/>
      <c r="U339" s="1500"/>
      <c r="V339" s="1500"/>
      <c r="W339" s="1500"/>
      <c r="X339" s="1500"/>
      <c r="Y339" s="1500"/>
      <c r="Z339" s="1500"/>
      <c r="AA339" s="1500"/>
      <c r="AB339" s="1500"/>
      <c r="AC339" s="1500"/>
      <c r="AD339" s="1500"/>
      <c r="AE339" s="1500"/>
      <c r="AF339" s="1500"/>
      <c r="AG339" s="1500"/>
      <c r="AH339" s="1500"/>
      <c r="AI339" s="1500"/>
      <c r="AJ339" s="1500"/>
      <c r="AK339" s="1500"/>
      <c r="AL339" s="1500"/>
      <c r="AM339" s="1500"/>
      <c r="AN339" s="1500"/>
      <c r="AO339" s="1500"/>
      <c r="AP339" s="1500"/>
      <c r="AQ339" s="1500"/>
      <c r="AR339" s="1500"/>
      <c r="AS339" s="1500"/>
      <c r="AT339" s="1500"/>
      <c r="AU339" s="1500"/>
      <c r="AV339" s="1500"/>
      <c r="AW339" s="1500"/>
      <c r="AX339" s="1500"/>
      <c r="AY339" s="1500"/>
      <c r="AZ339" s="1500"/>
      <c r="BA339" s="1500"/>
      <c r="BB339" s="1500"/>
      <c r="BC339" s="1500"/>
      <c r="BD339" s="1500"/>
      <c r="BE339" s="1500"/>
      <c r="BF339" s="1500"/>
      <c r="BG339" s="1500"/>
      <c r="BH339" s="1500"/>
      <c r="BI339" s="1500"/>
      <c r="BJ339" s="1500"/>
      <c r="BK339" s="1500"/>
      <c r="BL339" s="1500"/>
      <c r="BM339" s="1500"/>
      <c r="BN339" s="1500"/>
      <c r="BO339" s="1500"/>
      <c r="BP339" s="1501"/>
      <c r="BQ339" s="452" t="s">
        <v>109</v>
      </c>
      <c r="BR339" s="452" t="s">
        <v>110</v>
      </c>
      <c r="BS339" s="452" t="s">
        <v>111</v>
      </c>
      <c r="BT339" s="452" t="s">
        <v>61</v>
      </c>
    </row>
    <row r="340" spans="1:76" ht="18" hidden="1" customHeight="1">
      <c r="A340" s="250"/>
      <c r="B340" s="57" t="s">
        <v>573</v>
      </c>
      <c r="C340" s="252"/>
      <c r="D340" s="252"/>
      <c r="E340" s="252"/>
      <c r="F340" s="252"/>
      <c r="G340" s="252"/>
      <c r="H340" s="252"/>
      <c r="I340" s="252"/>
      <c r="J340" s="252"/>
      <c r="K340" s="251"/>
      <c r="L340" s="252"/>
      <c r="M340" s="252"/>
      <c r="N340" s="252"/>
      <c r="O340" s="252"/>
      <c r="P340" s="251" t="s">
        <v>112</v>
      </c>
      <c r="Q340" s="252"/>
      <c r="R340" s="252"/>
      <c r="S340" s="252"/>
      <c r="T340" s="252"/>
      <c r="U340" s="252"/>
      <c r="V340" s="252"/>
      <c r="W340" s="252"/>
      <c r="X340" s="252"/>
      <c r="Y340" s="252"/>
      <c r="Z340" s="252"/>
      <c r="AA340" s="252"/>
      <c r="AB340" s="252"/>
      <c r="AC340" s="252"/>
      <c r="AD340" s="252"/>
      <c r="AE340" s="252"/>
      <c r="AF340" s="252"/>
      <c r="AG340" s="252"/>
      <c r="AH340" s="252"/>
      <c r="AI340" s="252"/>
      <c r="AJ340" s="252"/>
      <c r="AK340" s="252"/>
      <c r="AL340" s="252"/>
      <c r="AM340" s="252"/>
      <c r="AN340" s="252"/>
      <c r="AO340" s="252"/>
      <c r="AP340" s="252"/>
      <c r="AQ340" s="252"/>
      <c r="AR340" s="252"/>
      <c r="AS340" s="252"/>
      <c r="AT340" s="252"/>
      <c r="AU340" s="252"/>
      <c r="AV340" s="252"/>
      <c r="AW340" s="252"/>
      <c r="AX340" s="252"/>
      <c r="AY340" s="252"/>
      <c r="AZ340" s="252"/>
      <c r="BA340" s="252"/>
      <c r="BB340" s="252"/>
      <c r="BC340" s="252"/>
      <c r="BD340" s="252"/>
      <c r="BE340" s="252"/>
      <c r="BF340" s="252"/>
      <c r="BG340" s="252"/>
      <c r="BH340" s="252"/>
      <c r="BI340" s="252"/>
      <c r="BJ340" s="252"/>
      <c r="BK340" s="252"/>
      <c r="BL340" s="252"/>
      <c r="BM340" s="252"/>
      <c r="BN340" s="252"/>
      <c r="BO340" s="252"/>
      <c r="BP340" s="252"/>
      <c r="BQ340" s="253" t="e">
        <f>BQ384</f>
        <v>#REF!</v>
      </c>
      <c r="BR340" s="253">
        <f>BR384</f>
        <v>1702</v>
      </c>
      <c r="BS340" s="253" t="e">
        <f>BS384</f>
        <v>#REF!</v>
      </c>
      <c r="BT340" s="253">
        <f>BT384</f>
        <v>78</v>
      </c>
      <c r="BV340" s="171" t="s">
        <v>113</v>
      </c>
      <c r="BW340" s="249">
        <f>VLOOKUP(BV340,인건비!A:B,2,FALSE)</f>
        <v>228717</v>
      </c>
    </row>
    <row r="341" spans="1:76" ht="9.9499999999999993" hidden="1" customHeight="1">
      <c r="A341" s="490"/>
      <c r="B341" s="491"/>
      <c r="C341" s="492"/>
      <c r="D341" s="492"/>
      <c r="E341" s="492"/>
      <c r="F341" s="492"/>
      <c r="G341" s="492"/>
      <c r="H341" s="492"/>
      <c r="I341" s="492"/>
      <c r="J341" s="492"/>
      <c r="K341" s="492"/>
      <c r="L341" s="492"/>
      <c r="M341" s="491"/>
      <c r="N341" s="492"/>
      <c r="O341" s="492"/>
      <c r="P341" s="492"/>
      <c r="Q341" s="492"/>
      <c r="R341" s="492"/>
      <c r="S341" s="492"/>
      <c r="T341" s="492"/>
      <c r="U341" s="492"/>
      <c r="V341" s="492"/>
      <c r="W341" s="492"/>
      <c r="X341" s="492"/>
      <c r="Y341" s="492"/>
      <c r="Z341" s="492"/>
      <c r="AA341" s="492"/>
      <c r="AB341" s="492"/>
      <c r="AC341" s="492"/>
      <c r="AD341" s="492"/>
      <c r="AE341" s="492"/>
      <c r="AF341" s="492"/>
      <c r="AG341" s="492"/>
      <c r="AH341" s="492"/>
      <c r="AI341" s="492"/>
      <c r="AJ341" s="492"/>
      <c r="AK341" s="492"/>
      <c r="AL341" s="492"/>
      <c r="AM341" s="492"/>
      <c r="AN341" s="492"/>
      <c r="AO341" s="492"/>
      <c r="AP341" s="492"/>
      <c r="AQ341" s="492"/>
      <c r="AR341" s="492"/>
      <c r="AS341" s="492"/>
      <c r="AT341" s="492"/>
      <c r="AU341" s="492"/>
      <c r="AV341" s="492"/>
      <c r="AW341" s="492"/>
      <c r="AX341" s="492"/>
      <c r="AY341" s="492"/>
      <c r="AZ341" s="492"/>
      <c r="BA341" s="492"/>
      <c r="BB341" s="492"/>
      <c r="BC341" s="492"/>
      <c r="BD341" s="492"/>
      <c r="BE341" s="492"/>
      <c r="BF341" s="492"/>
      <c r="BG341" s="492"/>
      <c r="BH341" s="492"/>
      <c r="BI341" s="492"/>
      <c r="BJ341" s="492"/>
      <c r="BK341" s="492"/>
      <c r="BL341" s="492"/>
      <c r="BM341" s="492"/>
      <c r="BN341" s="492"/>
      <c r="BO341" s="492"/>
      <c r="BP341" s="492"/>
      <c r="BQ341" s="493"/>
      <c r="BR341" s="494"/>
      <c r="BS341" s="493"/>
      <c r="BT341" s="493"/>
      <c r="BV341" s="171" t="s">
        <v>114</v>
      </c>
      <c r="BW341" s="249">
        <f>VLOOKUP(BV341,인건비!A:B,2,FALSE)</f>
        <v>172698</v>
      </c>
    </row>
    <row r="342" spans="1:76" ht="9.9499999999999993" hidden="1" customHeight="1">
      <c r="A342" s="490"/>
      <c r="B342" s="492" t="s">
        <v>770</v>
      </c>
      <c r="C342" s="492"/>
      <c r="D342" s="492"/>
      <c r="E342" s="492"/>
      <c r="F342" s="492"/>
      <c r="G342" s="492"/>
      <c r="H342" s="492"/>
      <c r="I342" s="492"/>
      <c r="J342" s="492"/>
      <c r="K342" s="492"/>
      <c r="L342" s="492"/>
      <c r="M342" s="492"/>
      <c r="N342" s="492"/>
      <c r="O342" s="492"/>
      <c r="P342" s="492"/>
      <c r="Q342" s="492"/>
      <c r="R342" s="492"/>
      <c r="S342" s="492"/>
      <c r="T342" s="492"/>
      <c r="U342" s="492"/>
      <c r="V342" s="492"/>
      <c r="W342" s="492"/>
      <c r="X342" s="492"/>
      <c r="Y342" s="492"/>
      <c r="Z342" s="492"/>
      <c r="AA342" s="492"/>
      <c r="AB342" s="492"/>
      <c r="AC342" s="492"/>
      <c r="AD342" s="492"/>
      <c r="AE342" s="492"/>
      <c r="AF342" s="492"/>
      <c r="AG342" s="492"/>
      <c r="AH342" s="492"/>
      <c r="AI342" s="492"/>
      <c r="AJ342" s="492"/>
      <c r="AK342" s="492"/>
      <c r="AL342" s="492"/>
      <c r="AM342" s="492"/>
      <c r="AN342" s="492"/>
      <c r="AO342" s="492"/>
      <c r="AP342" s="492"/>
      <c r="AQ342" s="492"/>
      <c r="AR342" s="492"/>
      <c r="AS342" s="492"/>
      <c r="AT342" s="492"/>
      <c r="AU342" s="492"/>
      <c r="AV342" s="492"/>
      <c r="AW342" s="492"/>
      <c r="AX342" s="492"/>
      <c r="AY342" s="492"/>
      <c r="AZ342" s="492"/>
      <c r="BA342" s="492"/>
      <c r="BB342" s="492"/>
      <c r="BC342" s="492"/>
      <c r="BD342" s="492"/>
      <c r="BE342" s="492"/>
      <c r="BF342" s="492"/>
      <c r="BG342" s="492"/>
      <c r="BH342" s="492"/>
      <c r="BI342" s="492"/>
      <c r="BJ342" s="492"/>
      <c r="BK342" s="492"/>
      <c r="BL342" s="492"/>
      <c r="BM342" s="492"/>
      <c r="BN342" s="492"/>
      <c r="BO342" s="492"/>
      <c r="BP342" s="492"/>
      <c r="BQ342" s="493"/>
      <c r="BR342" s="493"/>
      <c r="BS342" s="493"/>
      <c r="BT342" s="493"/>
      <c r="BV342" s="171" t="s">
        <v>78</v>
      </c>
      <c r="BW342" s="249">
        <f>VLOOKUP(BV342,인건비!A:B,2,FALSE)</f>
        <v>274873</v>
      </c>
    </row>
    <row r="343" spans="1:76" ht="9.9499999999999993" hidden="1" customHeight="1">
      <c r="A343" s="490"/>
      <c r="B343" s="492"/>
      <c r="C343" s="492" t="s">
        <v>115</v>
      </c>
      <c r="D343" s="492"/>
      <c r="E343" s="492"/>
      <c r="F343" s="492"/>
      <c r="G343" s="495"/>
      <c r="H343" s="495"/>
      <c r="I343" s="495"/>
      <c r="J343" s="495"/>
      <c r="K343" s="495"/>
      <c r="L343" s="492"/>
      <c r="M343" s="492"/>
      <c r="N343" s="492"/>
      <c r="O343" s="492"/>
      <c r="P343" s="492"/>
      <c r="Q343" s="492"/>
      <c r="R343" s="495"/>
      <c r="S343" s="495"/>
      <c r="T343" s="495"/>
      <c r="U343" s="495"/>
      <c r="V343" s="495"/>
      <c r="W343" s="492"/>
      <c r="X343" s="492"/>
      <c r="Y343" s="492"/>
      <c r="Z343" s="492"/>
      <c r="AA343" s="492"/>
      <c r="AB343" s="492"/>
      <c r="AC343" s="492"/>
      <c r="AD343" s="492"/>
      <c r="AE343" s="492"/>
      <c r="AF343" s="496"/>
      <c r="AG343" s="492"/>
      <c r="AH343" s="495"/>
      <c r="AI343" s="495"/>
      <c r="AJ343" s="495"/>
      <c r="AK343" s="495"/>
      <c r="AL343" s="495"/>
      <c r="AM343" s="496"/>
      <c r="AN343" s="492"/>
      <c r="AO343" s="495"/>
      <c r="AP343" s="495"/>
      <c r="AQ343" s="495"/>
      <c r="AR343" s="495"/>
      <c r="AS343" s="495"/>
      <c r="AT343" s="495"/>
      <c r="AU343" s="492"/>
      <c r="AV343" s="492"/>
      <c r="AW343" s="492"/>
      <c r="AX343" s="492"/>
      <c r="AY343" s="492"/>
      <c r="AZ343" s="492"/>
      <c r="BA343" s="492"/>
      <c r="BB343" s="492"/>
      <c r="BC343" s="492"/>
      <c r="BD343" s="492"/>
      <c r="BE343" s="492"/>
      <c r="BF343" s="492"/>
      <c r="BG343" s="492"/>
      <c r="BH343" s="492"/>
      <c r="BI343" s="492"/>
      <c r="BJ343" s="492"/>
      <c r="BK343" s="492"/>
      <c r="BL343" s="492"/>
      <c r="BM343" s="492"/>
      <c r="BN343" s="492"/>
      <c r="BO343" s="492"/>
      <c r="BP343" s="492"/>
      <c r="BQ343" s="493"/>
      <c r="BR343" s="493"/>
      <c r="BS343" s="493"/>
      <c r="BT343" s="493"/>
      <c r="BV343" s="655" t="s">
        <v>772</v>
      </c>
      <c r="BW343" s="656" t="s">
        <v>774</v>
      </c>
      <c r="BX343" s="657"/>
    </row>
    <row r="344" spans="1:76" ht="9.9499999999999993" hidden="1" customHeight="1">
      <c r="A344" s="490"/>
      <c r="B344" s="492"/>
      <c r="C344" s="492"/>
      <c r="D344" s="1515" t="e">
        <f>#REF!</f>
        <v>#REF!</v>
      </c>
      <c r="E344" s="1498"/>
      <c r="F344" s="1498"/>
      <c r="G344" s="1498"/>
      <c r="H344" s="1498"/>
      <c r="I344" s="1498"/>
      <c r="J344" s="1498"/>
      <c r="K344" s="497" t="s">
        <v>100</v>
      </c>
      <c r="L344" s="497"/>
      <c r="M344" s="1507">
        <v>0.31</v>
      </c>
      <c r="N344" s="1508"/>
      <c r="O344" s="1508"/>
      <c r="P344" s="1508"/>
      <c r="Q344" s="1508"/>
      <c r="R344" s="492" t="s">
        <v>116</v>
      </c>
      <c r="S344" s="492"/>
      <c r="T344" s="492"/>
      <c r="U344" s="492"/>
      <c r="V344" s="492"/>
      <c r="W344" s="498">
        <v>100</v>
      </c>
      <c r="X344" s="498"/>
      <c r="Y344" s="498"/>
      <c r="Z344" s="498"/>
      <c r="AA344" s="498"/>
      <c r="AB344" s="492" t="s">
        <v>117</v>
      </c>
      <c r="AC344" s="492"/>
      <c r="AD344" s="492"/>
      <c r="AE344" s="492"/>
      <c r="AF344" s="498" t="e">
        <f>D344*M344/W344</f>
        <v>#REF!</v>
      </c>
      <c r="AG344" s="498"/>
      <c r="AH344" s="498"/>
      <c r="AI344" s="498"/>
      <c r="AJ344" s="498"/>
      <c r="AK344" s="498"/>
      <c r="AL344" s="492"/>
      <c r="AM344" s="496"/>
      <c r="AN344" s="492"/>
      <c r="AO344" s="492"/>
      <c r="AP344" s="492"/>
      <c r="AQ344" s="492"/>
      <c r="AR344" s="492"/>
      <c r="AS344" s="492"/>
      <c r="AT344" s="492"/>
      <c r="AU344" s="492"/>
      <c r="AV344" s="492"/>
      <c r="AW344" s="492"/>
      <c r="AX344" s="492"/>
      <c r="AY344" s="492"/>
      <c r="AZ344" s="492"/>
      <c r="BA344" s="492"/>
      <c r="BB344" s="492"/>
      <c r="BC344" s="492"/>
      <c r="BD344" s="492"/>
      <c r="BE344" s="492"/>
      <c r="BF344" s="492"/>
      <c r="BG344" s="492"/>
      <c r="BH344" s="492"/>
      <c r="BI344" s="492"/>
      <c r="BJ344" s="492"/>
      <c r="BK344" s="492"/>
      <c r="BL344" s="492"/>
      <c r="BM344" s="492"/>
      <c r="BN344" s="492"/>
      <c r="BO344" s="492"/>
      <c r="BP344" s="492"/>
      <c r="BQ344" s="499" t="e">
        <f>SUM(BR344:BT344)</f>
        <v>#REF!</v>
      </c>
      <c r="BR344" s="493"/>
      <c r="BS344" s="493" t="e">
        <f>INT(AF344)</f>
        <v>#REF!</v>
      </c>
      <c r="BT344" s="493"/>
      <c r="BW344" s="241"/>
    </row>
    <row r="345" spans="1:76" ht="9.9499999999999993" hidden="1" customHeight="1">
      <c r="A345" s="490"/>
      <c r="B345" s="492"/>
      <c r="C345" s="492" t="s">
        <v>542</v>
      </c>
      <c r="D345" s="492"/>
      <c r="E345" s="492"/>
      <c r="F345" s="492"/>
      <c r="G345" s="495"/>
      <c r="H345" s="495"/>
      <c r="I345" s="495"/>
      <c r="J345" s="495"/>
      <c r="K345" s="495"/>
      <c r="L345" s="492"/>
      <c r="M345" s="492"/>
      <c r="N345" s="492"/>
      <c r="O345" s="492"/>
      <c r="P345" s="492"/>
      <c r="Q345" s="492"/>
      <c r="R345" s="495"/>
      <c r="S345" s="495"/>
      <c r="T345" s="495"/>
      <c r="U345" s="495"/>
      <c r="V345" s="495"/>
      <c r="W345" s="492"/>
      <c r="X345" s="492"/>
      <c r="Y345" s="492"/>
      <c r="Z345" s="492"/>
      <c r="AA345" s="492"/>
      <c r="AB345" s="492"/>
      <c r="AC345" s="492"/>
      <c r="AD345" s="492"/>
      <c r="AE345" s="492"/>
      <c r="AF345" s="496"/>
      <c r="AG345" s="492"/>
      <c r="AH345" s="495"/>
      <c r="AI345" s="495"/>
      <c r="AJ345" s="495"/>
      <c r="AK345" s="495"/>
      <c r="AL345" s="495"/>
      <c r="AM345" s="496"/>
      <c r="AN345" s="492"/>
      <c r="AO345" s="495"/>
      <c r="AP345" s="495"/>
      <c r="AQ345" s="495"/>
      <c r="AR345" s="495"/>
      <c r="AS345" s="495"/>
      <c r="AT345" s="495"/>
      <c r="AU345" s="492"/>
      <c r="AV345" s="492"/>
      <c r="AW345" s="492"/>
      <c r="AX345" s="492"/>
      <c r="AY345" s="492"/>
      <c r="AZ345" s="492"/>
      <c r="BA345" s="492"/>
      <c r="BB345" s="492"/>
      <c r="BC345" s="492"/>
      <c r="BD345" s="492"/>
      <c r="BE345" s="492"/>
      <c r="BF345" s="492"/>
      <c r="BG345" s="492"/>
      <c r="BH345" s="492"/>
      <c r="BI345" s="492"/>
      <c r="BJ345" s="492"/>
      <c r="BK345" s="492"/>
      <c r="BL345" s="492"/>
      <c r="BM345" s="492"/>
      <c r="BN345" s="492"/>
      <c r="BO345" s="492"/>
      <c r="BP345" s="492"/>
      <c r="BQ345" s="493"/>
      <c r="BR345" s="493"/>
      <c r="BS345" s="493"/>
      <c r="BT345" s="493"/>
      <c r="BW345" s="241"/>
    </row>
    <row r="346" spans="1:76" ht="9.9499999999999993" hidden="1" customHeight="1">
      <c r="A346" s="490"/>
      <c r="B346" s="492"/>
      <c r="C346" s="492"/>
      <c r="D346" s="1516">
        <v>1.26</v>
      </c>
      <c r="E346" s="1517"/>
      <c r="F346" s="1517"/>
      <c r="G346" s="1517"/>
      <c r="H346" s="1517"/>
      <c r="I346" s="1517"/>
      <c r="J346" s="1517"/>
      <c r="K346" s="497" t="s">
        <v>100</v>
      </c>
      <c r="L346" s="497"/>
      <c r="M346" s="1507">
        <v>3000</v>
      </c>
      <c r="N346" s="1508"/>
      <c r="O346" s="1508"/>
      <c r="P346" s="1508"/>
      <c r="Q346" s="1508"/>
      <c r="R346" s="492" t="s">
        <v>543</v>
      </c>
      <c r="S346" s="492"/>
      <c r="T346" s="492"/>
      <c r="U346" s="492"/>
      <c r="V346" s="492"/>
      <c r="W346" s="498">
        <v>100</v>
      </c>
      <c r="X346" s="498"/>
      <c r="Y346" s="498"/>
      <c r="Z346" s="498"/>
      <c r="AA346" s="498"/>
      <c r="AB346" s="492" t="s">
        <v>117</v>
      </c>
      <c r="AC346" s="492"/>
      <c r="AD346" s="492"/>
      <c r="AE346" s="492"/>
      <c r="AF346" s="498">
        <f>D346*M346/W346</f>
        <v>37.799999999999997</v>
      </c>
      <c r="AG346" s="498"/>
      <c r="AH346" s="498"/>
      <c r="AI346" s="498"/>
      <c r="AJ346" s="498"/>
      <c r="AK346" s="498"/>
      <c r="AL346" s="492"/>
      <c r="AM346" s="496"/>
      <c r="AN346" s="492"/>
      <c r="AO346" s="492"/>
      <c r="AP346" s="492"/>
      <c r="AQ346" s="492"/>
      <c r="AR346" s="492"/>
      <c r="AS346" s="492"/>
      <c r="AT346" s="492"/>
      <c r="AU346" s="492"/>
      <c r="AV346" s="492"/>
      <c r="AW346" s="492"/>
      <c r="AX346" s="492"/>
      <c r="AY346" s="492"/>
      <c r="AZ346" s="492"/>
      <c r="BA346" s="492"/>
      <c r="BB346" s="492"/>
      <c r="BC346" s="492"/>
      <c r="BD346" s="492"/>
      <c r="BE346" s="492"/>
      <c r="BF346" s="492"/>
      <c r="BG346" s="492"/>
      <c r="BH346" s="492"/>
      <c r="BI346" s="492"/>
      <c r="BJ346" s="492"/>
      <c r="BK346" s="492"/>
      <c r="BL346" s="492"/>
      <c r="BM346" s="492"/>
      <c r="BN346" s="492"/>
      <c r="BO346" s="492"/>
      <c r="BP346" s="492"/>
      <c r="BQ346" s="499">
        <f>SUM(BR346:BT346)</f>
        <v>37</v>
      </c>
      <c r="BR346" s="493"/>
      <c r="BS346" s="493">
        <f>INT(AF346)</f>
        <v>37</v>
      </c>
      <c r="BT346" s="493"/>
      <c r="BW346" s="241"/>
    </row>
    <row r="347" spans="1:76" ht="9.9499999999999993" hidden="1" customHeight="1">
      <c r="A347" s="490"/>
      <c r="B347" s="492"/>
      <c r="C347" s="492" t="s">
        <v>548</v>
      </c>
      <c r="D347" s="492"/>
      <c r="E347" s="498"/>
      <c r="F347" s="498"/>
      <c r="G347" s="498"/>
      <c r="H347" s="498"/>
      <c r="I347" s="498"/>
      <c r="J347" s="498"/>
      <c r="K347" s="497"/>
      <c r="L347" s="497"/>
      <c r="M347" s="498"/>
      <c r="N347" s="498"/>
      <c r="O347" s="498"/>
      <c r="P347" s="498"/>
      <c r="Q347" s="498"/>
      <c r="R347" s="492"/>
      <c r="S347" s="492"/>
      <c r="T347" s="492"/>
      <c r="U347" s="492"/>
      <c r="V347" s="492"/>
      <c r="W347" s="498"/>
      <c r="X347" s="498"/>
      <c r="Y347" s="498"/>
      <c r="Z347" s="498"/>
      <c r="AA347" s="498"/>
      <c r="AB347" s="492"/>
      <c r="AC347" s="492"/>
      <c r="AD347" s="492"/>
      <c r="AE347" s="492"/>
      <c r="AF347" s="498"/>
      <c r="AG347" s="498"/>
      <c r="AH347" s="498"/>
      <c r="AI347" s="498"/>
      <c r="AJ347" s="498"/>
      <c r="AK347" s="498"/>
      <c r="AL347" s="492"/>
      <c r="AM347" s="496"/>
      <c r="AN347" s="492"/>
      <c r="AO347" s="492"/>
      <c r="AP347" s="492"/>
      <c r="AQ347" s="492"/>
      <c r="AR347" s="492"/>
      <c r="AS347" s="492"/>
      <c r="AT347" s="492"/>
      <c r="AU347" s="492"/>
      <c r="AV347" s="492"/>
      <c r="AW347" s="492"/>
      <c r="AX347" s="492"/>
      <c r="AY347" s="492"/>
      <c r="AZ347" s="492"/>
      <c r="BA347" s="492"/>
      <c r="BB347" s="492"/>
      <c r="BC347" s="492"/>
      <c r="BD347" s="492"/>
      <c r="BE347" s="492"/>
      <c r="BF347" s="492"/>
      <c r="BG347" s="492"/>
      <c r="BH347" s="492"/>
      <c r="BI347" s="492"/>
      <c r="BJ347" s="492"/>
      <c r="BK347" s="492"/>
      <c r="BL347" s="492"/>
      <c r="BM347" s="492"/>
      <c r="BN347" s="492"/>
      <c r="BO347" s="492"/>
      <c r="BP347" s="492"/>
      <c r="BQ347" s="493"/>
      <c r="BR347" s="493"/>
      <c r="BS347" s="493"/>
      <c r="BT347" s="493"/>
      <c r="BW347" s="241"/>
    </row>
    <row r="348" spans="1:76" ht="9.9499999999999993" hidden="1" customHeight="1">
      <c r="A348" s="490"/>
      <c r="B348" s="492"/>
      <c r="C348" s="492"/>
      <c r="D348" s="492"/>
      <c r="E348" s="492" t="s">
        <v>118</v>
      </c>
      <c r="F348" s="492"/>
      <c r="G348" s="492"/>
      <c r="H348" s="492"/>
      <c r="I348" s="492"/>
      <c r="J348" s="492"/>
      <c r="K348" s="492"/>
      <c r="L348" s="492"/>
      <c r="M348" s="492"/>
      <c r="N348" s="492"/>
      <c r="O348" s="500">
        <f>$BW$340</f>
        <v>228717</v>
      </c>
      <c r="P348" s="498"/>
      <c r="Q348" s="498"/>
      <c r="R348" s="498"/>
      <c r="S348" s="498"/>
      <c r="T348" s="498"/>
      <c r="U348" s="498"/>
      <c r="V348" s="497" t="s">
        <v>100</v>
      </c>
      <c r="W348" s="497"/>
      <c r="X348" s="498">
        <v>1</v>
      </c>
      <c r="Y348" s="498"/>
      <c r="Z348" s="498"/>
      <c r="AA348" s="498"/>
      <c r="AB348" s="498"/>
      <c r="AC348" s="492" t="s">
        <v>119</v>
      </c>
      <c r="AD348" s="492"/>
      <c r="AE348" s="492"/>
      <c r="AF348" s="492"/>
      <c r="AG348" s="492"/>
      <c r="AH348" s="498">
        <v>450</v>
      </c>
      <c r="AI348" s="498"/>
      <c r="AJ348" s="498"/>
      <c r="AK348" s="498"/>
      <c r="AL348" s="498"/>
      <c r="AM348" s="492" t="s">
        <v>117</v>
      </c>
      <c r="AN348" s="492"/>
      <c r="AO348" s="492"/>
      <c r="AP348" s="492"/>
      <c r="AQ348" s="501">
        <f>INT(O348*X348/AH348)</f>
        <v>508</v>
      </c>
      <c r="AR348" s="498"/>
      <c r="AS348" s="498"/>
      <c r="AT348" s="498"/>
      <c r="AU348" s="498"/>
      <c r="AV348" s="498"/>
      <c r="AW348" s="492"/>
      <c r="AX348" s="492"/>
      <c r="AY348" s="492"/>
      <c r="AZ348" s="492"/>
      <c r="BA348" s="492"/>
      <c r="BB348" s="492"/>
      <c r="BC348" s="492"/>
      <c r="BD348" s="492"/>
      <c r="BE348" s="492"/>
      <c r="BF348" s="492"/>
      <c r="BG348" s="492"/>
      <c r="BH348" s="492"/>
      <c r="BI348" s="492"/>
      <c r="BJ348" s="492"/>
      <c r="BK348" s="492"/>
      <c r="BL348" s="492"/>
      <c r="BM348" s="492"/>
      <c r="BN348" s="492"/>
      <c r="BO348" s="492"/>
      <c r="BP348" s="492"/>
      <c r="BQ348" s="499">
        <f>SUM(BR348:BT348)</f>
        <v>508</v>
      </c>
      <c r="BR348" s="493">
        <f>AQ348</f>
        <v>508</v>
      </c>
      <c r="BS348" s="493"/>
      <c r="BT348" s="493"/>
      <c r="BW348" s="241"/>
    </row>
    <row r="349" spans="1:76" ht="9.9499999999999993" hidden="1" customHeight="1">
      <c r="A349" s="490"/>
      <c r="B349" s="492"/>
      <c r="C349" s="492"/>
      <c r="D349" s="492"/>
      <c r="E349" s="492" t="s">
        <v>62</v>
      </c>
      <c r="F349" s="492"/>
      <c r="G349" s="492"/>
      <c r="H349" s="492"/>
      <c r="I349" s="492"/>
      <c r="J349" s="492"/>
      <c r="K349" s="492"/>
      <c r="L349" s="492"/>
      <c r="M349" s="492"/>
      <c r="N349" s="492"/>
      <c r="O349" s="500">
        <f>$BW$341</f>
        <v>172698</v>
      </c>
      <c r="P349" s="498"/>
      <c r="Q349" s="498"/>
      <c r="R349" s="498"/>
      <c r="S349" s="498"/>
      <c r="T349" s="498"/>
      <c r="U349" s="498"/>
      <c r="V349" s="497" t="s">
        <v>100</v>
      </c>
      <c r="W349" s="497"/>
      <c r="X349" s="498">
        <v>1</v>
      </c>
      <c r="Y349" s="498"/>
      <c r="Z349" s="498"/>
      <c r="AA349" s="498"/>
      <c r="AB349" s="498"/>
      <c r="AC349" s="492" t="s">
        <v>119</v>
      </c>
      <c r="AD349" s="492"/>
      <c r="AE349" s="492"/>
      <c r="AF349" s="492"/>
      <c r="AG349" s="492"/>
      <c r="AH349" s="498">
        <v>450</v>
      </c>
      <c r="AI349" s="498"/>
      <c r="AJ349" s="498"/>
      <c r="AK349" s="498"/>
      <c r="AL349" s="498"/>
      <c r="AM349" s="492" t="s">
        <v>117</v>
      </c>
      <c r="AN349" s="492"/>
      <c r="AO349" s="492"/>
      <c r="AP349" s="492"/>
      <c r="AQ349" s="501">
        <f>INT(O349*X349/AH349)</f>
        <v>383</v>
      </c>
      <c r="AR349" s="498"/>
      <c r="AS349" s="498"/>
      <c r="AT349" s="498"/>
      <c r="AU349" s="498"/>
      <c r="AV349" s="498"/>
      <c r="AW349" s="492"/>
      <c r="AX349" s="492"/>
      <c r="AY349" s="492"/>
      <c r="AZ349" s="492"/>
      <c r="BA349" s="492"/>
      <c r="BB349" s="492"/>
      <c r="BC349" s="492"/>
      <c r="BD349" s="492"/>
      <c r="BE349" s="492"/>
      <c r="BF349" s="492"/>
      <c r="BG349" s="492"/>
      <c r="BH349" s="492"/>
      <c r="BI349" s="492"/>
      <c r="BJ349" s="492"/>
      <c r="BK349" s="492"/>
      <c r="BL349" s="492"/>
      <c r="BM349" s="492"/>
      <c r="BN349" s="492"/>
      <c r="BO349" s="492"/>
      <c r="BP349" s="492"/>
      <c r="BQ349" s="499">
        <f>SUM(BR349:BT349)</f>
        <v>383</v>
      </c>
      <c r="BR349" s="493">
        <f>AQ349</f>
        <v>383</v>
      </c>
      <c r="BS349" s="493"/>
      <c r="BT349" s="493"/>
      <c r="BW349" s="241"/>
    </row>
    <row r="350" spans="1:76" ht="9.9499999999999993" hidden="1" customHeight="1">
      <c r="A350" s="490"/>
      <c r="B350" s="492"/>
      <c r="C350" s="492" t="s">
        <v>63</v>
      </c>
      <c r="D350" s="492"/>
      <c r="E350" s="492"/>
      <c r="F350" s="492"/>
      <c r="G350" s="492"/>
      <c r="H350" s="492"/>
      <c r="I350" s="492"/>
      <c r="J350" s="492"/>
      <c r="K350" s="492"/>
      <c r="L350" s="502"/>
      <c r="M350" s="492"/>
      <c r="N350" s="492"/>
      <c r="O350" s="492"/>
      <c r="P350" s="492"/>
      <c r="Q350" s="492"/>
      <c r="R350" s="492"/>
      <c r="S350" s="492"/>
      <c r="T350" s="496"/>
      <c r="U350" s="492"/>
      <c r="V350" s="492"/>
      <c r="W350" s="492"/>
      <c r="X350" s="492"/>
      <c r="Y350" s="492"/>
      <c r="Z350" s="492"/>
      <c r="AA350" s="492"/>
      <c r="AB350" s="492"/>
      <c r="AC350" s="492"/>
      <c r="AD350" s="492"/>
      <c r="AE350" s="492"/>
      <c r="AF350" s="492"/>
      <c r="AG350" s="492"/>
      <c r="AH350" s="492"/>
      <c r="AI350" s="496"/>
      <c r="AJ350" s="492"/>
      <c r="AK350" s="492"/>
      <c r="AL350" s="492"/>
      <c r="AM350" s="492"/>
      <c r="AN350" s="492"/>
      <c r="AO350" s="492"/>
      <c r="AP350" s="492"/>
      <c r="AQ350" s="492"/>
      <c r="AR350" s="492"/>
      <c r="AS350" s="492"/>
      <c r="AT350" s="492"/>
      <c r="AU350" s="492"/>
      <c r="AV350" s="492"/>
      <c r="AW350" s="492"/>
      <c r="AX350" s="492"/>
      <c r="AY350" s="492"/>
      <c r="AZ350" s="492"/>
      <c r="BA350" s="492"/>
      <c r="BB350" s="492"/>
      <c r="BC350" s="492"/>
      <c r="BD350" s="492"/>
      <c r="BE350" s="492"/>
      <c r="BF350" s="492"/>
      <c r="BG350" s="492"/>
      <c r="BH350" s="492"/>
      <c r="BI350" s="492"/>
      <c r="BJ350" s="492"/>
      <c r="BK350" s="492"/>
      <c r="BL350" s="492"/>
      <c r="BM350" s="492"/>
      <c r="BN350" s="492"/>
      <c r="BO350" s="492"/>
      <c r="BP350" s="492"/>
      <c r="BQ350" s="503" t="e">
        <f>SUM(BR350:BT350)</f>
        <v>#REF!</v>
      </c>
      <c r="BR350" s="503">
        <f>SUM(BR344:BR349)</f>
        <v>891</v>
      </c>
      <c r="BS350" s="503" t="e">
        <f>SUM(BS344:BS349)</f>
        <v>#REF!</v>
      </c>
      <c r="BT350" s="503">
        <f>SUM(BT344:BT349)</f>
        <v>0</v>
      </c>
    </row>
    <row r="351" spans="1:76" ht="9.9499999999999993" hidden="1" customHeight="1">
      <c r="A351" s="490"/>
      <c r="B351" s="492" t="s">
        <v>121</v>
      </c>
      <c r="C351" s="492"/>
      <c r="D351" s="492"/>
      <c r="E351" s="492"/>
      <c r="F351" s="492"/>
      <c r="G351" s="492"/>
      <c r="H351" s="492"/>
      <c r="I351" s="492"/>
      <c r="J351" s="492"/>
      <c r="K351" s="492"/>
      <c r="L351" s="492"/>
      <c r="M351" s="492"/>
      <c r="N351" s="492"/>
      <c r="O351" s="492"/>
      <c r="P351" s="492"/>
      <c r="Q351" s="492"/>
      <c r="R351" s="492"/>
      <c r="S351" s="492"/>
      <c r="T351" s="496"/>
      <c r="U351" s="492"/>
      <c r="V351" s="492"/>
      <c r="W351" s="492"/>
      <c r="X351" s="492"/>
      <c r="Y351" s="492"/>
      <c r="Z351" s="492"/>
      <c r="AA351" s="492"/>
      <c r="AB351" s="492"/>
      <c r="AC351" s="492"/>
      <c r="AD351" s="492"/>
      <c r="AE351" s="492"/>
      <c r="AF351" s="492"/>
      <c r="AG351" s="492"/>
      <c r="AH351" s="492"/>
      <c r="AI351" s="496"/>
      <c r="AJ351" s="492"/>
      <c r="AK351" s="492"/>
      <c r="AL351" s="492"/>
      <c r="AM351" s="492"/>
      <c r="AN351" s="492"/>
      <c r="AO351" s="492"/>
      <c r="AP351" s="492"/>
      <c r="AQ351" s="492"/>
      <c r="AR351" s="492"/>
      <c r="AS351" s="492"/>
      <c r="AT351" s="492"/>
      <c r="AU351" s="492"/>
      <c r="AV351" s="492"/>
      <c r="AW351" s="492"/>
      <c r="AX351" s="492"/>
      <c r="AY351" s="492"/>
      <c r="AZ351" s="492"/>
      <c r="BA351" s="492"/>
      <c r="BB351" s="492"/>
      <c r="BC351" s="492"/>
      <c r="BD351" s="492"/>
      <c r="BE351" s="492"/>
      <c r="BF351" s="492"/>
      <c r="BG351" s="492"/>
      <c r="BH351" s="492"/>
      <c r="BI351" s="492"/>
      <c r="BJ351" s="492"/>
      <c r="BK351" s="492"/>
      <c r="BL351" s="492"/>
      <c r="BM351" s="492"/>
      <c r="BN351" s="492"/>
      <c r="BO351" s="492"/>
      <c r="BP351" s="492"/>
      <c r="BQ351" s="499"/>
      <c r="BR351" s="499"/>
      <c r="BS351" s="499"/>
      <c r="BT351" s="499"/>
    </row>
    <row r="352" spans="1:76" ht="9.9499999999999993" hidden="1" customHeight="1">
      <c r="A352" s="490"/>
      <c r="B352" s="492"/>
      <c r="C352" s="492" t="s">
        <v>64</v>
      </c>
      <c r="D352" s="492"/>
      <c r="E352" s="500">
        <v>5500</v>
      </c>
      <c r="F352" s="498"/>
      <c r="G352" s="498"/>
      <c r="H352" s="498"/>
      <c r="I352" s="498"/>
      <c r="J352" s="492" t="s">
        <v>122</v>
      </c>
      <c r="K352" s="492"/>
      <c r="L352" s="502"/>
      <c r="M352" s="492"/>
      <c r="N352" s="492"/>
      <c r="O352" s="500">
        <v>3000</v>
      </c>
      <c r="P352" s="498"/>
      <c r="Q352" s="498"/>
      <c r="R352" s="498"/>
      <c r="S352" s="498"/>
      <c r="T352" s="492" t="s">
        <v>123</v>
      </c>
      <c r="U352" s="492"/>
      <c r="V352" s="502"/>
      <c r="W352" s="492"/>
      <c r="X352" s="492"/>
      <c r="Y352" s="492"/>
      <c r="Z352" s="492"/>
      <c r="AA352" s="492"/>
      <c r="AB352" s="492"/>
      <c r="AC352" s="492"/>
      <c r="AD352" s="492"/>
      <c r="AE352" s="492"/>
      <c r="AF352" s="492"/>
      <c r="AG352" s="492"/>
      <c r="AH352" s="492"/>
      <c r="AI352" s="496"/>
      <c r="AJ352" s="492"/>
      <c r="AK352" s="492"/>
      <c r="AL352" s="492"/>
      <c r="AM352" s="492"/>
      <c r="AN352" s="492"/>
      <c r="AO352" s="492"/>
      <c r="AP352" s="492"/>
      <c r="AQ352" s="492"/>
      <c r="AR352" s="492"/>
      <c r="AS352" s="492"/>
      <c r="AT352" s="492"/>
      <c r="AU352" s="492"/>
      <c r="AV352" s="492"/>
      <c r="AW352" s="492"/>
      <c r="AX352" s="492"/>
      <c r="AY352" s="492"/>
      <c r="AZ352" s="492"/>
      <c r="BA352" s="492"/>
      <c r="BB352" s="492"/>
      <c r="BC352" s="492"/>
      <c r="BD352" s="492"/>
      <c r="BE352" s="492"/>
      <c r="BF352" s="492"/>
      <c r="BG352" s="492"/>
      <c r="BH352" s="492"/>
      <c r="BI352" s="492"/>
      <c r="BJ352" s="492"/>
      <c r="BK352" s="492"/>
      <c r="BL352" s="492"/>
      <c r="BM352" s="492"/>
      <c r="BN352" s="492"/>
      <c r="BO352" s="492"/>
      <c r="BP352" s="492"/>
      <c r="BQ352" s="499"/>
      <c r="BR352" s="499"/>
      <c r="BS352" s="499"/>
      <c r="BT352" s="499"/>
    </row>
    <row r="353" spans="1:72" ht="9.9499999999999993" hidden="1" customHeight="1">
      <c r="A353" s="490"/>
      <c r="B353" s="492"/>
      <c r="C353" s="492" t="s">
        <v>124</v>
      </c>
      <c r="D353" s="492"/>
      <c r="E353" s="492"/>
      <c r="F353" s="492"/>
      <c r="G353" s="492"/>
      <c r="H353" s="500">
        <v>3000</v>
      </c>
      <c r="I353" s="498"/>
      <c r="J353" s="498"/>
      <c r="K353" s="498"/>
      <c r="L353" s="498"/>
      <c r="M353" s="498"/>
      <c r="N353" s="492"/>
      <c r="O353" s="492"/>
      <c r="P353" s="492"/>
      <c r="Q353" s="492"/>
      <c r="R353" s="492"/>
      <c r="S353" s="492"/>
      <c r="T353" s="496"/>
      <c r="U353" s="492"/>
      <c r="V353" s="492"/>
      <c r="W353" s="492"/>
      <c r="X353" s="492"/>
      <c r="Y353" s="492"/>
      <c r="Z353" s="492"/>
      <c r="AA353" s="492"/>
      <c r="AB353" s="492"/>
      <c r="AC353" s="492"/>
      <c r="AD353" s="492"/>
      <c r="AE353" s="492"/>
      <c r="AF353" s="492"/>
      <c r="AG353" s="492"/>
      <c r="AH353" s="492"/>
      <c r="AI353" s="496"/>
      <c r="AJ353" s="492"/>
      <c r="AK353" s="492"/>
      <c r="AL353" s="492"/>
      <c r="AM353" s="492"/>
      <c r="AN353" s="492"/>
      <c r="AO353" s="492"/>
      <c r="AP353" s="492"/>
      <c r="AQ353" s="492"/>
      <c r="AR353" s="492"/>
      <c r="AS353" s="492"/>
      <c r="AT353" s="492"/>
      <c r="AU353" s="492"/>
      <c r="AV353" s="492"/>
      <c r="AW353" s="492"/>
      <c r="AX353" s="492"/>
      <c r="AY353" s="492"/>
      <c r="AZ353" s="492"/>
      <c r="BA353" s="492"/>
      <c r="BB353" s="492"/>
      <c r="BC353" s="492"/>
      <c r="BD353" s="492"/>
      <c r="BE353" s="492"/>
      <c r="BF353" s="492"/>
      <c r="BG353" s="492"/>
      <c r="BH353" s="492"/>
      <c r="BI353" s="492"/>
      <c r="BJ353" s="492"/>
      <c r="BK353" s="492"/>
      <c r="BL353" s="492"/>
      <c r="BM353" s="492"/>
      <c r="BN353" s="492"/>
      <c r="BO353" s="492"/>
      <c r="BP353" s="492"/>
      <c r="BQ353" s="499"/>
      <c r="BR353" s="499"/>
      <c r="BS353" s="499"/>
      <c r="BT353" s="499"/>
    </row>
    <row r="354" spans="1:72" ht="9.9499999999999993" hidden="1" customHeight="1">
      <c r="A354" s="490"/>
      <c r="B354" s="492"/>
      <c r="C354" s="492" t="s">
        <v>125</v>
      </c>
      <c r="D354" s="492"/>
      <c r="E354" s="492"/>
      <c r="F354" s="492"/>
      <c r="G354" s="498">
        <v>1</v>
      </c>
      <c r="H354" s="498"/>
      <c r="I354" s="498"/>
      <c r="J354" s="498"/>
      <c r="K354" s="498"/>
      <c r="L354" s="492" t="s">
        <v>126</v>
      </c>
      <c r="M354" s="492"/>
      <c r="N354" s="492"/>
      <c r="O354" s="492"/>
      <c r="P354" s="492" t="s">
        <v>65</v>
      </c>
      <c r="Q354" s="492"/>
      <c r="R354" s="492"/>
      <c r="S354" s="492"/>
      <c r="T354" s="498">
        <v>20</v>
      </c>
      <c r="U354" s="498"/>
      <c r="V354" s="498"/>
      <c r="W354" s="498"/>
      <c r="X354" s="498"/>
      <c r="Y354" s="492" t="s">
        <v>127</v>
      </c>
      <c r="Z354" s="492"/>
      <c r="AA354" s="492"/>
      <c r="AB354" s="492"/>
      <c r="AC354" s="492"/>
      <c r="AD354" s="492"/>
      <c r="AE354" s="492"/>
      <c r="AF354" s="492"/>
      <c r="AG354" s="492"/>
      <c r="AH354" s="492"/>
      <c r="AI354" s="496"/>
      <c r="AJ354" s="492"/>
      <c r="AK354" s="492"/>
      <c r="AL354" s="492"/>
      <c r="AM354" s="492"/>
      <c r="AN354" s="492"/>
      <c r="AO354" s="492"/>
      <c r="AP354" s="492"/>
      <c r="AQ354" s="492"/>
      <c r="AR354" s="492"/>
      <c r="AS354" s="492"/>
      <c r="AT354" s="492"/>
      <c r="AU354" s="492"/>
      <c r="AV354" s="492"/>
      <c r="AW354" s="492"/>
      <c r="AX354" s="492"/>
      <c r="AY354" s="492"/>
      <c r="AZ354" s="492"/>
      <c r="BA354" s="492"/>
      <c r="BB354" s="492"/>
      <c r="BC354" s="492"/>
      <c r="BD354" s="492"/>
      <c r="BE354" s="492"/>
      <c r="BF354" s="492"/>
      <c r="BG354" s="492"/>
      <c r="BH354" s="492"/>
      <c r="BI354" s="492"/>
      <c r="BJ354" s="492"/>
      <c r="BK354" s="492"/>
      <c r="BL354" s="492"/>
      <c r="BM354" s="492"/>
      <c r="BN354" s="492"/>
      <c r="BO354" s="492"/>
      <c r="BP354" s="492"/>
      <c r="BQ354" s="499"/>
      <c r="BR354" s="499"/>
      <c r="BS354" s="499"/>
      <c r="BT354" s="499"/>
    </row>
    <row r="355" spans="1:72" ht="9.9499999999999993" hidden="1" customHeight="1">
      <c r="A355" s="490"/>
      <c r="B355" s="492"/>
      <c r="C355" s="492"/>
      <c r="D355" s="492"/>
      <c r="E355" s="492"/>
      <c r="F355" s="492"/>
      <c r="G355" s="492" t="s">
        <v>128</v>
      </c>
      <c r="H355" s="498"/>
      <c r="I355" s="498"/>
      <c r="J355" s="498"/>
      <c r="K355" s="498"/>
      <c r="L355" s="498"/>
      <c r="M355" s="498"/>
      <c r="N355" s="492"/>
      <c r="O355" s="492"/>
      <c r="P355" s="492"/>
      <c r="Q355" s="498">
        <v>5</v>
      </c>
      <c r="R355" s="498"/>
      <c r="S355" s="498"/>
      <c r="T355" s="498"/>
      <c r="U355" s="492" t="s">
        <v>129</v>
      </c>
      <c r="V355" s="492"/>
      <c r="W355" s="492"/>
      <c r="X355" s="492"/>
      <c r="Y355" s="492"/>
      <c r="Z355" s="492"/>
      <c r="AA355" s="492"/>
      <c r="AB355" s="492"/>
      <c r="AC355" s="492"/>
      <c r="AD355" s="492"/>
      <c r="AE355" s="492"/>
      <c r="AF355" s="492"/>
      <c r="AG355" s="492"/>
      <c r="AH355" s="492"/>
      <c r="AI355" s="496"/>
      <c r="AJ355" s="492"/>
      <c r="AK355" s="492"/>
      <c r="AL355" s="492"/>
      <c r="AM355" s="492"/>
      <c r="AN355" s="492"/>
      <c r="AO355" s="492"/>
      <c r="AP355" s="492"/>
      <c r="AQ355" s="492"/>
      <c r="AR355" s="492"/>
      <c r="AS355" s="492"/>
      <c r="AT355" s="492"/>
      <c r="AU355" s="492"/>
      <c r="AV355" s="492"/>
      <c r="AW355" s="492"/>
      <c r="AX355" s="492"/>
      <c r="AY355" s="492"/>
      <c r="AZ355" s="492"/>
      <c r="BA355" s="492"/>
      <c r="BB355" s="492"/>
      <c r="BC355" s="492"/>
      <c r="BD355" s="492"/>
      <c r="BE355" s="492"/>
      <c r="BF355" s="492"/>
      <c r="BG355" s="492"/>
      <c r="BH355" s="492"/>
      <c r="BI355" s="492"/>
      <c r="BJ355" s="492"/>
      <c r="BK355" s="492"/>
      <c r="BL355" s="492"/>
      <c r="BM355" s="492"/>
      <c r="BN355" s="492"/>
      <c r="BO355" s="492"/>
      <c r="BP355" s="492"/>
      <c r="BQ355" s="499"/>
      <c r="BR355" s="499"/>
      <c r="BS355" s="499"/>
      <c r="BT355" s="499"/>
    </row>
    <row r="356" spans="1:72" ht="9.9499999999999993" hidden="1" customHeight="1">
      <c r="A356" s="490"/>
      <c r="B356" s="492"/>
      <c r="C356" s="492"/>
      <c r="D356" s="492"/>
      <c r="E356" s="492"/>
      <c r="F356" s="492"/>
      <c r="G356" s="492" t="s">
        <v>130</v>
      </c>
      <c r="H356" s="498"/>
      <c r="I356" s="498"/>
      <c r="J356" s="498"/>
      <c r="K356" s="498"/>
      <c r="L356" s="498"/>
      <c r="M356" s="498"/>
      <c r="N356" s="492"/>
      <c r="O356" s="492"/>
      <c r="P356" s="492"/>
      <c r="Q356" s="498">
        <v>10</v>
      </c>
      <c r="R356" s="498"/>
      <c r="S356" s="498"/>
      <c r="T356" s="498"/>
      <c r="U356" s="492" t="s">
        <v>129</v>
      </c>
      <c r="V356" s="492"/>
      <c r="W356" s="492"/>
      <c r="X356" s="492"/>
      <c r="Y356" s="492"/>
      <c r="Z356" s="492"/>
      <c r="AA356" s="492"/>
      <c r="AB356" s="492"/>
      <c r="AC356" s="492"/>
      <c r="AD356" s="492"/>
      <c r="AE356" s="492"/>
      <c r="AF356" s="492"/>
      <c r="AG356" s="492"/>
      <c r="AH356" s="492"/>
      <c r="AI356" s="496"/>
      <c r="AJ356" s="492"/>
      <c r="AK356" s="492"/>
      <c r="AL356" s="492"/>
      <c r="AM356" s="492"/>
      <c r="AN356" s="492"/>
      <c r="AO356" s="492"/>
      <c r="AP356" s="492"/>
      <c r="AQ356" s="492"/>
      <c r="AR356" s="492"/>
      <c r="AS356" s="492"/>
      <c r="AT356" s="492"/>
      <c r="AU356" s="492"/>
      <c r="AV356" s="492"/>
      <c r="AW356" s="492"/>
      <c r="AX356" s="492"/>
      <c r="AY356" s="492"/>
      <c r="AZ356" s="492"/>
      <c r="BA356" s="492"/>
      <c r="BB356" s="492"/>
      <c r="BC356" s="492"/>
      <c r="BD356" s="492"/>
      <c r="BE356" s="492"/>
      <c r="BF356" s="492"/>
      <c r="BG356" s="492"/>
      <c r="BH356" s="492"/>
      <c r="BI356" s="492"/>
      <c r="BJ356" s="492"/>
      <c r="BK356" s="492"/>
      <c r="BL356" s="492"/>
      <c r="BM356" s="492"/>
      <c r="BN356" s="492"/>
      <c r="BO356" s="492"/>
      <c r="BP356" s="492"/>
      <c r="BQ356" s="499"/>
      <c r="BR356" s="499"/>
      <c r="BS356" s="499"/>
      <c r="BT356" s="499"/>
    </row>
    <row r="357" spans="1:72" ht="9.9499999999999993" hidden="1" customHeight="1">
      <c r="A357" s="490"/>
      <c r="B357" s="492"/>
      <c r="C357" s="492"/>
      <c r="D357" s="492"/>
      <c r="E357" s="492"/>
      <c r="F357" s="492"/>
      <c r="G357" s="492" t="s">
        <v>131</v>
      </c>
      <c r="H357" s="498"/>
      <c r="I357" s="498"/>
      <c r="J357" s="498"/>
      <c r="K357" s="498"/>
      <c r="L357" s="498"/>
      <c r="M357" s="498"/>
      <c r="N357" s="492"/>
      <c r="O357" s="492"/>
      <c r="P357" s="492"/>
      <c r="Q357" s="498">
        <v>5</v>
      </c>
      <c r="R357" s="498"/>
      <c r="S357" s="498"/>
      <c r="T357" s="498"/>
      <c r="U357" s="492" t="s">
        <v>129</v>
      </c>
      <c r="V357" s="492"/>
      <c r="W357" s="492"/>
      <c r="X357" s="492"/>
      <c r="Y357" s="492"/>
      <c r="Z357" s="492"/>
      <c r="AA357" s="492"/>
      <c r="AB357" s="492"/>
      <c r="AC357" s="492"/>
      <c r="AD357" s="492"/>
      <c r="AE357" s="492"/>
      <c r="AF357" s="492"/>
      <c r="AG357" s="492"/>
      <c r="AH357" s="492"/>
      <c r="AI357" s="496"/>
      <c r="AJ357" s="492"/>
      <c r="AK357" s="492"/>
      <c r="AL357" s="492"/>
      <c r="AM357" s="492"/>
      <c r="AN357" s="492"/>
      <c r="AO357" s="492"/>
      <c r="AP357" s="492"/>
      <c r="AQ357" s="492"/>
      <c r="AR357" s="492"/>
      <c r="AS357" s="492"/>
      <c r="AT357" s="492"/>
      <c r="AU357" s="492"/>
      <c r="AV357" s="492"/>
      <c r="AW357" s="492"/>
      <c r="AX357" s="492"/>
      <c r="AY357" s="492"/>
      <c r="AZ357" s="492"/>
      <c r="BA357" s="492"/>
      <c r="BB357" s="492"/>
      <c r="BC357" s="492"/>
      <c r="BD357" s="492"/>
      <c r="BE357" s="492"/>
      <c r="BF357" s="492"/>
      <c r="BG357" s="492"/>
      <c r="BH357" s="492"/>
      <c r="BI357" s="492"/>
      <c r="BJ357" s="492"/>
      <c r="BK357" s="492"/>
      <c r="BL357" s="492"/>
      <c r="BM357" s="492"/>
      <c r="BN357" s="492"/>
      <c r="BO357" s="492"/>
      <c r="BP357" s="492"/>
      <c r="BQ357" s="499"/>
      <c r="BR357" s="499"/>
      <c r="BS357" s="499"/>
      <c r="BT357" s="499"/>
    </row>
    <row r="358" spans="1:72" ht="9.9499999999999993" hidden="1" customHeight="1">
      <c r="A358" s="490"/>
      <c r="B358" s="492"/>
      <c r="C358" s="492"/>
      <c r="D358" s="492"/>
      <c r="E358" s="492"/>
      <c r="F358" s="504"/>
      <c r="G358" s="504" t="s">
        <v>132</v>
      </c>
      <c r="H358" s="505"/>
      <c r="I358" s="505"/>
      <c r="J358" s="505"/>
      <c r="K358" s="505"/>
      <c r="L358" s="505"/>
      <c r="M358" s="505"/>
      <c r="N358" s="504"/>
      <c r="O358" s="504"/>
      <c r="P358" s="504"/>
      <c r="Q358" s="505">
        <v>20</v>
      </c>
      <c r="R358" s="505"/>
      <c r="S358" s="505"/>
      <c r="T358" s="505"/>
      <c r="U358" s="504" t="s">
        <v>129</v>
      </c>
      <c r="V358" s="504"/>
      <c r="W358" s="504"/>
      <c r="X358" s="504"/>
      <c r="Y358" s="504"/>
      <c r="Z358" s="504"/>
      <c r="AA358" s="492"/>
      <c r="AB358" s="492"/>
      <c r="AC358" s="492"/>
      <c r="AD358" s="492"/>
      <c r="AE358" s="492"/>
      <c r="AF358" s="492"/>
      <c r="AG358" s="492"/>
      <c r="AH358" s="492"/>
      <c r="AI358" s="496"/>
      <c r="AJ358" s="492"/>
      <c r="AK358" s="492"/>
      <c r="AL358" s="492"/>
      <c r="AM358" s="492"/>
      <c r="AN358" s="492"/>
      <c r="AO358" s="492"/>
      <c r="AP358" s="492"/>
      <c r="AQ358" s="492"/>
      <c r="AR358" s="492"/>
      <c r="AS358" s="492"/>
      <c r="AT358" s="492"/>
      <c r="AU358" s="492"/>
      <c r="AV358" s="492"/>
      <c r="AW358" s="492"/>
      <c r="AX358" s="492"/>
      <c r="AY358" s="492"/>
      <c r="AZ358" s="492"/>
      <c r="BA358" s="492"/>
      <c r="BB358" s="492"/>
      <c r="BC358" s="492"/>
      <c r="BD358" s="492"/>
      <c r="BE358" s="492"/>
      <c r="BF358" s="492"/>
      <c r="BG358" s="492"/>
      <c r="BH358" s="492"/>
      <c r="BI358" s="492"/>
      <c r="BJ358" s="492"/>
      <c r="BK358" s="492"/>
      <c r="BL358" s="492"/>
      <c r="BM358" s="492"/>
      <c r="BN358" s="492"/>
      <c r="BO358" s="492"/>
      <c r="BP358" s="492"/>
      <c r="BQ358" s="499"/>
      <c r="BR358" s="499"/>
      <c r="BS358" s="499"/>
      <c r="BT358" s="499"/>
    </row>
    <row r="359" spans="1:72" ht="9.9499999999999993" hidden="1" customHeight="1">
      <c r="A359" s="490"/>
      <c r="B359" s="492"/>
      <c r="C359" s="492"/>
      <c r="D359" s="492"/>
      <c r="E359" s="492"/>
      <c r="F359" s="492"/>
      <c r="G359" s="492"/>
      <c r="H359" s="492"/>
      <c r="I359" s="492" t="s">
        <v>44</v>
      </c>
      <c r="J359" s="492"/>
      <c r="K359" s="492"/>
      <c r="L359" s="492"/>
      <c r="M359" s="492"/>
      <c r="N359" s="506"/>
      <c r="O359" s="492" t="s">
        <v>133</v>
      </c>
      <c r="P359" s="492"/>
      <c r="Q359" s="498">
        <f>SUM(Q355:Q358)</f>
        <v>40</v>
      </c>
      <c r="R359" s="498"/>
      <c r="S359" s="498"/>
      <c r="T359" s="498"/>
      <c r="U359" s="492" t="s">
        <v>129</v>
      </c>
      <c r="V359" s="492"/>
      <c r="W359" s="492"/>
      <c r="X359" s="492"/>
      <c r="Y359" s="492"/>
      <c r="Z359" s="492"/>
      <c r="AA359" s="492"/>
      <c r="AB359" s="492"/>
      <c r="AC359" s="492"/>
      <c r="AD359" s="492"/>
      <c r="AE359" s="492"/>
      <c r="AF359" s="492"/>
      <c r="AG359" s="492"/>
      <c r="AH359" s="492"/>
      <c r="AI359" s="496"/>
      <c r="AJ359" s="492"/>
      <c r="AK359" s="492"/>
      <c r="AL359" s="492"/>
      <c r="AM359" s="492"/>
      <c r="AN359" s="492"/>
      <c r="AO359" s="492"/>
      <c r="AP359" s="492"/>
      <c r="AQ359" s="492"/>
      <c r="AR359" s="492"/>
      <c r="AS359" s="492"/>
      <c r="AT359" s="492"/>
      <c r="AU359" s="492"/>
      <c r="AV359" s="492"/>
      <c r="AW359" s="492"/>
      <c r="AX359" s="492"/>
      <c r="AY359" s="492"/>
      <c r="AZ359" s="492"/>
      <c r="BA359" s="492"/>
      <c r="BB359" s="492"/>
      <c r="BC359" s="492"/>
      <c r="BD359" s="492"/>
      <c r="BE359" s="492"/>
      <c r="BF359" s="492"/>
      <c r="BG359" s="492"/>
      <c r="BH359" s="492"/>
      <c r="BI359" s="492"/>
      <c r="BJ359" s="492"/>
      <c r="BK359" s="492"/>
      <c r="BL359" s="492"/>
      <c r="BM359" s="492"/>
      <c r="BN359" s="492"/>
      <c r="BO359" s="492"/>
      <c r="BP359" s="492"/>
      <c r="BQ359" s="499"/>
      <c r="BR359" s="499"/>
      <c r="BS359" s="499"/>
      <c r="BT359" s="499"/>
    </row>
    <row r="360" spans="1:72" ht="9.9499999999999993" hidden="1" customHeight="1">
      <c r="A360" s="490"/>
      <c r="B360" s="492"/>
      <c r="C360" s="492" t="s">
        <v>134</v>
      </c>
      <c r="D360" s="492"/>
      <c r="E360" s="492"/>
      <c r="F360" s="492"/>
      <c r="G360" s="492"/>
      <c r="H360" s="498">
        <f>G354</f>
        <v>1</v>
      </c>
      <c r="I360" s="498"/>
      <c r="J360" s="498"/>
      <c r="K360" s="498"/>
      <c r="L360" s="507" t="s">
        <v>99</v>
      </c>
      <c r="M360" s="497"/>
      <c r="N360" s="498">
        <f>T354</f>
        <v>20</v>
      </c>
      <c r="O360" s="498"/>
      <c r="P360" s="498"/>
      <c r="Q360" s="498"/>
      <c r="R360" s="497" t="s">
        <v>100</v>
      </c>
      <c r="S360" s="497"/>
      <c r="T360" s="498">
        <v>2</v>
      </c>
      <c r="U360" s="498"/>
      <c r="V360" s="498"/>
      <c r="W360" s="498"/>
      <c r="X360" s="497" t="s">
        <v>100</v>
      </c>
      <c r="Y360" s="497"/>
      <c r="Z360" s="498">
        <v>60</v>
      </c>
      <c r="AA360" s="498"/>
      <c r="AB360" s="498"/>
      <c r="AC360" s="498"/>
      <c r="AD360" s="507" t="s">
        <v>103</v>
      </c>
      <c r="AE360" s="497"/>
      <c r="AF360" s="498">
        <f>H360/N360*T360*Z360</f>
        <v>6</v>
      </c>
      <c r="AG360" s="498"/>
      <c r="AH360" s="498"/>
      <c r="AI360" s="498"/>
      <c r="AJ360" s="498"/>
      <c r="AK360" s="492" t="s">
        <v>129</v>
      </c>
      <c r="AL360" s="492"/>
      <c r="AM360" s="492"/>
      <c r="AN360" s="492"/>
      <c r="AO360" s="492"/>
      <c r="AP360" s="492"/>
      <c r="AQ360" s="492"/>
      <c r="AR360" s="492"/>
      <c r="AS360" s="492"/>
      <c r="AT360" s="492"/>
      <c r="AU360" s="492"/>
      <c r="AV360" s="492"/>
      <c r="AW360" s="492"/>
      <c r="AX360" s="492"/>
      <c r="AY360" s="492"/>
      <c r="AZ360" s="492"/>
      <c r="BA360" s="492"/>
      <c r="BB360" s="492"/>
      <c r="BC360" s="492"/>
      <c r="BD360" s="492"/>
      <c r="BE360" s="492"/>
      <c r="BF360" s="492"/>
      <c r="BG360" s="492"/>
      <c r="BH360" s="492"/>
      <c r="BI360" s="492"/>
      <c r="BJ360" s="492"/>
      <c r="BK360" s="492"/>
      <c r="BL360" s="492"/>
      <c r="BM360" s="492"/>
      <c r="BN360" s="492"/>
      <c r="BO360" s="492"/>
      <c r="BP360" s="492"/>
      <c r="BQ360" s="499"/>
      <c r="BR360" s="499"/>
      <c r="BS360" s="499"/>
      <c r="BT360" s="499"/>
    </row>
    <row r="361" spans="1:72" ht="9.9499999999999993" hidden="1" customHeight="1">
      <c r="A361" s="490"/>
      <c r="B361" s="492"/>
      <c r="C361" s="492" t="s">
        <v>135</v>
      </c>
      <c r="D361" s="492"/>
      <c r="E361" s="492"/>
      <c r="F361" s="492"/>
      <c r="G361" s="492"/>
      <c r="H361" s="498">
        <f>Q359</f>
        <v>40</v>
      </c>
      <c r="I361" s="498"/>
      <c r="J361" s="498"/>
      <c r="K361" s="498"/>
      <c r="L361" s="507" t="s">
        <v>59</v>
      </c>
      <c r="M361" s="497"/>
      <c r="N361" s="498">
        <f>AF360</f>
        <v>6</v>
      </c>
      <c r="O361" s="498"/>
      <c r="P361" s="498"/>
      <c r="Q361" s="498"/>
      <c r="R361" s="507" t="s">
        <v>103</v>
      </c>
      <c r="S361" s="497"/>
      <c r="T361" s="498">
        <f>INT(H361+N361)</f>
        <v>46</v>
      </c>
      <c r="U361" s="498"/>
      <c r="V361" s="498"/>
      <c r="W361" s="498"/>
      <c r="X361" s="498"/>
      <c r="Y361" s="492" t="s">
        <v>129</v>
      </c>
      <c r="Z361" s="492"/>
      <c r="AA361" s="492"/>
      <c r="AB361" s="492"/>
      <c r="AC361" s="492"/>
      <c r="AD361" s="492"/>
      <c r="AE361" s="492"/>
      <c r="AF361" s="492"/>
      <c r="AG361" s="492"/>
      <c r="AH361" s="492"/>
      <c r="AI361" s="496"/>
      <c r="AJ361" s="492"/>
      <c r="AK361" s="492"/>
      <c r="AL361" s="492"/>
      <c r="AM361" s="492"/>
      <c r="AN361" s="492"/>
      <c r="AO361" s="492"/>
      <c r="AP361" s="492"/>
      <c r="AQ361" s="492"/>
      <c r="AR361" s="492"/>
      <c r="AS361" s="492"/>
      <c r="AT361" s="492"/>
      <c r="AU361" s="492"/>
      <c r="AV361" s="492"/>
      <c r="AW361" s="492"/>
      <c r="AX361" s="492"/>
      <c r="AY361" s="492"/>
      <c r="AZ361" s="492"/>
      <c r="BA361" s="492"/>
      <c r="BB361" s="492"/>
      <c r="BC361" s="492"/>
      <c r="BD361" s="492"/>
      <c r="BE361" s="492"/>
      <c r="BF361" s="492"/>
      <c r="BG361" s="492"/>
      <c r="BH361" s="492"/>
      <c r="BI361" s="492"/>
      <c r="BJ361" s="492"/>
      <c r="BK361" s="492"/>
      <c r="BL361" s="492"/>
      <c r="BM361" s="492"/>
      <c r="BN361" s="492"/>
      <c r="BO361" s="492"/>
      <c r="BP361" s="492"/>
      <c r="BQ361" s="499"/>
      <c r="BR361" s="499"/>
      <c r="BS361" s="499"/>
      <c r="BT361" s="499"/>
    </row>
    <row r="362" spans="1:72" ht="9.9499999999999993" hidden="1" customHeight="1">
      <c r="A362" s="490"/>
      <c r="B362" s="492"/>
      <c r="C362" s="492"/>
      <c r="D362" s="492" t="s">
        <v>136</v>
      </c>
      <c r="E362" s="492"/>
      <c r="F362" s="492"/>
      <c r="G362" s="492"/>
      <c r="H362" s="492"/>
      <c r="I362" s="498">
        <v>60</v>
      </c>
      <c r="J362" s="498"/>
      <c r="K362" s="498"/>
      <c r="L362" s="498"/>
      <c r="M362" s="497" t="s">
        <v>100</v>
      </c>
      <c r="N362" s="497"/>
      <c r="O362" s="500">
        <f>E352</f>
        <v>5500</v>
      </c>
      <c r="P362" s="498"/>
      <c r="Q362" s="498"/>
      <c r="R362" s="498"/>
      <c r="S362" s="498"/>
      <c r="T362" s="497" t="s">
        <v>100</v>
      </c>
      <c r="U362" s="497"/>
      <c r="V362" s="498">
        <v>0.9</v>
      </c>
      <c r="W362" s="498"/>
      <c r="X362" s="498"/>
      <c r="Y362" s="498"/>
      <c r="Z362" s="492" t="s">
        <v>137</v>
      </c>
      <c r="AA362" s="492"/>
      <c r="AB362" s="492"/>
      <c r="AC362" s="492" t="s">
        <v>690</v>
      </c>
      <c r="AD362" s="498">
        <f>T361</f>
        <v>46</v>
      </c>
      <c r="AE362" s="498"/>
      <c r="AF362" s="498"/>
      <c r="AG362" s="498"/>
      <c r="AH362" s="507" t="s">
        <v>103</v>
      </c>
      <c r="AI362" s="497"/>
      <c r="AJ362" s="498">
        <f>ROUNDDOWN((I362*O362*V362)/AD362,2)</f>
        <v>6456.52</v>
      </c>
      <c r="AK362" s="498"/>
      <c r="AL362" s="498"/>
      <c r="AM362" s="498"/>
      <c r="AN362" s="498"/>
      <c r="AO362" s="498"/>
      <c r="AP362" s="498"/>
      <c r="AQ362" s="492" t="s">
        <v>129</v>
      </c>
      <c r="AR362" s="492"/>
      <c r="AS362" s="492"/>
      <c r="AT362" s="492"/>
      <c r="AU362" s="492"/>
      <c r="AV362" s="492"/>
      <c r="AW362" s="492"/>
      <c r="AX362" s="492"/>
      <c r="AY362" s="492"/>
      <c r="AZ362" s="492"/>
      <c r="BA362" s="492"/>
      <c r="BB362" s="492"/>
      <c r="BC362" s="492"/>
      <c r="BD362" s="492"/>
      <c r="BE362" s="492"/>
      <c r="BF362" s="492"/>
      <c r="BG362" s="492"/>
      <c r="BH362" s="492"/>
      <c r="BI362" s="492"/>
      <c r="BJ362" s="492"/>
      <c r="BK362" s="492"/>
      <c r="BL362" s="492"/>
      <c r="BM362" s="492"/>
      <c r="BN362" s="492"/>
      <c r="BO362" s="492"/>
      <c r="BP362" s="492"/>
      <c r="BQ362" s="499"/>
      <c r="BR362" s="499"/>
      <c r="BS362" s="499"/>
      <c r="BT362" s="499"/>
    </row>
    <row r="363" spans="1:72" ht="9.9499999999999993" hidden="1" customHeight="1">
      <c r="A363" s="490"/>
      <c r="B363" s="492"/>
      <c r="C363" s="492"/>
      <c r="D363" s="492"/>
      <c r="E363" s="492" t="s">
        <v>138</v>
      </c>
      <c r="F363" s="492"/>
      <c r="G363" s="492"/>
      <c r="H363" s="492"/>
      <c r="I363" s="492"/>
      <c r="J363" s="492"/>
      <c r="K363" s="492"/>
      <c r="L363" s="492"/>
      <c r="M363" s="492"/>
      <c r="N363" s="492"/>
      <c r="O363" s="492"/>
      <c r="P363" s="492"/>
      <c r="Q363" s="1513" t="e">
        <f>'기계경비(OLD)'!$AT$124</f>
        <v>#REF!</v>
      </c>
      <c r="R363" s="1506"/>
      <c r="S363" s="1506"/>
      <c r="T363" s="1506"/>
      <c r="U363" s="1506"/>
      <c r="V363" s="1506"/>
      <c r="W363" s="1506"/>
      <c r="X363" s="507" t="s">
        <v>99</v>
      </c>
      <c r="Y363" s="497"/>
      <c r="Z363" s="498">
        <f>AJ362</f>
        <v>6456.52</v>
      </c>
      <c r="AA363" s="498"/>
      <c r="AB363" s="498"/>
      <c r="AC363" s="498"/>
      <c r="AD363" s="498"/>
      <c r="AE363" s="498"/>
      <c r="AF363" s="498"/>
      <c r="AG363" s="492" t="s">
        <v>579</v>
      </c>
      <c r="AH363" s="492"/>
      <c r="AI363" s="496"/>
      <c r="AJ363" s="492" t="s">
        <v>64</v>
      </c>
      <c r="AK363" s="498">
        <v>36</v>
      </c>
      <c r="AL363" s="498"/>
      <c r="AM363" s="498"/>
      <c r="AN363" s="498"/>
      <c r="AO363" s="507" t="s">
        <v>99</v>
      </c>
      <c r="AP363" s="497"/>
      <c r="AQ363" s="498">
        <f>T361</f>
        <v>46</v>
      </c>
      <c r="AR363" s="498"/>
      <c r="AS363" s="498"/>
      <c r="AT363" s="498"/>
      <c r="AU363" s="492" t="s">
        <v>139</v>
      </c>
      <c r="AV363" s="492"/>
      <c r="AW363" s="492"/>
      <c r="AX363" s="492"/>
      <c r="AY363" s="498" t="e">
        <f>ROUNDDOWN(Q363/Z363*(AK363/AQ363),3)</f>
        <v>#REF!</v>
      </c>
      <c r="AZ363" s="498"/>
      <c r="BA363" s="498"/>
      <c r="BB363" s="498"/>
      <c r="BC363" s="498"/>
      <c r="BD363" s="1496" t="s">
        <v>671</v>
      </c>
      <c r="BE363" s="1496"/>
      <c r="BF363" s="1496"/>
      <c r="BG363" s="1496"/>
      <c r="BH363" s="1496"/>
      <c r="BI363" s="1496"/>
      <c r="BJ363" s="1496"/>
      <c r="BK363" s="1496"/>
      <c r="BL363" s="1496"/>
      <c r="BM363" s="1496"/>
      <c r="BN363" s="1496"/>
      <c r="BO363" s="1496"/>
      <c r="BP363" s="492"/>
      <c r="BQ363" s="499"/>
      <c r="BR363" s="499"/>
      <c r="BS363" s="499"/>
      <c r="BT363" s="499"/>
    </row>
    <row r="364" spans="1:72" ht="9.9499999999999993" hidden="1" customHeight="1">
      <c r="A364" s="490"/>
      <c r="B364" s="492"/>
      <c r="C364" s="492"/>
      <c r="D364" s="492"/>
      <c r="E364" s="492" t="s">
        <v>140</v>
      </c>
      <c r="F364" s="492"/>
      <c r="G364" s="492"/>
      <c r="H364" s="492"/>
      <c r="I364" s="492"/>
      <c r="J364" s="492"/>
      <c r="K364" s="492"/>
      <c r="L364" s="492"/>
      <c r="M364" s="492"/>
      <c r="N364" s="492"/>
      <c r="O364" s="492"/>
      <c r="P364" s="492"/>
      <c r="Q364" s="1513">
        <f>'기계경비(OLD)'!$BU$119</f>
        <v>50008</v>
      </c>
      <c r="R364" s="1506"/>
      <c r="S364" s="1506"/>
      <c r="T364" s="1506"/>
      <c r="U364" s="1506"/>
      <c r="V364" s="1506"/>
      <c r="W364" s="1506"/>
      <c r="X364" s="507" t="s">
        <v>99</v>
      </c>
      <c r="Y364" s="497"/>
      <c r="Z364" s="498">
        <f>AJ362</f>
        <v>6456.52</v>
      </c>
      <c r="AA364" s="498"/>
      <c r="AB364" s="498"/>
      <c r="AC364" s="498"/>
      <c r="AD364" s="498"/>
      <c r="AE364" s="498"/>
      <c r="AF364" s="498"/>
      <c r="AG364" s="507" t="s">
        <v>103</v>
      </c>
      <c r="AH364" s="497"/>
      <c r="AI364" s="498">
        <f>ROUNDDOWN(Q364/Z364,3)</f>
        <v>7.7450000000000001</v>
      </c>
      <c r="AJ364" s="498"/>
      <c r="AK364" s="498"/>
      <c r="AL364" s="498"/>
      <c r="AM364" s="498"/>
      <c r="AN364" s="492"/>
      <c r="AO364" s="1496" t="s">
        <v>671</v>
      </c>
      <c r="AP364" s="1496"/>
      <c r="AQ364" s="1496"/>
      <c r="AR364" s="1496"/>
      <c r="AS364" s="1496"/>
      <c r="AT364" s="1496"/>
      <c r="AU364" s="1496"/>
      <c r="AV364" s="1496"/>
      <c r="AW364" s="1496"/>
      <c r="AX364" s="1496"/>
      <c r="AY364" s="1496"/>
      <c r="AZ364" s="492"/>
      <c r="BA364" s="492"/>
      <c r="BB364" s="492"/>
      <c r="BC364" s="492"/>
      <c r="BD364" s="492"/>
      <c r="BE364" s="492"/>
      <c r="BF364" s="492"/>
      <c r="BG364" s="492"/>
      <c r="BH364" s="492"/>
      <c r="BI364" s="492"/>
      <c r="BJ364" s="492"/>
      <c r="BK364" s="492"/>
      <c r="BL364" s="492"/>
      <c r="BM364" s="492"/>
      <c r="BN364" s="492"/>
      <c r="BO364" s="492"/>
      <c r="BP364" s="492"/>
      <c r="BQ364" s="499"/>
      <c r="BR364" s="499"/>
      <c r="BS364" s="499"/>
      <c r="BT364" s="499"/>
    </row>
    <row r="365" spans="1:72" ht="9.9499999999999993" hidden="1" customHeight="1">
      <c r="A365" s="490"/>
      <c r="B365" s="492"/>
      <c r="C365" s="492"/>
      <c r="D365" s="492"/>
      <c r="E365" s="492" t="s">
        <v>141</v>
      </c>
      <c r="F365" s="492"/>
      <c r="G365" s="492"/>
      <c r="H365" s="492"/>
      <c r="I365" s="492"/>
      <c r="J365" s="492"/>
      <c r="K365" s="492"/>
      <c r="L365" s="492"/>
      <c r="M365" s="492"/>
      <c r="N365" s="492"/>
      <c r="O365" s="492"/>
      <c r="P365" s="492"/>
      <c r="Q365" s="1513">
        <f>'기계경비(OLD)'!$BN$128</f>
        <v>9765</v>
      </c>
      <c r="R365" s="1506"/>
      <c r="S365" s="1506"/>
      <c r="T365" s="1506"/>
      <c r="U365" s="1506"/>
      <c r="V365" s="1506"/>
      <c r="W365" s="1506"/>
      <c r="X365" s="507" t="s">
        <v>99</v>
      </c>
      <c r="Y365" s="497"/>
      <c r="Z365" s="498">
        <f>AJ362</f>
        <v>6456.52</v>
      </c>
      <c r="AA365" s="498"/>
      <c r="AB365" s="498"/>
      <c r="AC365" s="498"/>
      <c r="AD365" s="498"/>
      <c r="AE365" s="498"/>
      <c r="AF365" s="498"/>
      <c r="AG365" s="507" t="s">
        <v>103</v>
      </c>
      <c r="AH365" s="497"/>
      <c r="AI365" s="498">
        <f>ROUNDDOWN(Q365/Z365,3)</f>
        <v>1.512</v>
      </c>
      <c r="AJ365" s="498"/>
      <c r="AK365" s="498"/>
      <c r="AL365" s="498"/>
      <c r="AM365" s="498"/>
      <c r="AN365" s="492"/>
      <c r="AO365" s="1496" t="s">
        <v>671</v>
      </c>
      <c r="AP365" s="1496"/>
      <c r="AQ365" s="1496"/>
      <c r="AR365" s="1496"/>
      <c r="AS365" s="1496"/>
      <c r="AT365" s="1496"/>
      <c r="AU365" s="1496"/>
      <c r="AV365" s="1496"/>
      <c r="AW365" s="1496"/>
      <c r="AX365" s="1496"/>
      <c r="AY365" s="1496"/>
      <c r="AZ365" s="492"/>
      <c r="BA365" s="492"/>
      <c r="BB365" s="492"/>
      <c r="BC365" s="492"/>
      <c r="BD365" s="492"/>
      <c r="BE365" s="492"/>
      <c r="BF365" s="492"/>
      <c r="BG365" s="492"/>
      <c r="BH365" s="492"/>
      <c r="BI365" s="492"/>
      <c r="BJ365" s="492"/>
      <c r="BK365" s="492"/>
      <c r="BL365" s="492"/>
      <c r="BM365" s="492"/>
      <c r="BN365" s="492"/>
      <c r="BO365" s="492"/>
      <c r="BP365" s="492"/>
      <c r="BQ365" s="499"/>
      <c r="BR365" s="499"/>
      <c r="BS365" s="499"/>
      <c r="BT365" s="499"/>
    </row>
    <row r="366" spans="1:72" ht="9.9499999999999993" hidden="1" customHeight="1">
      <c r="A366" s="490"/>
      <c r="B366" s="492"/>
      <c r="C366" s="492"/>
      <c r="D366" s="492" t="s">
        <v>142</v>
      </c>
      <c r="E366" s="492"/>
      <c r="F366" s="492"/>
      <c r="G366" s="492"/>
      <c r="H366" s="492"/>
      <c r="I366" s="492"/>
      <c r="J366" s="492"/>
      <c r="K366" s="492"/>
      <c r="L366" s="492"/>
      <c r="M366" s="492"/>
      <c r="N366" s="492"/>
      <c r="O366" s="492"/>
      <c r="P366" s="492"/>
      <c r="Q366" s="492"/>
      <c r="R366" s="492"/>
      <c r="S366" s="492"/>
      <c r="T366" s="492"/>
      <c r="U366" s="492"/>
      <c r="V366" s="492"/>
      <c r="W366" s="492"/>
      <c r="X366" s="492"/>
      <c r="Y366" s="492"/>
      <c r="Z366" s="492"/>
      <c r="AA366" s="492"/>
      <c r="AB366" s="492"/>
      <c r="AC366" s="492"/>
      <c r="AD366" s="492"/>
      <c r="AE366" s="492"/>
      <c r="AF366" s="492"/>
      <c r="AG366" s="492"/>
      <c r="AH366" s="492"/>
      <c r="AI366" s="496"/>
      <c r="AJ366" s="492"/>
      <c r="AK366" s="492"/>
      <c r="AL366" s="492"/>
      <c r="AM366" s="492"/>
      <c r="AN366" s="492"/>
      <c r="AO366" s="492"/>
      <c r="AP366" s="492"/>
      <c r="AQ366" s="492"/>
      <c r="AR366" s="492"/>
      <c r="AS366" s="492"/>
      <c r="AT366" s="492"/>
      <c r="AU366" s="492"/>
      <c r="AV366" s="492"/>
      <c r="AW366" s="492"/>
      <c r="AX366" s="492"/>
      <c r="AY366" s="492"/>
      <c r="AZ366" s="492"/>
      <c r="BA366" s="492"/>
      <c r="BB366" s="492"/>
      <c r="BC366" s="492"/>
      <c r="BD366" s="492"/>
      <c r="BE366" s="492"/>
      <c r="BF366" s="492"/>
      <c r="BG366" s="492"/>
      <c r="BH366" s="492"/>
      <c r="BI366" s="492"/>
      <c r="BJ366" s="492"/>
      <c r="BK366" s="492"/>
      <c r="BL366" s="492"/>
      <c r="BM366" s="492"/>
      <c r="BN366" s="492"/>
      <c r="BO366" s="492"/>
      <c r="BP366" s="492"/>
      <c r="BQ366" s="499"/>
      <c r="BR366" s="499"/>
      <c r="BS366" s="499"/>
      <c r="BT366" s="499"/>
    </row>
    <row r="367" spans="1:72" ht="9.9499999999999993" hidden="1" customHeight="1">
      <c r="A367" s="490"/>
      <c r="B367" s="492"/>
      <c r="C367" s="492"/>
      <c r="D367" s="492"/>
      <c r="E367" s="492" t="s">
        <v>66</v>
      </c>
      <c r="F367" s="492"/>
      <c r="G367" s="492"/>
      <c r="H367" s="492"/>
      <c r="I367" s="492"/>
      <c r="J367" s="492"/>
      <c r="K367" s="492"/>
      <c r="L367" s="492"/>
      <c r="M367" s="492"/>
      <c r="N367" s="492"/>
      <c r="O367" s="492"/>
      <c r="P367" s="500">
        <f>H353</f>
        <v>3000</v>
      </c>
      <c r="Q367" s="498"/>
      <c r="R367" s="498"/>
      <c r="S367" s="498"/>
      <c r="T367" s="498"/>
      <c r="U367" s="498"/>
      <c r="V367" s="507" t="s">
        <v>99</v>
      </c>
      <c r="W367" s="497"/>
      <c r="X367" s="500">
        <v>100</v>
      </c>
      <c r="Y367" s="498"/>
      <c r="Z367" s="498"/>
      <c r="AA367" s="498"/>
      <c r="AB367" s="498"/>
      <c r="AC367" s="507" t="s">
        <v>103</v>
      </c>
      <c r="AD367" s="497"/>
      <c r="AE367" s="498" t="e">
        <f>INT(AY363*P367/X367)</f>
        <v>#REF!</v>
      </c>
      <c r="AF367" s="498"/>
      <c r="AG367" s="498"/>
      <c r="AH367" s="498"/>
      <c r="AI367" s="498"/>
      <c r="AJ367" s="492"/>
      <c r="AK367" s="492"/>
      <c r="AL367" s="492"/>
      <c r="AM367" s="492"/>
      <c r="AN367" s="492"/>
      <c r="AO367" s="492"/>
      <c r="AP367" s="492"/>
      <c r="AQ367" s="492"/>
      <c r="AR367" s="492"/>
      <c r="AS367" s="492"/>
      <c r="AT367" s="492"/>
      <c r="AU367" s="492"/>
      <c r="AV367" s="492"/>
      <c r="AW367" s="492"/>
      <c r="AX367" s="492"/>
      <c r="AY367" s="492"/>
      <c r="AZ367" s="492"/>
      <c r="BA367" s="492"/>
      <c r="BB367" s="492"/>
      <c r="BC367" s="492"/>
      <c r="BD367" s="492"/>
      <c r="BE367" s="492"/>
      <c r="BF367" s="492"/>
      <c r="BG367" s="492"/>
      <c r="BH367" s="492"/>
      <c r="BI367" s="492"/>
      <c r="BJ367" s="492"/>
      <c r="BK367" s="492"/>
      <c r="BL367" s="492"/>
      <c r="BM367" s="492"/>
      <c r="BN367" s="492"/>
      <c r="BO367" s="492"/>
      <c r="BP367" s="492"/>
      <c r="BQ367" s="499" t="e">
        <f>SUM(BR367:BT367)</f>
        <v>#REF!</v>
      </c>
      <c r="BR367" s="493"/>
      <c r="BS367" s="493" t="e">
        <f>AE367</f>
        <v>#REF!</v>
      </c>
      <c r="BT367" s="493"/>
    </row>
    <row r="368" spans="1:72" ht="9.9499999999999993" hidden="1" customHeight="1">
      <c r="A368" s="490"/>
      <c r="B368" s="492"/>
      <c r="C368" s="492"/>
      <c r="D368" s="492"/>
      <c r="E368" s="492" t="s">
        <v>67</v>
      </c>
      <c r="F368" s="492"/>
      <c r="G368" s="492"/>
      <c r="H368" s="492"/>
      <c r="I368" s="492"/>
      <c r="J368" s="492"/>
      <c r="K368" s="492"/>
      <c r="L368" s="492"/>
      <c r="M368" s="492"/>
      <c r="N368" s="492"/>
      <c r="O368" s="492"/>
      <c r="P368" s="500">
        <f>H353</f>
        <v>3000</v>
      </c>
      <c r="Q368" s="498"/>
      <c r="R368" s="498"/>
      <c r="S368" s="498"/>
      <c r="T368" s="498"/>
      <c r="U368" s="498"/>
      <c r="V368" s="507" t="s">
        <v>99</v>
      </c>
      <c r="W368" s="497"/>
      <c r="X368" s="500">
        <v>100</v>
      </c>
      <c r="Y368" s="498"/>
      <c r="Z368" s="498"/>
      <c r="AA368" s="498"/>
      <c r="AB368" s="498"/>
      <c r="AC368" s="507" t="s">
        <v>103</v>
      </c>
      <c r="AD368" s="497"/>
      <c r="AE368" s="498">
        <f>INT(AI364*P368/X368)</f>
        <v>232</v>
      </c>
      <c r="AF368" s="498"/>
      <c r="AG368" s="498"/>
      <c r="AH368" s="498"/>
      <c r="AI368" s="498"/>
      <c r="AJ368" s="492"/>
      <c r="AK368" s="492"/>
      <c r="AL368" s="492"/>
      <c r="AM368" s="492"/>
      <c r="AN368" s="492"/>
      <c r="AO368" s="492"/>
      <c r="AP368" s="492"/>
      <c r="AQ368" s="492"/>
      <c r="AR368" s="492"/>
      <c r="AS368" s="492"/>
      <c r="AT368" s="492"/>
      <c r="AU368" s="492"/>
      <c r="AV368" s="492"/>
      <c r="AW368" s="492"/>
      <c r="AX368" s="492"/>
      <c r="AY368" s="492"/>
      <c r="AZ368" s="492"/>
      <c r="BA368" s="492"/>
      <c r="BB368" s="492"/>
      <c r="BC368" s="492"/>
      <c r="BD368" s="492"/>
      <c r="BE368" s="492"/>
      <c r="BF368" s="492"/>
      <c r="BG368" s="492"/>
      <c r="BH368" s="492"/>
      <c r="BI368" s="492"/>
      <c r="BJ368" s="492"/>
      <c r="BK368" s="492"/>
      <c r="BL368" s="492"/>
      <c r="BM368" s="492"/>
      <c r="BN368" s="492"/>
      <c r="BO368" s="492"/>
      <c r="BP368" s="492"/>
      <c r="BQ368" s="499">
        <f>SUM(BR368:BT368)</f>
        <v>232</v>
      </c>
      <c r="BR368" s="493">
        <f>AE368</f>
        <v>232</v>
      </c>
      <c r="BS368" s="493"/>
      <c r="BT368" s="493"/>
    </row>
    <row r="369" spans="1:72" ht="9.9499999999999993" hidden="1" customHeight="1">
      <c r="A369" s="490"/>
      <c r="B369" s="492"/>
      <c r="C369" s="492"/>
      <c r="D369" s="492"/>
      <c r="E369" s="492" t="s">
        <v>68</v>
      </c>
      <c r="F369" s="492"/>
      <c r="G369" s="492"/>
      <c r="H369" s="492"/>
      <c r="I369" s="492"/>
      <c r="J369" s="492"/>
      <c r="K369" s="492"/>
      <c r="L369" s="492"/>
      <c r="M369" s="492"/>
      <c r="N369" s="492"/>
      <c r="O369" s="492"/>
      <c r="P369" s="500">
        <f>H353</f>
        <v>3000</v>
      </c>
      <c r="Q369" s="498"/>
      <c r="R369" s="498"/>
      <c r="S369" s="498"/>
      <c r="T369" s="498"/>
      <c r="U369" s="498"/>
      <c r="V369" s="507" t="s">
        <v>99</v>
      </c>
      <c r="W369" s="497"/>
      <c r="X369" s="500">
        <v>100</v>
      </c>
      <c r="Y369" s="498"/>
      <c r="Z369" s="498"/>
      <c r="AA369" s="498"/>
      <c r="AB369" s="498"/>
      <c r="AC369" s="507" t="s">
        <v>103</v>
      </c>
      <c r="AD369" s="497"/>
      <c r="AE369" s="498">
        <f>INT(AI365*P369/X369)</f>
        <v>45</v>
      </c>
      <c r="AF369" s="498"/>
      <c r="AG369" s="498"/>
      <c r="AH369" s="498"/>
      <c r="AI369" s="498"/>
      <c r="AJ369" s="492"/>
      <c r="AK369" s="492"/>
      <c r="AL369" s="492"/>
      <c r="AM369" s="492"/>
      <c r="AN369" s="492"/>
      <c r="AO369" s="492"/>
      <c r="AP369" s="492"/>
      <c r="AQ369" s="492"/>
      <c r="AR369" s="492"/>
      <c r="AS369" s="492"/>
      <c r="AT369" s="492"/>
      <c r="AU369" s="492"/>
      <c r="AV369" s="492"/>
      <c r="AW369" s="492"/>
      <c r="AX369" s="492"/>
      <c r="AY369" s="492"/>
      <c r="AZ369" s="492"/>
      <c r="BA369" s="492"/>
      <c r="BB369" s="492"/>
      <c r="BC369" s="492"/>
      <c r="BD369" s="492"/>
      <c r="BE369" s="492"/>
      <c r="BF369" s="492"/>
      <c r="BG369" s="492"/>
      <c r="BH369" s="492"/>
      <c r="BI369" s="492"/>
      <c r="BJ369" s="492"/>
      <c r="BK369" s="492"/>
      <c r="BL369" s="492"/>
      <c r="BM369" s="492"/>
      <c r="BN369" s="492"/>
      <c r="BO369" s="492"/>
      <c r="BP369" s="492"/>
      <c r="BQ369" s="499">
        <f>SUM(BR369:BT369)</f>
        <v>45</v>
      </c>
      <c r="BR369" s="493"/>
      <c r="BS369" s="493"/>
      <c r="BT369" s="493">
        <f>AE369</f>
        <v>45</v>
      </c>
    </row>
    <row r="370" spans="1:72" ht="9.9499999999999993" hidden="1" customHeight="1">
      <c r="A370" s="490"/>
      <c r="B370" s="492"/>
      <c r="C370" s="492" t="s">
        <v>63</v>
      </c>
      <c r="D370" s="492"/>
      <c r="E370" s="492"/>
      <c r="F370" s="492"/>
      <c r="G370" s="492"/>
      <c r="H370" s="492"/>
      <c r="I370" s="492"/>
      <c r="J370" s="492"/>
      <c r="K370" s="492"/>
      <c r="L370" s="502"/>
      <c r="M370" s="492"/>
      <c r="N370" s="492"/>
      <c r="O370" s="492"/>
      <c r="P370" s="492"/>
      <c r="Q370" s="492"/>
      <c r="R370" s="492"/>
      <c r="S370" s="492"/>
      <c r="T370" s="496"/>
      <c r="U370" s="492"/>
      <c r="V370" s="492"/>
      <c r="W370" s="492"/>
      <c r="X370" s="492"/>
      <c r="Y370" s="492"/>
      <c r="Z370" s="492"/>
      <c r="AA370" s="492"/>
      <c r="AB370" s="492"/>
      <c r="AC370" s="492"/>
      <c r="AD370" s="492"/>
      <c r="AE370" s="492"/>
      <c r="AF370" s="492"/>
      <c r="AG370" s="492"/>
      <c r="AH370" s="492"/>
      <c r="AI370" s="496"/>
      <c r="AJ370" s="492"/>
      <c r="AK370" s="492"/>
      <c r="AL370" s="492"/>
      <c r="AM370" s="492"/>
      <c r="AN370" s="492"/>
      <c r="AO370" s="492"/>
      <c r="AP370" s="492"/>
      <c r="AQ370" s="492"/>
      <c r="AR370" s="492"/>
      <c r="AS370" s="492"/>
      <c r="AT370" s="492"/>
      <c r="AU370" s="492"/>
      <c r="AV370" s="492"/>
      <c r="AW370" s="492"/>
      <c r="AX370" s="492"/>
      <c r="AY370" s="492"/>
      <c r="AZ370" s="492"/>
      <c r="BA370" s="492"/>
      <c r="BB370" s="492"/>
      <c r="BC370" s="492"/>
      <c r="BD370" s="492"/>
      <c r="BE370" s="492"/>
      <c r="BF370" s="492"/>
      <c r="BG370" s="492"/>
      <c r="BH370" s="492"/>
      <c r="BI370" s="492"/>
      <c r="BJ370" s="492"/>
      <c r="BK370" s="492"/>
      <c r="BL370" s="492"/>
      <c r="BM370" s="492"/>
      <c r="BN370" s="492"/>
      <c r="BO370" s="492"/>
      <c r="BP370" s="492"/>
      <c r="BQ370" s="503" t="e">
        <f>SUM(BR370:BT370)</f>
        <v>#REF!</v>
      </c>
      <c r="BR370" s="503">
        <f>SUM(BR365:BR369)</f>
        <v>232</v>
      </c>
      <c r="BS370" s="503" t="e">
        <f>SUM(BS365:BS369)</f>
        <v>#REF!</v>
      </c>
      <c r="BT370" s="503">
        <f>SUM(BT365:BT369)</f>
        <v>45</v>
      </c>
    </row>
    <row r="371" spans="1:72" ht="9.9499999999999993" hidden="1" customHeight="1">
      <c r="A371" s="490"/>
      <c r="B371" s="492" t="s">
        <v>355</v>
      </c>
      <c r="C371" s="492"/>
      <c r="D371" s="492"/>
      <c r="E371" s="492"/>
      <c r="F371" s="492"/>
      <c r="G371" s="492"/>
      <c r="H371" s="492"/>
      <c r="I371" s="492"/>
      <c r="J371" s="492"/>
      <c r="K371" s="492"/>
      <c r="L371" s="502"/>
      <c r="M371" s="492"/>
      <c r="N371" s="492"/>
      <c r="O371" s="492"/>
      <c r="P371" s="492"/>
      <c r="Q371" s="492"/>
      <c r="R371" s="492"/>
      <c r="S371" s="492"/>
      <c r="T371" s="496"/>
      <c r="U371" s="492"/>
      <c r="V371" s="492"/>
      <c r="W371" s="492"/>
      <c r="X371" s="492"/>
      <c r="Y371" s="492"/>
      <c r="Z371" s="492"/>
      <c r="AA371" s="492"/>
      <c r="AB371" s="492"/>
      <c r="AC371" s="492"/>
      <c r="AD371" s="492"/>
      <c r="AE371" s="492"/>
      <c r="AF371" s="492"/>
      <c r="AG371" s="492"/>
      <c r="AH371" s="492"/>
      <c r="AI371" s="492"/>
      <c r="AJ371" s="492"/>
      <c r="AK371" s="492"/>
      <c r="AL371" s="492"/>
      <c r="AM371" s="492"/>
      <c r="AN371" s="492"/>
      <c r="AO371" s="492"/>
      <c r="AP371" s="492"/>
      <c r="AQ371" s="492"/>
      <c r="AR371" s="492"/>
      <c r="AS371" s="492"/>
      <c r="AT371" s="492"/>
      <c r="AU371" s="492"/>
      <c r="AV371" s="492"/>
      <c r="AW371" s="492"/>
      <c r="AX371" s="492"/>
      <c r="AY371" s="492"/>
      <c r="AZ371" s="492"/>
      <c r="BA371" s="492"/>
      <c r="BB371" s="492"/>
      <c r="BC371" s="492"/>
      <c r="BD371" s="492"/>
      <c r="BE371" s="492"/>
      <c r="BF371" s="492"/>
      <c r="BG371" s="492"/>
      <c r="BH371" s="492"/>
      <c r="BI371" s="492"/>
      <c r="BJ371" s="492"/>
      <c r="BK371" s="492"/>
      <c r="BL371" s="492"/>
      <c r="BM371" s="492"/>
      <c r="BN371" s="492"/>
      <c r="BO371" s="492"/>
      <c r="BP371" s="492"/>
      <c r="BQ371" s="499"/>
      <c r="BR371" s="499"/>
      <c r="BS371" s="499"/>
      <c r="BT371" s="499"/>
    </row>
    <row r="372" spans="1:72" ht="9.9499999999999993" hidden="1" customHeight="1">
      <c r="A372" s="490"/>
      <c r="B372" s="492"/>
      <c r="C372" s="492"/>
      <c r="D372" s="1497" t="s">
        <v>540</v>
      </c>
      <c r="E372" s="1498"/>
      <c r="F372" s="1498"/>
      <c r="G372" s="1498"/>
      <c r="H372" s="1498"/>
      <c r="I372" s="1498"/>
      <c r="J372" s="1498"/>
      <c r="K372" s="1498"/>
      <c r="L372" s="1498"/>
      <c r="M372" s="1498"/>
      <c r="N372" s="1498"/>
      <c r="O372" s="1498"/>
      <c r="P372" s="1498"/>
      <c r="Q372" s="1498"/>
      <c r="R372" s="1498"/>
      <c r="S372" s="1498"/>
      <c r="T372" s="1498"/>
      <c r="U372" s="1498"/>
      <c r="V372" s="1498"/>
      <c r="W372" s="1498"/>
      <c r="X372" s="1498"/>
      <c r="Y372" s="1498"/>
      <c r="Z372" s="1498"/>
      <c r="AA372" s="1498"/>
      <c r="AB372" s="1498"/>
      <c r="AC372" s="1498"/>
      <c r="AD372" s="1498"/>
      <c r="AE372" s="1498"/>
      <c r="AF372" s="1498"/>
      <c r="AG372" s="1498"/>
      <c r="AH372" s="1498"/>
      <c r="AI372" s="1498"/>
      <c r="AJ372" s="1498"/>
      <c r="AK372" s="1498"/>
      <c r="AL372" s="1498"/>
      <c r="AM372" s="1498"/>
      <c r="AN372" s="1498"/>
      <c r="AO372" s="1498"/>
      <c r="AP372" s="1498"/>
      <c r="AQ372" s="492"/>
      <c r="AR372" s="492"/>
      <c r="AS372" s="492"/>
      <c r="AT372" s="492"/>
      <c r="AU372" s="492"/>
      <c r="AV372" s="492"/>
      <c r="AW372" s="492"/>
      <c r="AX372" s="492"/>
      <c r="AY372" s="492"/>
      <c r="AZ372" s="492"/>
      <c r="BA372" s="492"/>
      <c r="BB372" s="492"/>
      <c r="BC372" s="492"/>
      <c r="BD372" s="492"/>
      <c r="BE372" s="492"/>
      <c r="BF372" s="492"/>
      <c r="BG372" s="492"/>
      <c r="BH372" s="492"/>
      <c r="BI372" s="492"/>
      <c r="BJ372" s="492"/>
      <c r="BK372" s="492"/>
      <c r="BL372" s="492"/>
      <c r="BM372" s="492"/>
      <c r="BN372" s="492"/>
      <c r="BO372" s="492"/>
      <c r="BP372" s="492"/>
      <c r="BQ372" s="499"/>
      <c r="BR372" s="499"/>
      <c r="BS372" s="499"/>
      <c r="BT372" s="499"/>
    </row>
    <row r="373" spans="1:72" ht="9.9499999999999993" hidden="1" customHeight="1">
      <c r="A373" s="490"/>
      <c r="B373" s="492"/>
      <c r="C373" s="492"/>
      <c r="D373" s="1497" t="s">
        <v>541</v>
      </c>
      <c r="E373" s="1498"/>
      <c r="F373" s="1498"/>
      <c r="G373" s="1498"/>
      <c r="H373" s="1498"/>
      <c r="I373" s="1498"/>
      <c r="J373" s="1498"/>
      <c r="K373" s="1498"/>
      <c r="L373" s="1498"/>
      <c r="M373" s="1498"/>
      <c r="N373" s="1498"/>
      <c r="O373" s="1498"/>
      <c r="P373" s="1498"/>
      <c r="Q373" s="1498"/>
      <c r="R373" s="1498"/>
      <c r="S373" s="1498"/>
      <c r="T373" s="1498"/>
      <c r="U373" s="1498"/>
      <c r="V373" s="1498"/>
      <c r="W373" s="1498"/>
      <c r="X373" s="1498"/>
      <c r="Y373" s="1498"/>
      <c r="Z373" s="1498"/>
      <c r="AA373" s="1498"/>
      <c r="AB373" s="1498"/>
      <c r="AC373" s="1498"/>
      <c r="AD373" s="1498"/>
      <c r="AE373" s="1498"/>
      <c r="AF373" s="1498"/>
      <c r="AG373" s="1498"/>
      <c r="AH373" s="1498"/>
      <c r="AI373" s="1498"/>
      <c r="AJ373" s="1498"/>
      <c r="AK373" s="1498"/>
      <c r="AL373" s="1498"/>
      <c r="AM373" s="1498"/>
      <c r="AN373" s="1498"/>
      <c r="AO373" s="1498"/>
      <c r="AP373" s="1498"/>
      <c r="AQ373" s="492"/>
      <c r="AR373" s="492"/>
      <c r="AS373" s="492"/>
      <c r="AT373" s="492"/>
      <c r="AU373" s="492"/>
      <c r="AV373" s="492"/>
      <c r="AW373" s="492"/>
      <c r="AX373" s="492"/>
      <c r="AY373" s="492"/>
      <c r="AZ373" s="492"/>
      <c r="BA373" s="492"/>
      <c r="BB373" s="492"/>
      <c r="BC373" s="492"/>
      <c r="BD373" s="492"/>
      <c r="BE373" s="492"/>
      <c r="BF373" s="492"/>
      <c r="BG373" s="492"/>
      <c r="BH373" s="492"/>
      <c r="BI373" s="492"/>
      <c r="BJ373" s="492"/>
      <c r="BK373" s="492"/>
      <c r="BL373" s="492"/>
      <c r="BM373" s="492"/>
      <c r="BN373" s="492"/>
      <c r="BO373" s="492"/>
      <c r="BP373" s="492"/>
      <c r="BQ373" s="499"/>
      <c r="BR373" s="499"/>
      <c r="BS373" s="499"/>
      <c r="BT373" s="499"/>
    </row>
    <row r="374" spans="1:72" ht="9.9499999999999993" hidden="1" customHeight="1">
      <c r="A374" s="490"/>
      <c r="B374" s="492"/>
      <c r="C374" s="492"/>
      <c r="D374" s="492"/>
      <c r="E374" s="492" t="s">
        <v>66</v>
      </c>
      <c r="F374" s="492"/>
      <c r="G374" s="492"/>
      <c r="H374" s="492"/>
      <c r="I374" s="492"/>
      <c r="J374" s="492"/>
      <c r="K374" s="492"/>
      <c r="L374" s="502"/>
      <c r="M374" s="492"/>
      <c r="N374" s="492"/>
      <c r="O374" s="492"/>
      <c r="P374" s="1505" t="e">
        <f>'기계경비(OLD)'!$AT$97</f>
        <v>#REF!</v>
      </c>
      <c r="Q374" s="1506"/>
      <c r="R374" s="1506"/>
      <c r="S374" s="1506"/>
      <c r="T374" s="1506"/>
      <c r="U374" s="1506"/>
      <c r="V374" s="507" t="s">
        <v>99</v>
      </c>
      <c r="W374" s="497"/>
      <c r="X374" s="1495">
        <v>62.5</v>
      </c>
      <c r="Y374" s="1494"/>
      <c r="Z374" s="1494"/>
      <c r="AA374" s="1494"/>
      <c r="AB374" s="1494"/>
      <c r="AC374" s="492" t="s">
        <v>144</v>
      </c>
      <c r="AD374" s="492"/>
      <c r="AE374" s="492"/>
      <c r="AF374" s="492"/>
      <c r="AG374" s="492"/>
      <c r="AH374" s="492"/>
      <c r="AI374" s="492"/>
      <c r="AJ374" s="498" t="e">
        <f>INT(P374/X374)</f>
        <v>#REF!</v>
      </c>
      <c r="AK374" s="498"/>
      <c r="AL374" s="498"/>
      <c r="AM374" s="498"/>
      <c r="AN374" s="498"/>
      <c r="AO374" s="1496" t="s">
        <v>672</v>
      </c>
      <c r="AP374" s="1496"/>
      <c r="AQ374" s="1496"/>
      <c r="AR374" s="1496"/>
      <c r="AS374" s="1496"/>
      <c r="AT374" s="1496"/>
      <c r="AU374" s="1496"/>
      <c r="AV374" s="1496"/>
      <c r="AW374" s="1496"/>
      <c r="AX374" s="1496"/>
      <c r="AY374" s="1496"/>
      <c r="AZ374" s="492"/>
      <c r="BA374" s="492"/>
      <c r="BB374" s="492"/>
      <c r="BC374" s="492"/>
      <c r="BD374" s="492"/>
      <c r="BE374" s="492"/>
      <c r="BF374" s="492"/>
      <c r="BG374" s="492"/>
      <c r="BH374" s="492"/>
      <c r="BI374" s="492"/>
      <c r="BJ374" s="492"/>
      <c r="BK374" s="492"/>
      <c r="BL374" s="492"/>
      <c r="BM374" s="492"/>
      <c r="BN374" s="492"/>
      <c r="BO374" s="492"/>
      <c r="BP374" s="492"/>
      <c r="BQ374" s="499" t="e">
        <f>SUM(BR374:BT374)</f>
        <v>#REF!</v>
      </c>
      <c r="BR374" s="493" t="s">
        <v>371</v>
      </c>
      <c r="BS374" s="493" t="e">
        <f>AJ374</f>
        <v>#REF!</v>
      </c>
      <c r="BT374" s="493"/>
    </row>
    <row r="375" spans="1:72" ht="9.9499999999999993" hidden="1" customHeight="1">
      <c r="A375" s="490"/>
      <c r="B375" s="492"/>
      <c r="C375" s="492"/>
      <c r="D375" s="492"/>
      <c r="E375" s="492" t="s">
        <v>67</v>
      </c>
      <c r="F375" s="492"/>
      <c r="G375" s="492"/>
      <c r="H375" s="492"/>
      <c r="I375" s="492"/>
      <c r="J375" s="492"/>
      <c r="K375" s="492"/>
      <c r="L375" s="502"/>
      <c r="M375" s="492"/>
      <c r="N375" s="492"/>
      <c r="O375" s="492"/>
      <c r="P375" s="1505">
        <f>'기계경비(OLD)'!$BU$92</f>
        <v>36248</v>
      </c>
      <c r="Q375" s="1506"/>
      <c r="R375" s="1506"/>
      <c r="S375" s="1506"/>
      <c r="T375" s="1506"/>
      <c r="U375" s="1506"/>
      <c r="V375" s="507" t="s">
        <v>99</v>
      </c>
      <c r="W375" s="497"/>
      <c r="X375" s="1495">
        <v>62.5</v>
      </c>
      <c r="Y375" s="1494"/>
      <c r="Z375" s="1494"/>
      <c r="AA375" s="1494"/>
      <c r="AB375" s="1494"/>
      <c r="AC375" s="492" t="s">
        <v>144</v>
      </c>
      <c r="AD375" s="492"/>
      <c r="AE375" s="492"/>
      <c r="AF375" s="492"/>
      <c r="AG375" s="492"/>
      <c r="AH375" s="492"/>
      <c r="AI375" s="492"/>
      <c r="AJ375" s="498">
        <f>INT(P375/X375)</f>
        <v>579</v>
      </c>
      <c r="AK375" s="498"/>
      <c r="AL375" s="498"/>
      <c r="AM375" s="498"/>
      <c r="AN375" s="498"/>
      <c r="AO375" s="1496" t="s">
        <v>672</v>
      </c>
      <c r="AP375" s="1496"/>
      <c r="AQ375" s="1496"/>
      <c r="AR375" s="1496"/>
      <c r="AS375" s="1496"/>
      <c r="AT375" s="1496"/>
      <c r="AU375" s="1496"/>
      <c r="AV375" s="1496"/>
      <c r="AW375" s="1496"/>
      <c r="AX375" s="1496"/>
      <c r="AY375" s="1496"/>
      <c r="AZ375" s="492"/>
      <c r="BA375" s="492"/>
      <c r="BB375" s="492"/>
      <c r="BC375" s="492"/>
      <c r="BD375" s="492"/>
      <c r="BE375" s="492"/>
      <c r="BF375" s="492"/>
      <c r="BG375" s="492"/>
      <c r="BH375" s="492"/>
      <c r="BI375" s="492"/>
      <c r="BJ375" s="492"/>
      <c r="BK375" s="492"/>
      <c r="BL375" s="492"/>
      <c r="BM375" s="492"/>
      <c r="BN375" s="492"/>
      <c r="BO375" s="492"/>
      <c r="BP375" s="492"/>
      <c r="BQ375" s="499">
        <f>SUM(BR375:BT375)</f>
        <v>579</v>
      </c>
      <c r="BR375" s="493">
        <f>AJ375</f>
        <v>579</v>
      </c>
      <c r="BS375" s="493"/>
      <c r="BT375" s="493"/>
    </row>
    <row r="376" spans="1:72" ht="9.9499999999999993" hidden="1" customHeight="1">
      <c r="A376" s="490"/>
      <c r="B376" s="492"/>
      <c r="C376" s="492"/>
      <c r="D376" s="492"/>
      <c r="E376" s="492" t="s">
        <v>68</v>
      </c>
      <c r="F376" s="492"/>
      <c r="G376" s="492"/>
      <c r="H376" s="492"/>
      <c r="I376" s="492"/>
      <c r="J376" s="492"/>
      <c r="K376" s="492"/>
      <c r="L376" s="502"/>
      <c r="M376" s="492"/>
      <c r="N376" s="492"/>
      <c r="O376" s="492"/>
      <c r="P376" s="1505">
        <f>'기계경비(OLD)'!$BN$101</f>
        <v>1981</v>
      </c>
      <c r="Q376" s="1506"/>
      <c r="R376" s="1506"/>
      <c r="S376" s="1506"/>
      <c r="T376" s="1506"/>
      <c r="U376" s="1506"/>
      <c r="V376" s="507" t="s">
        <v>99</v>
      </c>
      <c r="W376" s="497"/>
      <c r="X376" s="1495">
        <v>62.5</v>
      </c>
      <c r="Y376" s="1494"/>
      <c r="Z376" s="1494"/>
      <c r="AA376" s="1494"/>
      <c r="AB376" s="1494"/>
      <c r="AC376" s="492" t="s">
        <v>144</v>
      </c>
      <c r="AD376" s="492"/>
      <c r="AE376" s="492"/>
      <c r="AF376" s="492"/>
      <c r="AG376" s="492"/>
      <c r="AH376" s="492"/>
      <c r="AI376" s="492"/>
      <c r="AJ376" s="498">
        <f>INT(P376/X376)</f>
        <v>31</v>
      </c>
      <c r="AK376" s="498"/>
      <c r="AL376" s="498"/>
      <c r="AM376" s="498"/>
      <c r="AN376" s="498"/>
      <c r="AO376" s="1496" t="s">
        <v>672</v>
      </c>
      <c r="AP376" s="1496"/>
      <c r="AQ376" s="1496"/>
      <c r="AR376" s="1496"/>
      <c r="AS376" s="1496"/>
      <c r="AT376" s="1496"/>
      <c r="AU376" s="1496"/>
      <c r="AV376" s="1496"/>
      <c r="AW376" s="1496"/>
      <c r="AX376" s="1496"/>
      <c r="AY376" s="1496"/>
      <c r="AZ376" s="492"/>
      <c r="BA376" s="492"/>
      <c r="BB376" s="492"/>
      <c r="BC376" s="492"/>
      <c r="BD376" s="492"/>
      <c r="BE376" s="492"/>
      <c r="BF376" s="492"/>
      <c r="BG376" s="492"/>
      <c r="BH376" s="492"/>
      <c r="BI376" s="492"/>
      <c r="BJ376" s="492"/>
      <c r="BK376" s="492"/>
      <c r="BL376" s="492"/>
      <c r="BM376" s="492"/>
      <c r="BN376" s="492"/>
      <c r="BO376" s="492"/>
      <c r="BP376" s="492"/>
      <c r="BQ376" s="499">
        <f>SUM(BR376:BT376)</f>
        <v>31</v>
      </c>
      <c r="BR376" s="493"/>
      <c r="BS376" s="493"/>
      <c r="BT376" s="493">
        <f>AJ376</f>
        <v>31</v>
      </c>
    </row>
    <row r="377" spans="1:72" ht="9.9499999999999993" hidden="1" customHeight="1">
      <c r="A377" s="490"/>
      <c r="B377" s="492"/>
      <c r="C377" s="492" t="s">
        <v>63</v>
      </c>
      <c r="D377" s="492"/>
      <c r="E377" s="492"/>
      <c r="F377" s="492"/>
      <c r="G377" s="492"/>
      <c r="H377" s="492"/>
      <c r="I377" s="492"/>
      <c r="J377" s="492"/>
      <c r="K377" s="492"/>
      <c r="L377" s="502"/>
      <c r="M377" s="492"/>
      <c r="N377" s="492"/>
      <c r="O377" s="492"/>
      <c r="P377" s="492"/>
      <c r="Q377" s="492"/>
      <c r="R377" s="492"/>
      <c r="S377" s="492"/>
      <c r="T377" s="496"/>
      <c r="U377" s="492"/>
      <c r="V377" s="492"/>
      <c r="W377" s="492"/>
      <c r="X377" s="492"/>
      <c r="Y377" s="492"/>
      <c r="Z377" s="492"/>
      <c r="AA377" s="492"/>
      <c r="AB377" s="492"/>
      <c r="AC377" s="492"/>
      <c r="AD377" s="492"/>
      <c r="AE377" s="492"/>
      <c r="AF377" s="492"/>
      <c r="AG377" s="492"/>
      <c r="AH377" s="492"/>
      <c r="AI377" s="496"/>
      <c r="AJ377" s="492"/>
      <c r="AK377" s="492"/>
      <c r="AL377" s="492"/>
      <c r="AM377" s="492"/>
      <c r="AN377" s="492"/>
      <c r="AO377" s="492"/>
      <c r="AP377" s="492"/>
      <c r="AQ377" s="492"/>
      <c r="AR377" s="492"/>
      <c r="AS377" s="492"/>
      <c r="AT377" s="492"/>
      <c r="AU377" s="492"/>
      <c r="AV377" s="492"/>
      <c r="AW377" s="492"/>
      <c r="AX377" s="492"/>
      <c r="AY377" s="492"/>
      <c r="AZ377" s="492"/>
      <c r="BA377" s="492"/>
      <c r="BB377" s="492"/>
      <c r="BC377" s="492"/>
      <c r="BD377" s="492"/>
      <c r="BE377" s="492"/>
      <c r="BF377" s="492"/>
      <c r="BG377" s="492"/>
      <c r="BH377" s="492"/>
      <c r="BI377" s="492"/>
      <c r="BJ377" s="492"/>
      <c r="BK377" s="492"/>
      <c r="BL377" s="492"/>
      <c r="BM377" s="492"/>
      <c r="BN377" s="492"/>
      <c r="BO377" s="492"/>
      <c r="BP377" s="492"/>
      <c r="BQ377" s="503" t="e">
        <f>SUM(BR377:BT377)</f>
        <v>#REF!</v>
      </c>
      <c r="BR377" s="503">
        <f>SUM(BR371:BR376)</f>
        <v>579</v>
      </c>
      <c r="BS377" s="503" t="e">
        <f>SUM(BS371:BS376)</f>
        <v>#REF!</v>
      </c>
      <c r="BT377" s="503">
        <f>SUM(BT371:BT376)</f>
        <v>31</v>
      </c>
    </row>
    <row r="378" spans="1:72" ht="9.9499999999999993" hidden="1" customHeight="1">
      <c r="A378" s="490"/>
      <c r="B378" s="492" t="s">
        <v>534</v>
      </c>
      <c r="C378" s="492"/>
      <c r="D378" s="492"/>
      <c r="E378" s="492"/>
      <c r="F378" s="492"/>
      <c r="G378" s="492"/>
      <c r="H378" s="492"/>
      <c r="I378" s="492"/>
      <c r="J378" s="492"/>
      <c r="K378" s="492"/>
      <c r="L378" s="502"/>
      <c r="M378" s="492"/>
      <c r="N378" s="492"/>
      <c r="O378" s="492"/>
      <c r="P378" s="492"/>
      <c r="Q378" s="492"/>
      <c r="R378" s="492"/>
      <c r="S378" s="492"/>
      <c r="T378" s="496"/>
      <c r="U378" s="492"/>
      <c r="V378" s="492"/>
      <c r="W378" s="492"/>
      <c r="X378" s="492"/>
      <c r="Y378" s="492"/>
      <c r="Z378" s="492"/>
      <c r="AA378" s="492"/>
      <c r="AB378" s="492"/>
      <c r="AC378" s="492"/>
      <c r="AD378" s="492"/>
      <c r="AE378" s="492"/>
      <c r="AF378" s="492"/>
      <c r="AG378" s="492"/>
      <c r="AH378" s="492"/>
      <c r="AI378" s="492"/>
      <c r="AJ378" s="492"/>
      <c r="AK378" s="492"/>
      <c r="AL378" s="492"/>
      <c r="AM378" s="492"/>
      <c r="AN378" s="492"/>
      <c r="AO378" s="492"/>
      <c r="AP378" s="492"/>
      <c r="AQ378" s="492"/>
      <c r="AR378" s="492"/>
      <c r="AS378" s="492"/>
      <c r="AT378" s="492"/>
      <c r="AU378" s="492"/>
      <c r="AV378" s="492"/>
      <c r="AW378" s="492"/>
      <c r="AX378" s="492"/>
      <c r="AY378" s="492"/>
      <c r="AZ378" s="492"/>
      <c r="BA378" s="492"/>
      <c r="BB378" s="492"/>
      <c r="BC378" s="492"/>
      <c r="BD378" s="492"/>
      <c r="BE378" s="492"/>
      <c r="BF378" s="492"/>
      <c r="BG378" s="492"/>
      <c r="BH378" s="492"/>
      <c r="BI378" s="492"/>
      <c r="BJ378" s="492"/>
      <c r="BK378" s="492"/>
      <c r="BL378" s="492"/>
      <c r="BM378" s="492"/>
      <c r="BN378" s="492"/>
      <c r="BO378" s="492"/>
      <c r="BP378" s="492"/>
      <c r="BQ378" s="499"/>
      <c r="BR378" s="499"/>
      <c r="BS378" s="499"/>
      <c r="BT378" s="499"/>
    </row>
    <row r="379" spans="1:72" ht="9.9499999999999993" hidden="1" customHeight="1">
      <c r="A379" s="490"/>
      <c r="B379" s="492"/>
      <c r="C379" s="492"/>
      <c r="D379" s="492" t="s">
        <v>143</v>
      </c>
      <c r="E379" s="492"/>
      <c r="F379" s="492"/>
      <c r="G379" s="492"/>
      <c r="H379" s="498">
        <v>500</v>
      </c>
      <c r="I379" s="498"/>
      <c r="J379" s="498"/>
      <c r="K379" s="498"/>
      <c r="L379" s="502" t="s">
        <v>528</v>
      </c>
      <c r="M379" s="492"/>
      <c r="N379" s="492"/>
      <c r="O379" s="492"/>
      <c r="P379" s="492"/>
      <c r="Q379" s="492"/>
      <c r="R379" s="492"/>
      <c r="S379" s="498">
        <v>8</v>
      </c>
      <c r="T379" s="498"/>
      <c r="U379" s="498"/>
      <c r="V379" s="498"/>
      <c r="W379" s="492" t="s">
        <v>529</v>
      </c>
      <c r="X379" s="492"/>
      <c r="Y379" s="492"/>
      <c r="Z379" s="492"/>
      <c r="AA379" s="492"/>
      <c r="AB379" s="492"/>
      <c r="AC379" s="492"/>
      <c r="AD379" s="492"/>
      <c r="AE379" s="492"/>
      <c r="AF379" s="498">
        <f>H379/S379</f>
        <v>62.5</v>
      </c>
      <c r="AG379" s="498"/>
      <c r="AH379" s="498"/>
      <c r="AI379" s="498"/>
      <c r="AJ379" s="492" t="s">
        <v>530</v>
      </c>
      <c r="AK379" s="492"/>
      <c r="AL379" s="492"/>
      <c r="AM379" s="492"/>
      <c r="AN379" s="492"/>
      <c r="AO379" s="492"/>
      <c r="AP379" s="492"/>
      <c r="AQ379" s="492"/>
      <c r="AR379" s="492"/>
      <c r="AS379" s="492"/>
      <c r="AT379" s="492"/>
      <c r="AU379" s="492"/>
      <c r="AV379" s="492"/>
      <c r="AW379" s="492"/>
      <c r="AX379" s="492"/>
      <c r="AY379" s="492"/>
      <c r="AZ379" s="492"/>
      <c r="BA379" s="492"/>
      <c r="BB379" s="492"/>
      <c r="BC379" s="492"/>
      <c r="BD379" s="492"/>
      <c r="BE379" s="492"/>
      <c r="BF379" s="492"/>
      <c r="BG379" s="492"/>
      <c r="BH379" s="492"/>
      <c r="BI379" s="492"/>
      <c r="BJ379" s="492"/>
      <c r="BK379" s="492"/>
      <c r="BL379" s="492"/>
      <c r="BM379" s="492"/>
      <c r="BN379" s="492"/>
      <c r="BO379" s="492"/>
      <c r="BP379" s="492"/>
      <c r="BQ379" s="499"/>
      <c r="BR379" s="499"/>
      <c r="BS379" s="499"/>
      <c r="BT379" s="499"/>
    </row>
    <row r="380" spans="1:72" ht="9.9499999999999993" hidden="1" customHeight="1">
      <c r="A380" s="490"/>
      <c r="B380" s="492"/>
      <c r="C380" s="492"/>
      <c r="D380" s="492"/>
      <c r="E380" s="492" t="s">
        <v>66</v>
      </c>
      <c r="F380" s="492"/>
      <c r="G380" s="492"/>
      <c r="H380" s="492"/>
      <c r="I380" s="492"/>
      <c r="J380" s="492"/>
      <c r="K380" s="492"/>
      <c r="L380" s="502"/>
      <c r="M380" s="492"/>
      <c r="N380" s="492"/>
      <c r="O380" s="492"/>
      <c r="P380" s="1505" t="e">
        <f>'기계경비(OLD)'!$AT$180</f>
        <v>#REF!</v>
      </c>
      <c r="Q380" s="1506"/>
      <c r="R380" s="1506"/>
      <c r="S380" s="1506"/>
      <c r="T380" s="1506"/>
      <c r="U380" s="1506"/>
      <c r="V380" s="507" t="s">
        <v>99</v>
      </c>
      <c r="W380" s="497"/>
      <c r="X380" s="498">
        <f>AF379</f>
        <v>62.5</v>
      </c>
      <c r="Y380" s="498"/>
      <c r="Z380" s="498"/>
      <c r="AA380" s="498"/>
      <c r="AB380" s="498"/>
      <c r="AC380" s="492" t="s">
        <v>144</v>
      </c>
      <c r="AD380" s="492"/>
      <c r="AE380" s="492"/>
      <c r="AF380" s="492"/>
      <c r="AG380" s="492"/>
      <c r="AH380" s="492"/>
      <c r="AI380" s="492"/>
      <c r="AJ380" s="498" t="e">
        <f>INT((P380/X380)*0.5)</f>
        <v>#REF!</v>
      </c>
      <c r="AK380" s="498"/>
      <c r="AL380" s="498"/>
      <c r="AM380" s="498"/>
      <c r="AN380" s="498"/>
      <c r="AO380" s="1496" t="s">
        <v>673</v>
      </c>
      <c r="AP380" s="1496"/>
      <c r="AQ380" s="1496"/>
      <c r="AR380" s="1496"/>
      <c r="AS380" s="1496"/>
      <c r="AT380" s="1496"/>
      <c r="AU380" s="1496"/>
      <c r="AV380" s="1496"/>
      <c r="AW380" s="1496"/>
      <c r="AX380" s="1496"/>
      <c r="AY380" s="1496"/>
      <c r="AZ380" s="1498"/>
      <c r="BA380" s="1498"/>
      <c r="BB380" s="1498"/>
      <c r="BC380" s="1498"/>
      <c r="BD380" s="1498"/>
      <c r="BE380" s="1498"/>
      <c r="BF380" s="1498"/>
      <c r="BG380" s="492"/>
      <c r="BH380" s="492"/>
      <c r="BI380" s="492"/>
      <c r="BJ380" s="492"/>
      <c r="BK380" s="492"/>
      <c r="BL380" s="492"/>
      <c r="BM380" s="492"/>
      <c r="BN380" s="492"/>
      <c r="BO380" s="492"/>
      <c r="BP380" s="492"/>
      <c r="BQ380" s="499" t="e">
        <f>SUM(BR380:BT380)</f>
        <v>#REF!</v>
      </c>
      <c r="BR380" s="493"/>
      <c r="BS380" s="493" t="e">
        <f>INT(AJ380)</f>
        <v>#REF!</v>
      </c>
      <c r="BT380" s="493"/>
    </row>
    <row r="381" spans="1:72" ht="9.9499999999999993" hidden="1" customHeight="1">
      <c r="A381" s="490"/>
      <c r="B381" s="492"/>
      <c r="C381" s="492"/>
      <c r="D381" s="492"/>
      <c r="E381" s="492" t="s">
        <v>67</v>
      </c>
      <c r="F381" s="492"/>
      <c r="G381" s="492"/>
      <c r="H381" s="492"/>
      <c r="I381" s="492"/>
      <c r="J381" s="492"/>
      <c r="K381" s="492"/>
      <c r="L381" s="502"/>
      <c r="M381" s="492"/>
      <c r="N381" s="492"/>
      <c r="O381" s="492"/>
      <c r="P381" s="1505"/>
      <c r="Q381" s="1506"/>
      <c r="R381" s="1506"/>
      <c r="S381" s="1506"/>
      <c r="T381" s="1506"/>
      <c r="U381" s="1506"/>
      <c r="V381" s="507" t="s">
        <v>99</v>
      </c>
      <c r="W381" s="497"/>
      <c r="X381" s="498">
        <f>AF379</f>
        <v>62.5</v>
      </c>
      <c r="Y381" s="498"/>
      <c r="Z381" s="498"/>
      <c r="AA381" s="498"/>
      <c r="AB381" s="498"/>
      <c r="AC381" s="492" t="s">
        <v>144</v>
      </c>
      <c r="AD381" s="492"/>
      <c r="AE381" s="492"/>
      <c r="AF381" s="492"/>
      <c r="AG381" s="492"/>
      <c r="AH381" s="492"/>
      <c r="AI381" s="492"/>
      <c r="AJ381" s="498">
        <f>INT(P381/X381)*0.5</f>
        <v>0</v>
      </c>
      <c r="AK381" s="498"/>
      <c r="AL381" s="498"/>
      <c r="AM381" s="498"/>
      <c r="AN381" s="498"/>
      <c r="AO381" s="1496" t="s">
        <v>673</v>
      </c>
      <c r="AP381" s="1496"/>
      <c r="AQ381" s="1496"/>
      <c r="AR381" s="1496"/>
      <c r="AS381" s="1496"/>
      <c r="AT381" s="1496"/>
      <c r="AU381" s="1496"/>
      <c r="AV381" s="1496"/>
      <c r="AW381" s="1496"/>
      <c r="AX381" s="1496"/>
      <c r="AY381" s="1496"/>
      <c r="AZ381" s="1498"/>
      <c r="BA381" s="1498"/>
      <c r="BB381" s="1498"/>
      <c r="BC381" s="1498"/>
      <c r="BD381" s="1498"/>
      <c r="BE381" s="1498"/>
      <c r="BF381" s="1498"/>
      <c r="BG381" s="492"/>
      <c r="BH381" s="492"/>
      <c r="BI381" s="492"/>
      <c r="BJ381" s="492"/>
      <c r="BK381" s="492"/>
      <c r="BL381" s="492"/>
      <c r="BM381" s="492"/>
      <c r="BN381" s="492"/>
      <c r="BO381" s="492"/>
      <c r="BP381" s="492"/>
      <c r="BQ381" s="499">
        <f>SUM(BR381:BT381)</f>
        <v>0</v>
      </c>
      <c r="BR381" s="493">
        <f>AJ381</f>
        <v>0</v>
      </c>
      <c r="BS381" s="493"/>
      <c r="BT381" s="493"/>
    </row>
    <row r="382" spans="1:72" ht="9.9499999999999993" hidden="1" customHeight="1">
      <c r="A382" s="490"/>
      <c r="B382" s="492"/>
      <c r="C382" s="492"/>
      <c r="D382" s="492"/>
      <c r="E382" s="492" t="s">
        <v>68</v>
      </c>
      <c r="F382" s="492"/>
      <c r="G382" s="492"/>
      <c r="H382" s="492"/>
      <c r="I382" s="492"/>
      <c r="J382" s="492"/>
      <c r="K382" s="492"/>
      <c r="L382" s="502"/>
      <c r="M382" s="492"/>
      <c r="N382" s="492"/>
      <c r="O382" s="492"/>
      <c r="P382" s="1505">
        <f>'기계경비(OLD)'!$BN$184</f>
        <v>252</v>
      </c>
      <c r="Q382" s="1506"/>
      <c r="R382" s="1506"/>
      <c r="S382" s="1506"/>
      <c r="T382" s="1506"/>
      <c r="U382" s="1506"/>
      <c r="V382" s="507" t="s">
        <v>99</v>
      </c>
      <c r="W382" s="497"/>
      <c r="X382" s="498">
        <f>AF379</f>
        <v>62.5</v>
      </c>
      <c r="Y382" s="498"/>
      <c r="Z382" s="498"/>
      <c r="AA382" s="498"/>
      <c r="AB382" s="498"/>
      <c r="AC382" s="492" t="s">
        <v>144</v>
      </c>
      <c r="AD382" s="492"/>
      <c r="AE382" s="492"/>
      <c r="AF382" s="492"/>
      <c r="AG382" s="492"/>
      <c r="AH382" s="492"/>
      <c r="AI382" s="492"/>
      <c r="AJ382" s="508">
        <f>INT((P382/X382)*0.5)</f>
        <v>2</v>
      </c>
      <c r="AK382" s="498"/>
      <c r="AL382" s="498"/>
      <c r="AM382" s="498"/>
      <c r="AN382" s="498"/>
      <c r="AO382" s="1496" t="s">
        <v>673</v>
      </c>
      <c r="AP382" s="1496"/>
      <c r="AQ382" s="1496"/>
      <c r="AR382" s="1496"/>
      <c r="AS382" s="1496"/>
      <c r="AT382" s="1496"/>
      <c r="AU382" s="1496"/>
      <c r="AV382" s="1496"/>
      <c r="AW382" s="1496"/>
      <c r="AX382" s="1496"/>
      <c r="AY382" s="1496"/>
      <c r="AZ382" s="1498"/>
      <c r="BA382" s="1498"/>
      <c r="BB382" s="1498"/>
      <c r="BC382" s="1498"/>
      <c r="BD382" s="1498"/>
      <c r="BE382" s="1498"/>
      <c r="BF382" s="1498"/>
      <c r="BG382" s="492"/>
      <c r="BH382" s="492"/>
      <c r="BI382" s="492"/>
      <c r="BJ382" s="492"/>
      <c r="BK382" s="492"/>
      <c r="BL382" s="492"/>
      <c r="BM382" s="492"/>
      <c r="BN382" s="492"/>
      <c r="BO382" s="492"/>
      <c r="BP382" s="492"/>
      <c r="BQ382" s="499">
        <f>SUM(BR382:BT382)</f>
        <v>2</v>
      </c>
      <c r="BR382" s="493"/>
      <c r="BS382" s="493"/>
      <c r="BT382" s="509">
        <f>AJ382</f>
        <v>2</v>
      </c>
    </row>
    <row r="383" spans="1:72" ht="9.9499999999999993" hidden="1" customHeight="1">
      <c r="A383" s="490"/>
      <c r="B383" s="492"/>
      <c r="C383" s="492" t="s">
        <v>63</v>
      </c>
      <c r="D383" s="492"/>
      <c r="E383" s="492"/>
      <c r="F383" s="492"/>
      <c r="G383" s="492"/>
      <c r="H383" s="492"/>
      <c r="I383" s="492"/>
      <c r="J383" s="492"/>
      <c r="K383" s="492"/>
      <c r="L383" s="502"/>
      <c r="M383" s="492"/>
      <c r="N383" s="492"/>
      <c r="O383" s="492"/>
      <c r="P383" s="492"/>
      <c r="Q383" s="492"/>
      <c r="R383" s="492"/>
      <c r="S383" s="492"/>
      <c r="T383" s="496"/>
      <c r="U383" s="492"/>
      <c r="V383" s="492"/>
      <c r="W383" s="492"/>
      <c r="X383" s="492"/>
      <c r="Y383" s="492"/>
      <c r="Z383" s="492"/>
      <c r="AA383" s="492"/>
      <c r="AB383" s="492"/>
      <c r="AC383" s="492"/>
      <c r="AD383" s="492"/>
      <c r="AE383" s="492"/>
      <c r="AF383" s="492"/>
      <c r="AG383" s="492"/>
      <c r="AH383" s="492"/>
      <c r="AI383" s="496"/>
      <c r="AJ383" s="492"/>
      <c r="AK383" s="492"/>
      <c r="AL383" s="492"/>
      <c r="AM383" s="492"/>
      <c r="AN383" s="492"/>
      <c r="AO383" s="492"/>
      <c r="AP383" s="492"/>
      <c r="AQ383" s="492"/>
      <c r="AR383" s="492"/>
      <c r="AS383" s="492"/>
      <c r="AT383" s="492"/>
      <c r="AU383" s="492"/>
      <c r="AV383" s="492"/>
      <c r="AW383" s="492"/>
      <c r="AX383" s="492"/>
      <c r="AY383" s="492"/>
      <c r="AZ383" s="492"/>
      <c r="BA383" s="492"/>
      <c r="BB383" s="492"/>
      <c r="BC383" s="492"/>
      <c r="BD383" s="492"/>
      <c r="BE383" s="492"/>
      <c r="BF383" s="492"/>
      <c r="BG383" s="492"/>
      <c r="BH383" s="492"/>
      <c r="BI383" s="492"/>
      <c r="BJ383" s="492"/>
      <c r="BK383" s="492"/>
      <c r="BL383" s="492"/>
      <c r="BM383" s="492"/>
      <c r="BN383" s="492"/>
      <c r="BO383" s="492"/>
      <c r="BP383" s="492"/>
      <c r="BQ383" s="503" t="e">
        <f>SUM(BR383:BT383)</f>
        <v>#REF!</v>
      </c>
      <c r="BR383" s="503">
        <f>SUM(BR378:BR382)</f>
        <v>0</v>
      </c>
      <c r="BS383" s="503" t="e">
        <f>SUM(BS378:BS382)</f>
        <v>#REF!</v>
      </c>
      <c r="BT383" s="503">
        <f>SUM(BT378:BT382)</f>
        <v>2</v>
      </c>
    </row>
    <row r="384" spans="1:72" ht="9.9499999999999993" hidden="1" customHeight="1">
      <c r="A384" s="510"/>
      <c r="B384" s="511"/>
      <c r="C384" s="511" t="s">
        <v>69</v>
      </c>
      <c r="D384" s="511"/>
      <c r="E384" s="511"/>
      <c r="F384" s="511"/>
      <c r="G384" s="511"/>
      <c r="H384" s="511"/>
      <c r="I384" s="511"/>
      <c r="J384" s="511"/>
      <c r="K384" s="511"/>
      <c r="L384" s="512"/>
      <c r="M384" s="511"/>
      <c r="N384" s="511"/>
      <c r="O384" s="511"/>
      <c r="P384" s="511"/>
      <c r="Q384" s="511"/>
      <c r="R384" s="511"/>
      <c r="S384" s="511"/>
      <c r="T384" s="513"/>
      <c r="U384" s="511"/>
      <c r="V384" s="511"/>
      <c r="W384" s="511"/>
      <c r="X384" s="511"/>
      <c r="Y384" s="511"/>
      <c r="Z384" s="511"/>
      <c r="AA384" s="511"/>
      <c r="AB384" s="511"/>
      <c r="AC384" s="511"/>
      <c r="AD384" s="511"/>
      <c r="AE384" s="511"/>
      <c r="AF384" s="511"/>
      <c r="AG384" s="511"/>
      <c r="AH384" s="511"/>
      <c r="AI384" s="513"/>
      <c r="AJ384" s="511"/>
      <c r="AK384" s="511"/>
      <c r="AL384" s="511"/>
      <c r="AM384" s="511"/>
      <c r="AN384" s="511"/>
      <c r="AO384" s="511"/>
      <c r="AP384" s="511"/>
      <c r="AQ384" s="511"/>
      <c r="AR384" s="511"/>
      <c r="AS384" s="511"/>
      <c r="AT384" s="511"/>
      <c r="AU384" s="511"/>
      <c r="AV384" s="511"/>
      <c r="AW384" s="511"/>
      <c r="AX384" s="511"/>
      <c r="AY384" s="511"/>
      <c r="AZ384" s="511"/>
      <c r="BA384" s="511"/>
      <c r="BB384" s="511"/>
      <c r="BC384" s="511"/>
      <c r="BD384" s="511"/>
      <c r="BE384" s="511"/>
      <c r="BF384" s="511"/>
      <c r="BG384" s="511"/>
      <c r="BH384" s="511"/>
      <c r="BI384" s="511"/>
      <c r="BJ384" s="511"/>
      <c r="BK384" s="511"/>
      <c r="BL384" s="511"/>
      <c r="BM384" s="511"/>
      <c r="BN384" s="511"/>
      <c r="BO384" s="511"/>
      <c r="BP384" s="511"/>
      <c r="BQ384" s="514" t="e">
        <f>BQ350+BQ370+BQ377</f>
        <v>#REF!</v>
      </c>
      <c r="BR384" s="514">
        <f>BR350+BR370+BR377+BR383</f>
        <v>1702</v>
      </c>
      <c r="BS384" s="514" t="e">
        <f>BS350+BS370+BS377+BS383</f>
        <v>#REF!</v>
      </c>
      <c r="BT384" s="514">
        <f>BT350+BT370+BT377+BT383</f>
        <v>78</v>
      </c>
    </row>
    <row r="385" spans="1:75" ht="30.75" hidden="1" customHeight="1">
      <c r="A385" s="1499" t="s">
        <v>803</v>
      </c>
      <c r="B385" s="1500"/>
      <c r="C385" s="1500"/>
      <c r="D385" s="1500"/>
      <c r="E385" s="1500"/>
      <c r="F385" s="1500"/>
      <c r="G385" s="1500"/>
      <c r="H385" s="1500"/>
      <c r="I385" s="1500"/>
      <c r="J385" s="1500"/>
      <c r="K385" s="1500"/>
      <c r="L385" s="1500"/>
      <c r="M385" s="1500"/>
      <c r="N385" s="1500"/>
      <c r="O385" s="1500"/>
      <c r="P385" s="1500"/>
      <c r="Q385" s="1500"/>
      <c r="R385" s="1500"/>
      <c r="S385" s="1500"/>
      <c r="T385" s="1500"/>
      <c r="U385" s="1500"/>
      <c r="V385" s="1500"/>
      <c r="W385" s="1500"/>
      <c r="X385" s="1500"/>
      <c r="Y385" s="1500"/>
      <c r="Z385" s="1500"/>
      <c r="AA385" s="1500"/>
      <c r="AB385" s="1500"/>
      <c r="AC385" s="1500"/>
      <c r="AD385" s="1500"/>
      <c r="AE385" s="1500"/>
      <c r="AF385" s="1500"/>
      <c r="AG385" s="1500"/>
      <c r="AH385" s="1500"/>
      <c r="AI385" s="1500"/>
      <c r="AJ385" s="1500"/>
      <c r="AK385" s="1500"/>
      <c r="AL385" s="1500"/>
      <c r="AM385" s="1500"/>
      <c r="AN385" s="1500"/>
      <c r="AO385" s="1500"/>
      <c r="AP385" s="1500"/>
      <c r="AQ385" s="1500"/>
      <c r="AR385" s="1500"/>
      <c r="AS385" s="1500"/>
      <c r="AT385" s="1500"/>
      <c r="AU385" s="1500"/>
      <c r="AV385" s="1500"/>
      <c r="AW385" s="1500"/>
      <c r="AX385" s="1500"/>
      <c r="AY385" s="1500"/>
      <c r="AZ385" s="1500"/>
      <c r="BA385" s="1500"/>
      <c r="BB385" s="1500"/>
      <c r="BC385" s="1500"/>
      <c r="BD385" s="1500"/>
      <c r="BE385" s="1500"/>
      <c r="BF385" s="1500"/>
      <c r="BG385" s="1500"/>
      <c r="BH385" s="1500"/>
      <c r="BI385" s="1500"/>
      <c r="BJ385" s="1500"/>
      <c r="BK385" s="1500"/>
      <c r="BL385" s="1500"/>
      <c r="BM385" s="1500"/>
      <c r="BN385" s="1500"/>
      <c r="BO385" s="1500"/>
      <c r="BP385" s="1501"/>
      <c r="BQ385" s="452" t="s">
        <v>109</v>
      </c>
      <c r="BR385" s="452" t="s">
        <v>110</v>
      </c>
      <c r="BS385" s="452" t="s">
        <v>111</v>
      </c>
      <c r="BT385" s="452" t="s">
        <v>61</v>
      </c>
    </row>
    <row r="386" spans="1:75" ht="18" hidden="1" customHeight="1">
      <c r="A386" s="200"/>
      <c r="B386" s="51" t="s">
        <v>574</v>
      </c>
      <c r="K386" s="201"/>
      <c r="Q386" s="51" t="s">
        <v>569</v>
      </c>
      <c r="BQ386" s="202" t="e">
        <f>BQ411</f>
        <v>#REF!</v>
      </c>
      <c r="BR386" s="202">
        <f>BR411</f>
        <v>27076</v>
      </c>
      <c r="BS386" s="202" t="e">
        <f>BS411</f>
        <v>#REF!</v>
      </c>
      <c r="BT386" s="202" t="e">
        <f>BT411</f>
        <v>#REF!</v>
      </c>
      <c r="BV386" s="171" t="s">
        <v>113</v>
      </c>
      <c r="BW386" s="249">
        <f>VLOOKUP(BV386,인건비!A:B,2,FALSE)</f>
        <v>228717</v>
      </c>
    </row>
    <row r="387" spans="1:75" ht="9.9499999999999993" hidden="1" customHeight="1">
      <c r="A387" s="490"/>
      <c r="B387" s="491"/>
      <c r="C387" s="492"/>
      <c r="D387" s="492"/>
      <c r="E387" s="492"/>
      <c r="F387" s="492"/>
      <c r="G387" s="492"/>
      <c r="H387" s="492"/>
      <c r="I387" s="492"/>
      <c r="J387" s="492"/>
      <c r="K387" s="492"/>
      <c r="L387" s="492"/>
      <c r="M387" s="491"/>
      <c r="N387" s="492"/>
      <c r="O387" s="492"/>
      <c r="P387" s="492"/>
      <c r="Q387" s="492"/>
      <c r="R387" s="492"/>
      <c r="S387" s="492"/>
      <c r="T387" s="492"/>
      <c r="U387" s="492"/>
      <c r="V387" s="492"/>
      <c r="W387" s="492"/>
      <c r="X387" s="492"/>
      <c r="Y387" s="492"/>
      <c r="Z387" s="492"/>
      <c r="AA387" s="492"/>
      <c r="AB387" s="492"/>
      <c r="AC387" s="492"/>
      <c r="AD387" s="492"/>
      <c r="AE387" s="492"/>
      <c r="AF387" s="492"/>
      <c r="AG387" s="492"/>
      <c r="AH387" s="492"/>
      <c r="AI387" s="492"/>
      <c r="AJ387" s="492"/>
      <c r="AK387" s="492"/>
      <c r="AL387" s="492"/>
      <c r="AM387" s="492"/>
      <c r="AN387" s="492"/>
      <c r="AO387" s="492"/>
      <c r="AP387" s="492"/>
      <c r="AQ387" s="492"/>
      <c r="AR387" s="492"/>
      <c r="AS387" s="492"/>
      <c r="AT387" s="492"/>
      <c r="AU387" s="492"/>
      <c r="AV387" s="492"/>
      <c r="AW387" s="492"/>
      <c r="AX387" s="492"/>
      <c r="AY387" s="492"/>
      <c r="AZ387" s="492"/>
      <c r="BA387" s="492"/>
      <c r="BB387" s="492"/>
      <c r="BC387" s="492"/>
      <c r="BD387" s="492"/>
      <c r="BE387" s="492"/>
      <c r="BF387" s="492"/>
      <c r="BG387" s="492"/>
      <c r="BH387" s="492"/>
      <c r="BI387" s="492"/>
      <c r="BJ387" s="492"/>
      <c r="BK387" s="492"/>
      <c r="BL387" s="492"/>
      <c r="BM387" s="492"/>
      <c r="BN387" s="492"/>
      <c r="BO387" s="492"/>
      <c r="BP387" s="492"/>
      <c r="BQ387" s="493"/>
      <c r="BR387" s="494"/>
      <c r="BS387" s="493"/>
      <c r="BT387" s="493"/>
      <c r="BV387" s="171" t="s">
        <v>114</v>
      </c>
      <c r="BW387" s="249">
        <f>VLOOKUP(BV387,인건비!A:B,2,FALSE)</f>
        <v>172698</v>
      </c>
    </row>
    <row r="388" spans="1:75" ht="9.9499999999999993" hidden="1" customHeight="1">
      <c r="A388" s="490"/>
      <c r="B388" s="492" t="s">
        <v>674</v>
      </c>
      <c r="C388" s="492"/>
      <c r="D388" s="492"/>
      <c r="E388" s="492"/>
      <c r="F388" s="492"/>
      <c r="G388" s="492"/>
      <c r="H388" s="492"/>
      <c r="I388" s="492"/>
      <c r="J388" s="492"/>
      <c r="K388" s="492"/>
      <c r="L388" s="492"/>
      <c r="M388" s="492"/>
      <c r="N388" s="492"/>
      <c r="O388" s="492"/>
      <c r="P388" s="492"/>
      <c r="Q388" s="492"/>
      <c r="R388" s="492"/>
      <c r="S388" s="492"/>
      <c r="T388" s="492"/>
      <c r="U388" s="492"/>
      <c r="V388" s="492"/>
      <c r="W388" s="492"/>
      <c r="X388" s="492"/>
      <c r="Y388" s="492"/>
      <c r="Z388" s="492"/>
      <c r="AA388" s="492"/>
      <c r="AB388" s="492"/>
      <c r="AC388" s="492"/>
      <c r="AD388" s="492"/>
      <c r="AE388" s="492"/>
      <c r="AF388" s="492"/>
      <c r="AG388" s="492"/>
      <c r="AH388" s="492"/>
      <c r="AI388" s="492"/>
      <c r="AJ388" s="492"/>
      <c r="AK388" s="492"/>
      <c r="AL388" s="492"/>
      <c r="AM388" s="492"/>
      <c r="AN388" s="492"/>
      <c r="AO388" s="492"/>
      <c r="AP388" s="492"/>
      <c r="AQ388" s="492"/>
      <c r="AR388" s="492"/>
      <c r="AS388" s="492"/>
      <c r="AT388" s="492"/>
      <c r="AU388" s="492"/>
      <c r="AV388" s="492"/>
      <c r="AW388" s="492"/>
      <c r="AX388" s="492"/>
      <c r="AY388" s="492"/>
      <c r="AZ388" s="492"/>
      <c r="BA388" s="492"/>
      <c r="BB388" s="492"/>
      <c r="BC388" s="492"/>
      <c r="BD388" s="492"/>
      <c r="BE388" s="492"/>
      <c r="BF388" s="492"/>
      <c r="BG388" s="492"/>
      <c r="BH388" s="492"/>
      <c r="BI388" s="492"/>
      <c r="BJ388" s="492"/>
      <c r="BK388" s="492"/>
      <c r="BL388" s="492"/>
      <c r="BM388" s="492"/>
      <c r="BN388" s="492"/>
      <c r="BO388" s="492"/>
      <c r="BP388" s="492"/>
      <c r="BQ388" s="493"/>
      <c r="BR388" s="493"/>
      <c r="BS388" s="493"/>
      <c r="BT388" s="493"/>
      <c r="BV388" s="171" t="s">
        <v>78</v>
      </c>
      <c r="BW388" s="249">
        <f>VLOOKUP(BV388,인건비!A:B,2,FALSE)</f>
        <v>274873</v>
      </c>
    </row>
    <row r="389" spans="1:75" ht="9.9499999999999993" hidden="1" customHeight="1">
      <c r="A389" s="490"/>
      <c r="B389" s="492"/>
      <c r="C389" s="492" t="s">
        <v>146</v>
      </c>
      <c r="D389" s="492"/>
      <c r="E389" s="492"/>
      <c r="F389" s="492"/>
      <c r="G389" s="495"/>
      <c r="H389" s="495"/>
      <c r="I389" s="495"/>
      <c r="J389" s="495"/>
      <c r="K389" s="495"/>
      <c r="L389" s="492"/>
      <c r="M389" s="492"/>
      <c r="N389" s="492"/>
      <c r="O389" s="492"/>
      <c r="P389" s="492"/>
      <c r="Q389" s="492"/>
      <c r="R389" s="495"/>
      <c r="S389" s="495"/>
      <c r="T389" s="495"/>
      <c r="U389" s="495"/>
      <c r="V389" s="495"/>
      <c r="W389" s="492"/>
      <c r="X389" s="492"/>
      <c r="Y389" s="492"/>
      <c r="Z389" s="492"/>
      <c r="AA389" s="492"/>
      <c r="AB389" s="492"/>
      <c r="AC389" s="492"/>
      <c r="AD389" s="492"/>
      <c r="AE389" s="492"/>
      <c r="AF389" s="496"/>
      <c r="AG389" s="492"/>
      <c r="AH389" s="495"/>
      <c r="AI389" s="495"/>
      <c r="AJ389" s="495"/>
      <c r="AK389" s="495"/>
      <c r="AL389" s="495"/>
      <c r="AM389" s="496"/>
      <c r="AN389" s="492"/>
      <c r="AO389" s="495"/>
      <c r="AP389" s="495"/>
      <c r="AQ389" s="495"/>
      <c r="AR389" s="495"/>
      <c r="AS389" s="495"/>
      <c r="AT389" s="495"/>
      <c r="AU389" s="492"/>
      <c r="AV389" s="492"/>
      <c r="AW389" s="492"/>
      <c r="AX389" s="492"/>
      <c r="AY389" s="492"/>
      <c r="AZ389" s="492"/>
      <c r="BA389" s="492"/>
      <c r="BB389" s="492"/>
      <c r="BC389" s="492"/>
      <c r="BD389" s="492"/>
      <c r="BE389" s="492"/>
      <c r="BF389" s="492"/>
      <c r="BG389" s="492"/>
      <c r="BH389" s="492"/>
      <c r="BI389" s="492"/>
      <c r="BJ389" s="492"/>
      <c r="BK389" s="492"/>
      <c r="BL389" s="492"/>
      <c r="BM389" s="492"/>
      <c r="BN389" s="492"/>
      <c r="BO389" s="492"/>
      <c r="BP389" s="492"/>
      <c r="BQ389" s="493"/>
      <c r="BR389" s="493"/>
      <c r="BS389" s="493"/>
      <c r="BT389" s="493"/>
      <c r="BV389" s="655" t="s">
        <v>775</v>
      </c>
      <c r="BW389" s="656" t="s">
        <v>626</v>
      </c>
    </row>
    <row r="390" spans="1:75" ht="9.9499999999999993" hidden="1" customHeight="1">
      <c r="A390" s="490"/>
      <c r="B390" s="492"/>
      <c r="C390" s="492"/>
      <c r="D390" s="492" t="s">
        <v>143</v>
      </c>
      <c r="E390" s="492"/>
      <c r="F390" s="492"/>
      <c r="G390" s="492"/>
      <c r="H390" s="1495">
        <v>4.0999999999999996</v>
      </c>
      <c r="I390" s="1494"/>
      <c r="J390" s="1494"/>
      <c r="K390" s="1494"/>
      <c r="L390" s="1494"/>
      <c r="M390" s="502" t="s">
        <v>70</v>
      </c>
      <c r="N390" s="492"/>
      <c r="O390" s="492"/>
      <c r="P390" s="492"/>
      <c r="Q390" s="492"/>
      <c r="R390" s="492"/>
      <c r="S390" s="492"/>
      <c r="T390" s="492"/>
      <c r="U390" s="492"/>
      <c r="V390" s="492"/>
      <c r="W390" s="492"/>
      <c r="X390" s="492"/>
      <c r="Y390" s="492"/>
      <c r="Z390" s="492"/>
      <c r="AA390" s="492"/>
      <c r="AB390" s="492"/>
      <c r="AC390" s="492"/>
      <c r="AD390" s="492"/>
      <c r="AE390" s="492"/>
      <c r="AF390" s="492"/>
      <c r="AG390" s="492"/>
      <c r="AH390" s="492"/>
      <c r="AI390" s="492"/>
      <c r="AJ390" s="492"/>
      <c r="AK390" s="492"/>
      <c r="AL390" s="492"/>
      <c r="AM390" s="492"/>
      <c r="AN390" s="492"/>
      <c r="AO390" s="492"/>
      <c r="AP390" s="492"/>
      <c r="AQ390" s="492"/>
      <c r="AR390" s="492"/>
      <c r="AS390" s="492"/>
      <c r="AT390" s="492"/>
      <c r="AU390" s="492"/>
      <c r="AV390" s="492"/>
      <c r="AW390" s="492"/>
      <c r="AX390" s="492"/>
      <c r="AY390" s="492"/>
      <c r="AZ390" s="492"/>
      <c r="BA390" s="492"/>
      <c r="BB390" s="492"/>
      <c r="BC390" s="492"/>
      <c r="BD390" s="492"/>
      <c r="BE390" s="492"/>
      <c r="BF390" s="492"/>
      <c r="BG390" s="492"/>
      <c r="BH390" s="492"/>
      <c r="BI390" s="492"/>
      <c r="BJ390" s="492"/>
      <c r="BK390" s="492"/>
      <c r="BL390" s="492"/>
      <c r="BM390" s="492"/>
      <c r="BN390" s="492"/>
      <c r="BO390" s="492"/>
      <c r="BP390" s="492"/>
      <c r="BQ390" s="499"/>
      <c r="BR390" s="499"/>
      <c r="BS390" s="499"/>
      <c r="BT390" s="499"/>
    </row>
    <row r="391" spans="1:75" ht="9.9499999999999993" hidden="1" customHeight="1">
      <c r="A391" s="490"/>
      <c r="B391" s="492"/>
      <c r="C391" s="492"/>
      <c r="D391" s="492"/>
      <c r="E391" s="492" t="s">
        <v>66</v>
      </c>
      <c r="F391" s="492"/>
      <c r="G391" s="492"/>
      <c r="H391" s="492"/>
      <c r="I391" s="492"/>
      <c r="J391" s="492"/>
      <c r="K391" s="492"/>
      <c r="L391" s="502"/>
      <c r="M391" s="492"/>
      <c r="N391" s="492"/>
      <c r="O391" s="492"/>
      <c r="P391" s="1513" t="e">
        <f>'기계경비(OLD)'!$AT$41</f>
        <v>#REF!</v>
      </c>
      <c r="Q391" s="1506"/>
      <c r="R391" s="1506"/>
      <c r="S391" s="1506"/>
      <c r="T391" s="1506"/>
      <c r="U391" s="1506"/>
      <c r="V391" s="1506"/>
      <c r="W391" s="507" t="s">
        <v>99</v>
      </c>
      <c r="X391" s="497"/>
      <c r="Y391" s="1495">
        <f>H390</f>
        <v>4.0999999999999996</v>
      </c>
      <c r="Z391" s="1494"/>
      <c r="AA391" s="1494"/>
      <c r="AB391" s="1494"/>
      <c r="AC391" s="1494"/>
      <c r="AD391" s="507" t="s">
        <v>103</v>
      </c>
      <c r="AE391" s="497"/>
      <c r="AF391" s="498" t="e">
        <f>INT(P391/Y391)</f>
        <v>#REF!</v>
      </c>
      <c r="AG391" s="498"/>
      <c r="AH391" s="498"/>
      <c r="AI391" s="498"/>
      <c r="AJ391" s="498"/>
      <c r="AK391" s="498"/>
      <c r="AL391" s="498"/>
      <c r="AM391" s="1496" t="s">
        <v>580</v>
      </c>
      <c r="AN391" s="1496"/>
      <c r="AO391" s="1496"/>
      <c r="AP391" s="1496"/>
      <c r="AQ391" s="1496"/>
      <c r="AR391" s="1496"/>
      <c r="AS391" s="1496"/>
      <c r="AT391" s="1496"/>
      <c r="AU391" s="1496"/>
      <c r="AV391" s="1496"/>
      <c r="AW391" s="1496"/>
      <c r="AX391" s="1496"/>
      <c r="AY391" s="492"/>
      <c r="AZ391" s="492"/>
      <c r="BA391" s="492"/>
      <c r="BB391" s="492"/>
      <c r="BC391" s="492"/>
      <c r="BD391" s="492"/>
      <c r="BE391" s="492"/>
      <c r="BF391" s="492"/>
      <c r="BG391" s="492"/>
      <c r="BH391" s="492"/>
      <c r="BI391" s="492"/>
      <c r="BJ391" s="492"/>
      <c r="BK391" s="492"/>
      <c r="BL391" s="492"/>
      <c r="BM391" s="492"/>
      <c r="BN391" s="492"/>
      <c r="BO391" s="492"/>
      <c r="BP391" s="492"/>
      <c r="BQ391" s="499" t="e">
        <f>SUM(BR391:BT391)</f>
        <v>#REF!</v>
      </c>
      <c r="BR391" s="499"/>
      <c r="BS391" s="499" t="e">
        <f>AF391</f>
        <v>#REF!</v>
      </c>
      <c r="BT391" s="499"/>
    </row>
    <row r="392" spans="1:75" ht="9.9499999999999993" hidden="1" customHeight="1">
      <c r="A392" s="490"/>
      <c r="B392" s="492"/>
      <c r="C392" s="492"/>
      <c r="D392" s="492"/>
      <c r="E392" s="492" t="s">
        <v>67</v>
      </c>
      <c r="F392" s="492"/>
      <c r="G392" s="492"/>
      <c r="H392" s="492"/>
      <c r="I392" s="492"/>
      <c r="J392" s="492"/>
      <c r="K392" s="492"/>
      <c r="L392" s="502"/>
      <c r="M392" s="492"/>
      <c r="N392" s="492"/>
      <c r="O392" s="492"/>
      <c r="P392" s="1513">
        <f>'기계경비(OLD)'!$BU$34</f>
        <v>59025</v>
      </c>
      <c r="Q392" s="1506"/>
      <c r="R392" s="1506"/>
      <c r="S392" s="1506"/>
      <c r="T392" s="1506"/>
      <c r="U392" s="1506"/>
      <c r="V392" s="1506"/>
      <c r="W392" s="507" t="s">
        <v>99</v>
      </c>
      <c r="X392" s="497"/>
      <c r="Y392" s="1495">
        <f>H390</f>
        <v>4.0999999999999996</v>
      </c>
      <c r="Z392" s="1494"/>
      <c r="AA392" s="1494"/>
      <c r="AB392" s="1494"/>
      <c r="AC392" s="1494"/>
      <c r="AD392" s="507" t="s">
        <v>103</v>
      </c>
      <c r="AE392" s="497"/>
      <c r="AF392" s="498">
        <f>INT(P392/Y392)</f>
        <v>14396</v>
      </c>
      <c r="AG392" s="498"/>
      <c r="AH392" s="498"/>
      <c r="AI392" s="498"/>
      <c r="AJ392" s="498"/>
      <c r="AK392" s="498"/>
      <c r="AL392" s="498"/>
      <c r="AM392" s="1496" t="s">
        <v>580</v>
      </c>
      <c r="AN392" s="1496"/>
      <c r="AO392" s="1496"/>
      <c r="AP392" s="1496"/>
      <c r="AQ392" s="1496"/>
      <c r="AR392" s="1496"/>
      <c r="AS392" s="1496"/>
      <c r="AT392" s="1496"/>
      <c r="AU392" s="1496"/>
      <c r="AV392" s="1496"/>
      <c r="AW392" s="1496"/>
      <c r="AX392" s="1496"/>
      <c r="AY392" s="492"/>
      <c r="AZ392" s="492"/>
      <c r="BA392" s="492"/>
      <c r="BB392" s="492"/>
      <c r="BC392" s="492"/>
      <c r="BD392" s="492"/>
      <c r="BE392" s="492"/>
      <c r="BF392" s="492"/>
      <c r="BG392" s="492"/>
      <c r="BH392" s="492"/>
      <c r="BI392" s="492"/>
      <c r="BJ392" s="492"/>
      <c r="BK392" s="492"/>
      <c r="BL392" s="492"/>
      <c r="BM392" s="492"/>
      <c r="BN392" s="492"/>
      <c r="BO392" s="492"/>
      <c r="BP392" s="492"/>
      <c r="BQ392" s="499">
        <f>SUM(BR392:BT392)</f>
        <v>14396</v>
      </c>
      <c r="BR392" s="499">
        <f>AF392</f>
        <v>14396</v>
      </c>
      <c r="BS392" s="499"/>
      <c r="BT392" s="499"/>
    </row>
    <row r="393" spans="1:75" ht="9.9499999999999993" hidden="1" customHeight="1">
      <c r="A393" s="490"/>
      <c r="B393" s="492"/>
      <c r="C393" s="492"/>
      <c r="D393" s="492"/>
      <c r="E393" s="492" t="s">
        <v>68</v>
      </c>
      <c r="F393" s="492"/>
      <c r="G393" s="492"/>
      <c r="H393" s="492"/>
      <c r="I393" s="492"/>
      <c r="J393" s="492"/>
      <c r="K393" s="492"/>
      <c r="L393" s="502"/>
      <c r="M393" s="492"/>
      <c r="N393" s="492"/>
      <c r="O393" s="492"/>
      <c r="P393" s="492" t="s">
        <v>64</v>
      </c>
      <c r="Q393" s="492"/>
      <c r="R393" s="1505">
        <f>'기계경비(OLD)'!$BN$45</f>
        <v>13873</v>
      </c>
      <c r="S393" s="1506"/>
      <c r="T393" s="1506"/>
      <c r="U393" s="1506"/>
      <c r="V393" s="1506"/>
      <c r="W393" s="1506"/>
      <c r="X393" s="507" t="s">
        <v>59</v>
      </c>
      <c r="Y393" s="497"/>
      <c r="Z393" s="1505">
        <f>'기계경비(OLD)'!$BN$208</f>
        <v>2926</v>
      </c>
      <c r="AA393" s="1494"/>
      <c r="AB393" s="1494"/>
      <c r="AC393" s="1494"/>
      <c r="AD393" s="1494"/>
      <c r="AE393" s="492" t="s">
        <v>137</v>
      </c>
      <c r="AF393" s="492"/>
      <c r="AG393" s="492"/>
      <c r="AH393" s="492"/>
      <c r="AI393" s="1495">
        <f>H390</f>
        <v>4.0999999999999996</v>
      </c>
      <c r="AJ393" s="1494"/>
      <c r="AK393" s="1494"/>
      <c r="AL393" s="1494"/>
      <c r="AM393" s="1494"/>
      <c r="AN393" s="507" t="s">
        <v>103</v>
      </c>
      <c r="AO393" s="497"/>
      <c r="AP393" s="500">
        <f>INT((R393+Z393)/AI393)</f>
        <v>4097</v>
      </c>
      <c r="AQ393" s="498"/>
      <c r="AR393" s="498"/>
      <c r="AS393" s="498"/>
      <c r="AT393" s="498"/>
      <c r="AU393" s="498"/>
      <c r="AV393" s="498"/>
      <c r="AW393" s="1496" t="s">
        <v>675</v>
      </c>
      <c r="AX393" s="1496"/>
      <c r="AY393" s="1496"/>
      <c r="AZ393" s="1496"/>
      <c r="BA393" s="1496"/>
      <c r="BB393" s="1496"/>
      <c r="BC393" s="1496"/>
      <c r="BD393" s="1496"/>
      <c r="BE393" s="1496"/>
      <c r="BF393" s="1496"/>
      <c r="BG393" s="1496"/>
      <c r="BH393" s="1496"/>
      <c r="BI393" s="1496"/>
      <c r="BJ393" s="1496"/>
      <c r="BK393" s="1496"/>
      <c r="BL393" s="1496"/>
      <c r="BM393" s="1496"/>
      <c r="BN393" s="1496"/>
      <c r="BO393" s="1496"/>
      <c r="BP393" s="1514"/>
      <c r="BQ393" s="499">
        <f>SUM(BR393:BT393)</f>
        <v>4097</v>
      </c>
      <c r="BR393" s="499"/>
      <c r="BS393" s="499"/>
      <c r="BT393" s="499">
        <f>AP393</f>
        <v>4097</v>
      </c>
    </row>
    <row r="394" spans="1:75" ht="9.9499999999999993" hidden="1" customHeight="1">
      <c r="A394" s="490"/>
      <c r="B394" s="492"/>
      <c r="C394" s="492" t="s">
        <v>63</v>
      </c>
      <c r="D394" s="492"/>
      <c r="E394" s="492"/>
      <c r="F394" s="492"/>
      <c r="G394" s="492"/>
      <c r="H394" s="492"/>
      <c r="I394" s="492"/>
      <c r="J394" s="492"/>
      <c r="K394" s="492"/>
      <c r="L394" s="502"/>
      <c r="M394" s="492"/>
      <c r="N394" s="492"/>
      <c r="O394" s="492"/>
      <c r="P394" s="492"/>
      <c r="Q394" s="492"/>
      <c r="R394" s="492"/>
      <c r="S394" s="492"/>
      <c r="T394" s="496"/>
      <c r="U394" s="492"/>
      <c r="V394" s="492"/>
      <c r="W394" s="492"/>
      <c r="X394" s="492"/>
      <c r="Y394" s="492"/>
      <c r="Z394" s="492"/>
      <c r="AA394" s="492"/>
      <c r="AB394" s="492"/>
      <c r="AC394" s="492"/>
      <c r="AD394" s="492"/>
      <c r="AE394" s="492"/>
      <c r="AF394" s="492"/>
      <c r="AG394" s="492"/>
      <c r="AH394" s="492"/>
      <c r="AI394" s="496"/>
      <c r="AJ394" s="492"/>
      <c r="AK394" s="492"/>
      <c r="AL394" s="492"/>
      <c r="AM394" s="492"/>
      <c r="AN394" s="492"/>
      <c r="AO394" s="492"/>
      <c r="AP394" s="492"/>
      <c r="AQ394" s="492"/>
      <c r="AR394" s="492"/>
      <c r="AS394" s="492"/>
      <c r="AT394" s="492"/>
      <c r="AU394" s="492"/>
      <c r="AV394" s="492"/>
      <c r="AW394" s="492"/>
      <c r="AX394" s="492"/>
      <c r="AY394" s="492"/>
      <c r="AZ394" s="492"/>
      <c r="BA394" s="492"/>
      <c r="BB394" s="492"/>
      <c r="BC394" s="492"/>
      <c r="BD394" s="492"/>
      <c r="BE394" s="492"/>
      <c r="BF394" s="492"/>
      <c r="BG394" s="492"/>
      <c r="BH394" s="492"/>
      <c r="BI394" s="492"/>
      <c r="BJ394" s="492"/>
      <c r="BK394" s="492"/>
      <c r="BL394" s="492"/>
      <c r="BM394" s="492"/>
      <c r="BN394" s="492"/>
      <c r="BO394" s="492"/>
      <c r="BP394" s="492"/>
      <c r="BQ394" s="503" t="e">
        <f>SUM(BR394:BT394)</f>
        <v>#REF!</v>
      </c>
      <c r="BR394" s="503">
        <f>SUM(BR390:BR393)</f>
        <v>14396</v>
      </c>
      <c r="BS394" s="503" t="e">
        <f>SUM(BS390:BS393)</f>
        <v>#REF!</v>
      </c>
      <c r="BT394" s="503">
        <f>SUM(BT390:BT393)</f>
        <v>4097</v>
      </c>
    </row>
    <row r="395" spans="1:75" ht="9.9499999999999993" hidden="1" customHeight="1">
      <c r="A395" s="490"/>
      <c r="B395" s="492"/>
      <c r="C395" s="492"/>
      <c r="D395" s="492"/>
      <c r="E395" s="492"/>
      <c r="F395" s="492"/>
      <c r="G395" s="492"/>
      <c r="H395" s="492"/>
      <c r="I395" s="492"/>
      <c r="J395" s="492"/>
      <c r="K395" s="492"/>
      <c r="L395" s="502"/>
      <c r="M395" s="492"/>
      <c r="N395" s="492"/>
      <c r="O395" s="492"/>
      <c r="P395" s="492"/>
      <c r="Q395" s="492"/>
      <c r="R395" s="492"/>
      <c r="S395" s="492"/>
      <c r="T395" s="496"/>
      <c r="U395" s="492"/>
      <c r="V395" s="492"/>
      <c r="W395" s="492"/>
      <c r="X395" s="492"/>
      <c r="Y395" s="492"/>
      <c r="Z395" s="492"/>
      <c r="AA395" s="492"/>
      <c r="AB395" s="492"/>
      <c r="AC395" s="492"/>
      <c r="AD395" s="492"/>
      <c r="AE395" s="492"/>
      <c r="AF395" s="492"/>
      <c r="AG395" s="492"/>
      <c r="AH395" s="492"/>
      <c r="AI395" s="496"/>
      <c r="AJ395" s="492"/>
      <c r="AK395" s="492"/>
      <c r="AL395" s="492"/>
      <c r="AM395" s="492"/>
      <c r="AN395" s="492"/>
      <c r="AO395" s="492"/>
      <c r="AP395" s="492"/>
      <c r="AQ395" s="492"/>
      <c r="AR395" s="492"/>
      <c r="AS395" s="492"/>
      <c r="AT395" s="492"/>
      <c r="AU395" s="492"/>
      <c r="AV395" s="492"/>
      <c r="AW395" s="492"/>
      <c r="AX395" s="492"/>
      <c r="AY395" s="492"/>
      <c r="AZ395" s="492"/>
      <c r="BA395" s="492"/>
      <c r="BB395" s="492"/>
      <c r="BC395" s="492"/>
      <c r="BD395" s="492"/>
      <c r="BE395" s="492"/>
      <c r="BF395" s="492"/>
      <c r="BG395" s="492"/>
      <c r="BH395" s="492"/>
      <c r="BI395" s="492"/>
      <c r="BJ395" s="492"/>
      <c r="BK395" s="492"/>
      <c r="BL395" s="492"/>
      <c r="BM395" s="492"/>
      <c r="BN395" s="492"/>
      <c r="BO395" s="492"/>
      <c r="BP395" s="492"/>
      <c r="BQ395" s="499"/>
      <c r="BR395" s="499"/>
      <c r="BS395" s="499"/>
      <c r="BT395" s="499"/>
    </row>
    <row r="396" spans="1:75" ht="9.9499999999999993" hidden="1" customHeight="1">
      <c r="A396" s="490"/>
      <c r="B396" s="492"/>
      <c r="C396" s="492" t="s">
        <v>147</v>
      </c>
      <c r="D396" s="492"/>
      <c r="E396" s="492"/>
      <c r="F396" s="492"/>
      <c r="G396" s="495"/>
      <c r="H396" s="495"/>
      <c r="I396" s="495"/>
      <c r="J396" s="495"/>
      <c r="K396" s="495"/>
      <c r="L396" s="492"/>
      <c r="M396" s="492"/>
      <c r="N396" s="492"/>
      <c r="O396" s="492"/>
      <c r="P396" s="492"/>
      <c r="Q396" s="492"/>
      <c r="R396" s="495"/>
      <c r="S396" s="495"/>
      <c r="T396" s="495"/>
      <c r="U396" s="495"/>
      <c r="V396" s="495"/>
      <c r="W396" s="492"/>
      <c r="X396" s="492"/>
      <c r="Y396" s="492"/>
      <c r="Z396" s="492"/>
      <c r="AA396" s="492"/>
      <c r="AB396" s="492"/>
      <c r="AC396" s="492"/>
      <c r="AD396" s="492"/>
      <c r="AE396" s="492"/>
      <c r="AF396" s="496"/>
      <c r="AG396" s="492"/>
      <c r="AH396" s="495"/>
      <c r="AI396" s="495"/>
      <c r="AJ396" s="495"/>
      <c r="AK396" s="495"/>
      <c r="AL396" s="495"/>
      <c r="AM396" s="496"/>
      <c r="AN396" s="492"/>
      <c r="AO396" s="495"/>
      <c r="AP396" s="495"/>
      <c r="AQ396" s="495"/>
      <c r="AR396" s="495"/>
      <c r="AS396" s="495"/>
      <c r="AT396" s="495"/>
      <c r="AU396" s="492"/>
      <c r="AV396" s="492"/>
      <c r="AW396" s="492"/>
      <c r="AX396" s="492"/>
      <c r="AY396" s="492"/>
      <c r="AZ396" s="492"/>
      <c r="BA396" s="492"/>
      <c r="BB396" s="492"/>
      <c r="BC396" s="492"/>
      <c r="BD396" s="492"/>
      <c r="BE396" s="492"/>
      <c r="BF396" s="492"/>
      <c r="BG396" s="492"/>
      <c r="BH396" s="492"/>
      <c r="BI396" s="492"/>
      <c r="BJ396" s="492"/>
      <c r="BK396" s="492"/>
      <c r="BL396" s="492"/>
      <c r="BM396" s="492"/>
      <c r="BN396" s="492"/>
      <c r="BO396" s="492"/>
      <c r="BP396" s="492"/>
      <c r="BQ396" s="493"/>
      <c r="BR396" s="493"/>
      <c r="BS396" s="493"/>
      <c r="BT396" s="493"/>
      <c r="BW396" s="241"/>
    </row>
    <row r="397" spans="1:75" ht="9.9499999999999993" hidden="1" customHeight="1">
      <c r="A397" s="490"/>
      <c r="B397" s="492"/>
      <c r="C397" s="492"/>
      <c r="D397" s="492" t="s">
        <v>64</v>
      </c>
      <c r="E397" s="492"/>
      <c r="F397" s="1512">
        <v>1</v>
      </c>
      <c r="G397" s="1494"/>
      <c r="H397" s="1494"/>
      <c r="I397" s="492" t="s">
        <v>105</v>
      </c>
      <c r="J397" s="492"/>
      <c r="K397" s="497"/>
      <c r="L397" s="497"/>
      <c r="M397" s="492"/>
      <c r="N397" s="1511">
        <f>$BW$387</f>
        <v>172698</v>
      </c>
      <c r="O397" s="1494"/>
      <c r="P397" s="1494"/>
      <c r="Q397" s="1494"/>
      <c r="R397" s="1494"/>
      <c r="S397" s="1494"/>
      <c r="T397" s="492" t="s">
        <v>148</v>
      </c>
      <c r="U397" s="492"/>
      <c r="V397" s="492"/>
      <c r="W397" s="496"/>
      <c r="X397" s="492"/>
      <c r="Y397" s="492"/>
      <c r="Z397" s="492"/>
      <c r="AA397" s="492"/>
      <c r="AB397" s="492"/>
      <c r="AC397" s="515">
        <v>8</v>
      </c>
      <c r="AD397" s="498"/>
      <c r="AE397" s="498"/>
      <c r="AF397" s="492" t="s">
        <v>149</v>
      </c>
      <c r="AG397" s="492"/>
      <c r="AH397" s="492"/>
      <c r="AI397" s="492"/>
      <c r="AJ397" s="492"/>
      <c r="AK397" s="492"/>
      <c r="AL397" s="500">
        <f>INT((F397*N397)/(H390*AC397))</f>
        <v>5265</v>
      </c>
      <c r="AM397" s="498"/>
      <c r="AN397" s="498"/>
      <c r="AO397" s="498"/>
      <c r="AP397" s="498"/>
      <c r="AQ397" s="498"/>
      <c r="AR397" s="498"/>
      <c r="AS397" s="492"/>
      <c r="AT397" s="492"/>
      <c r="AU397" s="492"/>
      <c r="AV397" s="492"/>
      <c r="AW397" s="492"/>
      <c r="AX397" s="492"/>
      <c r="AY397" s="492"/>
      <c r="AZ397" s="492"/>
      <c r="BA397" s="492"/>
      <c r="BB397" s="492"/>
      <c r="BC397" s="492"/>
      <c r="BD397" s="492"/>
      <c r="BE397" s="492"/>
      <c r="BF397" s="492"/>
      <c r="BG397" s="492"/>
      <c r="BH397" s="492"/>
      <c r="BI397" s="492"/>
      <c r="BJ397" s="492"/>
      <c r="BK397" s="492"/>
      <c r="BL397" s="492"/>
      <c r="BM397" s="492"/>
      <c r="BN397" s="492"/>
      <c r="BO397" s="492"/>
      <c r="BP397" s="492"/>
      <c r="BQ397" s="499">
        <f>SUM(BR397:BT397)</f>
        <v>5265</v>
      </c>
      <c r="BR397" s="499">
        <f>AL397</f>
        <v>5265</v>
      </c>
      <c r="BS397" s="499"/>
      <c r="BT397" s="499"/>
    </row>
    <row r="398" spans="1:75" ht="9.9499999999999993" hidden="1" customHeight="1">
      <c r="A398" s="490"/>
      <c r="B398" s="492"/>
      <c r="C398" s="492"/>
      <c r="D398" s="492"/>
      <c r="E398" s="492"/>
      <c r="F398" s="492"/>
      <c r="G398" s="492"/>
      <c r="H398" s="492"/>
      <c r="I398" s="492"/>
      <c r="J398" s="492"/>
      <c r="K398" s="492"/>
      <c r="L398" s="502"/>
      <c r="M398" s="492"/>
      <c r="N398" s="492"/>
      <c r="O398" s="492"/>
      <c r="P398" s="492"/>
      <c r="Q398" s="492"/>
      <c r="R398" s="492"/>
      <c r="S398" s="492"/>
      <c r="T398" s="496"/>
      <c r="U398" s="492"/>
      <c r="V398" s="492"/>
      <c r="W398" s="492"/>
      <c r="X398" s="492"/>
      <c r="Y398" s="492"/>
      <c r="Z398" s="492"/>
      <c r="AA398" s="492"/>
      <c r="AB398" s="492"/>
      <c r="AC398" s="492"/>
      <c r="AD398" s="492"/>
      <c r="AE398" s="492"/>
      <c r="AF398" s="492"/>
      <c r="AG398" s="492"/>
      <c r="AH398" s="492"/>
      <c r="AI398" s="496"/>
      <c r="AJ398" s="492"/>
      <c r="AK398" s="492"/>
      <c r="AL398" s="492"/>
      <c r="AM398" s="492"/>
      <c r="AN398" s="492"/>
      <c r="AO398" s="492"/>
      <c r="AP398" s="492"/>
      <c r="AQ398" s="492"/>
      <c r="AR398" s="492"/>
      <c r="AS398" s="492"/>
      <c r="AT398" s="492"/>
      <c r="AU398" s="492"/>
      <c r="AV398" s="492"/>
      <c r="AW398" s="492"/>
      <c r="AX398" s="492"/>
      <c r="AY398" s="492"/>
      <c r="AZ398" s="492"/>
      <c r="BA398" s="492"/>
      <c r="BB398" s="492"/>
      <c r="BC398" s="492"/>
      <c r="BD398" s="492"/>
      <c r="BE398" s="492"/>
      <c r="BF398" s="492"/>
      <c r="BG398" s="492"/>
      <c r="BH398" s="492"/>
      <c r="BI398" s="492"/>
      <c r="BJ398" s="492"/>
      <c r="BK398" s="492"/>
      <c r="BL398" s="492"/>
      <c r="BM398" s="492"/>
      <c r="BN398" s="492"/>
      <c r="BO398" s="492"/>
      <c r="BP398" s="492"/>
      <c r="BQ398" s="499"/>
      <c r="BR398" s="499"/>
      <c r="BS398" s="499"/>
      <c r="BT398" s="499"/>
    </row>
    <row r="399" spans="1:75" ht="9.9499999999999993" hidden="1" customHeight="1">
      <c r="A399" s="490"/>
      <c r="B399" s="492"/>
      <c r="C399" s="492" t="s">
        <v>676</v>
      </c>
      <c r="D399" s="492"/>
      <c r="E399" s="492"/>
      <c r="F399" s="492"/>
      <c r="G399" s="495"/>
      <c r="H399" s="495"/>
      <c r="I399" s="495"/>
      <c r="J399" s="495"/>
      <c r="K399" s="495"/>
      <c r="L399" s="492"/>
      <c r="M399" s="492"/>
      <c r="N399" s="492"/>
      <c r="O399" s="492"/>
      <c r="P399" s="492"/>
      <c r="Q399" s="492"/>
      <c r="R399" s="495"/>
      <c r="S399" s="495"/>
      <c r="T399" s="495"/>
      <c r="U399" s="495"/>
      <c r="V399" s="495"/>
      <c r="W399" s="492"/>
      <c r="X399" s="492"/>
      <c r="Y399" s="492"/>
      <c r="Z399" s="492"/>
      <c r="AA399" s="492"/>
      <c r="AB399" s="492"/>
      <c r="AC399" s="492"/>
      <c r="AD399" s="492"/>
      <c r="AE399" s="492"/>
      <c r="AF399" s="496"/>
      <c r="AG399" s="492"/>
      <c r="AH399" s="495"/>
      <c r="AI399" s="495"/>
      <c r="AJ399" s="495"/>
      <c r="AK399" s="495"/>
      <c r="AL399" s="495"/>
      <c r="AM399" s="496"/>
      <c r="AN399" s="492"/>
      <c r="AO399" s="495"/>
      <c r="AP399" s="495"/>
      <c r="AQ399" s="495"/>
      <c r="AR399" s="495"/>
      <c r="AS399" s="495"/>
      <c r="AT399" s="495"/>
      <c r="AU399" s="492"/>
      <c r="AV399" s="492"/>
      <c r="AW399" s="492"/>
      <c r="AX399" s="492"/>
      <c r="AY399" s="492"/>
      <c r="AZ399" s="492"/>
      <c r="BA399" s="492"/>
      <c r="BB399" s="492"/>
      <c r="BC399" s="492"/>
      <c r="BD399" s="492"/>
      <c r="BE399" s="492"/>
      <c r="BF399" s="492"/>
      <c r="BG399" s="492"/>
      <c r="BH399" s="492"/>
      <c r="BI399" s="492"/>
      <c r="BJ399" s="492"/>
      <c r="BK399" s="492"/>
      <c r="BL399" s="492"/>
      <c r="BM399" s="492"/>
      <c r="BN399" s="492"/>
      <c r="BO399" s="492"/>
      <c r="BP399" s="492"/>
      <c r="BQ399" s="493"/>
      <c r="BR399" s="493"/>
      <c r="BS399" s="493"/>
      <c r="BT399" s="493"/>
      <c r="BW399" s="241"/>
    </row>
    <row r="400" spans="1:75" ht="9.9499999999999993" hidden="1" customHeight="1">
      <c r="A400" s="490"/>
      <c r="B400" s="492"/>
      <c r="C400" s="492"/>
      <c r="D400" s="492" t="s">
        <v>64</v>
      </c>
      <c r="E400" s="492"/>
      <c r="F400" s="515">
        <v>8.0000000000000002E-3</v>
      </c>
      <c r="G400" s="498"/>
      <c r="H400" s="498"/>
      <c r="I400" s="498"/>
      <c r="J400" s="497"/>
      <c r="K400" s="497" t="s">
        <v>100</v>
      </c>
      <c r="L400" s="497"/>
      <c r="M400" s="516" t="e">
        <f>#REF!</f>
        <v>#REF!</v>
      </c>
      <c r="N400" s="498"/>
      <c r="O400" s="498"/>
      <c r="P400" s="498"/>
      <c r="Q400" s="498"/>
      <c r="R400" s="498"/>
      <c r="S400" s="498"/>
      <c r="T400" s="492" t="s">
        <v>150</v>
      </c>
      <c r="U400" s="492"/>
      <c r="V400" s="492"/>
      <c r="W400" s="492"/>
      <c r="X400" s="492"/>
      <c r="Y400" s="492"/>
      <c r="Z400" s="492"/>
      <c r="AA400" s="492"/>
      <c r="AB400" s="500" t="e">
        <f>INT((F400*M400)/H390)</f>
        <v>#REF!</v>
      </c>
      <c r="AC400" s="498"/>
      <c r="AD400" s="498"/>
      <c r="AE400" s="498"/>
      <c r="AF400" s="498"/>
      <c r="AG400" s="498"/>
      <c r="AH400" s="498"/>
      <c r="AI400" s="492"/>
      <c r="AJ400" s="492"/>
      <c r="AK400" s="492"/>
      <c r="AL400" s="492"/>
      <c r="AM400" s="492"/>
      <c r="AN400" s="492"/>
      <c r="AO400" s="492"/>
      <c r="AP400" s="492"/>
      <c r="AQ400" s="492"/>
      <c r="AR400" s="492"/>
      <c r="AS400" s="492"/>
      <c r="AT400" s="492"/>
      <c r="AU400" s="492"/>
      <c r="AV400" s="492"/>
      <c r="AW400" s="492"/>
      <c r="AX400" s="492"/>
      <c r="AY400" s="492"/>
      <c r="AZ400" s="492"/>
      <c r="BA400" s="492"/>
      <c r="BB400" s="492"/>
      <c r="BC400" s="492"/>
      <c r="BD400" s="492"/>
      <c r="BE400" s="492"/>
      <c r="BF400" s="492"/>
      <c r="BG400" s="492"/>
      <c r="BH400" s="492"/>
      <c r="BI400" s="492"/>
      <c r="BJ400" s="492"/>
      <c r="BK400" s="492"/>
      <c r="BL400" s="492"/>
      <c r="BM400" s="492"/>
      <c r="BN400" s="492"/>
      <c r="BO400" s="492"/>
      <c r="BP400" s="492"/>
      <c r="BQ400" s="499" t="e">
        <f>SUM(BR400:BT400)</f>
        <v>#REF!</v>
      </c>
      <c r="BR400" s="499"/>
      <c r="BS400" s="499"/>
      <c r="BT400" s="499" t="e">
        <f>AB400</f>
        <v>#REF!</v>
      </c>
    </row>
    <row r="401" spans="1:75" ht="9.9499999999999993" hidden="1" customHeight="1">
      <c r="A401" s="490"/>
      <c r="B401" s="492"/>
      <c r="C401" s="492"/>
      <c r="D401" s="492"/>
      <c r="E401" s="492"/>
      <c r="F401" s="492"/>
      <c r="G401" s="492"/>
      <c r="H401" s="492"/>
      <c r="I401" s="492"/>
      <c r="J401" s="492"/>
      <c r="K401" s="492"/>
      <c r="L401" s="502"/>
      <c r="M401" s="492"/>
      <c r="N401" s="492"/>
      <c r="O401" s="492"/>
      <c r="P401" s="492"/>
      <c r="Q401" s="492"/>
      <c r="R401" s="492"/>
      <c r="S401" s="492"/>
      <c r="T401" s="496"/>
      <c r="U401" s="492"/>
      <c r="V401" s="492"/>
      <c r="W401" s="492"/>
      <c r="X401" s="492"/>
      <c r="Y401" s="492"/>
      <c r="Z401" s="492"/>
      <c r="AA401" s="492"/>
      <c r="AB401" s="492"/>
      <c r="AC401" s="492"/>
      <c r="AD401" s="492"/>
      <c r="AE401" s="492"/>
      <c r="AF401" s="492"/>
      <c r="AG401" s="492"/>
      <c r="AH401" s="492"/>
      <c r="AI401" s="496"/>
      <c r="AJ401" s="492"/>
      <c r="AK401" s="492"/>
      <c r="AL401" s="492"/>
      <c r="AM401" s="492"/>
      <c r="AN401" s="492"/>
      <c r="AO401" s="492"/>
      <c r="AP401" s="492"/>
      <c r="AQ401" s="492"/>
      <c r="AR401" s="492"/>
      <c r="AS401" s="492"/>
      <c r="AT401" s="492"/>
      <c r="AU401" s="492"/>
      <c r="AV401" s="492"/>
      <c r="AW401" s="492"/>
      <c r="AX401" s="492"/>
      <c r="AY401" s="492"/>
      <c r="AZ401" s="492"/>
      <c r="BA401" s="492"/>
      <c r="BB401" s="492"/>
      <c r="BC401" s="492"/>
      <c r="BD401" s="492"/>
      <c r="BE401" s="492"/>
      <c r="BF401" s="492"/>
      <c r="BG401" s="492"/>
      <c r="BH401" s="492"/>
      <c r="BI401" s="492"/>
      <c r="BJ401" s="492"/>
      <c r="BK401" s="492"/>
      <c r="BL401" s="492"/>
      <c r="BM401" s="492"/>
      <c r="BN401" s="492"/>
      <c r="BO401" s="492"/>
      <c r="BP401" s="492"/>
      <c r="BQ401" s="499"/>
      <c r="BR401" s="499"/>
      <c r="BS401" s="499"/>
      <c r="BT401" s="499"/>
    </row>
    <row r="402" spans="1:75" ht="9.9499999999999993" hidden="1" customHeight="1">
      <c r="A402" s="490"/>
      <c r="B402" s="492" t="s">
        <v>151</v>
      </c>
      <c r="C402" s="492"/>
      <c r="D402" s="492"/>
      <c r="E402" s="492"/>
      <c r="F402" s="492"/>
      <c r="G402" s="492"/>
      <c r="H402" s="492"/>
      <c r="I402" s="492"/>
      <c r="J402" s="492"/>
      <c r="K402" s="492"/>
      <c r="L402" s="492"/>
      <c r="M402" s="492"/>
      <c r="N402" s="492"/>
      <c r="O402" s="492"/>
      <c r="P402" s="492"/>
      <c r="Q402" s="492"/>
      <c r="R402" s="492"/>
      <c r="S402" s="492"/>
      <c r="T402" s="492"/>
      <c r="U402" s="492"/>
      <c r="V402" s="492"/>
      <c r="W402" s="492"/>
      <c r="X402" s="517"/>
      <c r="Y402" s="497"/>
      <c r="Z402" s="497"/>
      <c r="AA402" s="497"/>
      <c r="AB402" s="492"/>
      <c r="AC402" s="492"/>
      <c r="AD402" s="492"/>
      <c r="AE402" s="492"/>
      <c r="AF402" s="492"/>
      <c r="AG402" s="492"/>
      <c r="AH402" s="492"/>
      <c r="AI402" s="492"/>
      <c r="AJ402" s="492"/>
      <c r="AK402" s="492"/>
      <c r="AL402" s="492"/>
      <c r="AM402" s="492"/>
      <c r="AN402" s="492"/>
      <c r="AO402" s="492"/>
      <c r="AP402" s="492"/>
      <c r="AQ402" s="492"/>
      <c r="AR402" s="492"/>
      <c r="AS402" s="492"/>
      <c r="AT402" s="492"/>
      <c r="AU402" s="492"/>
      <c r="AV402" s="492"/>
      <c r="AW402" s="492"/>
      <c r="AX402" s="492"/>
      <c r="AY402" s="492"/>
      <c r="AZ402" s="492"/>
      <c r="BA402" s="492"/>
      <c r="BB402" s="492"/>
      <c r="BC402" s="492"/>
      <c r="BD402" s="492"/>
      <c r="BE402" s="492"/>
      <c r="BF402" s="492"/>
      <c r="BG402" s="492"/>
      <c r="BH402" s="492"/>
      <c r="BI402" s="492"/>
      <c r="BJ402" s="492"/>
      <c r="BK402" s="492"/>
      <c r="BL402" s="492"/>
      <c r="BM402" s="492"/>
      <c r="BN402" s="492"/>
      <c r="BO402" s="492"/>
      <c r="BP402" s="492"/>
      <c r="BQ402" s="493"/>
      <c r="BR402" s="493"/>
      <c r="BS402" s="493"/>
      <c r="BT402" s="493"/>
      <c r="BW402" s="210"/>
    </row>
    <row r="403" spans="1:75" ht="9.9499999999999993" hidden="1" customHeight="1">
      <c r="A403" s="490"/>
      <c r="B403" s="492"/>
      <c r="C403" s="492" t="s">
        <v>71</v>
      </c>
      <c r="D403" s="492"/>
      <c r="E403" s="492"/>
      <c r="F403" s="492"/>
      <c r="G403" s="498">
        <v>0.2</v>
      </c>
      <c r="H403" s="498"/>
      <c r="I403" s="498"/>
      <c r="J403" s="498"/>
      <c r="K403" s="498"/>
      <c r="L403" s="492" t="s">
        <v>72</v>
      </c>
      <c r="M403" s="492"/>
      <c r="N403" s="492" t="s">
        <v>73</v>
      </c>
      <c r="O403" s="492"/>
      <c r="P403" s="492"/>
      <c r="Q403" s="492"/>
      <c r="R403" s="498">
        <v>0.55000000000000004</v>
      </c>
      <c r="S403" s="498"/>
      <c r="T403" s="498"/>
      <c r="U403" s="498"/>
      <c r="V403" s="498"/>
      <c r="W403" s="492" t="s">
        <v>72</v>
      </c>
      <c r="X403" s="492"/>
      <c r="Y403" s="492" t="s">
        <v>74</v>
      </c>
      <c r="Z403" s="492"/>
      <c r="AA403" s="492"/>
      <c r="AB403" s="492"/>
      <c r="AC403" s="498">
        <v>1</v>
      </c>
      <c r="AD403" s="498"/>
      <c r="AE403" s="498"/>
      <c r="AF403" s="507" t="s">
        <v>99</v>
      </c>
      <c r="AG403" s="497"/>
      <c r="AH403" s="498">
        <v>1.5</v>
      </c>
      <c r="AI403" s="498"/>
      <c r="AJ403" s="498"/>
      <c r="AK403" s="498"/>
      <c r="AL403" s="498"/>
      <c r="AM403" s="507" t="s">
        <v>103</v>
      </c>
      <c r="AN403" s="497"/>
      <c r="AO403" s="498">
        <f>ROUND(AC403/AH403,2)</f>
        <v>0.67</v>
      </c>
      <c r="AP403" s="498"/>
      <c r="AQ403" s="498"/>
      <c r="AR403" s="498"/>
      <c r="AS403" s="498"/>
      <c r="AT403" s="498"/>
      <c r="AU403" s="492"/>
      <c r="AV403" s="492"/>
      <c r="AW403" s="492"/>
      <c r="AX403" s="492"/>
      <c r="AY403" s="492"/>
      <c r="AZ403" s="492"/>
      <c r="BA403" s="492"/>
      <c r="BB403" s="492"/>
      <c r="BC403" s="492"/>
      <c r="BD403" s="492"/>
      <c r="BE403" s="492"/>
      <c r="BF403" s="492"/>
      <c r="BG403" s="492"/>
      <c r="BH403" s="492"/>
      <c r="BI403" s="492"/>
      <c r="BJ403" s="492"/>
      <c r="BK403" s="492"/>
      <c r="BL403" s="492"/>
      <c r="BM403" s="492"/>
      <c r="BN403" s="492"/>
      <c r="BO403" s="492"/>
      <c r="BP403" s="492"/>
      <c r="BQ403" s="493"/>
      <c r="BR403" s="493"/>
      <c r="BS403" s="493"/>
      <c r="BT403" s="493"/>
      <c r="BW403" s="210"/>
    </row>
    <row r="404" spans="1:75" ht="9.9499999999999993" hidden="1" customHeight="1">
      <c r="A404" s="490"/>
      <c r="B404" s="492"/>
      <c r="C404" s="492" t="s">
        <v>74</v>
      </c>
      <c r="D404" s="492"/>
      <c r="E404" s="492"/>
      <c r="F404" s="492"/>
      <c r="G404" s="498">
        <v>0.45</v>
      </c>
      <c r="H404" s="498"/>
      <c r="I404" s="498"/>
      <c r="J404" s="498"/>
      <c r="K404" s="498"/>
      <c r="L404" s="492"/>
      <c r="M404" s="492"/>
      <c r="N404" s="492" t="s">
        <v>75</v>
      </c>
      <c r="O404" s="492"/>
      <c r="P404" s="492"/>
      <c r="Q404" s="492"/>
      <c r="R404" s="492"/>
      <c r="S404" s="515">
        <v>15</v>
      </c>
      <c r="T404" s="498"/>
      <c r="U404" s="498"/>
      <c r="V404" s="498"/>
      <c r="W404" s="492" t="s">
        <v>76</v>
      </c>
      <c r="X404" s="492"/>
      <c r="Y404" s="492"/>
      <c r="Z404" s="492"/>
      <c r="AA404" s="492"/>
      <c r="AB404" s="492"/>
      <c r="AC404" s="492"/>
      <c r="AD404" s="492"/>
      <c r="AE404" s="492"/>
      <c r="AF404" s="492"/>
      <c r="AG404" s="492"/>
      <c r="AH404" s="492"/>
      <c r="AI404" s="492"/>
      <c r="AJ404" s="492"/>
      <c r="AK404" s="492"/>
      <c r="AL404" s="492"/>
      <c r="AM404" s="492"/>
      <c r="AN404" s="492"/>
      <c r="AO404" s="492"/>
      <c r="AP404" s="492"/>
      <c r="AQ404" s="492"/>
      <c r="AR404" s="492"/>
      <c r="AS404" s="492"/>
      <c r="AT404" s="492"/>
      <c r="AU404" s="492"/>
      <c r="AV404" s="492"/>
      <c r="AW404" s="492"/>
      <c r="AX404" s="492"/>
      <c r="AY404" s="492"/>
      <c r="AZ404" s="492"/>
      <c r="BA404" s="492"/>
      <c r="BB404" s="492"/>
      <c r="BC404" s="492"/>
      <c r="BD404" s="492"/>
      <c r="BE404" s="492"/>
      <c r="BF404" s="492"/>
      <c r="BG404" s="492"/>
      <c r="BH404" s="492"/>
      <c r="BI404" s="492"/>
      <c r="BJ404" s="492"/>
      <c r="BK404" s="492"/>
      <c r="BL404" s="492"/>
      <c r="BM404" s="492"/>
      <c r="BN404" s="492"/>
      <c r="BO404" s="492"/>
      <c r="BP404" s="492"/>
      <c r="BQ404" s="493"/>
      <c r="BR404" s="493"/>
      <c r="BS404" s="493"/>
      <c r="BT404" s="493"/>
      <c r="BW404" s="210"/>
    </row>
    <row r="405" spans="1:75" ht="9.9499999999999993" hidden="1" customHeight="1">
      <c r="A405" s="490"/>
      <c r="B405" s="492"/>
      <c r="C405" s="492" t="s">
        <v>143</v>
      </c>
      <c r="D405" s="492"/>
      <c r="E405" s="492"/>
      <c r="F405" s="492"/>
      <c r="G405" s="498">
        <v>3600</v>
      </c>
      <c r="H405" s="498"/>
      <c r="I405" s="498"/>
      <c r="J405" s="498"/>
      <c r="K405" s="498"/>
      <c r="L405" s="497" t="s">
        <v>100</v>
      </c>
      <c r="M405" s="497"/>
      <c r="N405" s="498">
        <f>G403</f>
        <v>0.2</v>
      </c>
      <c r="O405" s="498"/>
      <c r="P405" s="498"/>
      <c r="Q405" s="498"/>
      <c r="R405" s="497" t="s">
        <v>100</v>
      </c>
      <c r="S405" s="497"/>
      <c r="T405" s="498">
        <f>R403</f>
        <v>0.55000000000000004</v>
      </c>
      <c r="U405" s="498"/>
      <c r="V405" s="498"/>
      <c r="W405" s="498"/>
      <c r="X405" s="497" t="s">
        <v>100</v>
      </c>
      <c r="Y405" s="497"/>
      <c r="Z405" s="498">
        <f>AO403</f>
        <v>0.67</v>
      </c>
      <c r="AA405" s="498"/>
      <c r="AB405" s="498"/>
      <c r="AC405" s="498"/>
      <c r="AD405" s="497" t="s">
        <v>100</v>
      </c>
      <c r="AE405" s="497"/>
      <c r="AF405" s="498">
        <f>G404</f>
        <v>0.45</v>
      </c>
      <c r="AG405" s="498"/>
      <c r="AH405" s="498"/>
      <c r="AI405" s="498"/>
      <c r="AJ405" s="498"/>
      <c r="AK405" s="507" t="s">
        <v>99</v>
      </c>
      <c r="AL405" s="497"/>
      <c r="AM405" s="498">
        <f>S404</f>
        <v>15</v>
      </c>
      <c r="AN405" s="498"/>
      <c r="AO405" s="498"/>
      <c r="AP405" s="498"/>
      <c r="AQ405" s="507" t="s">
        <v>103</v>
      </c>
      <c r="AR405" s="497"/>
      <c r="AS405" s="498">
        <f>ROUND(G405*N405*T405*Z405*AF405/AM405,2)</f>
        <v>7.96</v>
      </c>
      <c r="AT405" s="498"/>
      <c r="AU405" s="498"/>
      <c r="AV405" s="498"/>
      <c r="AW405" s="498"/>
      <c r="AX405" s="492" t="s">
        <v>70</v>
      </c>
      <c r="AY405" s="492"/>
      <c r="AZ405" s="492"/>
      <c r="BA405" s="492"/>
      <c r="BB405" s="492"/>
      <c r="BC405" s="492"/>
      <c r="BD405" s="492"/>
      <c r="BE405" s="492"/>
      <c r="BF405" s="492"/>
      <c r="BG405" s="492"/>
      <c r="BH405" s="492"/>
      <c r="BI405" s="492"/>
      <c r="BJ405" s="492"/>
      <c r="BK405" s="492"/>
      <c r="BL405" s="492"/>
      <c r="BM405" s="492"/>
      <c r="BN405" s="492"/>
      <c r="BO405" s="492"/>
      <c r="BP405" s="492"/>
      <c r="BQ405" s="493"/>
      <c r="BR405" s="493"/>
      <c r="BS405" s="493"/>
      <c r="BT405" s="493"/>
      <c r="BW405" s="241"/>
    </row>
    <row r="406" spans="1:75" ht="9.9499999999999993" hidden="1" customHeight="1">
      <c r="A406" s="490"/>
      <c r="B406" s="492"/>
      <c r="C406" s="492" t="s">
        <v>66</v>
      </c>
      <c r="D406" s="492"/>
      <c r="E406" s="492"/>
      <c r="F406" s="492"/>
      <c r="G406" s="497"/>
      <c r="H406" s="497"/>
      <c r="I406" s="497"/>
      <c r="J406" s="497"/>
      <c r="K406" s="497"/>
      <c r="L406" s="492"/>
      <c r="M406" s="492"/>
      <c r="N406" s="1493" t="e">
        <f>'기계경비(OLD)'!$AT$41</f>
        <v>#REF!</v>
      </c>
      <c r="O406" s="1506"/>
      <c r="P406" s="1506"/>
      <c r="Q406" s="1506"/>
      <c r="R406" s="1506"/>
      <c r="S406" s="1506"/>
      <c r="T406" s="1506"/>
      <c r="U406" s="1506"/>
      <c r="V406" s="507" t="s">
        <v>99</v>
      </c>
      <c r="W406" s="497"/>
      <c r="X406" s="498">
        <f>AS405</f>
        <v>7.96</v>
      </c>
      <c r="Y406" s="498"/>
      <c r="Z406" s="498"/>
      <c r="AA406" s="498"/>
      <c r="AB406" s="498"/>
      <c r="AC406" s="498"/>
      <c r="AD406" s="507" t="s">
        <v>103</v>
      </c>
      <c r="AE406" s="497"/>
      <c r="AF406" s="498" t="e">
        <f>INT(N406/X406)</f>
        <v>#REF!</v>
      </c>
      <c r="AG406" s="498"/>
      <c r="AH406" s="498"/>
      <c r="AI406" s="498"/>
      <c r="AJ406" s="498"/>
      <c r="AK406" s="498"/>
      <c r="AL406" s="498"/>
      <c r="AM406" s="1496" t="s">
        <v>580</v>
      </c>
      <c r="AN406" s="1496"/>
      <c r="AO406" s="1496"/>
      <c r="AP406" s="1496"/>
      <c r="AQ406" s="1496"/>
      <c r="AR406" s="1496"/>
      <c r="AS406" s="1496"/>
      <c r="AT406" s="1496"/>
      <c r="AU406" s="1496"/>
      <c r="AV406" s="1496"/>
      <c r="AW406" s="1496"/>
      <c r="AX406" s="492"/>
      <c r="AY406" s="492"/>
      <c r="AZ406" s="492"/>
      <c r="BA406" s="492"/>
      <c r="BB406" s="492"/>
      <c r="BC406" s="492"/>
      <c r="BD406" s="492"/>
      <c r="BE406" s="492"/>
      <c r="BF406" s="492"/>
      <c r="BG406" s="492"/>
      <c r="BH406" s="492"/>
      <c r="BI406" s="492"/>
      <c r="BJ406" s="492"/>
      <c r="BK406" s="492"/>
      <c r="BL406" s="492"/>
      <c r="BM406" s="492"/>
      <c r="BN406" s="492"/>
      <c r="BO406" s="492"/>
      <c r="BP406" s="492"/>
      <c r="BQ406" s="499" t="e">
        <f>SUM(BR406:BT406)</f>
        <v>#REF!</v>
      </c>
      <c r="BR406" s="499"/>
      <c r="BS406" s="499" t="e">
        <f>AF406</f>
        <v>#REF!</v>
      </c>
      <c r="BT406" s="499"/>
      <c r="BW406" s="241"/>
    </row>
    <row r="407" spans="1:75" ht="9.9499999999999993" hidden="1" customHeight="1">
      <c r="A407" s="490"/>
      <c r="B407" s="492"/>
      <c r="C407" s="492" t="s">
        <v>67</v>
      </c>
      <c r="D407" s="492"/>
      <c r="E407" s="492"/>
      <c r="F407" s="492"/>
      <c r="G407" s="497"/>
      <c r="H407" s="497"/>
      <c r="I407" s="497"/>
      <c r="J407" s="497"/>
      <c r="K407" s="492"/>
      <c r="L407" s="492"/>
      <c r="M407" s="492"/>
      <c r="N407" s="1493">
        <f>'기계경비(OLD)'!$BU$34</f>
        <v>59025</v>
      </c>
      <c r="O407" s="1506"/>
      <c r="P407" s="1506"/>
      <c r="Q407" s="1506"/>
      <c r="R407" s="1506"/>
      <c r="S407" s="1506"/>
      <c r="T407" s="1506"/>
      <c r="U407" s="1506"/>
      <c r="V407" s="507" t="s">
        <v>99</v>
      </c>
      <c r="W407" s="497"/>
      <c r="X407" s="498">
        <f>X406</f>
        <v>7.96</v>
      </c>
      <c r="Y407" s="498"/>
      <c r="Z407" s="498"/>
      <c r="AA407" s="498"/>
      <c r="AB407" s="498"/>
      <c r="AC407" s="498"/>
      <c r="AD407" s="507" t="s">
        <v>103</v>
      </c>
      <c r="AE407" s="497"/>
      <c r="AF407" s="498">
        <f>INT(N407/X407)</f>
        <v>7415</v>
      </c>
      <c r="AG407" s="498"/>
      <c r="AH407" s="498"/>
      <c r="AI407" s="498"/>
      <c r="AJ407" s="498"/>
      <c r="AK407" s="498"/>
      <c r="AL407" s="498"/>
      <c r="AM407" s="1496" t="s">
        <v>580</v>
      </c>
      <c r="AN407" s="1496"/>
      <c r="AO407" s="1496"/>
      <c r="AP407" s="1496"/>
      <c r="AQ407" s="1496"/>
      <c r="AR407" s="1496"/>
      <c r="AS407" s="1496"/>
      <c r="AT407" s="1496"/>
      <c r="AU407" s="1496"/>
      <c r="AV407" s="1496"/>
      <c r="AW407" s="1496"/>
      <c r="AX407" s="492"/>
      <c r="AY407" s="492"/>
      <c r="AZ407" s="492"/>
      <c r="BA407" s="492"/>
      <c r="BB407" s="492"/>
      <c r="BC407" s="492"/>
      <c r="BD407" s="492"/>
      <c r="BE407" s="492"/>
      <c r="BF407" s="492"/>
      <c r="BG407" s="492"/>
      <c r="BH407" s="492"/>
      <c r="BI407" s="492"/>
      <c r="BJ407" s="492"/>
      <c r="BK407" s="492"/>
      <c r="BL407" s="492"/>
      <c r="BM407" s="492"/>
      <c r="BN407" s="492"/>
      <c r="BO407" s="492"/>
      <c r="BP407" s="492"/>
      <c r="BQ407" s="499">
        <f>SUM(BR407:BT407)</f>
        <v>7415</v>
      </c>
      <c r="BR407" s="499">
        <f>AF407</f>
        <v>7415</v>
      </c>
      <c r="BS407" s="499"/>
      <c r="BT407" s="499"/>
      <c r="BW407" s="241"/>
    </row>
    <row r="408" spans="1:75" ht="9.9499999999999993" hidden="1" customHeight="1">
      <c r="A408" s="490"/>
      <c r="B408" s="492"/>
      <c r="C408" s="492" t="s">
        <v>68</v>
      </c>
      <c r="D408" s="492"/>
      <c r="E408" s="492"/>
      <c r="F408" s="492"/>
      <c r="G408" s="492"/>
      <c r="H408" s="492"/>
      <c r="I408" s="492"/>
      <c r="J408" s="492"/>
      <c r="K408" s="492"/>
      <c r="L408" s="492"/>
      <c r="M408" s="492"/>
      <c r="N408" s="1493">
        <f>'기계경비(OLD)'!$BN$45</f>
        <v>13873</v>
      </c>
      <c r="O408" s="1506"/>
      <c r="P408" s="1506"/>
      <c r="Q408" s="1506"/>
      <c r="R408" s="1506"/>
      <c r="S408" s="1506"/>
      <c r="T408" s="1506"/>
      <c r="U408" s="1506"/>
      <c r="V408" s="507" t="s">
        <v>99</v>
      </c>
      <c r="W408" s="497"/>
      <c r="X408" s="498">
        <f>X407</f>
        <v>7.96</v>
      </c>
      <c r="Y408" s="498"/>
      <c r="Z408" s="498"/>
      <c r="AA408" s="498"/>
      <c r="AB408" s="498"/>
      <c r="AC408" s="498"/>
      <c r="AD408" s="507" t="s">
        <v>103</v>
      </c>
      <c r="AE408" s="497"/>
      <c r="AF408" s="498">
        <f>INT(N408/X408)</f>
        <v>1742</v>
      </c>
      <c r="AG408" s="498"/>
      <c r="AH408" s="498"/>
      <c r="AI408" s="498"/>
      <c r="AJ408" s="498"/>
      <c r="AK408" s="498"/>
      <c r="AL408" s="498"/>
      <c r="AM408" s="1496" t="s">
        <v>580</v>
      </c>
      <c r="AN408" s="1496"/>
      <c r="AO408" s="1496"/>
      <c r="AP408" s="1496"/>
      <c r="AQ408" s="1496"/>
      <c r="AR408" s="1496"/>
      <c r="AS408" s="1496"/>
      <c r="AT408" s="1496"/>
      <c r="AU408" s="1496"/>
      <c r="AV408" s="1496"/>
      <c r="AW408" s="1496"/>
      <c r="AX408" s="492"/>
      <c r="AY408" s="492"/>
      <c r="AZ408" s="492"/>
      <c r="BA408" s="492"/>
      <c r="BB408" s="492"/>
      <c r="BC408" s="492"/>
      <c r="BD408" s="492"/>
      <c r="BE408" s="492"/>
      <c r="BF408" s="492"/>
      <c r="BG408" s="492"/>
      <c r="BH408" s="492"/>
      <c r="BI408" s="492"/>
      <c r="BJ408" s="492"/>
      <c r="BK408" s="492"/>
      <c r="BL408" s="492"/>
      <c r="BM408" s="492"/>
      <c r="BN408" s="492"/>
      <c r="BO408" s="492"/>
      <c r="BP408" s="492"/>
      <c r="BQ408" s="499">
        <f>SUM(BR408:BT408)</f>
        <v>1742</v>
      </c>
      <c r="BR408" s="499"/>
      <c r="BS408" s="499"/>
      <c r="BT408" s="499">
        <f>AF408</f>
        <v>1742</v>
      </c>
    </row>
    <row r="409" spans="1:75" ht="9.9499999999999993" hidden="1" customHeight="1">
      <c r="A409" s="490"/>
      <c r="B409" s="492"/>
      <c r="C409" s="492" t="s">
        <v>63</v>
      </c>
      <c r="D409" s="492"/>
      <c r="E409" s="492"/>
      <c r="F409" s="492"/>
      <c r="G409" s="492"/>
      <c r="H409" s="492"/>
      <c r="I409" s="492"/>
      <c r="J409" s="492"/>
      <c r="K409" s="492"/>
      <c r="L409" s="502"/>
      <c r="M409" s="492"/>
      <c r="N409" s="492"/>
      <c r="O409" s="492"/>
      <c r="P409" s="492"/>
      <c r="Q409" s="492"/>
      <c r="R409" s="492"/>
      <c r="S409" s="492"/>
      <c r="T409" s="496"/>
      <c r="U409" s="492"/>
      <c r="V409" s="492"/>
      <c r="W409" s="492"/>
      <c r="X409" s="492"/>
      <c r="Y409" s="492"/>
      <c r="Z409" s="492"/>
      <c r="AA409" s="492"/>
      <c r="AB409" s="492"/>
      <c r="AC409" s="492"/>
      <c r="AD409" s="492"/>
      <c r="AE409" s="492"/>
      <c r="AF409" s="492"/>
      <c r="AG409" s="492"/>
      <c r="AH409" s="492"/>
      <c r="AI409" s="496"/>
      <c r="AJ409" s="492"/>
      <c r="AK409" s="492"/>
      <c r="AL409" s="492"/>
      <c r="AM409" s="492"/>
      <c r="AN409" s="492"/>
      <c r="AO409" s="492"/>
      <c r="AP409" s="492"/>
      <c r="AQ409" s="492"/>
      <c r="AR409" s="492"/>
      <c r="AS409" s="492"/>
      <c r="AT409" s="492"/>
      <c r="AU409" s="492"/>
      <c r="AV409" s="492"/>
      <c r="AW409" s="492"/>
      <c r="AX409" s="492"/>
      <c r="AY409" s="492"/>
      <c r="AZ409" s="492"/>
      <c r="BA409" s="492"/>
      <c r="BB409" s="492"/>
      <c r="BC409" s="492"/>
      <c r="BD409" s="492"/>
      <c r="BE409" s="492"/>
      <c r="BF409" s="492"/>
      <c r="BG409" s="492"/>
      <c r="BH409" s="492"/>
      <c r="BI409" s="492"/>
      <c r="BJ409" s="492"/>
      <c r="BK409" s="492"/>
      <c r="BL409" s="492"/>
      <c r="BM409" s="492"/>
      <c r="BN409" s="492"/>
      <c r="BO409" s="492"/>
      <c r="BP409" s="492"/>
      <c r="BQ409" s="503" t="e">
        <f>SUM(BQ397:BQ408)</f>
        <v>#REF!</v>
      </c>
      <c r="BR409" s="503">
        <f>SUM(BR397:BR408)</f>
        <v>12680</v>
      </c>
      <c r="BS409" s="503" t="e">
        <f>SUM(BS397:BS408)</f>
        <v>#REF!</v>
      </c>
      <c r="BT409" s="503" t="e">
        <f>SUM(BT397:BT408)</f>
        <v>#REF!</v>
      </c>
    </row>
    <row r="410" spans="1:75" ht="9.9499999999999993" hidden="1" customHeight="1">
      <c r="A410" s="490"/>
      <c r="B410" s="492"/>
      <c r="C410" s="492"/>
      <c r="D410" s="492"/>
      <c r="E410" s="492"/>
      <c r="F410" s="492"/>
      <c r="G410" s="492"/>
      <c r="H410" s="492"/>
      <c r="I410" s="492"/>
      <c r="J410" s="492"/>
      <c r="K410" s="492"/>
      <c r="L410" s="502"/>
      <c r="M410" s="492"/>
      <c r="N410" s="492"/>
      <c r="O410" s="492"/>
      <c r="P410" s="492"/>
      <c r="Q410" s="492"/>
      <c r="R410" s="492"/>
      <c r="S410" s="492"/>
      <c r="T410" s="496"/>
      <c r="U410" s="492"/>
      <c r="V410" s="492"/>
      <c r="W410" s="492"/>
      <c r="X410" s="492"/>
      <c r="Y410" s="492"/>
      <c r="Z410" s="492"/>
      <c r="AA410" s="492"/>
      <c r="AB410" s="492"/>
      <c r="AC410" s="492"/>
      <c r="AD410" s="492"/>
      <c r="AE410" s="492"/>
      <c r="AF410" s="492"/>
      <c r="AG410" s="492"/>
      <c r="AH410" s="492"/>
      <c r="AI410" s="496"/>
      <c r="AJ410" s="492"/>
      <c r="AK410" s="492"/>
      <c r="AL410" s="492"/>
      <c r="AM410" s="492"/>
      <c r="AN410" s="492"/>
      <c r="AO410" s="492"/>
      <c r="AP410" s="492"/>
      <c r="AQ410" s="492"/>
      <c r="AR410" s="492"/>
      <c r="AS410" s="492"/>
      <c r="AT410" s="492"/>
      <c r="AU410" s="492"/>
      <c r="AV410" s="492"/>
      <c r="AW410" s="492"/>
      <c r="AX410" s="492"/>
      <c r="AY410" s="492"/>
      <c r="AZ410" s="492"/>
      <c r="BA410" s="492"/>
      <c r="BB410" s="492"/>
      <c r="BC410" s="492"/>
      <c r="BD410" s="492"/>
      <c r="BE410" s="492"/>
      <c r="BF410" s="492"/>
      <c r="BG410" s="492"/>
      <c r="BH410" s="492"/>
      <c r="BI410" s="492"/>
      <c r="BJ410" s="492"/>
      <c r="BK410" s="492"/>
      <c r="BL410" s="492"/>
      <c r="BM410" s="492"/>
      <c r="BN410" s="492"/>
      <c r="BO410" s="492"/>
      <c r="BP410" s="492"/>
      <c r="BQ410" s="499"/>
      <c r="BR410" s="499"/>
      <c r="BS410" s="499"/>
      <c r="BT410" s="499"/>
    </row>
    <row r="411" spans="1:75" ht="9.9499999999999993" hidden="1" customHeight="1" thickBot="1">
      <c r="A411" s="490"/>
      <c r="B411" s="492"/>
      <c r="C411" s="518" t="s">
        <v>69</v>
      </c>
      <c r="D411" s="518"/>
      <c r="E411" s="518"/>
      <c r="F411" s="518"/>
      <c r="G411" s="518"/>
      <c r="H411" s="518"/>
      <c r="I411" s="518"/>
      <c r="J411" s="518"/>
      <c r="K411" s="518"/>
      <c r="L411" s="519"/>
      <c r="M411" s="518"/>
      <c r="N411" s="518"/>
      <c r="O411" s="518"/>
      <c r="P411" s="518"/>
      <c r="Q411" s="518"/>
      <c r="R411" s="518"/>
      <c r="S411" s="518"/>
      <c r="T411" s="520"/>
      <c r="U411" s="518"/>
      <c r="V411" s="518"/>
      <c r="W411" s="518"/>
      <c r="X411" s="518"/>
      <c r="Y411" s="518"/>
      <c r="Z411" s="518"/>
      <c r="AA411" s="518"/>
      <c r="AB411" s="518"/>
      <c r="AC411" s="518"/>
      <c r="AD411" s="518"/>
      <c r="AE411" s="518"/>
      <c r="AF411" s="518"/>
      <c r="AG411" s="518"/>
      <c r="AH411" s="518"/>
      <c r="AI411" s="520"/>
      <c r="AJ411" s="518"/>
      <c r="AK411" s="518"/>
      <c r="AL411" s="518"/>
      <c r="AM411" s="518"/>
      <c r="AN411" s="518"/>
      <c r="AO411" s="518"/>
      <c r="AP411" s="518"/>
      <c r="AQ411" s="518"/>
      <c r="AR411" s="518"/>
      <c r="AS411" s="518"/>
      <c r="AT411" s="518"/>
      <c r="AU411" s="518"/>
      <c r="AV411" s="518"/>
      <c r="AW411" s="518"/>
      <c r="AX411" s="518"/>
      <c r="AY411" s="518"/>
      <c r="AZ411" s="518"/>
      <c r="BA411" s="518"/>
      <c r="BB411" s="518"/>
      <c r="BC411" s="518"/>
      <c r="BD411" s="518"/>
      <c r="BE411" s="518"/>
      <c r="BF411" s="518"/>
      <c r="BG411" s="518"/>
      <c r="BH411" s="518"/>
      <c r="BI411" s="518"/>
      <c r="BJ411" s="518"/>
      <c r="BK411" s="518"/>
      <c r="BL411" s="518"/>
      <c r="BM411" s="518"/>
      <c r="BN411" s="518"/>
      <c r="BO411" s="518"/>
      <c r="BP411" s="518"/>
      <c r="BQ411" s="521" t="e">
        <f>BQ394+BQ409</f>
        <v>#REF!</v>
      </c>
      <c r="BR411" s="521">
        <f>BR394+BR409</f>
        <v>27076</v>
      </c>
      <c r="BS411" s="521" t="e">
        <f>BS394+BS409</f>
        <v>#REF!</v>
      </c>
      <c r="BT411" s="521" t="e">
        <f>BT394+BT409</f>
        <v>#REF!</v>
      </c>
    </row>
    <row r="412" spans="1:75" ht="9.9499999999999993" hidden="1" customHeight="1" thickTop="1">
      <c r="A412" s="490"/>
      <c r="B412" s="492"/>
      <c r="C412" s="492"/>
      <c r="D412" s="492"/>
      <c r="E412" s="492"/>
      <c r="F412" s="492"/>
      <c r="G412" s="492"/>
      <c r="H412" s="492"/>
      <c r="I412" s="492"/>
      <c r="J412" s="492"/>
      <c r="K412" s="492"/>
      <c r="L412" s="502"/>
      <c r="M412" s="492"/>
      <c r="N412" s="492"/>
      <c r="O412" s="492"/>
      <c r="P412" s="492"/>
      <c r="Q412" s="492"/>
      <c r="R412" s="492"/>
      <c r="S412" s="492"/>
      <c r="T412" s="496"/>
      <c r="U412" s="492"/>
      <c r="V412" s="492"/>
      <c r="W412" s="492"/>
      <c r="X412" s="492"/>
      <c r="Y412" s="492"/>
      <c r="Z412" s="492"/>
      <c r="AA412" s="492"/>
      <c r="AB412" s="492"/>
      <c r="AC412" s="492"/>
      <c r="AD412" s="492"/>
      <c r="AE412" s="492"/>
      <c r="AF412" s="492"/>
      <c r="AG412" s="492"/>
      <c r="AH412" s="492"/>
      <c r="AI412" s="496"/>
      <c r="AJ412" s="492"/>
      <c r="AK412" s="492"/>
      <c r="AL412" s="492"/>
      <c r="AM412" s="492"/>
      <c r="AN412" s="492"/>
      <c r="AO412" s="492"/>
      <c r="AP412" s="492"/>
      <c r="AQ412" s="492"/>
      <c r="AR412" s="492"/>
      <c r="AS412" s="492"/>
      <c r="AT412" s="492"/>
      <c r="AU412" s="492"/>
      <c r="AV412" s="492"/>
      <c r="AW412" s="492"/>
      <c r="AX412" s="492"/>
      <c r="AY412" s="492"/>
      <c r="AZ412" s="492"/>
      <c r="BA412" s="492"/>
      <c r="BB412" s="492"/>
      <c r="BC412" s="492"/>
      <c r="BD412" s="492"/>
      <c r="BE412" s="492"/>
      <c r="BF412" s="492"/>
      <c r="BG412" s="492"/>
      <c r="BH412" s="492"/>
      <c r="BI412" s="492"/>
      <c r="BJ412" s="492"/>
      <c r="BK412" s="492"/>
      <c r="BL412" s="492"/>
      <c r="BM412" s="492"/>
      <c r="BN412" s="492"/>
      <c r="BO412" s="492"/>
      <c r="BP412" s="492"/>
      <c r="BQ412" s="499"/>
      <c r="BR412" s="499"/>
      <c r="BS412" s="499"/>
      <c r="BT412" s="499"/>
    </row>
    <row r="413" spans="1:75" ht="9.9499999999999993" hidden="1" customHeight="1">
      <c r="A413" s="490"/>
      <c r="B413" s="492"/>
      <c r="C413" s="492"/>
      <c r="D413" s="492"/>
      <c r="E413" s="492"/>
      <c r="F413" s="492"/>
      <c r="G413" s="492"/>
      <c r="H413" s="492"/>
      <c r="I413" s="492"/>
      <c r="J413" s="492"/>
      <c r="K413" s="492"/>
      <c r="L413" s="502"/>
      <c r="M413" s="492"/>
      <c r="N413" s="492"/>
      <c r="O413" s="492"/>
      <c r="P413" s="492"/>
      <c r="Q413" s="492"/>
      <c r="R413" s="492"/>
      <c r="S413" s="492"/>
      <c r="T413" s="496"/>
      <c r="U413" s="492"/>
      <c r="V413" s="492"/>
      <c r="W413" s="492"/>
      <c r="X413" s="492"/>
      <c r="Y413" s="492"/>
      <c r="Z413" s="492"/>
      <c r="AA413" s="492"/>
      <c r="AB413" s="492"/>
      <c r="AC413" s="492"/>
      <c r="AD413" s="492"/>
      <c r="AE413" s="492"/>
      <c r="AF413" s="492"/>
      <c r="AG413" s="492"/>
      <c r="AH413" s="492"/>
      <c r="AI413" s="496"/>
      <c r="AJ413" s="492"/>
      <c r="AK413" s="492"/>
      <c r="AL413" s="492"/>
      <c r="AM413" s="492"/>
      <c r="AN413" s="492"/>
      <c r="AO413" s="492"/>
      <c r="AP413" s="492"/>
      <c r="AQ413" s="492"/>
      <c r="AR413" s="492"/>
      <c r="AS413" s="492"/>
      <c r="AT413" s="492"/>
      <c r="AU413" s="492"/>
      <c r="AV413" s="492"/>
      <c r="AW413" s="492"/>
      <c r="AX413" s="492"/>
      <c r="AY413" s="492"/>
      <c r="AZ413" s="492"/>
      <c r="BA413" s="492"/>
      <c r="BB413" s="492"/>
      <c r="BC413" s="492"/>
      <c r="BD413" s="492"/>
      <c r="BE413" s="492"/>
      <c r="BF413" s="492"/>
      <c r="BG413" s="492"/>
      <c r="BH413" s="492"/>
      <c r="BI413" s="492"/>
      <c r="BJ413" s="492"/>
      <c r="BK413" s="492"/>
      <c r="BL413" s="492"/>
      <c r="BM413" s="492"/>
      <c r="BN413" s="492"/>
      <c r="BO413" s="492"/>
      <c r="BP413" s="492"/>
      <c r="BQ413" s="499"/>
      <c r="BR413" s="499"/>
      <c r="BS413" s="499"/>
      <c r="BT413" s="499"/>
    </row>
    <row r="414" spans="1:75" ht="9.9499999999999993" hidden="1" customHeight="1">
      <c r="A414" s="490"/>
      <c r="B414" s="492"/>
      <c r="C414" s="492"/>
      <c r="D414" s="492"/>
      <c r="E414" s="492"/>
      <c r="F414" s="492"/>
      <c r="G414" s="492"/>
      <c r="H414" s="492"/>
      <c r="I414" s="492"/>
      <c r="J414" s="492"/>
      <c r="K414" s="492"/>
      <c r="L414" s="502"/>
      <c r="M414" s="492"/>
      <c r="N414" s="492"/>
      <c r="O414" s="492"/>
      <c r="P414" s="492"/>
      <c r="Q414" s="492"/>
      <c r="R414" s="492"/>
      <c r="S414" s="492"/>
      <c r="T414" s="496"/>
      <c r="U414" s="492"/>
      <c r="V414" s="492"/>
      <c r="W414" s="492"/>
      <c r="X414" s="492"/>
      <c r="Y414" s="492"/>
      <c r="Z414" s="492"/>
      <c r="AA414" s="492"/>
      <c r="AB414" s="492"/>
      <c r="AC414" s="492"/>
      <c r="AD414" s="492"/>
      <c r="AE414" s="492"/>
      <c r="AF414" s="492"/>
      <c r="AG414" s="492"/>
      <c r="AH414" s="492"/>
      <c r="AI414" s="496"/>
      <c r="AJ414" s="492"/>
      <c r="AK414" s="492"/>
      <c r="AL414" s="492"/>
      <c r="AM414" s="492"/>
      <c r="AN414" s="492"/>
      <c r="AO414" s="492"/>
      <c r="AP414" s="492"/>
      <c r="AQ414" s="492"/>
      <c r="AR414" s="492"/>
      <c r="AS414" s="492"/>
      <c r="AT414" s="492"/>
      <c r="AU414" s="492"/>
      <c r="AV414" s="492"/>
      <c r="AW414" s="492"/>
      <c r="AX414" s="492"/>
      <c r="AY414" s="492"/>
      <c r="AZ414" s="492"/>
      <c r="BA414" s="492"/>
      <c r="BB414" s="492"/>
      <c r="BC414" s="492"/>
      <c r="BD414" s="492"/>
      <c r="BE414" s="492"/>
      <c r="BF414" s="492"/>
      <c r="BG414" s="492"/>
      <c r="BH414" s="492"/>
      <c r="BI414" s="492"/>
      <c r="BJ414" s="492"/>
      <c r="BK414" s="492"/>
      <c r="BL414" s="492"/>
      <c r="BM414" s="492"/>
      <c r="BN414" s="492"/>
      <c r="BO414" s="492"/>
      <c r="BP414" s="492"/>
      <c r="BQ414" s="499"/>
      <c r="BR414" s="499"/>
      <c r="BS414" s="499"/>
      <c r="BT414" s="499"/>
    </row>
    <row r="415" spans="1:75" ht="9.9499999999999993" hidden="1" customHeight="1">
      <c r="A415" s="490"/>
      <c r="B415" s="492"/>
      <c r="C415" s="492"/>
      <c r="D415" s="492"/>
      <c r="E415" s="492"/>
      <c r="F415" s="492"/>
      <c r="G415" s="492"/>
      <c r="H415" s="492"/>
      <c r="I415" s="492"/>
      <c r="J415" s="492"/>
      <c r="K415" s="492"/>
      <c r="L415" s="502"/>
      <c r="M415" s="492"/>
      <c r="N415" s="492"/>
      <c r="O415" s="492"/>
      <c r="P415" s="492"/>
      <c r="Q415" s="492"/>
      <c r="R415" s="492"/>
      <c r="S415" s="492"/>
      <c r="T415" s="496"/>
      <c r="U415" s="492"/>
      <c r="V415" s="492"/>
      <c r="W415" s="492"/>
      <c r="X415" s="492"/>
      <c r="Y415" s="492"/>
      <c r="Z415" s="492"/>
      <c r="AA415" s="492"/>
      <c r="AB415" s="492"/>
      <c r="AC415" s="492"/>
      <c r="AD415" s="492"/>
      <c r="AE415" s="492"/>
      <c r="AF415" s="492"/>
      <c r="AG415" s="492"/>
      <c r="AH415" s="492"/>
      <c r="AI415" s="496"/>
      <c r="AJ415" s="492"/>
      <c r="AK415" s="492"/>
      <c r="AL415" s="492"/>
      <c r="AM415" s="492"/>
      <c r="AN415" s="492"/>
      <c r="AO415" s="492"/>
      <c r="AP415" s="492"/>
      <c r="AQ415" s="492"/>
      <c r="AR415" s="492"/>
      <c r="AS415" s="492"/>
      <c r="AT415" s="492"/>
      <c r="AU415" s="492"/>
      <c r="AV415" s="492"/>
      <c r="AW415" s="492"/>
      <c r="AX415" s="492"/>
      <c r="AY415" s="492"/>
      <c r="AZ415" s="492"/>
      <c r="BA415" s="492"/>
      <c r="BB415" s="492"/>
      <c r="BC415" s="492"/>
      <c r="BD415" s="492"/>
      <c r="BE415" s="492"/>
      <c r="BF415" s="492"/>
      <c r="BG415" s="492"/>
      <c r="BH415" s="492"/>
      <c r="BI415" s="492"/>
      <c r="BJ415" s="492"/>
      <c r="BK415" s="492"/>
      <c r="BL415" s="492"/>
      <c r="BM415" s="492"/>
      <c r="BN415" s="492"/>
      <c r="BO415" s="492"/>
      <c r="BP415" s="492"/>
      <c r="BQ415" s="499"/>
      <c r="BR415" s="499"/>
      <c r="BS415" s="499"/>
      <c r="BT415" s="499"/>
    </row>
    <row r="416" spans="1:75" ht="9.9499999999999993" hidden="1" customHeight="1">
      <c r="A416" s="490"/>
      <c r="B416" s="492"/>
      <c r="C416" s="492"/>
      <c r="D416" s="492"/>
      <c r="E416" s="492"/>
      <c r="F416" s="492"/>
      <c r="G416" s="492"/>
      <c r="H416" s="492"/>
      <c r="I416" s="492"/>
      <c r="J416" s="492"/>
      <c r="K416" s="492"/>
      <c r="L416" s="502"/>
      <c r="M416" s="492"/>
      <c r="N416" s="492"/>
      <c r="O416" s="492"/>
      <c r="P416" s="492"/>
      <c r="Q416" s="492"/>
      <c r="R416" s="492"/>
      <c r="S416" s="492"/>
      <c r="T416" s="496"/>
      <c r="U416" s="492"/>
      <c r="V416" s="492"/>
      <c r="W416" s="492"/>
      <c r="X416" s="492"/>
      <c r="Y416" s="492"/>
      <c r="Z416" s="492"/>
      <c r="AA416" s="492"/>
      <c r="AB416" s="492"/>
      <c r="AC416" s="492"/>
      <c r="AD416" s="492"/>
      <c r="AE416" s="492"/>
      <c r="AF416" s="492"/>
      <c r="AG416" s="492"/>
      <c r="AH416" s="492"/>
      <c r="AI416" s="496"/>
      <c r="AJ416" s="492"/>
      <c r="AK416" s="492"/>
      <c r="AL416" s="492"/>
      <c r="AM416" s="492"/>
      <c r="AN416" s="492"/>
      <c r="AO416" s="492"/>
      <c r="AP416" s="492"/>
      <c r="AQ416" s="492"/>
      <c r="AR416" s="492"/>
      <c r="AS416" s="492"/>
      <c r="AT416" s="492"/>
      <c r="AU416" s="492"/>
      <c r="AV416" s="492"/>
      <c r="AW416" s="492"/>
      <c r="AX416" s="492"/>
      <c r="AY416" s="492"/>
      <c r="AZ416" s="492"/>
      <c r="BA416" s="492"/>
      <c r="BB416" s="492"/>
      <c r="BC416" s="492"/>
      <c r="BD416" s="492"/>
      <c r="BE416" s="492"/>
      <c r="BF416" s="492"/>
      <c r="BG416" s="492"/>
      <c r="BH416" s="492"/>
      <c r="BI416" s="492"/>
      <c r="BJ416" s="492"/>
      <c r="BK416" s="492"/>
      <c r="BL416" s="492"/>
      <c r="BM416" s="492"/>
      <c r="BN416" s="492"/>
      <c r="BO416" s="492"/>
      <c r="BP416" s="492"/>
      <c r="BQ416" s="499"/>
      <c r="BR416" s="499"/>
      <c r="BS416" s="499"/>
      <c r="BT416" s="499"/>
    </row>
    <row r="417" spans="1:72" ht="9.9499999999999993" hidden="1" customHeight="1">
      <c r="A417" s="490"/>
      <c r="B417" s="492"/>
      <c r="C417" s="492"/>
      <c r="D417" s="492"/>
      <c r="E417" s="492"/>
      <c r="F417" s="492"/>
      <c r="G417" s="492"/>
      <c r="H417" s="492"/>
      <c r="I417" s="492"/>
      <c r="J417" s="492"/>
      <c r="K417" s="492"/>
      <c r="L417" s="502"/>
      <c r="M417" s="492"/>
      <c r="N417" s="492"/>
      <c r="O417" s="492"/>
      <c r="P417" s="492"/>
      <c r="Q417" s="492"/>
      <c r="R417" s="492"/>
      <c r="S417" s="492"/>
      <c r="T417" s="496"/>
      <c r="U417" s="492"/>
      <c r="V417" s="492"/>
      <c r="W417" s="492"/>
      <c r="X417" s="492"/>
      <c r="Y417" s="492"/>
      <c r="Z417" s="492"/>
      <c r="AA417" s="492"/>
      <c r="AB417" s="492"/>
      <c r="AC417" s="492"/>
      <c r="AD417" s="492"/>
      <c r="AE417" s="492"/>
      <c r="AF417" s="492"/>
      <c r="AG417" s="492"/>
      <c r="AH417" s="492"/>
      <c r="AI417" s="496"/>
      <c r="AJ417" s="492"/>
      <c r="AK417" s="492"/>
      <c r="AL417" s="492"/>
      <c r="AM417" s="492"/>
      <c r="AN417" s="492"/>
      <c r="AO417" s="492"/>
      <c r="AP417" s="492"/>
      <c r="AQ417" s="492"/>
      <c r="AR417" s="492"/>
      <c r="AS417" s="492"/>
      <c r="AT417" s="492"/>
      <c r="AU417" s="492"/>
      <c r="AV417" s="492"/>
      <c r="AW417" s="492"/>
      <c r="AX417" s="492"/>
      <c r="AY417" s="492"/>
      <c r="AZ417" s="492"/>
      <c r="BA417" s="492"/>
      <c r="BB417" s="492"/>
      <c r="BC417" s="492"/>
      <c r="BD417" s="492"/>
      <c r="BE417" s="492"/>
      <c r="BF417" s="492"/>
      <c r="BG417" s="492"/>
      <c r="BH417" s="492"/>
      <c r="BI417" s="492"/>
      <c r="BJ417" s="492"/>
      <c r="BK417" s="492"/>
      <c r="BL417" s="492"/>
      <c r="BM417" s="492"/>
      <c r="BN417" s="492"/>
      <c r="BO417" s="492"/>
      <c r="BP417" s="492"/>
      <c r="BQ417" s="499"/>
      <c r="BR417" s="499"/>
      <c r="BS417" s="499"/>
      <c r="BT417" s="499"/>
    </row>
    <row r="418" spans="1:72" ht="9.9499999999999993" hidden="1" customHeight="1">
      <c r="A418" s="490"/>
      <c r="B418" s="492"/>
      <c r="C418" s="492"/>
      <c r="D418" s="492"/>
      <c r="E418" s="492"/>
      <c r="F418" s="492"/>
      <c r="G418" s="492"/>
      <c r="H418" s="492"/>
      <c r="I418" s="492"/>
      <c r="J418" s="492"/>
      <c r="K418" s="492"/>
      <c r="L418" s="502"/>
      <c r="M418" s="492"/>
      <c r="N418" s="492"/>
      <c r="O418" s="492"/>
      <c r="P418" s="492"/>
      <c r="Q418" s="492"/>
      <c r="R418" s="492"/>
      <c r="S418" s="492"/>
      <c r="T418" s="496"/>
      <c r="U418" s="492"/>
      <c r="V418" s="492"/>
      <c r="W418" s="492"/>
      <c r="X418" s="492"/>
      <c r="Y418" s="492"/>
      <c r="Z418" s="492"/>
      <c r="AA418" s="492"/>
      <c r="AB418" s="492"/>
      <c r="AC418" s="492"/>
      <c r="AD418" s="492"/>
      <c r="AE418" s="492"/>
      <c r="AF418" s="492"/>
      <c r="AG418" s="492"/>
      <c r="AH418" s="492"/>
      <c r="AI418" s="496"/>
      <c r="AJ418" s="492"/>
      <c r="AK418" s="492"/>
      <c r="AL418" s="492"/>
      <c r="AM418" s="492"/>
      <c r="AN418" s="492"/>
      <c r="AO418" s="492"/>
      <c r="AP418" s="492"/>
      <c r="AQ418" s="492"/>
      <c r="AR418" s="492"/>
      <c r="AS418" s="492"/>
      <c r="AT418" s="492"/>
      <c r="AU418" s="492"/>
      <c r="AV418" s="492"/>
      <c r="AW418" s="492"/>
      <c r="AX418" s="492"/>
      <c r="AY418" s="492"/>
      <c r="AZ418" s="492"/>
      <c r="BA418" s="492"/>
      <c r="BB418" s="492"/>
      <c r="BC418" s="492"/>
      <c r="BD418" s="492"/>
      <c r="BE418" s="492"/>
      <c r="BF418" s="492"/>
      <c r="BG418" s="492"/>
      <c r="BH418" s="492"/>
      <c r="BI418" s="492"/>
      <c r="BJ418" s="492"/>
      <c r="BK418" s="492"/>
      <c r="BL418" s="492"/>
      <c r="BM418" s="492"/>
      <c r="BN418" s="492"/>
      <c r="BO418" s="492"/>
      <c r="BP418" s="492"/>
      <c r="BQ418" s="499"/>
      <c r="BR418" s="499"/>
      <c r="BS418" s="499"/>
      <c r="BT418" s="499"/>
    </row>
    <row r="419" spans="1:72" ht="9.9499999999999993" hidden="1" customHeight="1">
      <c r="A419" s="490"/>
      <c r="B419" s="492"/>
      <c r="C419" s="492"/>
      <c r="D419" s="492"/>
      <c r="E419" s="492"/>
      <c r="F419" s="492"/>
      <c r="G419" s="492"/>
      <c r="H419" s="492"/>
      <c r="I419" s="492"/>
      <c r="J419" s="492"/>
      <c r="K419" s="492"/>
      <c r="L419" s="502"/>
      <c r="M419" s="492"/>
      <c r="N419" s="492"/>
      <c r="O419" s="492"/>
      <c r="P419" s="492"/>
      <c r="Q419" s="492"/>
      <c r="R419" s="492"/>
      <c r="S419" s="492"/>
      <c r="T419" s="496"/>
      <c r="U419" s="492"/>
      <c r="V419" s="492"/>
      <c r="W419" s="492"/>
      <c r="X419" s="492"/>
      <c r="Y419" s="492"/>
      <c r="Z419" s="492"/>
      <c r="AA419" s="492"/>
      <c r="AB419" s="492"/>
      <c r="AC419" s="492"/>
      <c r="AD419" s="492"/>
      <c r="AE419" s="492"/>
      <c r="AF419" s="492"/>
      <c r="AG419" s="492"/>
      <c r="AH419" s="492"/>
      <c r="AI419" s="496"/>
      <c r="AJ419" s="492"/>
      <c r="AK419" s="492"/>
      <c r="AL419" s="492"/>
      <c r="AM419" s="492"/>
      <c r="AN419" s="492"/>
      <c r="AO419" s="492"/>
      <c r="AP419" s="492"/>
      <c r="AQ419" s="492"/>
      <c r="AR419" s="492"/>
      <c r="AS419" s="492"/>
      <c r="AT419" s="492"/>
      <c r="AU419" s="492"/>
      <c r="AV419" s="492"/>
      <c r="AW419" s="492"/>
      <c r="AX419" s="492"/>
      <c r="AY419" s="492"/>
      <c r="AZ419" s="492"/>
      <c r="BA419" s="492"/>
      <c r="BB419" s="492"/>
      <c r="BC419" s="492"/>
      <c r="BD419" s="492"/>
      <c r="BE419" s="492"/>
      <c r="BF419" s="492"/>
      <c r="BG419" s="492"/>
      <c r="BH419" s="492"/>
      <c r="BI419" s="492"/>
      <c r="BJ419" s="492"/>
      <c r="BK419" s="492"/>
      <c r="BL419" s="492"/>
      <c r="BM419" s="492"/>
      <c r="BN419" s="492"/>
      <c r="BO419" s="492"/>
      <c r="BP419" s="492"/>
      <c r="BQ419" s="499"/>
      <c r="BR419" s="499"/>
      <c r="BS419" s="499"/>
      <c r="BT419" s="499"/>
    </row>
    <row r="420" spans="1:72" ht="9.9499999999999993" hidden="1" customHeight="1">
      <c r="A420" s="490"/>
      <c r="B420" s="492"/>
      <c r="C420" s="492"/>
      <c r="D420" s="492"/>
      <c r="E420" s="492"/>
      <c r="F420" s="492"/>
      <c r="G420" s="492"/>
      <c r="H420" s="492"/>
      <c r="I420" s="492"/>
      <c r="J420" s="492"/>
      <c r="K420" s="492"/>
      <c r="L420" s="502"/>
      <c r="M420" s="492"/>
      <c r="N420" s="492"/>
      <c r="O420" s="492"/>
      <c r="P420" s="492"/>
      <c r="Q420" s="492"/>
      <c r="R420" s="492"/>
      <c r="S420" s="492"/>
      <c r="T420" s="496"/>
      <c r="U420" s="492"/>
      <c r="V420" s="492"/>
      <c r="W420" s="492"/>
      <c r="X420" s="492"/>
      <c r="Y420" s="492"/>
      <c r="Z420" s="492"/>
      <c r="AA420" s="492"/>
      <c r="AB420" s="492"/>
      <c r="AC420" s="492"/>
      <c r="AD420" s="492"/>
      <c r="AE420" s="492"/>
      <c r="AF420" s="492"/>
      <c r="AG420" s="492"/>
      <c r="AH420" s="492"/>
      <c r="AI420" s="496"/>
      <c r="AJ420" s="492"/>
      <c r="AK420" s="492"/>
      <c r="AL420" s="492"/>
      <c r="AM420" s="492"/>
      <c r="AN420" s="492"/>
      <c r="AO420" s="492"/>
      <c r="AP420" s="492"/>
      <c r="AQ420" s="492"/>
      <c r="AR420" s="492"/>
      <c r="AS420" s="492"/>
      <c r="AT420" s="492"/>
      <c r="AU420" s="492"/>
      <c r="AV420" s="492"/>
      <c r="AW420" s="492"/>
      <c r="AX420" s="492"/>
      <c r="AY420" s="492"/>
      <c r="AZ420" s="492"/>
      <c r="BA420" s="492"/>
      <c r="BB420" s="492"/>
      <c r="BC420" s="492"/>
      <c r="BD420" s="492"/>
      <c r="BE420" s="492"/>
      <c r="BF420" s="492"/>
      <c r="BG420" s="492"/>
      <c r="BH420" s="492"/>
      <c r="BI420" s="492"/>
      <c r="BJ420" s="492"/>
      <c r="BK420" s="492"/>
      <c r="BL420" s="492"/>
      <c r="BM420" s="492"/>
      <c r="BN420" s="492"/>
      <c r="BO420" s="492"/>
      <c r="BP420" s="492"/>
      <c r="BQ420" s="499"/>
      <c r="BR420" s="499"/>
      <c r="BS420" s="499"/>
      <c r="BT420" s="499"/>
    </row>
    <row r="421" spans="1:72" ht="9.9499999999999993" hidden="1" customHeight="1">
      <c r="A421" s="490"/>
      <c r="B421" s="492"/>
      <c r="C421" s="492"/>
      <c r="D421" s="492"/>
      <c r="E421" s="492"/>
      <c r="F421" s="492"/>
      <c r="G421" s="492"/>
      <c r="H421" s="492"/>
      <c r="I421" s="492"/>
      <c r="J421" s="492"/>
      <c r="K421" s="492"/>
      <c r="L421" s="502"/>
      <c r="M421" s="492"/>
      <c r="N421" s="492"/>
      <c r="O421" s="492"/>
      <c r="P421" s="492"/>
      <c r="Q421" s="492"/>
      <c r="R421" s="492"/>
      <c r="S421" s="492"/>
      <c r="T421" s="496"/>
      <c r="U421" s="492"/>
      <c r="V421" s="492"/>
      <c r="W421" s="492"/>
      <c r="X421" s="492"/>
      <c r="Y421" s="492"/>
      <c r="Z421" s="492"/>
      <c r="AA421" s="492"/>
      <c r="AB421" s="492"/>
      <c r="AC421" s="492"/>
      <c r="AD421" s="492"/>
      <c r="AE421" s="492"/>
      <c r="AF421" s="492"/>
      <c r="AG421" s="492"/>
      <c r="AH421" s="492"/>
      <c r="AI421" s="496"/>
      <c r="AJ421" s="492"/>
      <c r="AK421" s="492"/>
      <c r="AL421" s="492"/>
      <c r="AM421" s="492"/>
      <c r="AN421" s="492"/>
      <c r="AO421" s="492"/>
      <c r="AP421" s="492"/>
      <c r="AQ421" s="492"/>
      <c r="AR421" s="492"/>
      <c r="AS421" s="492"/>
      <c r="AT421" s="492"/>
      <c r="AU421" s="492"/>
      <c r="AV421" s="492"/>
      <c r="AW421" s="492"/>
      <c r="AX421" s="492"/>
      <c r="AY421" s="492"/>
      <c r="AZ421" s="492"/>
      <c r="BA421" s="492"/>
      <c r="BB421" s="492"/>
      <c r="BC421" s="492"/>
      <c r="BD421" s="492"/>
      <c r="BE421" s="492"/>
      <c r="BF421" s="492"/>
      <c r="BG421" s="492"/>
      <c r="BH421" s="492"/>
      <c r="BI421" s="492"/>
      <c r="BJ421" s="492"/>
      <c r="BK421" s="492"/>
      <c r="BL421" s="492"/>
      <c r="BM421" s="492"/>
      <c r="BN421" s="492"/>
      <c r="BO421" s="492"/>
      <c r="BP421" s="492"/>
      <c r="BQ421" s="499"/>
      <c r="BR421" s="499"/>
      <c r="BS421" s="499"/>
      <c r="BT421" s="499"/>
    </row>
    <row r="422" spans="1:72" ht="9.9499999999999993" hidden="1" customHeight="1">
      <c r="A422" s="490"/>
      <c r="B422" s="492"/>
      <c r="C422" s="492"/>
      <c r="D422" s="492"/>
      <c r="E422" s="492"/>
      <c r="F422" s="492"/>
      <c r="G422" s="492"/>
      <c r="H422" s="492"/>
      <c r="I422" s="492"/>
      <c r="J422" s="492"/>
      <c r="K422" s="492"/>
      <c r="L422" s="502"/>
      <c r="M422" s="492"/>
      <c r="N422" s="492"/>
      <c r="O422" s="492"/>
      <c r="P422" s="492"/>
      <c r="Q422" s="492"/>
      <c r="R422" s="492"/>
      <c r="S422" s="492"/>
      <c r="T422" s="496"/>
      <c r="U422" s="492"/>
      <c r="V422" s="492"/>
      <c r="W422" s="492"/>
      <c r="X422" s="492"/>
      <c r="Y422" s="492"/>
      <c r="Z422" s="492"/>
      <c r="AA422" s="492"/>
      <c r="AB422" s="492"/>
      <c r="AC422" s="492"/>
      <c r="AD422" s="492"/>
      <c r="AE422" s="492"/>
      <c r="AF422" s="492"/>
      <c r="AG422" s="492"/>
      <c r="AH422" s="492"/>
      <c r="AI422" s="496"/>
      <c r="AJ422" s="492"/>
      <c r="AK422" s="492"/>
      <c r="AL422" s="492"/>
      <c r="AM422" s="492"/>
      <c r="AN422" s="492"/>
      <c r="AO422" s="492"/>
      <c r="AP422" s="492"/>
      <c r="AQ422" s="492"/>
      <c r="AR422" s="492"/>
      <c r="AS422" s="492"/>
      <c r="AT422" s="492"/>
      <c r="AU422" s="492"/>
      <c r="AV422" s="492"/>
      <c r="AW422" s="492"/>
      <c r="AX422" s="492"/>
      <c r="AY422" s="492"/>
      <c r="AZ422" s="492"/>
      <c r="BA422" s="492"/>
      <c r="BB422" s="492"/>
      <c r="BC422" s="492"/>
      <c r="BD422" s="492"/>
      <c r="BE422" s="492"/>
      <c r="BF422" s="492"/>
      <c r="BG422" s="492"/>
      <c r="BH422" s="492"/>
      <c r="BI422" s="492"/>
      <c r="BJ422" s="492"/>
      <c r="BK422" s="492"/>
      <c r="BL422" s="492"/>
      <c r="BM422" s="492"/>
      <c r="BN422" s="492"/>
      <c r="BO422" s="492"/>
      <c r="BP422" s="492"/>
      <c r="BQ422" s="499"/>
      <c r="BR422" s="499"/>
      <c r="BS422" s="499"/>
      <c r="BT422" s="499"/>
    </row>
    <row r="423" spans="1:72" ht="9.9499999999999993" hidden="1" customHeight="1">
      <c r="A423" s="490"/>
      <c r="B423" s="492"/>
      <c r="C423" s="492"/>
      <c r="D423" s="492"/>
      <c r="E423" s="492"/>
      <c r="F423" s="492"/>
      <c r="G423" s="492"/>
      <c r="H423" s="492"/>
      <c r="I423" s="492"/>
      <c r="J423" s="492"/>
      <c r="K423" s="492"/>
      <c r="L423" s="502"/>
      <c r="M423" s="492"/>
      <c r="N423" s="492"/>
      <c r="O423" s="492"/>
      <c r="P423" s="492"/>
      <c r="Q423" s="492"/>
      <c r="R423" s="492"/>
      <c r="S423" s="492"/>
      <c r="T423" s="496"/>
      <c r="U423" s="492"/>
      <c r="V423" s="492"/>
      <c r="W423" s="492"/>
      <c r="X423" s="492"/>
      <c r="Y423" s="492"/>
      <c r="Z423" s="492"/>
      <c r="AA423" s="492"/>
      <c r="AB423" s="492"/>
      <c r="AC423" s="492"/>
      <c r="AD423" s="492"/>
      <c r="AE423" s="492"/>
      <c r="AF423" s="492"/>
      <c r="AG423" s="492"/>
      <c r="AH423" s="492"/>
      <c r="AI423" s="496"/>
      <c r="AJ423" s="492"/>
      <c r="AK423" s="492"/>
      <c r="AL423" s="492"/>
      <c r="AM423" s="492"/>
      <c r="AN423" s="492"/>
      <c r="AO423" s="492"/>
      <c r="AP423" s="492"/>
      <c r="AQ423" s="492"/>
      <c r="AR423" s="492"/>
      <c r="AS423" s="492"/>
      <c r="AT423" s="492"/>
      <c r="AU423" s="492"/>
      <c r="AV423" s="492"/>
      <c r="AW423" s="492"/>
      <c r="AX423" s="492"/>
      <c r="AY423" s="492"/>
      <c r="AZ423" s="492"/>
      <c r="BA423" s="492"/>
      <c r="BB423" s="492"/>
      <c r="BC423" s="492"/>
      <c r="BD423" s="492"/>
      <c r="BE423" s="492"/>
      <c r="BF423" s="492"/>
      <c r="BG423" s="492"/>
      <c r="BH423" s="492"/>
      <c r="BI423" s="492"/>
      <c r="BJ423" s="492"/>
      <c r="BK423" s="492"/>
      <c r="BL423" s="492"/>
      <c r="BM423" s="492"/>
      <c r="BN423" s="492"/>
      <c r="BO423" s="492"/>
      <c r="BP423" s="492"/>
      <c r="BQ423" s="499"/>
      <c r="BR423" s="499"/>
      <c r="BS423" s="499"/>
      <c r="BT423" s="499"/>
    </row>
    <row r="424" spans="1:72" ht="9.9499999999999993" hidden="1" customHeight="1">
      <c r="A424" s="490"/>
      <c r="B424" s="492"/>
      <c r="C424" s="492"/>
      <c r="D424" s="492"/>
      <c r="E424" s="492"/>
      <c r="F424" s="492"/>
      <c r="G424" s="492"/>
      <c r="H424" s="492"/>
      <c r="I424" s="492"/>
      <c r="J424" s="492"/>
      <c r="K424" s="492"/>
      <c r="L424" s="502"/>
      <c r="M424" s="492"/>
      <c r="N424" s="492"/>
      <c r="O424" s="492"/>
      <c r="P424" s="492"/>
      <c r="Q424" s="492"/>
      <c r="R424" s="492"/>
      <c r="S424" s="492"/>
      <c r="T424" s="496"/>
      <c r="U424" s="492"/>
      <c r="V424" s="492"/>
      <c r="W424" s="492"/>
      <c r="X424" s="492"/>
      <c r="Y424" s="492"/>
      <c r="Z424" s="492"/>
      <c r="AA424" s="492"/>
      <c r="AB424" s="492"/>
      <c r="AC424" s="492"/>
      <c r="AD424" s="492"/>
      <c r="AE424" s="492"/>
      <c r="AF424" s="492"/>
      <c r="AG424" s="492"/>
      <c r="AH424" s="492"/>
      <c r="AI424" s="496"/>
      <c r="AJ424" s="492"/>
      <c r="AK424" s="492"/>
      <c r="AL424" s="492"/>
      <c r="AM424" s="492"/>
      <c r="AN424" s="492"/>
      <c r="AO424" s="492"/>
      <c r="AP424" s="492"/>
      <c r="AQ424" s="492"/>
      <c r="AR424" s="492"/>
      <c r="AS424" s="492"/>
      <c r="AT424" s="492"/>
      <c r="AU424" s="492"/>
      <c r="AV424" s="492"/>
      <c r="AW424" s="492"/>
      <c r="AX424" s="492"/>
      <c r="AY424" s="492"/>
      <c r="AZ424" s="492"/>
      <c r="BA424" s="492"/>
      <c r="BB424" s="492"/>
      <c r="BC424" s="492"/>
      <c r="BD424" s="492"/>
      <c r="BE424" s="492"/>
      <c r="BF424" s="492"/>
      <c r="BG424" s="492"/>
      <c r="BH424" s="492"/>
      <c r="BI424" s="492"/>
      <c r="BJ424" s="492"/>
      <c r="BK424" s="492"/>
      <c r="BL424" s="492"/>
      <c r="BM424" s="492"/>
      <c r="BN424" s="492"/>
      <c r="BO424" s="492"/>
      <c r="BP424" s="492"/>
      <c r="BQ424" s="499"/>
      <c r="BR424" s="499"/>
      <c r="BS424" s="499"/>
      <c r="BT424" s="499"/>
    </row>
    <row r="425" spans="1:72" ht="9.9499999999999993" hidden="1" customHeight="1">
      <c r="A425" s="490"/>
      <c r="B425" s="492"/>
      <c r="C425" s="492"/>
      <c r="D425" s="492"/>
      <c r="E425" s="492"/>
      <c r="F425" s="492"/>
      <c r="G425" s="492"/>
      <c r="H425" s="492"/>
      <c r="I425" s="492"/>
      <c r="J425" s="492"/>
      <c r="K425" s="492"/>
      <c r="L425" s="502"/>
      <c r="M425" s="492"/>
      <c r="N425" s="492"/>
      <c r="O425" s="492"/>
      <c r="P425" s="492"/>
      <c r="Q425" s="492"/>
      <c r="R425" s="492"/>
      <c r="S425" s="492"/>
      <c r="T425" s="496"/>
      <c r="U425" s="492"/>
      <c r="V425" s="492"/>
      <c r="W425" s="492"/>
      <c r="X425" s="492"/>
      <c r="Y425" s="492"/>
      <c r="Z425" s="492"/>
      <c r="AA425" s="492"/>
      <c r="AB425" s="492"/>
      <c r="AC425" s="492"/>
      <c r="AD425" s="492"/>
      <c r="AE425" s="492"/>
      <c r="AF425" s="492"/>
      <c r="AG425" s="492"/>
      <c r="AH425" s="492"/>
      <c r="AI425" s="496"/>
      <c r="AJ425" s="492"/>
      <c r="AK425" s="492"/>
      <c r="AL425" s="492"/>
      <c r="AM425" s="492"/>
      <c r="AN425" s="492"/>
      <c r="AO425" s="492"/>
      <c r="AP425" s="492"/>
      <c r="AQ425" s="492"/>
      <c r="AR425" s="492"/>
      <c r="AS425" s="492"/>
      <c r="AT425" s="492"/>
      <c r="AU425" s="492"/>
      <c r="AV425" s="492"/>
      <c r="AW425" s="492"/>
      <c r="AX425" s="492"/>
      <c r="AY425" s="492"/>
      <c r="AZ425" s="492"/>
      <c r="BA425" s="492"/>
      <c r="BB425" s="492"/>
      <c r="BC425" s="492"/>
      <c r="BD425" s="492"/>
      <c r="BE425" s="492"/>
      <c r="BF425" s="492"/>
      <c r="BG425" s="492"/>
      <c r="BH425" s="492"/>
      <c r="BI425" s="492"/>
      <c r="BJ425" s="492"/>
      <c r="BK425" s="492"/>
      <c r="BL425" s="492"/>
      <c r="BM425" s="492"/>
      <c r="BN425" s="492"/>
      <c r="BO425" s="492"/>
      <c r="BP425" s="492"/>
      <c r="BQ425" s="499"/>
      <c r="BR425" s="499"/>
      <c r="BS425" s="499"/>
      <c r="BT425" s="499"/>
    </row>
    <row r="426" spans="1:72" ht="9.9499999999999993" hidden="1" customHeight="1">
      <c r="A426" s="490"/>
      <c r="B426" s="492"/>
      <c r="C426" s="492"/>
      <c r="D426" s="492"/>
      <c r="E426" s="492"/>
      <c r="F426" s="492"/>
      <c r="G426" s="492"/>
      <c r="H426" s="492"/>
      <c r="I426" s="492"/>
      <c r="J426" s="492"/>
      <c r="K426" s="492"/>
      <c r="L426" s="502"/>
      <c r="M426" s="492"/>
      <c r="N426" s="492"/>
      <c r="O426" s="492"/>
      <c r="P426" s="492"/>
      <c r="Q426" s="492"/>
      <c r="R426" s="492"/>
      <c r="S426" s="492"/>
      <c r="T426" s="496"/>
      <c r="U426" s="492"/>
      <c r="V426" s="492"/>
      <c r="W426" s="492"/>
      <c r="X426" s="492"/>
      <c r="Y426" s="492"/>
      <c r="Z426" s="492"/>
      <c r="AA426" s="492"/>
      <c r="AB426" s="492"/>
      <c r="AC426" s="492"/>
      <c r="AD426" s="492"/>
      <c r="AE426" s="492"/>
      <c r="AF426" s="492"/>
      <c r="AG426" s="492"/>
      <c r="AH426" s="492"/>
      <c r="AI426" s="496"/>
      <c r="AJ426" s="492"/>
      <c r="AK426" s="492"/>
      <c r="AL426" s="492"/>
      <c r="AM426" s="492"/>
      <c r="AN426" s="492"/>
      <c r="AO426" s="492"/>
      <c r="AP426" s="492"/>
      <c r="AQ426" s="492"/>
      <c r="AR426" s="492"/>
      <c r="AS426" s="492"/>
      <c r="AT426" s="492"/>
      <c r="AU426" s="492"/>
      <c r="AV426" s="492"/>
      <c r="AW426" s="492"/>
      <c r="AX426" s="492"/>
      <c r="AY426" s="492"/>
      <c r="AZ426" s="492"/>
      <c r="BA426" s="492"/>
      <c r="BB426" s="492"/>
      <c r="BC426" s="492"/>
      <c r="BD426" s="492"/>
      <c r="BE426" s="492"/>
      <c r="BF426" s="492"/>
      <c r="BG426" s="492"/>
      <c r="BH426" s="492"/>
      <c r="BI426" s="492"/>
      <c r="BJ426" s="492"/>
      <c r="BK426" s="492"/>
      <c r="BL426" s="492"/>
      <c r="BM426" s="492"/>
      <c r="BN426" s="492"/>
      <c r="BO426" s="492"/>
      <c r="BP426" s="492"/>
      <c r="BQ426" s="499"/>
      <c r="BR426" s="499"/>
      <c r="BS426" s="499"/>
      <c r="BT426" s="499"/>
    </row>
    <row r="427" spans="1:72" ht="9.9499999999999993" hidden="1" customHeight="1">
      <c r="A427" s="490"/>
      <c r="B427" s="492"/>
      <c r="C427" s="492"/>
      <c r="D427" s="492"/>
      <c r="E427" s="492"/>
      <c r="F427" s="492"/>
      <c r="G427" s="492"/>
      <c r="H427" s="492"/>
      <c r="I427" s="492"/>
      <c r="J427" s="492"/>
      <c r="K427" s="492"/>
      <c r="L427" s="502"/>
      <c r="M427" s="492"/>
      <c r="N427" s="492"/>
      <c r="O427" s="492"/>
      <c r="P427" s="492"/>
      <c r="Q427" s="492"/>
      <c r="R427" s="492"/>
      <c r="S427" s="492"/>
      <c r="T427" s="496"/>
      <c r="U427" s="492"/>
      <c r="V427" s="492"/>
      <c r="W427" s="492"/>
      <c r="X427" s="492"/>
      <c r="Y427" s="492"/>
      <c r="Z427" s="492"/>
      <c r="AA427" s="492"/>
      <c r="AB427" s="492"/>
      <c r="AC427" s="492"/>
      <c r="AD427" s="492"/>
      <c r="AE427" s="492"/>
      <c r="AF427" s="492"/>
      <c r="AG427" s="492"/>
      <c r="AH427" s="492"/>
      <c r="AI427" s="496"/>
      <c r="AJ427" s="492"/>
      <c r="AK427" s="492"/>
      <c r="AL427" s="492"/>
      <c r="AM427" s="492"/>
      <c r="AN427" s="492"/>
      <c r="AO427" s="492"/>
      <c r="AP427" s="492"/>
      <c r="AQ427" s="492"/>
      <c r="AR427" s="492"/>
      <c r="AS427" s="492"/>
      <c r="AT427" s="492"/>
      <c r="AU427" s="492"/>
      <c r="AV427" s="492"/>
      <c r="AW427" s="492"/>
      <c r="AX427" s="492"/>
      <c r="AY427" s="492"/>
      <c r="AZ427" s="492"/>
      <c r="BA427" s="492"/>
      <c r="BB427" s="492"/>
      <c r="BC427" s="492"/>
      <c r="BD427" s="492"/>
      <c r="BE427" s="492"/>
      <c r="BF427" s="492"/>
      <c r="BG427" s="492"/>
      <c r="BH427" s="492"/>
      <c r="BI427" s="492"/>
      <c r="BJ427" s="492"/>
      <c r="BK427" s="492"/>
      <c r="BL427" s="492"/>
      <c r="BM427" s="492"/>
      <c r="BN427" s="492"/>
      <c r="BO427" s="492"/>
      <c r="BP427" s="492"/>
      <c r="BQ427" s="499"/>
      <c r="BR427" s="499"/>
      <c r="BS427" s="499"/>
      <c r="BT427" s="499"/>
    </row>
    <row r="428" spans="1:72" ht="9.9499999999999993" hidden="1" customHeight="1">
      <c r="A428" s="490"/>
      <c r="B428" s="492"/>
      <c r="C428" s="492"/>
      <c r="D428" s="492"/>
      <c r="E428" s="492"/>
      <c r="F428" s="492"/>
      <c r="G428" s="492"/>
      <c r="H428" s="492"/>
      <c r="I428" s="492"/>
      <c r="J428" s="492"/>
      <c r="K428" s="492"/>
      <c r="L428" s="502"/>
      <c r="M428" s="492"/>
      <c r="N428" s="492"/>
      <c r="O428" s="492"/>
      <c r="P428" s="492"/>
      <c r="Q428" s="492"/>
      <c r="R428" s="492"/>
      <c r="S428" s="492"/>
      <c r="T428" s="496"/>
      <c r="U428" s="492"/>
      <c r="V428" s="492"/>
      <c r="W428" s="492"/>
      <c r="X428" s="492"/>
      <c r="Y428" s="492"/>
      <c r="Z428" s="492"/>
      <c r="AA428" s="492"/>
      <c r="AB428" s="492"/>
      <c r="AC428" s="492"/>
      <c r="AD428" s="492"/>
      <c r="AE428" s="492"/>
      <c r="AF428" s="492"/>
      <c r="AG428" s="492"/>
      <c r="AH428" s="492"/>
      <c r="AI428" s="496"/>
      <c r="AJ428" s="492"/>
      <c r="AK428" s="492"/>
      <c r="AL428" s="492"/>
      <c r="AM428" s="492"/>
      <c r="AN428" s="492"/>
      <c r="AO428" s="492"/>
      <c r="AP428" s="492"/>
      <c r="AQ428" s="492"/>
      <c r="AR428" s="492"/>
      <c r="AS428" s="492"/>
      <c r="AT428" s="492"/>
      <c r="AU428" s="492"/>
      <c r="AV428" s="492"/>
      <c r="AW428" s="492"/>
      <c r="AX428" s="492"/>
      <c r="AY428" s="492"/>
      <c r="AZ428" s="492"/>
      <c r="BA428" s="492"/>
      <c r="BB428" s="492"/>
      <c r="BC428" s="492"/>
      <c r="BD428" s="492"/>
      <c r="BE428" s="492"/>
      <c r="BF428" s="492"/>
      <c r="BG428" s="492"/>
      <c r="BH428" s="492"/>
      <c r="BI428" s="492"/>
      <c r="BJ428" s="492"/>
      <c r="BK428" s="492"/>
      <c r="BL428" s="492"/>
      <c r="BM428" s="492"/>
      <c r="BN428" s="492"/>
      <c r="BO428" s="492"/>
      <c r="BP428" s="492"/>
      <c r="BQ428" s="499"/>
      <c r="BR428" s="499"/>
      <c r="BS428" s="499"/>
      <c r="BT428" s="499"/>
    </row>
    <row r="429" spans="1:72" ht="9.9499999999999993" hidden="1" customHeight="1">
      <c r="A429" s="490"/>
      <c r="B429" s="492"/>
      <c r="C429" s="492"/>
      <c r="D429" s="492"/>
      <c r="E429" s="492"/>
      <c r="F429" s="492"/>
      <c r="G429" s="492"/>
      <c r="H429" s="492"/>
      <c r="I429" s="492"/>
      <c r="J429" s="492"/>
      <c r="K429" s="492"/>
      <c r="L429" s="502"/>
      <c r="M429" s="492"/>
      <c r="N429" s="492"/>
      <c r="O429" s="492"/>
      <c r="P429" s="492"/>
      <c r="Q429" s="492"/>
      <c r="R429" s="492"/>
      <c r="S429" s="492"/>
      <c r="T429" s="496"/>
      <c r="U429" s="492"/>
      <c r="V429" s="492"/>
      <c r="W429" s="492"/>
      <c r="X429" s="492"/>
      <c r="Y429" s="492"/>
      <c r="Z429" s="492"/>
      <c r="AA429" s="492"/>
      <c r="AB429" s="492"/>
      <c r="AC429" s="492"/>
      <c r="AD429" s="492"/>
      <c r="AE429" s="492"/>
      <c r="AF429" s="492"/>
      <c r="AG429" s="492"/>
      <c r="AH429" s="492"/>
      <c r="AI429" s="496"/>
      <c r="AJ429" s="492"/>
      <c r="AK429" s="492"/>
      <c r="AL429" s="492"/>
      <c r="AM429" s="492"/>
      <c r="AN429" s="492"/>
      <c r="AO429" s="492"/>
      <c r="AP429" s="492"/>
      <c r="AQ429" s="492"/>
      <c r="AR429" s="492"/>
      <c r="AS429" s="492"/>
      <c r="AT429" s="492"/>
      <c r="AU429" s="492"/>
      <c r="AV429" s="492"/>
      <c r="AW429" s="492"/>
      <c r="AX429" s="492"/>
      <c r="AY429" s="492"/>
      <c r="AZ429" s="492"/>
      <c r="BA429" s="492"/>
      <c r="BB429" s="492"/>
      <c r="BC429" s="492"/>
      <c r="BD429" s="492"/>
      <c r="BE429" s="492"/>
      <c r="BF429" s="492"/>
      <c r="BG429" s="492"/>
      <c r="BH429" s="492"/>
      <c r="BI429" s="492"/>
      <c r="BJ429" s="492"/>
      <c r="BK429" s="492"/>
      <c r="BL429" s="492"/>
      <c r="BM429" s="492"/>
      <c r="BN429" s="492"/>
      <c r="BO429" s="492"/>
      <c r="BP429" s="492"/>
      <c r="BQ429" s="499"/>
      <c r="BR429" s="499"/>
      <c r="BS429" s="499"/>
      <c r="BT429" s="499"/>
    </row>
    <row r="430" spans="1:72" ht="9.9499999999999993" hidden="1" customHeight="1">
      <c r="A430" s="510"/>
      <c r="B430" s="511"/>
      <c r="C430" s="511"/>
      <c r="D430" s="511"/>
      <c r="E430" s="511"/>
      <c r="F430" s="511"/>
      <c r="G430" s="511"/>
      <c r="H430" s="511"/>
      <c r="I430" s="511"/>
      <c r="J430" s="511"/>
      <c r="K430" s="511"/>
      <c r="L430" s="511"/>
      <c r="M430" s="511"/>
      <c r="N430" s="511"/>
      <c r="O430" s="511"/>
      <c r="P430" s="511"/>
      <c r="Q430" s="511"/>
      <c r="R430" s="511"/>
      <c r="S430" s="511"/>
      <c r="T430" s="511"/>
      <c r="U430" s="511"/>
      <c r="V430" s="511"/>
      <c r="W430" s="511"/>
      <c r="X430" s="511"/>
      <c r="Y430" s="511"/>
      <c r="Z430" s="511"/>
      <c r="AA430" s="511"/>
      <c r="AB430" s="511"/>
      <c r="AC430" s="511"/>
      <c r="AD430" s="511"/>
      <c r="AE430" s="511"/>
      <c r="AF430" s="511"/>
      <c r="AG430" s="511"/>
      <c r="AH430" s="511"/>
      <c r="AI430" s="511"/>
      <c r="AJ430" s="511"/>
      <c r="AK430" s="511"/>
      <c r="AL430" s="511"/>
      <c r="AM430" s="511"/>
      <c r="AN430" s="511"/>
      <c r="AO430" s="511"/>
      <c r="AP430" s="511"/>
      <c r="AQ430" s="511"/>
      <c r="AR430" s="511"/>
      <c r="AS430" s="511"/>
      <c r="AT430" s="511"/>
      <c r="AU430" s="511"/>
      <c r="AV430" s="511"/>
      <c r="AW430" s="511"/>
      <c r="AX430" s="511"/>
      <c r="AY430" s="511"/>
      <c r="AZ430" s="511"/>
      <c r="BA430" s="511"/>
      <c r="BB430" s="511"/>
      <c r="BC430" s="511"/>
      <c r="BD430" s="511"/>
      <c r="BE430" s="511"/>
      <c r="BF430" s="511"/>
      <c r="BG430" s="511"/>
      <c r="BH430" s="511"/>
      <c r="BI430" s="511"/>
      <c r="BJ430" s="511"/>
      <c r="BK430" s="511"/>
      <c r="BL430" s="511"/>
      <c r="BM430" s="511"/>
      <c r="BN430" s="511"/>
      <c r="BO430" s="511"/>
      <c r="BP430" s="511"/>
      <c r="BQ430" s="522"/>
      <c r="BR430" s="522"/>
      <c r="BS430" s="522"/>
      <c r="BT430" s="522"/>
    </row>
  </sheetData>
  <mergeCells count="378">
    <mergeCell ref="O304:Q304"/>
    <mergeCell ref="W304:AB304"/>
    <mergeCell ref="AC304:AG304"/>
    <mergeCell ref="AH304:AI304"/>
    <mergeCell ref="AJ304:AP304"/>
    <mergeCell ref="P300:V300"/>
    <mergeCell ref="Y300:AF300"/>
    <mergeCell ref="AI300:AO300"/>
    <mergeCell ref="AP300:AZ300"/>
    <mergeCell ref="P301:V301"/>
    <mergeCell ref="Y301:AF301"/>
    <mergeCell ref="AI301:AO301"/>
    <mergeCell ref="AP301:AZ301"/>
    <mergeCell ref="P327:U327"/>
    <mergeCell ref="X327:AA327"/>
    <mergeCell ref="AD327:AJ327"/>
    <mergeCell ref="AK327:BB327"/>
    <mergeCell ref="AJ305:AP305"/>
    <mergeCell ref="W315:AG315"/>
    <mergeCell ref="C316:AO316"/>
    <mergeCell ref="C317:AO317"/>
    <mergeCell ref="X318:AA318"/>
    <mergeCell ref="AD318:AJ318"/>
    <mergeCell ref="C308:V308"/>
    <mergeCell ref="W308:AG308"/>
    <mergeCell ref="C309:AO309"/>
    <mergeCell ref="C310:AO310"/>
    <mergeCell ref="N311:U311"/>
    <mergeCell ref="X311:AA311"/>
    <mergeCell ref="AD311:AJ311"/>
    <mergeCell ref="N312:U312"/>
    <mergeCell ref="X312:AA312"/>
    <mergeCell ref="AD312:AJ312"/>
    <mergeCell ref="N313:U313"/>
    <mergeCell ref="X313:AA313"/>
    <mergeCell ref="AD313:AJ313"/>
    <mergeCell ref="P328:U328"/>
    <mergeCell ref="X328:AA328"/>
    <mergeCell ref="AD328:AJ328"/>
    <mergeCell ref="AK328:BB328"/>
    <mergeCell ref="F59:H59"/>
    <mergeCell ref="N59:S59"/>
    <mergeCell ref="C315:V315"/>
    <mergeCell ref="N318:U318"/>
    <mergeCell ref="N319:U319"/>
    <mergeCell ref="N320:U320"/>
    <mergeCell ref="C324:AO324"/>
    <mergeCell ref="C325:AO325"/>
    <mergeCell ref="P326:U326"/>
    <mergeCell ref="X326:AA326"/>
    <mergeCell ref="AD326:AJ326"/>
    <mergeCell ref="AK326:BB326"/>
    <mergeCell ref="X319:AA319"/>
    <mergeCell ref="AD319:AJ319"/>
    <mergeCell ref="X320:AA320"/>
    <mergeCell ref="AD320:AJ320"/>
    <mergeCell ref="O305:Q305"/>
    <mergeCell ref="W305:AB305"/>
    <mergeCell ref="AC305:AG305"/>
    <mergeCell ref="AH305:AI305"/>
    <mergeCell ref="M258:P258"/>
    <mergeCell ref="V258:AA258"/>
    <mergeCell ref="AD258:AH258"/>
    <mergeCell ref="AI258:AJ258"/>
    <mergeCell ref="AK258:AQ258"/>
    <mergeCell ref="A291:BP291"/>
    <mergeCell ref="E295:AQ295"/>
    <mergeCell ref="E296:AQ296"/>
    <mergeCell ref="P299:V299"/>
    <mergeCell ref="Y299:AF299"/>
    <mergeCell ref="AI299:AO299"/>
    <mergeCell ref="AP299:AZ299"/>
    <mergeCell ref="E249:AQ249"/>
    <mergeCell ref="E250:AQ250"/>
    <mergeCell ref="W252:AD252"/>
    <mergeCell ref="AG252:AM252"/>
    <mergeCell ref="AN252:AX252"/>
    <mergeCell ref="W253:AD253"/>
    <mergeCell ref="AG253:AM253"/>
    <mergeCell ref="AN253:AX253"/>
    <mergeCell ref="W254:AD254"/>
    <mergeCell ref="AG254:AM254"/>
    <mergeCell ref="AN254:AX254"/>
    <mergeCell ref="N252:T252"/>
    <mergeCell ref="N253:T253"/>
    <mergeCell ref="N254:T254"/>
    <mergeCell ref="P239:U239"/>
    <mergeCell ref="X239:AA239"/>
    <mergeCell ref="AD239:AJ239"/>
    <mergeCell ref="AK239:BB239"/>
    <mergeCell ref="P240:U240"/>
    <mergeCell ref="X240:AA240"/>
    <mergeCell ref="AD240:AJ240"/>
    <mergeCell ref="AK240:BB240"/>
    <mergeCell ref="A245:BP245"/>
    <mergeCell ref="X225:AA225"/>
    <mergeCell ref="AD225:AJ225"/>
    <mergeCell ref="C236:AO236"/>
    <mergeCell ref="C237:AO237"/>
    <mergeCell ref="P238:U238"/>
    <mergeCell ref="X238:AA238"/>
    <mergeCell ref="AD238:AJ238"/>
    <mergeCell ref="AK238:BB238"/>
    <mergeCell ref="N224:U224"/>
    <mergeCell ref="N225:U225"/>
    <mergeCell ref="N231:U231"/>
    <mergeCell ref="X231:AA231"/>
    <mergeCell ref="AD231:AJ231"/>
    <mergeCell ref="N232:U232"/>
    <mergeCell ref="X232:AA232"/>
    <mergeCell ref="AD232:AJ232"/>
    <mergeCell ref="W220:AG220"/>
    <mergeCell ref="C221:AO221"/>
    <mergeCell ref="C222:AO222"/>
    <mergeCell ref="X223:AA223"/>
    <mergeCell ref="AD223:AJ223"/>
    <mergeCell ref="N217:U217"/>
    <mergeCell ref="N218:T218"/>
    <mergeCell ref="N223:U223"/>
    <mergeCell ref="X224:AA224"/>
    <mergeCell ref="AD224:AJ224"/>
    <mergeCell ref="W213:AG213"/>
    <mergeCell ref="C214:AO214"/>
    <mergeCell ref="C215:AO215"/>
    <mergeCell ref="X216:AA216"/>
    <mergeCell ref="AD216:AJ216"/>
    <mergeCell ref="N216:U216"/>
    <mergeCell ref="X217:AA217"/>
    <mergeCell ref="AD217:AJ217"/>
    <mergeCell ref="X218:AA218"/>
    <mergeCell ref="AD218:AJ218"/>
    <mergeCell ref="O209:Q209"/>
    <mergeCell ref="W209:AB209"/>
    <mergeCell ref="AC209:AG209"/>
    <mergeCell ref="AH209:AI209"/>
    <mergeCell ref="AJ209:AP209"/>
    <mergeCell ref="O210:Q210"/>
    <mergeCell ref="W210:AB210"/>
    <mergeCell ref="AC210:AG210"/>
    <mergeCell ref="AH210:AI210"/>
    <mergeCell ref="AJ210:AP210"/>
    <mergeCell ref="M6:Q6"/>
    <mergeCell ref="M8:Q8"/>
    <mergeCell ref="D344:J344"/>
    <mergeCell ref="D346:J346"/>
    <mergeCell ref="P44:U44"/>
    <mergeCell ref="X375:AB375"/>
    <mergeCell ref="A192:BP192"/>
    <mergeCell ref="E196:AQ196"/>
    <mergeCell ref="E197:AQ197"/>
    <mergeCell ref="P200:V200"/>
    <mergeCell ref="Y200:AF200"/>
    <mergeCell ref="AI200:AO200"/>
    <mergeCell ref="AP200:AZ200"/>
    <mergeCell ref="P201:V201"/>
    <mergeCell ref="Y201:AF201"/>
    <mergeCell ref="AI201:AO201"/>
    <mergeCell ref="AP201:AZ201"/>
    <mergeCell ref="P202:V202"/>
    <mergeCell ref="Y202:AF202"/>
    <mergeCell ref="AI202:AO202"/>
    <mergeCell ref="AP202:AZ202"/>
    <mergeCell ref="P204:V204"/>
    <mergeCell ref="Y204:AF204"/>
    <mergeCell ref="AI204:AO204"/>
    <mergeCell ref="N406:U406"/>
    <mergeCell ref="AM406:AW406"/>
    <mergeCell ref="N407:U407"/>
    <mergeCell ref="AM407:AW407"/>
    <mergeCell ref="N408:U408"/>
    <mergeCell ref="AM408:AW408"/>
    <mergeCell ref="A385:BP385"/>
    <mergeCell ref="P391:V391"/>
    <mergeCell ref="AM391:AX391"/>
    <mergeCell ref="P392:V392"/>
    <mergeCell ref="AM392:AX392"/>
    <mergeCell ref="R393:W393"/>
    <mergeCell ref="AW393:BP393"/>
    <mergeCell ref="F397:H397"/>
    <mergeCell ref="N397:S397"/>
    <mergeCell ref="AI393:AM393"/>
    <mergeCell ref="Z393:AD393"/>
    <mergeCell ref="H390:L390"/>
    <mergeCell ref="Y391:AC391"/>
    <mergeCell ref="Y392:AC392"/>
    <mergeCell ref="N69:U69"/>
    <mergeCell ref="N70:U70"/>
    <mergeCell ref="BD363:BO363"/>
    <mergeCell ref="AO43:BF43"/>
    <mergeCell ref="AO44:BF44"/>
    <mergeCell ref="A47:BP47"/>
    <mergeCell ref="A1:BP1"/>
    <mergeCell ref="Q363:W363"/>
    <mergeCell ref="Q364:W364"/>
    <mergeCell ref="AO38:AY38"/>
    <mergeCell ref="P42:U42"/>
    <mergeCell ref="AO42:BF42"/>
    <mergeCell ref="A339:BP339"/>
    <mergeCell ref="A93:BP93"/>
    <mergeCell ref="D6:J6"/>
    <mergeCell ref="D8:J8"/>
    <mergeCell ref="Q25:W25"/>
    <mergeCell ref="BD25:BO25"/>
    <mergeCell ref="Q26:W26"/>
    <mergeCell ref="AO26:AY26"/>
    <mergeCell ref="Q27:W27"/>
    <mergeCell ref="AO27:AY27"/>
    <mergeCell ref="D34:AP34"/>
    <mergeCell ref="AO364:AY364"/>
    <mergeCell ref="P43:U43"/>
    <mergeCell ref="AO376:AY376"/>
    <mergeCell ref="P376:U376"/>
    <mergeCell ref="P382:U382"/>
    <mergeCell ref="AO382:BF382"/>
    <mergeCell ref="D35:AP35"/>
    <mergeCell ref="P36:U36"/>
    <mergeCell ref="X36:AB36"/>
    <mergeCell ref="AO36:AY36"/>
    <mergeCell ref="P37:U37"/>
    <mergeCell ref="X37:AB37"/>
    <mergeCell ref="AO37:AY37"/>
    <mergeCell ref="P38:U38"/>
    <mergeCell ref="X38:AB38"/>
    <mergeCell ref="AM70:AW70"/>
    <mergeCell ref="AM53:AX53"/>
    <mergeCell ref="AM54:AX54"/>
    <mergeCell ref="AW55:BP55"/>
    <mergeCell ref="AM68:AW68"/>
    <mergeCell ref="AM69:AW69"/>
    <mergeCell ref="P53:V53"/>
    <mergeCell ref="P54:V54"/>
    <mergeCell ref="R55:W55"/>
    <mergeCell ref="N68:U68"/>
    <mergeCell ref="AK139:BB139"/>
    <mergeCell ref="AK140:BB140"/>
    <mergeCell ref="AK141:BB141"/>
    <mergeCell ref="X376:AB376"/>
    <mergeCell ref="P380:U380"/>
    <mergeCell ref="AO380:BF380"/>
    <mergeCell ref="AP102:AZ102"/>
    <mergeCell ref="Q365:W365"/>
    <mergeCell ref="P374:U374"/>
    <mergeCell ref="P375:U375"/>
    <mergeCell ref="AO365:AY365"/>
    <mergeCell ref="AO374:AY374"/>
    <mergeCell ref="AO375:AY375"/>
    <mergeCell ref="D372:AP372"/>
    <mergeCell ref="D373:AP373"/>
    <mergeCell ref="X374:AB374"/>
    <mergeCell ref="AP204:AZ204"/>
    <mergeCell ref="P205:V205"/>
    <mergeCell ref="Y205:AF205"/>
    <mergeCell ref="AI205:AO205"/>
    <mergeCell ref="P206:V206"/>
    <mergeCell ref="Y206:AF206"/>
    <mergeCell ref="AI206:AO206"/>
    <mergeCell ref="AP206:AZ206"/>
    <mergeCell ref="N119:T119"/>
    <mergeCell ref="P106:V106"/>
    <mergeCell ref="Y106:AF106"/>
    <mergeCell ref="AI106:AO106"/>
    <mergeCell ref="AP106:AZ106"/>
    <mergeCell ref="P101:V101"/>
    <mergeCell ref="P102:V102"/>
    <mergeCell ref="P103:V103"/>
    <mergeCell ref="Y101:AF101"/>
    <mergeCell ref="AC110:AG110"/>
    <mergeCell ref="AP101:AZ101"/>
    <mergeCell ref="AP103:AZ103"/>
    <mergeCell ref="AI107:AO107"/>
    <mergeCell ref="AP107:AZ107"/>
    <mergeCell ref="Y102:AF102"/>
    <mergeCell ref="Y103:AF103"/>
    <mergeCell ref="W155:AD155"/>
    <mergeCell ref="AG155:AM155"/>
    <mergeCell ref="W114:AG114"/>
    <mergeCell ref="W121:AG121"/>
    <mergeCell ref="O110:Q110"/>
    <mergeCell ref="O111:Q111"/>
    <mergeCell ref="W110:AB110"/>
    <mergeCell ref="W111:AB111"/>
    <mergeCell ref="AH110:AI110"/>
    <mergeCell ref="AJ110:AP110"/>
    <mergeCell ref="AJ111:AP111"/>
    <mergeCell ref="C116:AO116"/>
    <mergeCell ref="AC111:AG111"/>
    <mergeCell ref="AH111:AI111"/>
    <mergeCell ref="C122:AO122"/>
    <mergeCell ref="C123:AO123"/>
    <mergeCell ref="X117:AA117"/>
    <mergeCell ref="X118:AA118"/>
    <mergeCell ref="X119:AA119"/>
    <mergeCell ref="AD117:AJ117"/>
    <mergeCell ref="AD118:AJ118"/>
    <mergeCell ref="AD119:AJ119"/>
    <mergeCell ref="N117:U117"/>
    <mergeCell ref="N118:U118"/>
    <mergeCell ref="N124:U124"/>
    <mergeCell ref="N125:U125"/>
    <mergeCell ref="N126:U126"/>
    <mergeCell ref="P381:U381"/>
    <mergeCell ref="AO381:BF381"/>
    <mergeCell ref="AP205:AZ205"/>
    <mergeCell ref="M344:Q344"/>
    <mergeCell ref="N323:Z323"/>
    <mergeCell ref="M235:Y235"/>
    <mergeCell ref="M136:Y136"/>
    <mergeCell ref="M346:Q346"/>
    <mergeCell ref="X124:AA124"/>
    <mergeCell ref="X125:AA125"/>
    <mergeCell ref="X126:AA126"/>
    <mergeCell ref="AD124:AJ124"/>
    <mergeCell ref="AD125:AJ125"/>
    <mergeCell ref="AD126:AJ126"/>
    <mergeCell ref="C137:AO137"/>
    <mergeCell ref="C138:AO138"/>
    <mergeCell ref="X139:AA139"/>
    <mergeCell ref="AD139:AJ139"/>
    <mergeCell ref="AN155:AX155"/>
    <mergeCell ref="V159:AA159"/>
    <mergeCell ref="M159:P159"/>
    <mergeCell ref="Z55:AD55"/>
    <mergeCell ref="Y53:AC53"/>
    <mergeCell ref="Y54:AC54"/>
    <mergeCell ref="AI55:AM55"/>
    <mergeCell ref="H52:L52"/>
    <mergeCell ref="P139:U139"/>
    <mergeCell ref="P140:U140"/>
    <mergeCell ref="P141:U141"/>
    <mergeCell ref="P107:V107"/>
    <mergeCell ref="Y107:AF107"/>
    <mergeCell ref="E97:AQ97"/>
    <mergeCell ref="E98:AQ98"/>
    <mergeCell ref="C115:AO115"/>
    <mergeCell ref="AI101:AO101"/>
    <mergeCell ref="AI102:AO102"/>
    <mergeCell ref="AI103:AO103"/>
    <mergeCell ref="P105:V105"/>
    <mergeCell ref="Y105:AF105"/>
    <mergeCell ref="AI105:AO105"/>
    <mergeCell ref="AP105:AZ105"/>
    <mergeCell ref="X140:AA140"/>
    <mergeCell ref="AD140:AJ140"/>
    <mergeCell ref="X141:AA141"/>
    <mergeCell ref="AD141:AJ141"/>
    <mergeCell ref="W128:AG128"/>
    <mergeCell ref="C129:AO129"/>
    <mergeCell ref="C130:AO130"/>
    <mergeCell ref="N131:U131"/>
    <mergeCell ref="X131:AA131"/>
    <mergeCell ref="AD131:AJ131"/>
    <mergeCell ref="N132:U132"/>
    <mergeCell ref="X132:AA132"/>
    <mergeCell ref="AD132:AJ132"/>
    <mergeCell ref="N133:U133"/>
    <mergeCell ref="X133:AA133"/>
    <mergeCell ref="AD133:AJ133"/>
    <mergeCell ref="W227:AG227"/>
    <mergeCell ref="C228:AO228"/>
    <mergeCell ref="C229:AO229"/>
    <mergeCell ref="N230:U230"/>
    <mergeCell ref="X230:AA230"/>
    <mergeCell ref="AD230:AJ230"/>
    <mergeCell ref="AD159:AH159"/>
    <mergeCell ref="AI159:AJ159"/>
    <mergeCell ref="AK159:AQ159"/>
    <mergeCell ref="A146:BP146"/>
    <mergeCell ref="E150:AQ150"/>
    <mergeCell ref="E151:AQ151"/>
    <mergeCell ref="W153:AD153"/>
    <mergeCell ref="AG153:AM153"/>
    <mergeCell ref="AN153:AX153"/>
    <mergeCell ref="W154:AD154"/>
    <mergeCell ref="AG154:AM154"/>
    <mergeCell ref="AN154:AX154"/>
    <mergeCell ref="N153:T153"/>
    <mergeCell ref="N154:T154"/>
    <mergeCell ref="N155:T155"/>
  </mergeCells>
  <phoneticPr fontId="4" type="noConversion"/>
  <printOptions horizontalCentered="1" verticalCentered="1"/>
  <pageMargins left="0.39370078740157483" right="0.39370078740157483" top="0.78740157480314965" bottom="0.39370078740157483" header="0.39370078740157483" footer="0.51181102362204722"/>
  <pageSetup paperSize="9" orientation="landscape" r:id="rId1"/>
  <headerFooter alignWithMargins="0">
    <oddHeader>&amp;C&amp;"맑은 고딕,굵게"&amp;20&amp;U단  가  산  출  서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17"/>
  <dimension ref="A1:CC331"/>
  <sheetViews>
    <sheetView view="pageBreakPreview" zoomScaleNormal="100" zoomScaleSheetLayoutView="100" workbookViewId="0">
      <selection activeCell="F10" sqref="F10:L10"/>
    </sheetView>
  </sheetViews>
  <sheetFormatPr defaultColWidth="4.109375" defaultRowHeight="18" customHeight="1"/>
  <cols>
    <col min="1" max="1" width="3.33203125" style="171" customWidth="1"/>
    <col min="2" max="72" width="0.88671875" style="171" customWidth="1"/>
    <col min="73" max="76" width="10.77734375" style="171" customWidth="1"/>
    <col min="77" max="77" width="8.77734375" style="171" customWidth="1"/>
    <col min="78" max="78" width="4.77734375" style="171" customWidth="1"/>
    <col min="79" max="79" width="7.5546875" style="171" bestFit="1" customWidth="1"/>
    <col min="80" max="80" width="6.6640625" style="171" bestFit="1" customWidth="1"/>
    <col min="81" max="84" width="4.77734375" style="171" customWidth="1"/>
    <col min="85" max="16384" width="4.109375" style="171"/>
  </cols>
  <sheetData>
    <row r="1" spans="2:81" ht="30" customHeight="1">
      <c r="B1" s="1518" t="s">
        <v>575</v>
      </c>
      <c r="C1" s="1519"/>
      <c r="D1" s="1519"/>
      <c r="E1" s="1519"/>
      <c r="F1" s="1519"/>
      <c r="G1" s="1519"/>
      <c r="H1" s="1519"/>
      <c r="I1" s="1519"/>
      <c r="J1" s="1519"/>
      <c r="K1" s="1519"/>
      <c r="L1" s="1519"/>
      <c r="M1" s="1519"/>
      <c r="N1" s="1519"/>
      <c r="O1" s="1519"/>
      <c r="P1" s="1519"/>
      <c r="Q1" s="1519"/>
      <c r="R1" s="1519"/>
      <c r="S1" s="1519"/>
      <c r="T1" s="1519"/>
      <c r="U1" s="1519"/>
      <c r="V1" s="1519"/>
      <c r="W1" s="1519"/>
      <c r="X1" s="1519"/>
      <c r="Y1" s="1519"/>
      <c r="Z1" s="1519"/>
      <c r="AA1" s="1519"/>
      <c r="AB1" s="1519"/>
      <c r="AC1" s="1519"/>
      <c r="AD1" s="1519"/>
      <c r="AE1" s="1519"/>
      <c r="AF1" s="1519"/>
      <c r="AG1" s="1519"/>
      <c r="AH1" s="1519"/>
      <c r="AI1" s="1519"/>
      <c r="AJ1" s="1519"/>
      <c r="AK1" s="1519"/>
      <c r="AL1" s="1519"/>
      <c r="AM1" s="1519"/>
      <c r="AN1" s="1519"/>
      <c r="AO1" s="1519"/>
      <c r="AP1" s="1519"/>
      <c r="AQ1" s="1519"/>
      <c r="AR1" s="1519"/>
      <c r="AS1" s="1519"/>
      <c r="AT1" s="1519"/>
      <c r="AU1" s="1519"/>
      <c r="AV1" s="1519"/>
      <c r="AW1" s="1519"/>
      <c r="AX1" s="1519"/>
      <c r="AY1" s="1519"/>
      <c r="AZ1" s="1519"/>
      <c r="BA1" s="1519"/>
      <c r="BB1" s="1519"/>
      <c r="BC1" s="1519"/>
      <c r="BD1" s="1519"/>
      <c r="BE1" s="1519"/>
      <c r="BF1" s="1519"/>
      <c r="BG1" s="1519"/>
      <c r="BH1" s="1519"/>
      <c r="BI1" s="1519"/>
      <c r="BJ1" s="1519"/>
      <c r="BK1" s="1519"/>
      <c r="BL1" s="1519"/>
      <c r="BM1" s="1519"/>
      <c r="BN1" s="1519"/>
      <c r="BO1" s="1519"/>
      <c r="BP1" s="1519"/>
      <c r="BQ1" s="1519"/>
      <c r="BR1" s="1519"/>
      <c r="BS1" s="1519"/>
      <c r="BT1" s="1520"/>
      <c r="BU1" s="453" t="s">
        <v>109</v>
      </c>
      <c r="BV1" s="453" t="s">
        <v>110</v>
      </c>
      <c r="BW1" s="453" t="s">
        <v>111</v>
      </c>
      <c r="BX1" s="453" t="s">
        <v>61</v>
      </c>
      <c r="BY1" s="453" t="s">
        <v>35</v>
      </c>
    </row>
    <row r="2" spans="2:81" ht="18" customHeight="1">
      <c r="B2" s="200"/>
      <c r="C2" s="201"/>
      <c r="L2" s="201"/>
      <c r="BU2" s="202" t="e">
        <f>BU17</f>
        <v>#REF!</v>
      </c>
      <c r="BV2" s="202">
        <f>BV17</f>
        <v>5025</v>
      </c>
      <c r="BW2" s="202" t="e">
        <f>BW17</f>
        <v>#REF!</v>
      </c>
      <c r="BX2" s="202">
        <f>BX17</f>
        <v>369</v>
      </c>
      <c r="BY2" s="203"/>
      <c r="CA2" s="171" t="s">
        <v>113</v>
      </c>
      <c r="CB2" s="242">
        <f>VLOOKUP(CA2,인건비!A:B,2,FALSE)</f>
        <v>228717</v>
      </c>
    </row>
    <row r="3" spans="2:81" ht="18" customHeight="1">
      <c r="B3" s="200"/>
      <c r="C3" s="201"/>
      <c r="N3" s="201"/>
      <c r="BU3" s="203"/>
      <c r="BV3" s="205"/>
      <c r="BW3" s="203"/>
      <c r="BX3" s="203"/>
      <c r="BY3" s="203"/>
      <c r="CA3" s="171" t="s">
        <v>114</v>
      </c>
      <c r="CB3" s="242">
        <f>VLOOKUP(CA3,인건비!A:B,2,FALSE)</f>
        <v>172698</v>
      </c>
    </row>
    <row r="4" spans="2:81" ht="18" customHeight="1">
      <c r="B4" s="200"/>
      <c r="C4" s="171" t="s">
        <v>172</v>
      </c>
      <c r="Z4" s="1521">
        <v>90</v>
      </c>
      <c r="AA4" s="1489"/>
      <c r="AB4" s="1489"/>
      <c r="AC4" s="1489"/>
      <c r="AD4" s="1489"/>
      <c r="AE4" s="171" t="s">
        <v>165</v>
      </c>
      <c r="AG4" s="49" t="s">
        <v>621</v>
      </c>
      <c r="BU4" s="203"/>
      <c r="BV4" s="203"/>
      <c r="BW4" s="203"/>
      <c r="BX4" s="203"/>
      <c r="BY4" s="203"/>
      <c r="CA4" s="171" t="s">
        <v>78</v>
      </c>
      <c r="CB4" s="242">
        <f>VLOOKUP(CA4,인건비!A:B,2,FALSE)</f>
        <v>274873</v>
      </c>
    </row>
    <row r="5" spans="2:81" ht="18" customHeight="1">
      <c r="B5" s="200"/>
      <c r="D5" s="171" t="s">
        <v>71</v>
      </c>
      <c r="H5" s="208">
        <f>0.2</f>
        <v>0.2</v>
      </c>
      <c r="I5" s="208"/>
      <c r="J5" s="208"/>
      <c r="K5" s="208"/>
      <c r="L5" s="208"/>
      <c r="M5" s="171" t="s">
        <v>72</v>
      </c>
      <c r="O5" s="171" t="s">
        <v>73</v>
      </c>
      <c r="S5" s="208">
        <v>1.1000000000000001</v>
      </c>
      <c r="T5" s="208"/>
      <c r="U5" s="208"/>
      <c r="V5" s="208"/>
      <c r="W5" s="208"/>
      <c r="X5" s="171" t="s">
        <v>72</v>
      </c>
      <c r="Z5" s="171" t="s">
        <v>173</v>
      </c>
      <c r="AD5" s="207">
        <v>1</v>
      </c>
      <c r="AE5" s="207"/>
      <c r="AF5" s="207"/>
      <c r="AG5" s="209" t="s">
        <v>99</v>
      </c>
      <c r="AH5" s="207"/>
      <c r="AI5" s="208">
        <v>1.25</v>
      </c>
      <c r="AJ5" s="208"/>
      <c r="AK5" s="208"/>
      <c r="AL5" s="208"/>
      <c r="AM5" s="208"/>
      <c r="AN5" s="209" t="s">
        <v>103</v>
      </c>
      <c r="AO5" s="207"/>
      <c r="AP5" s="208">
        <f>ROUND(AD5/AI5,2)</f>
        <v>0.8</v>
      </c>
      <c r="AQ5" s="208"/>
      <c r="AR5" s="208"/>
      <c r="AS5" s="208"/>
      <c r="AT5" s="208"/>
      <c r="AU5" s="208"/>
      <c r="AV5" s="49" t="s">
        <v>620</v>
      </c>
      <c r="BU5" s="203"/>
      <c r="BV5" s="203"/>
      <c r="BW5" s="203"/>
      <c r="BX5" s="203"/>
      <c r="BY5" s="203"/>
      <c r="CA5" s="655" t="s">
        <v>763</v>
      </c>
      <c r="CB5" s="656" t="s">
        <v>622</v>
      </c>
      <c r="CC5" s="657"/>
    </row>
    <row r="6" spans="2:81" ht="18" customHeight="1">
      <c r="B6" s="200"/>
      <c r="D6" s="171" t="s">
        <v>74</v>
      </c>
      <c r="H6" s="208">
        <v>0.85</v>
      </c>
      <c r="I6" s="208"/>
      <c r="J6" s="208"/>
      <c r="K6" s="208"/>
      <c r="L6" s="209" t="s">
        <v>77</v>
      </c>
      <c r="M6" s="207"/>
      <c r="N6" s="208">
        <v>0.05</v>
      </c>
      <c r="O6" s="208"/>
      <c r="P6" s="208"/>
      <c r="Q6" s="208"/>
      <c r="R6" s="208"/>
      <c r="S6" s="209" t="s">
        <v>103</v>
      </c>
      <c r="T6" s="207"/>
      <c r="U6" s="208">
        <f>H6-N6</f>
        <v>0.79999999999999993</v>
      </c>
      <c r="V6" s="208"/>
      <c r="W6" s="208"/>
      <c r="X6" s="208"/>
      <c r="Y6" s="208"/>
      <c r="AC6" s="171" t="s">
        <v>75</v>
      </c>
      <c r="AH6" s="208">
        <v>15</v>
      </c>
      <c r="AI6" s="208"/>
      <c r="AJ6" s="208"/>
      <c r="AK6" s="208"/>
      <c r="AL6" s="171" t="s">
        <v>76</v>
      </c>
      <c r="BU6" s="203"/>
      <c r="BV6" s="203"/>
      <c r="BW6" s="203"/>
      <c r="BX6" s="203"/>
      <c r="BY6" s="203"/>
      <c r="CA6" s="655" t="s">
        <v>764</v>
      </c>
      <c r="CB6" s="656" t="s">
        <v>624</v>
      </c>
      <c r="CC6" s="657"/>
    </row>
    <row r="7" spans="2:81" ht="18" customHeight="1">
      <c r="B7" s="200"/>
      <c r="D7" s="171" t="s">
        <v>71</v>
      </c>
      <c r="H7" s="208">
        <v>3600</v>
      </c>
      <c r="I7" s="208"/>
      <c r="J7" s="208"/>
      <c r="K7" s="208"/>
      <c r="L7" s="208"/>
      <c r="M7" s="207" t="s">
        <v>100</v>
      </c>
      <c r="N7" s="207"/>
      <c r="O7" s="208">
        <f>H5</f>
        <v>0.2</v>
      </c>
      <c r="P7" s="208"/>
      <c r="Q7" s="208"/>
      <c r="R7" s="208"/>
      <c r="S7" s="207" t="s">
        <v>100</v>
      </c>
      <c r="T7" s="207"/>
      <c r="U7" s="208">
        <f>S5</f>
        <v>1.1000000000000001</v>
      </c>
      <c r="V7" s="208"/>
      <c r="W7" s="208"/>
      <c r="X7" s="208"/>
      <c r="Y7" s="207" t="s">
        <v>100</v>
      </c>
      <c r="Z7" s="207"/>
      <c r="AA7" s="208">
        <f>AP5</f>
        <v>0.8</v>
      </c>
      <c r="AB7" s="208"/>
      <c r="AC7" s="208"/>
      <c r="AD7" s="208"/>
      <c r="AE7" s="207" t="s">
        <v>100</v>
      </c>
      <c r="AF7" s="207"/>
      <c r="AG7" s="208">
        <f>U6</f>
        <v>0.79999999999999993</v>
      </c>
      <c r="AH7" s="208"/>
      <c r="AI7" s="208"/>
      <c r="AJ7" s="208"/>
      <c r="AK7" s="208"/>
      <c r="AL7" s="209" t="s">
        <v>99</v>
      </c>
      <c r="AM7" s="207"/>
      <c r="AN7" s="208">
        <f>AH6</f>
        <v>15</v>
      </c>
      <c r="AO7" s="208"/>
      <c r="AP7" s="208"/>
      <c r="AQ7" s="208"/>
      <c r="AR7" s="208"/>
      <c r="AS7" s="209" t="s">
        <v>103</v>
      </c>
      <c r="AT7" s="207"/>
      <c r="AU7" s="208">
        <f>ROUND(H7*O7*U7*AA7*AG7/AN7,2)</f>
        <v>33.79</v>
      </c>
      <c r="AV7" s="208"/>
      <c r="AW7" s="208"/>
      <c r="AX7" s="208"/>
      <c r="AY7" s="208"/>
      <c r="AZ7" s="208"/>
      <c r="BA7" s="208"/>
      <c r="BB7" s="171" t="s">
        <v>70</v>
      </c>
      <c r="BU7" s="203"/>
      <c r="BV7" s="203"/>
      <c r="BW7" s="203"/>
      <c r="BX7" s="203"/>
      <c r="BY7" s="203"/>
      <c r="CA7" s="655" t="s">
        <v>765</v>
      </c>
      <c r="CB7" s="656" t="s">
        <v>625</v>
      </c>
      <c r="CC7" s="657"/>
    </row>
    <row r="8" spans="2:81" ht="18" customHeight="1">
      <c r="B8" s="200"/>
      <c r="D8" s="171" t="s">
        <v>66</v>
      </c>
      <c r="H8" s="207"/>
      <c r="I8" s="207"/>
      <c r="J8" s="207"/>
      <c r="K8" s="207"/>
      <c r="L8" s="207"/>
      <c r="O8" s="1523" t="e">
        <f>'기계경비(OLD)'!$AT$41</f>
        <v>#REF!</v>
      </c>
      <c r="P8" s="1269"/>
      <c r="Q8" s="1269"/>
      <c r="R8" s="1269"/>
      <c r="S8" s="1269"/>
      <c r="T8" s="1269"/>
      <c r="U8" s="1269"/>
      <c r="V8" s="1269"/>
      <c r="W8" s="209" t="s">
        <v>99</v>
      </c>
      <c r="X8" s="207"/>
      <c r="Y8" s="208">
        <f>AU7</f>
        <v>33.79</v>
      </c>
      <c r="Z8" s="208"/>
      <c r="AA8" s="208"/>
      <c r="AB8" s="208"/>
      <c r="AC8" s="208"/>
      <c r="AD8" s="208"/>
      <c r="AE8" s="207" t="s">
        <v>100</v>
      </c>
      <c r="AF8" s="207"/>
      <c r="AG8" s="208">
        <f>Z4/100</f>
        <v>0.9</v>
      </c>
      <c r="AH8" s="208"/>
      <c r="AI8" s="208"/>
      <c r="AJ8" s="208"/>
      <c r="AK8" s="208"/>
      <c r="AL8" s="209" t="s">
        <v>103</v>
      </c>
      <c r="AM8" s="207"/>
      <c r="AN8" s="208" t="e">
        <f>INT(O8/Y8*AG8)</f>
        <v>#REF!</v>
      </c>
      <c r="AO8" s="208"/>
      <c r="AP8" s="208"/>
      <c r="AQ8" s="208"/>
      <c r="AR8" s="208"/>
      <c r="AS8" s="208"/>
      <c r="AT8" s="208"/>
      <c r="AU8" s="171" t="s">
        <v>174</v>
      </c>
      <c r="AZ8" s="1461" t="s">
        <v>580</v>
      </c>
      <c r="BA8" s="1462"/>
      <c r="BB8" s="1462"/>
      <c r="BC8" s="1462"/>
      <c r="BD8" s="1462"/>
      <c r="BE8" s="1462"/>
      <c r="BF8" s="1462"/>
      <c r="BG8" s="1462"/>
      <c r="BH8" s="1462"/>
      <c r="BI8" s="1462"/>
      <c r="BJ8" s="1462"/>
      <c r="BK8" s="1462"/>
      <c r="BL8" s="1462"/>
      <c r="BU8" s="202" t="e">
        <f>SUM(BV8:BX8)</f>
        <v>#REF!</v>
      </c>
      <c r="BV8" s="202"/>
      <c r="BW8" s="202" t="e">
        <f>AN8</f>
        <v>#REF!</v>
      </c>
      <c r="BX8" s="202"/>
      <c r="BY8" s="203"/>
      <c r="CB8" s="211"/>
    </row>
    <row r="9" spans="2:81" ht="18" customHeight="1">
      <c r="B9" s="200"/>
      <c r="D9" s="171" t="s">
        <v>67</v>
      </c>
      <c r="H9" s="207"/>
      <c r="I9" s="207"/>
      <c r="J9" s="207"/>
      <c r="K9" s="207"/>
      <c r="O9" s="1523">
        <f>'기계경비(OLD)'!$BU$34</f>
        <v>59025</v>
      </c>
      <c r="P9" s="1269"/>
      <c r="Q9" s="1269"/>
      <c r="R9" s="1269"/>
      <c r="S9" s="1269"/>
      <c r="T9" s="1269"/>
      <c r="U9" s="1269"/>
      <c r="V9" s="1269"/>
      <c r="W9" s="209" t="s">
        <v>99</v>
      </c>
      <c r="X9" s="207"/>
      <c r="Y9" s="208">
        <f>Y8</f>
        <v>33.79</v>
      </c>
      <c r="Z9" s="208"/>
      <c r="AA9" s="208"/>
      <c r="AB9" s="208"/>
      <c r="AC9" s="208"/>
      <c r="AD9" s="208"/>
      <c r="AE9" s="207" t="s">
        <v>100</v>
      </c>
      <c r="AF9" s="207"/>
      <c r="AG9" s="208">
        <f>AG8</f>
        <v>0.9</v>
      </c>
      <c r="AH9" s="208"/>
      <c r="AI9" s="208"/>
      <c r="AJ9" s="208"/>
      <c r="AK9" s="208"/>
      <c r="AL9" s="209" t="s">
        <v>103</v>
      </c>
      <c r="AM9" s="207"/>
      <c r="AN9" s="208">
        <f>INT(O9/Y9*AG9)</f>
        <v>1572</v>
      </c>
      <c r="AO9" s="208"/>
      <c r="AP9" s="208"/>
      <c r="AQ9" s="208"/>
      <c r="AR9" s="208"/>
      <c r="AS9" s="208"/>
      <c r="AT9" s="208"/>
      <c r="AU9" s="171" t="s">
        <v>174</v>
      </c>
      <c r="AZ9" s="1461" t="s">
        <v>580</v>
      </c>
      <c r="BA9" s="1462"/>
      <c r="BB9" s="1462"/>
      <c r="BC9" s="1462"/>
      <c r="BD9" s="1462"/>
      <c r="BE9" s="1462"/>
      <c r="BF9" s="1462"/>
      <c r="BG9" s="1462"/>
      <c r="BH9" s="1462"/>
      <c r="BI9" s="1462"/>
      <c r="BJ9" s="1462"/>
      <c r="BK9" s="1462"/>
      <c r="BL9" s="1462"/>
      <c r="BU9" s="202">
        <f>SUM(BV9:BX9)</f>
        <v>1572</v>
      </c>
      <c r="BV9" s="202">
        <f>AN9</f>
        <v>1572</v>
      </c>
      <c r="BW9" s="202"/>
      <c r="BX9" s="202"/>
      <c r="BY9" s="203"/>
      <c r="CB9" s="211"/>
    </row>
    <row r="10" spans="2:81" ht="18" customHeight="1">
      <c r="B10" s="200"/>
      <c r="D10" s="171" t="s">
        <v>68</v>
      </c>
      <c r="O10" s="1523">
        <f>'기계경비(OLD)'!$BN$45</f>
        <v>13873</v>
      </c>
      <c r="P10" s="1269"/>
      <c r="Q10" s="1269"/>
      <c r="R10" s="1269"/>
      <c r="S10" s="1269"/>
      <c r="T10" s="1269"/>
      <c r="U10" s="1269"/>
      <c r="V10" s="1269"/>
      <c r="W10" s="209" t="s">
        <v>99</v>
      </c>
      <c r="X10" s="207"/>
      <c r="Y10" s="208">
        <f>Y9</f>
        <v>33.79</v>
      </c>
      <c r="Z10" s="208"/>
      <c r="AA10" s="208"/>
      <c r="AB10" s="208"/>
      <c r="AC10" s="208"/>
      <c r="AD10" s="208"/>
      <c r="AE10" s="207" t="s">
        <v>100</v>
      </c>
      <c r="AF10" s="207"/>
      <c r="AG10" s="208">
        <f>AG9</f>
        <v>0.9</v>
      </c>
      <c r="AH10" s="208"/>
      <c r="AI10" s="208"/>
      <c r="AJ10" s="208"/>
      <c r="AK10" s="208"/>
      <c r="AL10" s="209" t="s">
        <v>103</v>
      </c>
      <c r="AM10" s="207"/>
      <c r="AN10" s="208">
        <f>INT(O10/Y10*AG10)</f>
        <v>369</v>
      </c>
      <c r="AO10" s="208"/>
      <c r="AP10" s="208"/>
      <c r="AQ10" s="208"/>
      <c r="AR10" s="208"/>
      <c r="AS10" s="208"/>
      <c r="AT10" s="208"/>
      <c r="AU10" s="171" t="s">
        <v>174</v>
      </c>
      <c r="AZ10" s="1461" t="s">
        <v>580</v>
      </c>
      <c r="BA10" s="1462"/>
      <c r="BB10" s="1462"/>
      <c r="BC10" s="1462"/>
      <c r="BD10" s="1462"/>
      <c r="BE10" s="1462"/>
      <c r="BF10" s="1462"/>
      <c r="BG10" s="1462"/>
      <c r="BH10" s="1462"/>
      <c r="BI10" s="1462"/>
      <c r="BJ10" s="1462"/>
      <c r="BK10" s="1462"/>
      <c r="BL10" s="1462"/>
      <c r="BU10" s="202">
        <f>SUM(BV10:BX10)</f>
        <v>369</v>
      </c>
      <c r="BV10" s="202"/>
      <c r="BW10" s="202"/>
      <c r="BX10" s="202">
        <f>AN10</f>
        <v>369</v>
      </c>
      <c r="BY10" s="203"/>
    </row>
    <row r="11" spans="2:81" ht="18" customHeight="1">
      <c r="B11" s="200"/>
      <c r="D11" s="171" t="s">
        <v>63</v>
      </c>
      <c r="M11" s="212"/>
      <c r="U11" s="213"/>
      <c r="AJ11" s="213"/>
      <c r="BU11" s="214" t="e">
        <f>SUM(BV11:BX11)</f>
        <v>#REF!</v>
      </c>
      <c r="BV11" s="214">
        <f>SUM(BV8:BV10)</f>
        <v>1572</v>
      </c>
      <c r="BW11" s="214" t="e">
        <f>SUM(BW8:BW10)</f>
        <v>#REF!</v>
      </c>
      <c r="BX11" s="214">
        <f>SUM(BX8:BX10)</f>
        <v>369</v>
      </c>
      <c r="BY11" s="203"/>
    </row>
    <row r="12" spans="2:81" ht="18" customHeight="1">
      <c r="B12" s="200"/>
      <c r="M12" s="212"/>
      <c r="U12" s="213"/>
      <c r="AJ12" s="213"/>
      <c r="BU12" s="202"/>
      <c r="BV12" s="202"/>
      <c r="BW12" s="202"/>
      <c r="BX12" s="202"/>
      <c r="BY12" s="203"/>
    </row>
    <row r="13" spans="2:81" ht="18" customHeight="1">
      <c r="B13" s="200" t="s">
        <v>175</v>
      </c>
      <c r="J13" s="1521">
        <v>10</v>
      </c>
      <c r="K13" s="1489"/>
      <c r="L13" s="1489"/>
      <c r="M13" s="1489"/>
      <c r="N13" s="1489"/>
      <c r="O13" s="171" t="s">
        <v>165</v>
      </c>
      <c r="AI13" s="213"/>
      <c r="BU13" s="203"/>
      <c r="BV13" s="203"/>
      <c r="BW13" s="203"/>
      <c r="BX13" s="203"/>
      <c r="BY13" s="215"/>
    </row>
    <row r="14" spans="2:81" ht="18" customHeight="1">
      <c r="B14" s="200"/>
      <c r="C14" s="171" t="s">
        <v>62</v>
      </c>
      <c r="L14" s="212"/>
      <c r="N14" s="1521">
        <v>0.2</v>
      </c>
      <c r="O14" s="1489"/>
      <c r="P14" s="1489"/>
      <c r="Q14" s="1489"/>
      <c r="R14" s="1489"/>
      <c r="S14" s="1489"/>
      <c r="T14" s="171" t="s">
        <v>162</v>
      </c>
      <c r="W14" s="207" t="s">
        <v>100</v>
      </c>
      <c r="X14" s="207"/>
      <c r="Y14" s="1524">
        <f>$CB$3</f>
        <v>172698</v>
      </c>
      <c r="Z14" s="1489"/>
      <c r="AA14" s="1489"/>
      <c r="AB14" s="1489"/>
      <c r="AC14" s="1489"/>
      <c r="AD14" s="1489"/>
      <c r="AE14" s="1489"/>
      <c r="AF14" s="1489"/>
      <c r="AG14" s="207" t="s">
        <v>100</v>
      </c>
      <c r="AH14" s="207"/>
      <c r="AI14" s="1522">
        <f>J13/100</f>
        <v>0.1</v>
      </c>
      <c r="AJ14" s="1489"/>
      <c r="AK14" s="1489"/>
      <c r="AL14" s="1489"/>
      <c r="AM14" s="209" t="s">
        <v>103</v>
      </c>
      <c r="AN14" s="207"/>
      <c r="AO14" s="217">
        <f>INT(N14*Y14*AI14)</f>
        <v>3453</v>
      </c>
      <c r="AP14" s="207"/>
      <c r="AQ14" s="207"/>
      <c r="AR14" s="207"/>
      <c r="AS14" s="207"/>
      <c r="AT14" s="207"/>
      <c r="AU14" s="207"/>
      <c r="AV14" s="171" t="s">
        <v>174</v>
      </c>
      <c r="BU14" s="202">
        <f>BV14</f>
        <v>3453</v>
      </c>
      <c r="BV14" s="202">
        <f>AO14</f>
        <v>3453</v>
      </c>
      <c r="BW14" s="203"/>
      <c r="BX14" s="203"/>
      <c r="BY14" s="215"/>
      <c r="CB14" s="555"/>
    </row>
    <row r="15" spans="2:81" ht="18" customHeight="1">
      <c r="B15" s="200"/>
      <c r="C15" s="171" t="s">
        <v>63</v>
      </c>
      <c r="L15" s="212"/>
      <c r="T15" s="213"/>
      <c r="AI15" s="213"/>
      <c r="BU15" s="202">
        <f>BV15</f>
        <v>3453</v>
      </c>
      <c r="BV15" s="202">
        <f>BV14</f>
        <v>3453</v>
      </c>
      <c r="BW15" s="203"/>
      <c r="BX15" s="203"/>
      <c r="BY15" s="215"/>
    </row>
    <row r="16" spans="2:81" ht="18" customHeight="1">
      <c r="B16" s="200"/>
      <c r="M16" s="212"/>
      <c r="U16" s="213"/>
      <c r="AJ16" s="213"/>
      <c r="BU16" s="203"/>
      <c r="BV16" s="202"/>
      <c r="BW16" s="202"/>
      <c r="BX16" s="202"/>
      <c r="BY16" s="203"/>
    </row>
    <row r="17" spans="2:80" ht="18" customHeight="1" thickBot="1">
      <c r="B17" s="200"/>
      <c r="D17" s="218" t="s">
        <v>69</v>
      </c>
      <c r="E17" s="218"/>
      <c r="F17" s="218"/>
      <c r="G17" s="218"/>
      <c r="H17" s="218"/>
      <c r="I17" s="218"/>
      <c r="J17" s="218"/>
      <c r="K17" s="218"/>
      <c r="L17" s="218"/>
      <c r="M17" s="219"/>
      <c r="N17" s="218"/>
      <c r="O17" s="218"/>
      <c r="P17" s="218"/>
      <c r="Q17" s="218"/>
      <c r="R17" s="218"/>
      <c r="S17" s="218"/>
      <c r="T17" s="218"/>
      <c r="U17" s="220"/>
      <c r="V17" s="218"/>
      <c r="W17" s="218"/>
      <c r="X17" s="218"/>
      <c r="Y17" s="218"/>
      <c r="Z17" s="218"/>
      <c r="AA17" s="218"/>
      <c r="AB17" s="218"/>
      <c r="AC17" s="218"/>
      <c r="AD17" s="218"/>
      <c r="AE17" s="218"/>
      <c r="AF17" s="218"/>
      <c r="AG17" s="218"/>
      <c r="AH17" s="218"/>
      <c r="AI17" s="218"/>
      <c r="AJ17" s="220"/>
      <c r="AK17" s="218"/>
      <c r="AL17" s="218"/>
      <c r="AM17" s="218"/>
      <c r="AN17" s="218"/>
      <c r="AO17" s="218"/>
      <c r="AP17" s="218"/>
      <c r="AQ17" s="218"/>
      <c r="AR17" s="218"/>
      <c r="AS17" s="218"/>
      <c r="AT17" s="218"/>
      <c r="AU17" s="218"/>
      <c r="AV17" s="218"/>
      <c r="AW17" s="218"/>
      <c r="AX17" s="218"/>
      <c r="AY17" s="218"/>
      <c r="AZ17" s="218"/>
      <c r="BA17" s="218"/>
      <c r="BB17" s="218"/>
      <c r="BC17" s="218"/>
      <c r="BD17" s="218"/>
      <c r="BE17" s="218"/>
      <c r="BF17" s="218"/>
      <c r="BG17" s="218"/>
      <c r="BH17" s="218"/>
      <c r="BI17" s="218"/>
      <c r="BJ17" s="218"/>
      <c r="BK17" s="218"/>
      <c r="BL17" s="218"/>
      <c r="BM17" s="218"/>
      <c r="BN17" s="218"/>
      <c r="BO17" s="218"/>
      <c r="BP17" s="218"/>
      <c r="BQ17" s="218"/>
      <c r="BR17" s="218"/>
      <c r="BS17" s="218"/>
      <c r="BT17" s="218"/>
      <c r="BU17" s="221" t="e">
        <f>BU11+BU15</f>
        <v>#REF!</v>
      </c>
      <c r="BV17" s="221">
        <f>BV11+BV15</f>
        <v>5025</v>
      </c>
      <c r="BW17" s="221" t="e">
        <f>BW11+BW15</f>
        <v>#REF!</v>
      </c>
      <c r="BX17" s="221">
        <f>BX11+BX15</f>
        <v>369</v>
      </c>
      <c r="BY17" s="203"/>
    </row>
    <row r="18" spans="2:80" ht="18" customHeight="1" thickTop="1">
      <c r="B18" s="200"/>
      <c r="M18" s="212"/>
      <c r="U18" s="213"/>
      <c r="AJ18" s="213"/>
      <c r="BU18" s="203"/>
      <c r="BV18" s="203"/>
      <c r="BW18" s="203"/>
      <c r="BX18" s="203"/>
      <c r="BY18" s="203"/>
    </row>
    <row r="19" spans="2:80" ht="18" customHeight="1">
      <c r="B19" s="200"/>
      <c r="M19" s="212"/>
      <c r="U19" s="213"/>
      <c r="AJ19" s="213"/>
      <c r="BU19" s="203"/>
      <c r="BV19" s="203"/>
      <c r="BW19" s="203"/>
      <c r="BX19" s="203"/>
      <c r="BY19" s="203"/>
    </row>
    <row r="20" spans="2:80" ht="18" customHeight="1">
      <c r="B20" s="200"/>
      <c r="M20" s="212"/>
      <c r="U20" s="213"/>
      <c r="AJ20" s="213"/>
      <c r="BU20" s="203"/>
      <c r="BV20" s="203"/>
      <c r="BW20" s="203"/>
      <c r="BX20" s="203"/>
      <c r="BY20" s="203"/>
    </row>
    <row r="21" spans="2:80" ht="18" customHeight="1">
      <c r="B21" s="200"/>
      <c r="M21" s="212"/>
      <c r="U21" s="213"/>
      <c r="AJ21" s="213"/>
      <c r="BU21" s="203"/>
      <c r="BV21" s="203"/>
      <c r="BW21" s="203"/>
      <c r="BX21" s="203"/>
      <c r="BY21" s="203"/>
    </row>
    <row r="22" spans="2:80" ht="18" customHeight="1">
      <c r="B22" s="200"/>
      <c r="M22" s="212"/>
      <c r="U22" s="213"/>
      <c r="AJ22" s="213"/>
      <c r="BU22" s="203"/>
      <c r="BV22" s="203"/>
      <c r="BW22" s="203"/>
      <c r="BX22" s="203"/>
      <c r="BY22" s="203"/>
    </row>
    <row r="23" spans="2:80" ht="18" customHeight="1">
      <c r="B23" s="200"/>
      <c r="M23" s="212"/>
      <c r="U23" s="213"/>
      <c r="AJ23" s="213"/>
      <c r="BU23" s="203"/>
      <c r="BV23" s="203"/>
      <c r="BW23" s="203"/>
      <c r="BX23" s="203"/>
      <c r="BY23" s="203"/>
    </row>
    <row r="24" spans="2:80" ht="18" customHeight="1">
      <c r="B24" s="222"/>
      <c r="C24" s="223"/>
      <c r="D24" s="223"/>
      <c r="E24" s="223"/>
      <c r="F24" s="223"/>
      <c r="G24" s="223"/>
      <c r="H24" s="223"/>
      <c r="I24" s="223"/>
      <c r="J24" s="223"/>
      <c r="K24" s="223"/>
      <c r="L24" s="223"/>
      <c r="M24" s="224"/>
      <c r="N24" s="223"/>
      <c r="O24" s="223"/>
      <c r="P24" s="223"/>
      <c r="Q24" s="223"/>
      <c r="R24" s="223"/>
      <c r="S24" s="223"/>
      <c r="T24" s="223"/>
      <c r="U24" s="225"/>
      <c r="V24" s="223"/>
      <c r="W24" s="223"/>
      <c r="X24" s="223"/>
      <c r="Y24" s="223"/>
      <c r="Z24" s="223"/>
      <c r="AA24" s="223"/>
      <c r="AB24" s="223"/>
      <c r="AC24" s="223"/>
      <c r="AD24" s="223"/>
      <c r="AE24" s="223"/>
      <c r="AF24" s="223"/>
      <c r="AG24" s="223"/>
      <c r="AH24" s="223"/>
      <c r="AI24" s="223"/>
      <c r="AJ24" s="225"/>
      <c r="AK24" s="223"/>
      <c r="AL24" s="223"/>
      <c r="AM24" s="223"/>
      <c r="AN24" s="223"/>
      <c r="AO24" s="223"/>
      <c r="AP24" s="223"/>
      <c r="AQ24" s="223"/>
      <c r="AR24" s="223"/>
      <c r="AS24" s="223"/>
      <c r="AT24" s="223"/>
      <c r="AU24" s="223"/>
      <c r="AV24" s="223"/>
      <c r="AW24" s="223"/>
      <c r="AX24" s="223"/>
      <c r="AY24" s="223"/>
      <c r="AZ24" s="223"/>
      <c r="BA24" s="223"/>
      <c r="BB24" s="223"/>
      <c r="BC24" s="223"/>
      <c r="BD24" s="223"/>
      <c r="BE24" s="223"/>
      <c r="BF24" s="223"/>
      <c r="BG24" s="223"/>
      <c r="BH24" s="223"/>
      <c r="BI24" s="223"/>
      <c r="BJ24" s="223"/>
      <c r="BK24" s="223"/>
      <c r="BL24" s="223"/>
      <c r="BM24" s="223"/>
      <c r="BN24" s="223"/>
      <c r="BO24" s="223"/>
      <c r="BP24" s="223"/>
      <c r="BQ24" s="223"/>
      <c r="BR24" s="223"/>
      <c r="BS24" s="223"/>
      <c r="BT24" s="223"/>
      <c r="BU24" s="226"/>
      <c r="BV24" s="226"/>
      <c r="BW24" s="226"/>
      <c r="BX24" s="226"/>
      <c r="BY24" s="226"/>
    </row>
    <row r="25" spans="2:80" ht="30" customHeight="1">
      <c r="B25" s="1518" t="s">
        <v>576</v>
      </c>
      <c r="C25" s="1519"/>
      <c r="D25" s="1519"/>
      <c r="E25" s="1519"/>
      <c r="F25" s="1519"/>
      <c r="G25" s="1519"/>
      <c r="H25" s="1519"/>
      <c r="I25" s="1519"/>
      <c r="J25" s="1519"/>
      <c r="K25" s="1519"/>
      <c r="L25" s="1519"/>
      <c r="M25" s="1519"/>
      <c r="N25" s="1519"/>
      <c r="O25" s="1519"/>
      <c r="P25" s="1519"/>
      <c r="Q25" s="1519"/>
      <c r="R25" s="1519"/>
      <c r="S25" s="1519"/>
      <c r="T25" s="1519"/>
      <c r="U25" s="1519"/>
      <c r="V25" s="1519"/>
      <c r="W25" s="1519"/>
      <c r="X25" s="1519"/>
      <c r="Y25" s="1519"/>
      <c r="Z25" s="1519"/>
      <c r="AA25" s="1519"/>
      <c r="AB25" s="1519"/>
      <c r="AC25" s="1519"/>
      <c r="AD25" s="1519"/>
      <c r="AE25" s="1519"/>
      <c r="AF25" s="1519"/>
      <c r="AG25" s="1519"/>
      <c r="AH25" s="1519"/>
      <c r="AI25" s="1519"/>
      <c r="AJ25" s="1519"/>
      <c r="AK25" s="1519"/>
      <c r="AL25" s="1519"/>
      <c r="AM25" s="1519"/>
      <c r="AN25" s="1519"/>
      <c r="AO25" s="1519"/>
      <c r="AP25" s="1519"/>
      <c r="AQ25" s="1519"/>
      <c r="AR25" s="1519"/>
      <c r="AS25" s="1519"/>
      <c r="AT25" s="1519"/>
      <c r="AU25" s="1519"/>
      <c r="AV25" s="1519"/>
      <c r="AW25" s="1519"/>
      <c r="AX25" s="1519"/>
      <c r="AY25" s="1519"/>
      <c r="AZ25" s="1519"/>
      <c r="BA25" s="1519"/>
      <c r="BB25" s="1519"/>
      <c r="BC25" s="1519"/>
      <c r="BD25" s="1519"/>
      <c r="BE25" s="1519"/>
      <c r="BF25" s="1519"/>
      <c r="BG25" s="1519"/>
      <c r="BH25" s="1519"/>
      <c r="BI25" s="1519"/>
      <c r="BJ25" s="1519"/>
      <c r="BK25" s="1519"/>
      <c r="BL25" s="1519"/>
      <c r="BM25" s="1519"/>
      <c r="BN25" s="1519"/>
      <c r="BO25" s="1519"/>
      <c r="BP25" s="1519"/>
      <c r="BQ25" s="1519"/>
      <c r="BR25" s="1519"/>
      <c r="BS25" s="1519"/>
      <c r="BT25" s="1520"/>
      <c r="BU25" s="453" t="s">
        <v>109</v>
      </c>
      <c r="BV25" s="453" t="s">
        <v>110</v>
      </c>
      <c r="BW25" s="453" t="s">
        <v>111</v>
      </c>
      <c r="BX25" s="453" t="s">
        <v>61</v>
      </c>
      <c r="BY25" s="453" t="s">
        <v>35</v>
      </c>
    </row>
    <row r="26" spans="2:80" ht="18" customHeight="1">
      <c r="B26" s="200"/>
      <c r="C26" s="227"/>
      <c r="L26" s="201"/>
      <c r="BU26" s="202" t="e">
        <f>BU48</f>
        <v>#REF!</v>
      </c>
      <c r="BV26" s="202">
        <f>BV48</f>
        <v>7549</v>
      </c>
      <c r="BW26" s="202" t="e">
        <f>BW48</f>
        <v>#REF!</v>
      </c>
      <c r="BX26" s="202">
        <f>BX48</f>
        <v>490</v>
      </c>
      <c r="BY26" s="203"/>
      <c r="CB26" s="228"/>
    </row>
    <row r="27" spans="2:80" ht="18" customHeight="1">
      <c r="B27" s="200"/>
      <c r="C27" s="171" t="s">
        <v>172</v>
      </c>
      <c r="Y27" s="1521">
        <v>90</v>
      </c>
      <c r="Z27" s="1489"/>
      <c r="AA27" s="1489"/>
      <c r="AB27" s="1489"/>
      <c r="AC27" s="1489"/>
      <c r="AD27" s="171" t="s">
        <v>165</v>
      </c>
      <c r="AF27" s="49" t="s">
        <v>622</v>
      </c>
      <c r="BU27" s="203"/>
      <c r="BV27" s="203"/>
      <c r="BW27" s="203"/>
      <c r="BX27" s="203"/>
      <c r="BY27" s="203"/>
      <c r="CB27" s="210"/>
    </row>
    <row r="28" spans="2:80" ht="18" customHeight="1">
      <c r="B28" s="200"/>
      <c r="D28" s="171" t="s">
        <v>71</v>
      </c>
      <c r="H28" s="208">
        <f>0.2</f>
        <v>0.2</v>
      </c>
      <c r="I28" s="208"/>
      <c r="J28" s="208"/>
      <c r="K28" s="208"/>
      <c r="L28" s="208"/>
      <c r="M28" s="229" t="s">
        <v>72</v>
      </c>
      <c r="O28" s="171" t="s">
        <v>73</v>
      </c>
      <c r="S28" s="208">
        <v>1.1000000000000001</v>
      </c>
      <c r="T28" s="208"/>
      <c r="U28" s="208"/>
      <c r="V28" s="208"/>
      <c r="W28" s="208"/>
      <c r="X28" s="171" t="s">
        <v>72</v>
      </c>
      <c r="Z28" s="171" t="s">
        <v>173</v>
      </c>
      <c r="AD28" s="207">
        <v>1</v>
      </c>
      <c r="AE28" s="207"/>
      <c r="AF28" s="207"/>
      <c r="AG28" s="209" t="s">
        <v>99</v>
      </c>
      <c r="AH28" s="207"/>
      <c r="AI28" s="208">
        <v>1.25</v>
      </c>
      <c r="AJ28" s="208"/>
      <c r="AK28" s="208"/>
      <c r="AL28" s="208"/>
      <c r="AM28" s="208"/>
      <c r="AN28" s="209" t="s">
        <v>103</v>
      </c>
      <c r="AO28" s="207"/>
      <c r="AP28" s="208">
        <f>ROUND(AD28/AI28,2)</f>
        <v>0.8</v>
      </c>
      <c r="AQ28" s="208"/>
      <c r="AR28" s="208"/>
      <c r="AS28" s="208"/>
      <c r="AT28" s="208"/>
      <c r="AU28" s="49" t="s">
        <v>623</v>
      </c>
      <c r="BU28" s="203"/>
      <c r="BV28" s="203"/>
      <c r="BW28" s="203"/>
      <c r="BX28" s="203"/>
      <c r="BY28" s="203"/>
      <c r="CB28" s="210"/>
    </row>
    <row r="29" spans="2:80" ht="18" customHeight="1">
      <c r="B29" s="200"/>
      <c r="D29" s="171" t="s">
        <v>74</v>
      </c>
      <c r="H29" s="208">
        <v>0.7</v>
      </c>
      <c r="I29" s="208"/>
      <c r="J29" s="208"/>
      <c r="K29" s="208"/>
      <c r="L29" s="208"/>
      <c r="M29" s="229"/>
      <c r="P29" s="171" t="s">
        <v>75</v>
      </c>
      <c r="U29" s="208">
        <v>15</v>
      </c>
      <c r="V29" s="208"/>
      <c r="W29" s="208"/>
      <c r="X29" s="208"/>
      <c r="Y29" s="171" t="s">
        <v>76</v>
      </c>
      <c r="BU29" s="203"/>
      <c r="BV29" s="203"/>
      <c r="BW29" s="203"/>
      <c r="BX29" s="203"/>
      <c r="BY29" s="203"/>
      <c r="CB29" s="228"/>
    </row>
    <row r="30" spans="2:80" ht="18" customHeight="1">
      <c r="B30" s="200"/>
      <c r="D30" s="171" t="s">
        <v>71</v>
      </c>
      <c r="H30" s="208">
        <v>3600</v>
      </c>
      <c r="I30" s="208"/>
      <c r="J30" s="208"/>
      <c r="K30" s="208"/>
      <c r="L30" s="208"/>
      <c r="M30" s="208" t="s">
        <v>100</v>
      </c>
      <c r="N30" s="207"/>
      <c r="O30" s="208">
        <f>H28</f>
        <v>0.2</v>
      </c>
      <c r="P30" s="208"/>
      <c r="Q30" s="208"/>
      <c r="R30" s="208"/>
      <c r="S30" s="207" t="s">
        <v>100</v>
      </c>
      <c r="T30" s="207"/>
      <c r="U30" s="208">
        <f>S28</f>
        <v>1.1000000000000001</v>
      </c>
      <c r="V30" s="208"/>
      <c r="W30" s="208"/>
      <c r="X30" s="208"/>
      <c r="Y30" s="207" t="s">
        <v>100</v>
      </c>
      <c r="Z30" s="207"/>
      <c r="AA30" s="208">
        <f>AP28</f>
        <v>0.8</v>
      </c>
      <c r="AB30" s="208"/>
      <c r="AC30" s="208"/>
      <c r="AD30" s="208"/>
      <c r="AE30" s="208"/>
      <c r="AF30" s="207" t="s">
        <v>100</v>
      </c>
      <c r="AG30" s="207"/>
      <c r="AH30" s="208">
        <f>H29</f>
        <v>0.7</v>
      </c>
      <c r="AI30" s="208"/>
      <c r="AJ30" s="208"/>
      <c r="AK30" s="208"/>
      <c r="AL30" s="208"/>
      <c r="AM30" s="209" t="s">
        <v>99</v>
      </c>
      <c r="AN30" s="207"/>
      <c r="AO30" s="208">
        <f>U29</f>
        <v>15</v>
      </c>
      <c r="AP30" s="208"/>
      <c r="AQ30" s="208"/>
      <c r="AR30" s="208"/>
      <c r="AS30" s="208"/>
      <c r="AT30" s="209" t="s">
        <v>103</v>
      </c>
      <c r="AU30" s="207"/>
      <c r="AV30" s="208">
        <f>ROUND(H30*O30*U30*AA30*AH30/AO30,2)</f>
        <v>29.57</v>
      </c>
      <c r="AW30" s="208"/>
      <c r="AX30" s="208"/>
      <c r="AY30" s="208"/>
      <c r="AZ30" s="208"/>
      <c r="BA30" s="208"/>
      <c r="BB30" s="208"/>
      <c r="BC30" s="171" t="s">
        <v>70</v>
      </c>
      <c r="BU30" s="203"/>
      <c r="BV30" s="203"/>
      <c r="BW30" s="203"/>
      <c r="BX30" s="203"/>
      <c r="BY30" s="203"/>
      <c r="CB30" s="210"/>
    </row>
    <row r="31" spans="2:80" ht="18" customHeight="1">
      <c r="B31" s="200"/>
      <c r="D31" s="171" t="s">
        <v>66</v>
      </c>
      <c r="H31" s="207"/>
      <c r="I31" s="207"/>
      <c r="J31" s="207"/>
      <c r="K31" s="207"/>
      <c r="L31" s="207"/>
      <c r="O31" s="1523" t="e">
        <f>'기계경비(OLD)'!$AT$41</f>
        <v>#REF!</v>
      </c>
      <c r="P31" s="1269"/>
      <c r="Q31" s="1269"/>
      <c r="R31" s="1269"/>
      <c r="S31" s="1269"/>
      <c r="T31" s="1269"/>
      <c r="U31" s="1269"/>
      <c r="V31" s="1269"/>
      <c r="W31" s="209" t="s">
        <v>99</v>
      </c>
      <c r="X31" s="207"/>
      <c r="Y31" s="208">
        <f>AV30</f>
        <v>29.57</v>
      </c>
      <c r="Z31" s="208"/>
      <c r="AA31" s="208"/>
      <c r="AB31" s="208"/>
      <c r="AC31" s="208"/>
      <c r="AD31" s="208"/>
      <c r="AE31" s="207" t="s">
        <v>100</v>
      </c>
      <c r="AF31" s="207"/>
      <c r="AG31" s="208">
        <f>Y27/100</f>
        <v>0.9</v>
      </c>
      <c r="AH31" s="208"/>
      <c r="AI31" s="208"/>
      <c r="AJ31" s="208"/>
      <c r="AK31" s="208"/>
      <c r="AL31" s="209" t="s">
        <v>103</v>
      </c>
      <c r="AM31" s="207"/>
      <c r="AN31" s="208" t="e">
        <f>INT(O31/Y31*AG31)</f>
        <v>#REF!</v>
      </c>
      <c r="AO31" s="208"/>
      <c r="AP31" s="208"/>
      <c r="AQ31" s="208"/>
      <c r="AR31" s="208"/>
      <c r="AS31" s="208"/>
      <c r="AT31" s="208"/>
      <c r="AU31" s="171" t="s">
        <v>174</v>
      </c>
      <c r="AZ31" s="1461" t="s">
        <v>580</v>
      </c>
      <c r="BA31" s="1462"/>
      <c r="BB31" s="1462"/>
      <c r="BC31" s="1462"/>
      <c r="BD31" s="1462"/>
      <c r="BE31" s="1462"/>
      <c r="BF31" s="1462"/>
      <c r="BG31" s="1462"/>
      <c r="BH31" s="1462"/>
      <c r="BI31" s="1462"/>
      <c r="BJ31" s="1462"/>
      <c r="BK31" s="1462"/>
      <c r="BL31" s="1462"/>
      <c r="BU31" s="202" t="e">
        <f>SUM(BV31:BX31)</f>
        <v>#REF!</v>
      </c>
      <c r="BV31" s="202"/>
      <c r="BW31" s="202" t="e">
        <f>AN31</f>
        <v>#REF!</v>
      </c>
      <c r="BX31" s="202"/>
      <c r="BY31" s="203"/>
      <c r="CB31" s="211"/>
    </row>
    <row r="32" spans="2:80" ht="18" customHeight="1">
      <c r="B32" s="200"/>
      <c r="D32" s="171" t="s">
        <v>67</v>
      </c>
      <c r="H32" s="207"/>
      <c r="I32" s="207"/>
      <c r="J32" s="207"/>
      <c r="K32" s="207"/>
      <c r="O32" s="1523">
        <f>'기계경비(OLD)'!$BU$34</f>
        <v>59025</v>
      </c>
      <c r="P32" s="1269"/>
      <c r="Q32" s="1269"/>
      <c r="R32" s="1269"/>
      <c r="S32" s="1269"/>
      <c r="T32" s="1269"/>
      <c r="U32" s="1269"/>
      <c r="V32" s="1269"/>
      <c r="W32" s="209" t="s">
        <v>99</v>
      </c>
      <c r="X32" s="207"/>
      <c r="Y32" s="208">
        <f>Y31</f>
        <v>29.57</v>
      </c>
      <c r="Z32" s="208"/>
      <c r="AA32" s="208"/>
      <c r="AB32" s="208"/>
      <c r="AC32" s="208"/>
      <c r="AD32" s="208"/>
      <c r="AE32" s="207" t="s">
        <v>100</v>
      </c>
      <c r="AF32" s="207"/>
      <c r="AG32" s="208">
        <f>AG31</f>
        <v>0.9</v>
      </c>
      <c r="AH32" s="208"/>
      <c r="AI32" s="208"/>
      <c r="AJ32" s="208"/>
      <c r="AK32" s="208"/>
      <c r="AL32" s="209" t="s">
        <v>103</v>
      </c>
      <c r="AM32" s="207"/>
      <c r="AN32" s="208">
        <f>INT(O32/Y32*AG32)</f>
        <v>1796</v>
      </c>
      <c r="AO32" s="208"/>
      <c r="AP32" s="208"/>
      <c r="AQ32" s="208"/>
      <c r="AR32" s="208"/>
      <c r="AS32" s="208"/>
      <c r="AT32" s="208"/>
      <c r="AU32" s="171" t="s">
        <v>174</v>
      </c>
      <c r="AZ32" s="1461" t="s">
        <v>580</v>
      </c>
      <c r="BA32" s="1462"/>
      <c r="BB32" s="1462"/>
      <c r="BC32" s="1462"/>
      <c r="BD32" s="1462"/>
      <c r="BE32" s="1462"/>
      <c r="BF32" s="1462"/>
      <c r="BG32" s="1462"/>
      <c r="BH32" s="1462"/>
      <c r="BI32" s="1462"/>
      <c r="BJ32" s="1462"/>
      <c r="BK32" s="1462"/>
      <c r="BL32" s="1462"/>
      <c r="BU32" s="202">
        <f>SUM(BV32:BX32)</f>
        <v>1796</v>
      </c>
      <c r="BV32" s="202">
        <f>AN32</f>
        <v>1796</v>
      </c>
      <c r="BW32" s="202"/>
      <c r="BX32" s="202"/>
      <c r="BY32" s="203"/>
      <c r="CB32" s="211"/>
    </row>
    <row r="33" spans="2:80" ht="18" customHeight="1">
      <c r="B33" s="200"/>
      <c r="D33" s="171" t="s">
        <v>68</v>
      </c>
      <c r="O33" s="1523">
        <f>'기계경비(OLD)'!$BN$45</f>
        <v>13873</v>
      </c>
      <c r="P33" s="1269"/>
      <c r="Q33" s="1269"/>
      <c r="R33" s="1269"/>
      <c r="S33" s="1269"/>
      <c r="T33" s="1269"/>
      <c r="U33" s="1269"/>
      <c r="V33" s="1269"/>
      <c r="W33" s="209" t="s">
        <v>99</v>
      </c>
      <c r="X33" s="207"/>
      <c r="Y33" s="208">
        <f>Y32</f>
        <v>29.57</v>
      </c>
      <c r="Z33" s="208"/>
      <c r="AA33" s="208"/>
      <c r="AB33" s="208"/>
      <c r="AC33" s="208"/>
      <c r="AD33" s="208"/>
      <c r="AE33" s="207" t="s">
        <v>100</v>
      </c>
      <c r="AF33" s="207"/>
      <c r="AG33" s="208">
        <f>AG32</f>
        <v>0.9</v>
      </c>
      <c r="AH33" s="208"/>
      <c r="AI33" s="208"/>
      <c r="AJ33" s="208"/>
      <c r="AK33" s="208"/>
      <c r="AL33" s="209" t="s">
        <v>103</v>
      </c>
      <c r="AM33" s="207"/>
      <c r="AN33" s="208">
        <f>INT(O33/Y33*AG33)</f>
        <v>422</v>
      </c>
      <c r="AO33" s="208"/>
      <c r="AP33" s="208"/>
      <c r="AQ33" s="208"/>
      <c r="AR33" s="208"/>
      <c r="AS33" s="208"/>
      <c r="AT33" s="208"/>
      <c r="AU33" s="171" t="s">
        <v>174</v>
      </c>
      <c r="AZ33" s="1461" t="s">
        <v>580</v>
      </c>
      <c r="BA33" s="1462"/>
      <c r="BB33" s="1462"/>
      <c r="BC33" s="1462"/>
      <c r="BD33" s="1462"/>
      <c r="BE33" s="1462"/>
      <c r="BF33" s="1462"/>
      <c r="BG33" s="1462"/>
      <c r="BH33" s="1462"/>
      <c r="BI33" s="1462"/>
      <c r="BJ33" s="1462"/>
      <c r="BK33" s="1462"/>
      <c r="BL33" s="1462"/>
      <c r="BU33" s="202">
        <f>SUM(BV33:BX33)</f>
        <v>422</v>
      </c>
      <c r="BV33" s="202"/>
      <c r="BW33" s="202"/>
      <c r="BX33" s="202">
        <f>AN33</f>
        <v>422</v>
      </c>
      <c r="BY33" s="203"/>
    </row>
    <row r="34" spans="2:80" ht="18" customHeight="1">
      <c r="B34" s="200"/>
      <c r="D34" s="171" t="s">
        <v>63</v>
      </c>
      <c r="M34" s="212"/>
      <c r="U34" s="213"/>
      <c r="AJ34" s="213"/>
      <c r="BU34" s="214" t="e">
        <f>SUM(BV34:BX34)</f>
        <v>#REF!</v>
      </c>
      <c r="BV34" s="214">
        <f>SUM(BV31:BV33)</f>
        <v>1796</v>
      </c>
      <c r="BW34" s="214" t="e">
        <f>SUM(BW31:BW33)</f>
        <v>#REF!</v>
      </c>
      <c r="BX34" s="214">
        <f>SUM(BX31:BX33)</f>
        <v>422</v>
      </c>
      <c r="BY34" s="203"/>
    </row>
    <row r="35" spans="2:80" ht="18" customHeight="1">
      <c r="B35" s="200" t="s">
        <v>175</v>
      </c>
      <c r="J35" s="1521">
        <v>10</v>
      </c>
      <c r="K35" s="1489"/>
      <c r="L35" s="1489"/>
      <c r="M35" s="1489"/>
      <c r="N35" s="1489"/>
      <c r="O35" s="171" t="s">
        <v>165</v>
      </c>
      <c r="AI35" s="213"/>
      <c r="BU35" s="203"/>
      <c r="BV35" s="203"/>
      <c r="BW35" s="203"/>
      <c r="BX35" s="203"/>
      <c r="BY35" s="215"/>
    </row>
    <row r="36" spans="2:80" ht="18" customHeight="1">
      <c r="B36" s="200"/>
      <c r="C36" s="171" t="s">
        <v>62</v>
      </c>
      <c r="L36" s="212"/>
      <c r="N36" s="206">
        <v>0.1</v>
      </c>
      <c r="O36" s="207"/>
      <c r="P36" s="207"/>
      <c r="Q36" s="207"/>
      <c r="R36" s="207"/>
      <c r="S36" s="207"/>
      <c r="T36" s="171" t="s">
        <v>162</v>
      </c>
      <c r="W36" s="207" t="s">
        <v>100</v>
      </c>
      <c r="X36" s="207"/>
      <c r="Y36" s="216">
        <f>$CB$3</f>
        <v>172698</v>
      </c>
      <c r="Z36" s="207"/>
      <c r="AA36" s="207"/>
      <c r="AB36" s="207"/>
      <c r="AC36" s="207"/>
      <c r="AD36" s="207"/>
      <c r="AE36" s="207"/>
      <c r="AF36" s="207"/>
      <c r="AG36" s="207" t="s">
        <v>100</v>
      </c>
      <c r="AH36" s="207"/>
      <c r="AI36" s="207">
        <f>J35/100</f>
        <v>0.1</v>
      </c>
      <c r="AJ36" s="207"/>
      <c r="AK36" s="207"/>
      <c r="AL36" s="207"/>
      <c r="AM36" s="209" t="s">
        <v>103</v>
      </c>
      <c r="AN36" s="207"/>
      <c r="AO36" s="217">
        <f>INT(N36*Y36*AI36)</f>
        <v>1726</v>
      </c>
      <c r="AP36" s="207"/>
      <c r="AQ36" s="207"/>
      <c r="AR36" s="207"/>
      <c r="AS36" s="207"/>
      <c r="AT36" s="207"/>
      <c r="AU36" s="207"/>
      <c r="AV36" s="171" t="s">
        <v>174</v>
      </c>
      <c r="BU36" s="202">
        <f>BV36</f>
        <v>1726</v>
      </c>
      <c r="BV36" s="202">
        <f>AO36</f>
        <v>1726</v>
      </c>
      <c r="BW36" s="203"/>
      <c r="BX36" s="203"/>
      <c r="BY36" s="215"/>
    </row>
    <row r="37" spans="2:80" ht="18" customHeight="1">
      <c r="B37" s="50" t="s">
        <v>797</v>
      </c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4"/>
      <c r="Y37" s="52"/>
      <c r="Z37" s="52"/>
      <c r="AA37" s="52"/>
      <c r="AB37" s="52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  <c r="BT37" s="49"/>
      <c r="BU37" s="817"/>
      <c r="BV37" s="818"/>
      <c r="BW37" s="817"/>
      <c r="BX37" s="817"/>
      <c r="BY37" s="61"/>
    </row>
    <row r="38" spans="2:80" ht="18" customHeight="1">
      <c r="B38" s="50"/>
      <c r="C38" s="49" t="s">
        <v>65</v>
      </c>
      <c r="D38" s="49"/>
      <c r="E38" s="49"/>
      <c r="F38" s="49"/>
      <c r="G38" s="819">
        <v>1</v>
      </c>
      <c r="H38" s="819"/>
      <c r="I38" s="819"/>
      <c r="J38" s="819"/>
      <c r="K38" s="819"/>
      <c r="L38" s="49" t="s">
        <v>72</v>
      </c>
      <c r="M38" s="49"/>
      <c r="N38" s="49" t="s">
        <v>798</v>
      </c>
      <c r="O38" s="49"/>
      <c r="P38" s="49"/>
      <c r="Q38" s="49"/>
      <c r="R38" s="819">
        <v>0.45</v>
      </c>
      <c r="S38" s="819"/>
      <c r="T38" s="819"/>
      <c r="U38" s="819"/>
      <c r="V38" s="819"/>
      <c r="W38" s="49" t="s">
        <v>72</v>
      </c>
      <c r="X38" s="49"/>
      <c r="Y38" s="49" t="s">
        <v>74</v>
      </c>
      <c r="Z38" s="49"/>
      <c r="AA38" s="49"/>
      <c r="AB38" s="49"/>
      <c r="AC38" s="819">
        <v>0.6</v>
      </c>
      <c r="AD38" s="819"/>
      <c r="AE38" s="819"/>
      <c r="AF38" s="819"/>
      <c r="AG38" s="81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817"/>
      <c r="BV38" s="817"/>
      <c r="BW38" s="817"/>
      <c r="BX38" s="817"/>
      <c r="BY38" s="61"/>
    </row>
    <row r="39" spans="2:80" ht="18" customHeight="1">
      <c r="B39" s="50"/>
      <c r="C39" s="49" t="s">
        <v>799</v>
      </c>
      <c r="D39" s="49"/>
      <c r="E39" s="49"/>
      <c r="F39" s="49"/>
      <c r="G39" s="819">
        <v>0.1</v>
      </c>
      <c r="H39" s="819"/>
      <c r="I39" s="819"/>
      <c r="J39" s="819"/>
      <c r="K39" s="819"/>
      <c r="L39" s="49"/>
      <c r="M39" s="49"/>
      <c r="N39" s="49" t="s">
        <v>173</v>
      </c>
      <c r="O39" s="49"/>
      <c r="P39" s="49"/>
      <c r="Q39" s="49"/>
      <c r="R39" s="819">
        <v>1</v>
      </c>
      <c r="S39" s="819"/>
      <c r="T39" s="819"/>
      <c r="U39" s="819"/>
      <c r="V39" s="819"/>
      <c r="W39" s="49" t="s">
        <v>72</v>
      </c>
      <c r="X39" s="49"/>
      <c r="Y39" s="49" t="s">
        <v>800</v>
      </c>
      <c r="Z39" s="49"/>
      <c r="AA39" s="49"/>
      <c r="AB39" s="49"/>
      <c r="AC39" s="819">
        <v>3</v>
      </c>
      <c r="AD39" s="819"/>
      <c r="AE39" s="819"/>
      <c r="AF39" s="819"/>
      <c r="AG39" s="819"/>
      <c r="AH39" s="49" t="s">
        <v>801</v>
      </c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817"/>
      <c r="BV39" s="817"/>
      <c r="BW39" s="817"/>
      <c r="BX39" s="817"/>
      <c r="BY39" s="61"/>
    </row>
    <row r="40" spans="2:80" ht="18" customHeight="1">
      <c r="B40" s="50"/>
      <c r="C40" s="49" t="s">
        <v>71</v>
      </c>
      <c r="D40" s="49"/>
      <c r="E40" s="49"/>
      <c r="F40" s="49"/>
      <c r="G40" s="819">
        <v>1000</v>
      </c>
      <c r="H40" s="819"/>
      <c r="I40" s="819"/>
      <c r="J40" s="819"/>
      <c r="K40" s="819"/>
      <c r="L40" s="52" t="s">
        <v>100</v>
      </c>
      <c r="M40" s="52"/>
      <c r="N40" s="819">
        <f>G38</f>
        <v>1</v>
      </c>
      <c r="O40" s="819"/>
      <c r="P40" s="819"/>
      <c r="Q40" s="819"/>
      <c r="R40" s="52" t="s">
        <v>100</v>
      </c>
      <c r="S40" s="52"/>
      <c r="T40" s="819">
        <f>R38</f>
        <v>0.45</v>
      </c>
      <c r="U40" s="819"/>
      <c r="V40" s="819"/>
      <c r="W40" s="819"/>
      <c r="X40" s="52" t="s">
        <v>100</v>
      </c>
      <c r="Y40" s="52"/>
      <c r="Z40" s="819">
        <f>AC38</f>
        <v>0.6</v>
      </c>
      <c r="AA40" s="819"/>
      <c r="AB40" s="819"/>
      <c r="AC40" s="819"/>
      <c r="AD40" s="52" t="s">
        <v>100</v>
      </c>
      <c r="AE40" s="52"/>
      <c r="AF40" s="819">
        <f>G39</f>
        <v>0.1</v>
      </c>
      <c r="AG40" s="819"/>
      <c r="AH40" s="819"/>
      <c r="AI40" s="819"/>
      <c r="AJ40" s="819"/>
      <c r="AK40" s="52" t="s">
        <v>100</v>
      </c>
      <c r="AL40" s="52"/>
      <c r="AM40" s="819">
        <v>1</v>
      </c>
      <c r="AN40" s="819"/>
      <c r="AO40" s="819"/>
      <c r="AP40" s="819"/>
      <c r="AQ40" s="53" t="s">
        <v>99</v>
      </c>
      <c r="AR40" s="52"/>
      <c r="AS40" s="819">
        <f>AC39</f>
        <v>3</v>
      </c>
      <c r="AT40" s="819"/>
      <c r="AU40" s="819"/>
      <c r="AV40" s="819"/>
      <c r="AW40" s="53" t="s">
        <v>103</v>
      </c>
      <c r="AX40" s="52"/>
      <c r="AY40" s="819">
        <f>ROUND(G40*N40*T40*Z40*AF40*AM40/AS40,2)</f>
        <v>9</v>
      </c>
      <c r="AZ40" s="819"/>
      <c r="BA40" s="819"/>
      <c r="BB40" s="819"/>
      <c r="BC40" s="819"/>
      <c r="BD40" s="49" t="s">
        <v>70</v>
      </c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817"/>
      <c r="BV40" s="817"/>
      <c r="BW40" s="817"/>
      <c r="BX40" s="817"/>
      <c r="BY40" s="61"/>
    </row>
    <row r="41" spans="2:80" ht="18" customHeight="1">
      <c r="B41" s="50"/>
      <c r="C41" s="49" t="s">
        <v>66</v>
      </c>
      <c r="D41" s="49"/>
      <c r="E41" s="49"/>
      <c r="F41" s="49"/>
      <c r="G41" s="52"/>
      <c r="H41" s="52"/>
      <c r="I41" s="52"/>
      <c r="J41" s="52"/>
      <c r="K41" s="52"/>
      <c r="L41" s="49"/>
      <c r="M41" s="49"/>
      <c r="N41" s="1523" t="e">
        <f>'기계경비(OLD)'!$AT$66</f>
        <v>#REF!</v>
      </c>
      <c r="O41" s="1525"/>
      <c r="P41" s="1525"/>
      <c r="Q41" s="1525"/>
      <c r="R41" s="1525"/>
      <c r="S41" s="1525"/>
      <c r="T41" s="1525"/>
      <c r="U41" s="1525"/>
      <c r="V41" s="53" t="s">
        <v>99</v>
      </c>
      <c r="W41" s="52"/>
      <c r="X41" s="819">
        <f>AY40</f>
        <v>9</v>
      </c>
      <c r="Y41" s="819"/>
      <c r="Z41" s="819"/>
      <c r="AA41" s="819"/>
      <c r="AB41" s="819"/>
      <c r="AC41" s="819"/>
      <c r="AD41" s="53" t="s">
        <v>103</v>
      </c>
      <c r="AE41" s="52"/>
      <c r="AF41" s="819" t="e">
        <f>INT(N41/X41)</f>
        <v>#REF!</v>
      </c>
      <c r="AG41" s="819"/>
      <c r="AH41" s="819"/>
      <c r="AI41" s="819"/>
      <c r="AJ41" s="819"/>
      <c r="AK41" s="819"/>
      <c r="AL41" s="819"/>
      <c r="AM41" s="1461" t="s">
        <v>802</v>
      </c>
      <c r="AN41" s="1462"/>
      <c r="AO41" s="1462"/>
      <c r="AP41" s="1462"/>
      <c r="AQ41" s="1462"/>
      <c r="AR41" s="1462"/>
      <c r="AS41" s="1462"/>
      <c r="AT41" s="1462"/>
      <c r="AU41" s="1462"/>
      <c r="AV41" s="1462"/>
      <c r="AW41" s="1462"/>
      <c r="AX41" s="1462"/>
      <c r="AY41" s="1462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529" t="e">
        <f>SUM(BV41:BX41)</f>
        <v>#REF!</v>
      </c>
      <c r="BV41" s="818"/>
      <c r="BW41" s="817" t="e">
        <f>AF41</f>
        <v>#REF!</v>
      </c>
      <c r="BX41" s="817"/>
      <c r="BY41" s="61"/>
    </row>
    <row r="42" spans="2:80" ht="18" customHeight="1">
      <c r="B42" s="50"/>
      <c r="C42" s="49" t="s">
        <v>67</v>
      </c>
      <c r="D42" s="49"/>
      <c r="E42" s="49"/>
      <c r="F42" s="49"/>
      <c r="G42" s="52"/>
      <c r="H42" s="52"/>
      <c r="I42" s="52"/>
      <c r="J42" s="52"/>
      <c r="K42" s="49"/>
      <c r="L42" s="49"/>
      <c r="M42" s="49"/>
      <c r="N42" s="1523">
        <f>'기계경비(OLD)'!$BU$60</f>
        <v>36248</v>
      </c>
      <c r="O42" s="1525"/>
      <c r="P42" s="1525"/>
      <c r="Q42" s="1525"/>
      <c r="R42" s="1525"/>
      <c r="S42" s="1525"/>
      <c r="T42" s="1525"/>
      <c r="U42" s="1525"/>
      <c r="V42" s="53" t="s">
        <v>99</v>
      </c>
      <c r="W42" s="52"/>
      <c r="X42" s="819">
        <f>X41</f>
        <v>9</v>
      </c>
      <c r="Y42" s="819"/>
      <c r="Z42" s="819"/>
      <c r="AA42" s="819"/>
      <c r="AB42" s="819"/>
      <c r="AC42" s="819"/>
      <c r="AD42" s="53" t="s">
        <v>103</v>
      </c>
      <c r="AE42" s="52"/>
      <c r="AF42" s="819">
        <f>INT(N42/X42)</f>
        <v>4027</v>
      </c>
      <c r="AG42" s="819"/>
      <c r="AH42" s="819"/>
      <c r="AI42" s="819"/>
      <c r="AJ42" s="819"/>
      <c r="AK42" s="819"/>
      <c r="AL42" s="819"/>
      <c r="AM42" s="1461" t="s">
        <v>802</v>
      </c>
      <c r="AN42" s="1462"/>
      <c r="AO42" s="1462"/>
      <c r="AP42" s="1462"/>
      <c r="AQ42" s="1462"/>
      <c r="AR42" s="1462"/>
      <c r="AS42" s="1462"/>
      <c r="AT42" s="1462"/>
      <c r="AU42" s="1462"/>
      <c r="AV42" s="1462"/>
      <c r="AW42" s="1462"/>
      <c r="AX42" s="1462"/>
      <c r="AY42" s="1462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529">
        <f>SUM(BV42:BX42)</f>
        <v>4027</v>
      </c>
      <c r="BV42" s="817">
        <f>AF42</f>
        <v>4027</v>
      </c>
      <c r="BW42" s="817"/>
      <c r="BX42" s="817"/>
      <c r="BY42" s="61"/>
    </row>
    <row r="43" spans="2:80" ht="18" customHeight="1">
      <c r="B43" s="50"/>
      <c r="C43" s="49" t="s">
        <v>68</v>
      </c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1523">
        <f>'기계경비(OLD)'!$BN$70</f>
        <v>620</v>
      </c>
      <c r="O43" s="1525"/>
      <c r="P43" s="1525"/>
      <c r="Q43" s="1525"/>
      <c r="R43" s="1525"/>
      <c r="S43" s="1525"/>
      <c r="T43" s="1525"/>
      <c r="U43" s="1525"/>
      <c r="V43" s="53" t="s">
        <v>99</v>
      </c>
      <c r="W43" s="52"/>
      <c r="X43" s="819">
        <f>X42</f>
        <v>9</v>
      </c>
      <c r="Y43" s="819"/>
      <c r="Z43" s="819"/>
      <c r="AA43" s="819"/>
      <c r="AB43" s="819"/>
      <c r="AC43" s="819"/>
      <c r="AD43" s="53" t="s">
        <v>103</v>
      </c>
      <c r="AE43" s="52"/>
      <c r="AF43" s="819">
        <f>INT(N43/X43)</f>
        <v>68</v>
      </c>
      <c r="AG43" s="819"/>
      <c r="AH43" s="819"/>
      <c r="AI43" s="819"/>
      <c r="AJ43" s="819"/>
      <c r="AK43" s="819"/>
      <c r="AL43" s="819"/>
      <c r="AM43" s="1461" t="s">
        <v>802</v>
      </c>
      <c r="AN43" s="1462"/>
      <c r="AO43" s="1462"/>
      <c r="AP43" s="1462"/>
      <c r="AQ43" s="1462"/>
      <c r="AR43" s="1462"/>
      <c r="AS43" s="1462"/>
      <c r="AT43" s="1462"/>
      <c r="AU43" s="1462"/>
      <c r="AV43" s="1462"/>
      <c r="AW43" s="1462"/>
      <c r="AX43" s="1462"/>
      <c r="AY43" s="1462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529">
        <f>SUM(BV43:BX43)</f>
        <v>68</v>
      </c>
      <c r="BV43" s="817"/>
      <c r="BW43" s="817"/>
      <c r="BX43" s="817">
        <f>AF43</f>
        <v>68</v>
      </c>
      <c r="BY43" s="61"/>
    </row>
    <row r="44" spans="2:80" ht="18" customHeight="1">
      <c r="B44" s="50"/>
      <c r="C44" s="49" t="s">
        <v>63</v>
      </c>
      <c r="D44" s="49"/>
      <c r="E44" s="49"/>
      <c r="F44" s="49"/>
      <c r="G44" s="49"/>
      <c r="H44" s="49"/>
      <c r="I44" s="49"/>
      <c r="J44" s="49"/>
      <c r="K44" s="49"/>
      <c r="L44" s="820"/>
      <c r="M44" s="49"/>
      <c r="N44" s="49"/>
      <c r="O44" s="49"/>
      <c r="P44" s="49"/>
      <c r="Q44" s="49"/>
      <c r="R44" s="49"/>
      <c r="S44" s="49"/>
      <c r="T44" s="821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821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529" t="e">
        <f>SUM(BU36:BU43)</f>
        <v>#REF!</v>
      </c>
      <c r="BV44" s="529">
        <f>SUM(BV36:BV43)</f>
        <v>5753</v>
      </c>
      <c r="BW44" s="529" t="e">
        <f>SUM(BW36:BW43)</f>
        <v>#REF!</v>
      </c>
      <c r="BX44" s="529">
        <f>SUM(BX36:BX43)</f>
        <v>68</v>
      </c>
      <c r="BY44" s="61"/>
    </row>
    <row r="45" spans="2:80" ht="18" customHeight="1">
      <c r="B45" s="50"/>
      <c r="C45" s="49"/>
      <c r="D45" s="49"/>
      <c r="E45" s="49"/>
      <c r="F45" s="49"/>
      <c r="G45" s="49"/>
      <c r="H45" s="49"/>
      <c r="I45" s="49"/>
      <c r="J45" s="49"/>
      <c r="K45" s="49"/>
      <c r="L45" s="820"/>
      <c r="M45" s="49"/>
      <c r="N45" s="49"/>
      <c r="O45" s="49"/>
      <c r="P45" s="49"/>
      <c r="Q45" s="49"/>
      <c r="R45" s="49"/>
      <c r="S45" s="49"/>
      <c r="T45" s="821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821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529"/>
      <c r="BV45" s="529"/>
      <c r="BW45" s="529"/>
      <c r="BX45" s="529"/>
      <c r="BY45" s="61"/>
    </row>
    <row r="46" spans="2:80" ht="18" customHeight="1">
      <c r="B46" s="50"/>
      <c r="C46" s="49"/>
      <c r="D46" s="49"/>
      <c r="E46" s="49"/>
      <c r="F46" s="49"/>
      <c r="G46" s="49"/>
      <c r="H46" s="49"/>
      <c r="I46" s="49"/>
      <c r="J46" s="49"/>
      <c r="K46" s="49"/>
      <c r="L46" s="820"/>
      <c r="M46" s="49"/>
      <c r="N46" s="49"/>
      <c r="O46" s="49"/>
      <c r="P46" s="49"/>
      <c r="Q46" s="49"/>
      <c r="R46" s="49"/>
      <c r="S46" s="49"/>
      <c r="T46" s="821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821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529"/>
      <c r="BV46" s="529"/>
      <c r="BW46" s="529"/>
      <c r="BX46" s="529"/>
      <c r="BY46" s="61"/>
    </row>
    <row r="47" spans="2:80" ht="18" customHeight="1">
      <c r="B47" s="50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820"/>
      <c r="N47" s="49"/>
      <c r="O47" s="49"/>
      <c r="P47" s="49"/>
      <c r="Q47" s="49"/>
      <c r="R47" s="49"/>
      <c r="S47" s="49"/>
      <c r="T47" s="49"/>
      <c r="U47" s="821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821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529"/>
      <c r="BV47" s="529"/>
      <c r="BW47" s="529"/>
      <c r="BX47" s="529"/>
      <c r="BY47" s="817"/>
      <c r="CB47" s="211"/>
    </row>
    <row r="48" spans="2:80" ht="18" customHeight="1">
      <c r="B48" s="54"/>
      <c r="C48" s="55"/>
      <c r="D48" s="55" t="s">
        <v>69</v>
      </c>
      <c r="E48" s="55"/>
      <c r="F48" s="55"/>
      <c r="G48" s="55"/>
      <c r="H48" s="55"/>
      <c r="I48" s="55"/>
      <c r="J48" s="55"/>
      <c r="K48" s="55"/>
      <c r="L48" s="55"/>
      <c r="M48" s="822"/>
      <c r="N48" s="55"/>
      <c r="O48" s="55"/>
      <c r="P48" s="55"/>
      <c r="Q48" s="55"/>
      <c r="R48" s="55"/>
      <c r="S48" s="55"/>
      <c r="T48" s="55"/>
      <c r="U48" s="823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823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5"/>
      <c r="BP48" s="55"/>
      <c r="BQ48" s="55"/>
      <c r="BR48" s="55"/>
      <c r="BS48" s="55"/>
      <c r="BT48" s="55"/>
      <c r="BU48" s="824" t="e">
        <f>BU34+BU44</f>
        <v>#REF!</v>
      </c>
      <c r="BV48" s="824">
        <f>BV34+BV44</f>
        <v>7549</v>
      </c>
      <c r="BW48" s="824" t="e">
        <f>BW34+BW44</f>
        <v>#REF!</v>
      </c>
      <c r="BX48" s="824">
        <f>BX34+BX44</f>
        <v>490</v>
      </c>
      <c r="BY48" s="825"/>
      <c r="CB48" s="211"/>
    </row>
    <row r="49" spans="2:80" ht="30" customHeight="1">
      <c r="B49" s="231"/>
      <c r="C49" s="232" t="s">
        <v>169</v>
      </c>
      <c r="D49" s="233"/>
      <c r="E49" s="233"/>
      <c r="F49" s="233"/>
      <c r="G49" s="233"/>
      <c r="H49" s="233"/>
      <c r="I49" s="233"/>
      <c r="J49" s="233"/>
      <c r="K49" s="233"/>
      <c r="L49" s="233"/>
      <c r="M49" s="233"/>
      <c r="N49" s="233"/>
      <c r="O49" s="233"/>
      <c r="P49" s="233"/>
      <c r="Q49" s="233"/>
      <c r="R49" s="233"/>
      <c r="S49" s="233"/>
      <c r="T49" s="233"/>
      <c r="U49" s="233"/>
      <c r="V49" s="233"/>
      <c r="W49" s="233"/>
      <c r="X49" s="233"/>
      <c r="Y49" s="233"/>
      <c r="Z49" s="233"/>
      <c r="AA49" s="233"/>
      <c r="AB49" s="233"/>
      <c r="AC49" s="233"/>
      <c r="AD49" s="233"/>
      <c r="AE49" s="233"/>
      <c r="AF49" s="233"/>
      <c r="AG49" s="233"/>
      <c r="AH49" s="233"/>
      <c r="AI49" s="233"/>
      <c r="AJ49" s="233"/>
      <c r="AK49" s="233"/>
      <c r="AL49" s="233"/>
      <c r="AM49" s="233"/>
      <c r="AN49" s="233"/>
      <c r="AO49" s="233"/>
      <c r="AP49" s="233"/>
      <c r="AQ49" s="233"/>
      <c r="AR49" s="233"/>
      <c r="AS49" s="233"/>
      <c r="AT49" s="233"/>
      <c r="AU49" s="233"/>
      <c r="AV49" s="233"/>
      <c r="AW49" s="233"/>
      <c r="AX49" s="233"/>
      <c r="AY49" s="233"/>
      <c r="AZ49" s="233"/>
      <c r="BA49" s="233"/>
      <c r="BB49" s="233"/>
      <c r="BC49" s="233"/>
      <c r="BD49" s="233"/>
      <c r="BE49" s="233"/>
      <c r="BF49" s="233"/>
      <c r="BG49" s="233"/>
      <c r="BH49" s="233"/>
      <c r="BI49" s="233"/>
      <c r="BJ49" s="233"/>
      <c r="BK49" s="233"/>
      <c r="BL49" s="233"/>
      <c r="BM49" s="233"/>
      <c r="BN49" s="233"/>
      <c r="BO49" s="233"/>
      <c r="BP49" s="233"/>
      <c r="BQ49" s="233"/>
      <c r="BR49" s="233"/>
      <c r="BS49" s="233"/>
      <c r="BT49" s="233"/>
      <c r="BU49" s="234" t="s">
        <v>109</v>
      </c>
      <c r="BV49" s="234" t="s">
        <v>110</v>
      </c>
      <c r="BW49" s="234" t="s">
        <v>111</v>
      </c>
      <c r="BX49" s="234" t="s">
        <v>61</v>
      </c>
      <c r="BY49" s="234" t="s">
        <v>35</v>
      </c>
    </row>
    <row r="50" spans="2:80" ht="18" customHeight="1">
      <c r="B50" s="200"/>
      <c r="C50" s="201"/>
      <c r="D50" s="171" t="s">
        <v>93</v>
      </c>
      <c r="L50" s="201"/>
      <c r="BU50" s="202"/>
      <c r="BV50" s="202"/>
      <c r="BW50" s="202"/>
      <c r="BX50" s="202"/>
      <c r="BY50" s="203"/>
      <c r="CA50" s="171" t="s">
        <v>113</v>
      </c>
      <c r="CB50" s="242">
        <f>VLOOKUP(CA50,인건비!A:B,2,FALSE)</f>
        <v>228717</v>
      </c>
    </row>
    <row r="51" spans="2:80" ht="18" customHeight="1">
      <c r="B51" s="200" t="s">
        <v>13</v>
      </c>
      <c r="J51" s="206">
        <v>100</v>
      </c>
      <c r="K51" s="207"/>
      <c r="L51" s="207"/>
      <c r="M51" s="207"/>
      <c r="N51" s="207"/>
      <c r="O51" s="171" t="s">
        <v>165</v>
      </c>
      <c r="AI51" s="213"/>
      <c r="BU51" s="203"/>
      <c r="BV51" s="203"/>
      <c r="BW51" s="203"/>
      <c r="BX51" s="203"/>
      <c r="BY51" s="203"/>
      <c r="CA51" s="171" t="s">
        <v>114</v>
      </c>
      <c r="CB51" s="242">
        <f>VLOOKUP(CA51,인건비!A:B,2,FALSE)</f>
        <v>172698</v>
      </c>
    </row>
    <row r="52" spans="2:80" ht="18" customHeight="1">
      <c r="B52" s="200"/>
      <c r="C52" s="171" t="s">
        <v>62</v>
      </c>
      <c r="L52" s="212"/>
      <c r="N52" s="206">
        <v>0.2</v>
      </c>
      <c r="O52" s="207"/>
      <c r="P52" s="207"/>
      <c r="Q52" s="207"/>
      <c r="R52" s="207"/>
      <c r="S52" s="207"/>
      <c r="T52" s="171" t="s">
        <v>162</v>
      </c>
      <c r="W52" s="207" t="s">
        <v>100</v>
      </c>
      <c r="X52" s="207"/>
      <c r="Y52" s="216">
        <f>CB51</f>
        <v>172698</v>
      </c>
      <c r="Z52" s="207"/>
      <c r="AA52" s="207"/>
      <c r="AB52" s="207"/>
      <c r="AC52" s="207"/>
      <c r="AD52" s="207"/>
      <c r="AE52" s="207"/>
      <c r="AF52" s="207"/>
      <c r="AG52" s="207" t="s">
        <v>100</v>
      </c>
      <c r="AH52" s="207"/>
      <c r="AI52" s="207">
        <f>J51/100</f>
        <v>1</v>
      </c>
      <c r="AJ52" s="207"/>
      <c r="AK52" s="207"/>
      <c r="AL52" s="207"/>
      <c r="AM52" s="209" t="s">
        <v>103</v>
      </c>
      <c r="AN52" s="207"/>
      <c r="AO52" s="217">
        <f>INT(N52*Y52*AI52)</f>
        <v>34539</v>
      </c>
      <c r="AP52" s="207"/>
      <c r="AQ52" s="207"/>
      <c r="AR52" s="207"/>
      <c r="AS52" s="207"/>
      <c r="AT52" s="207"/>
      <c r="AU52" s="207"/>
      <c r="AV52" s="171" t="s">
        <v>174</v>
      </c>
      <c r="BU52" s="202">
        <f>BV52</f>
        <v>34539</v>
      </c>
      <c r="BV52" s="202">
        <f>AO52</f>
        <v>34539</v>
      </c>
      <c r="BW52" s="203"/>
      <c r="BX52" s="203"/>
      <c r="BY52" s="203"/>
      <c r="CA52" s="171" t="s">
        <v>78</v>
      </c>
      <c r="CB52" s="242">
        <f>VLOOKUP(CA52,인건비!A:B,2,FALSE)</f>
        <v>274873</v>
      </c>
    </row>
    <row r="53" spans="2:80" ht="18" customHeight="1">
      <c r="B53" s="200"/>
      <c r="L53" s="212"/>
      <c r="N53" s="206"/>
      <c r="O53" s="207"/>
      <c r="P53" s="207"/>
      <c r="Q53" s="207"/>
      <c r="R53" s="207"/>
      <c r="S53" s="207"/>
      <c r="W53" s="207"/>
      <c r="X53" s="207"/>
      <c r="Y53" s="216"/>
      <c r="Z53" s="207"/>
      <c r="AA53" s="207"/>
      <c r="AB53" s="207"/>
      <c r="AC53" s="207"/>
      <c r="AD53" s="207"/>
      <c r="AE53" s="207"/>
      <c r="AF53" s="207"/>
      <c r="AG53" s="207"/>
      <c r="AH53" s="207"/>
      <c r="AI53" s="207"/>
      <c r="AJ53" s="207"/>
      <c r="AK53" s="207"/>
      <c r="AL53" s="207"/>
      <c r="AM53" s="209"/>
      <c r="AN53" s="207"/>
      <c r="AO53" s="217"/>
      <c r="AP53" s="207"/>
      <c r="AQ53" s="207"/>
      <c r="AR53" s="207"/>
      <c r="AS53" s="207"/>
      <c r="AT53" s="207"/>
      <c r="AU53" s="207"/>
      <c r="BU53" s="202"/>
      <c r="BV53" s="202"/>
      <c r="BW53" s="203"/>
      <c r="BX53" s="203"/>
      <c r="BY53" s="203"/>
      <c r="CB53" s="204"/>
    </row>
    <row r="54" spans="2:80" ht="18" customHeight="1">
      <c r="B54" s="200"/>
      <c r="C54" s="171" t="s">
        <v>63</v>
      </c>
      <c r="L54" s="212"/>
      <c r="T54" s="213"/>
      <c r="AI54" s="213"/>
      <c r="BU54" s="202">
        <f>BV54</f>
        <v>34539</v>
      </c>
      <c r="BV54" s="202">
        <f>BV52</f>
        <v>34539</v>
      </c>
      <c r="BW54" s="203"/>
      <c r="BX54" s="203"/>
      <c r="BY54" s="203"/>
      <c r="CB54" s="204"/>
    </row>
    <row r="55" spans="2:80" ht="18" customHeight="1">
      <c r="B55" s="200"/>
      <c r="H55" s="208"/>
      <c r="I55" s="208"/>
      <c r="J55" s="208"/>
      <c r="K55" s="208"/>
      <c r="L55" s="209"/>
      <c r="M55" s="207"/>
      <c r="N55" s="208"/>
      <c r="O55" s="208"/>
      <c r="P55" s="208"/>
      <c r="Q55" s="208"/>
      <c r="R55" s="208"/>
      <c r="S55" s="209"/>
      <c r="T55" s="207"/>
      <c r="U55" s="208"/>
      <c r="V55" s="208"/>
      <c r="W55" s="208"/>
      <c r="X55" s="208"/>
      <c r="Y55" s="208"/>
      <c r="AH55" s="208"/>
      <c r="AI55" s="208"/>
      <c r="AJ55" s="208"/>
      <c r="AK55" s="208"/>
      <c r="BU55" s="203"/>
      <c r="BV55" s="203"/>
      <c r="BW55" s="203"/>
      <c r="BX55" s="203"/>
      <c r="BY55" s="203"/>
      <c r="CB55" s="210"/>
    </row>
    <row r="56" spans="2:80" ht="18" customHeight="1">
      <c r="B56" s="200"/>
      <c r="H56" s="208"/>
      <c r="I56" s="208"/>
      <c r="J56" s="208"/>
      <c r="K56" s="208"/>
      <c r="L56" s="208"/>
      <c r="M56" s="207"/>
      <c r="N56" s="207"/>
      <c r="O56" s="208"/>
      <c r="P56" s="208"/>
      <c r="Q56" s="208"/>
      <c r="R56" s="208"/>
      <c r="S56" s="207"/>
      <c r="T56" s="207"/>
      <c r="U56" s="208"/>
      <c r="V56" s="208"/>
      <c r="W56" s="208"/>
      <c r="X56" s="208"/>
      <c r="Y56" s="207"/>
      <c r="Z56" s="207"/>
      <c r="AA56" s="208"/>
      <c r="AB56" s="208"/>
      <c r="AC56" s="208"/>
      <c r="AD56" s="208"/>
      <c r="AE56" s="207"/>
      <c r="AF56" s="207"/>
      <c r="AG56" s="208"/>
      <c r="AH56" s="208"/>
      <c r="AI56" s="208"/>
      <c r="AJ56" s="208"/>
      <c r="AK56" s="208"/>
      <c r="AL56" s="209"/>
      <c r="AM56" s="207"/>
      <c r="AN56" s="208"/>
      <c r="AO56" s="208"/>
      <c r="AP56" s="208"/>
      <c r="AQ56" s="208"/>
      <c r="AR56" s="208"/>
      <c r="AS56" s="209"/>
      <c r="AT56" s="207"/>
      <c r="AU56" s="208"/>
      <c r="AV56" s="208"/>
      <c r="AW56" s="208"/>
      <c r="AX56" s="208"/>
      <c r="AY56" s="208"/>
      <c r="AZ56" s="208"/>
      <c r="BA56" s="208"/>
      <c r="BU56" s="203"/>
      <c r="BV56" s="203"/>
      <c r="BW56" s="203"/>
      <c r="BX56" s="203"/>
      <c r="BY56" s="203"/>
      <c r="CB56" s="210"/>
    </row>
    <row r="57" spans="2:80" ht="18" customHeight="1">
      <c r="B57" s="200"/>
      <c r="H57" s="207"/>
      <c r="I57" s="207"/>
      <c r="J57" s="207"/>
      <c r="K57" s="207"/>
      <c r="L57" s="207"/>
      <c r="O57" s="235"/>
      <c r="P57" s="236"/>
      <c r="Q57" s="236"/>
      <c r="R57" s="236"/>
      <c r="S57" s="236"/>
      <c r="T57" s="236"/>
      <c r="U57" s="236"/>
      <c r="V57" s="236"/>
      <c r="W57" s="209"/>
      <c r="X57" s="207"/>
      <c r="Y57" s="208"/>
      <c r="Z57" s="208"/>
      <c r="AA57" s="208"/>
      <c r="AB57" s="208"/>
      <c r="AC57" s="208"/>
      <c r="AD57" s="208"/>
      <c r="AE57" s="207"/>
      <c r="AF57" s="207"/>
      <c r="AG57" s="208"/>
      <c r="AH57" s="208"/>
      <c r="AI57" s="208"/>
      <c r="AJ57" s="208"/>
      <c r="AK57" s="208"/>
      <c r="AL57" s="209"/>
      <c r="AM57" s="207"/>
      <c r="AN57" s="208"/>
      <c r="AO57" s="208"/>
      <c r="AP57" s="208"/>
      <c r="AQ57" s="208"/>
      <c r="AR57" s="208"/>
      <c r="AS57" s="208"/>
      <c r="AT57" s="208"/>
      <c r="BU57" s="202"/>
      <c r="BV57" s="202"/>
      <c r="BW57" s="202"/>
      <c r="BX57" s="202"/>
      <c r="BY57" s="203"/>
      <c r="CB57" s="211"/>
    </row>
    <row r="58" spans="2:80" ht="18" customHeight="1">
      <c r="B58" s="200"/>
      <c r="H58" s="207"/>
      <c r="I58" s="207"/>
      <c r="J58" s="207"/>
      <c r="K58" s="207"/>
      <c r="O58" s="235"/>
      <c r="P58" s="236"/>
      <c r="Q58" s="236"/>
      <c r="R58" s="236"/>
      <c r="S58" s="236"/>
      <c r="T58" s="236"/>
      <c r="U58" s="236"/>
      <c r="V58" s="236"/>
      <c r="W58" s="209"/>
      <c r="X58" s="207"/>
      <c r="Y58" s="208"/>
      <c r="Z58" s="208"/>
      <c r="AA58" s="208"/>
      <c r="AB58" s="208"/>
      <c r="AC58" s="208"/>
      <c r="AD58" s="208"/>
      <c r="AE58" s="207"/>
      <c r="AF58" s="207"/>
      <c r="AG58" s="208"/>
      <c r="AH58" s="208"/>
      <c r="AI58" s="208"/>
      <c r="AJ58" s="208"/>
      <c r="AK58" s="208"/>
      <c r="AL58" s="209"/>
      <c r="AM58" s="207"/>
      <c r="AN58" s="208"/>
      <c r="AO58" s="208"/>
      <c r="AP58" s="208"/>
      <c r="AQ58" s="208"/>
      <c r="AR58" s="208"/>
      <c r="AS58" s="208"/>
      <c r="AT58" s="208"/>
      <c r="BU58" s="202"/>
      <c r="BV58" s="202"/>
      <c r="BW58" s="202"/>
      <c r="BX58" s="202"/>
      <c r="BY58" s="203"/>
      <c r="CB58" s="211"/>
    </row>
    <row r="59" spans="2:80" ht="18" customHeight="1">
      <c r="B59" s="200"/>
      <c r="M59" s="212"/>
      <c r="U59" s="213"/>
      <c r="AJ59" s="213"/>
      <c r="BU59" s="214"/>
      <c r="BV59" s="214"/>
      <c r="BW59" s="214"/>
      <c r="BX59" s="214"/>
      <c r="BY59" s="203"/>
    </row>
    <row r="60" spans="2:80" ht="18" customHeight="1">
      <c r="B60" s="200"/>
      <c r="M60" s="212"/>
      <c r="U60" s="213"/>
      <c r="AJ60" s="213"/>
      <c r="BU60" s="202"/>
      <c r="BV60" s="202"/>
      <c r="BW60" s="202"/>
      <c r="BX60" s="202"/>
      <c r="BY60" s="203"/>
    </row>
    <row r="61" spans="2:80" ht="18" customHeight="1">
      <c r="B61" s="200"/>
      <c r="J61" s="206"/>
      <c r="K61" s="207"/>
      <c r="L61" s="207"/>
      <c r="M61" s="207"/>
      <c r="N61" s="207"/>
      <c r="AI61" s="213"/>
      <c r="BU61" s="203"/>
      <c r="BV61" s="203"/>
      <c r="BW61" s="203"/>
      <c r="BX61" s="203"/>
      <c r="BY61" s="215"/>
    </row>
    <row r="62" spans="2:80" ht="18" customHeight="1">
      <c r="B62" s="200"/>
      <c r="L62" s="212"/>
      <c r="N62" s="206"/>
      <c r="O62" s="207"/>
      <c r="P62" s="207"/>
      <c r="Q62" s="207"/>
      <c r="R62" s="207"/>
      <c r="S62" s="207"/>
      <c r="W62" s="207"/>
      <c r="X62" s="207"/>
      <c r="Y62" s="216"/>
      <c r="Z62" s="207"/>
      <c r="AA62" s="207"/>
      <c r="AB62" s="207"/>
      <c r="AC62" s="207"/>
      <c r="AD62" s="207"/>
      <c r="AE62" s="207"/>
      <c r="AF62" s="207"/>
      <c r="AG62" s="207"/>
      <c r="AH62" s="207"/>
      <c r="AI62" s="207"/>
      <c r="AJ62" s="207"/>
      <c r="AK62" s="207"/>
      <c r="AL62" s="207"/>
      <c r="AM62" s="209"/>
      <c r="AN62" s="207"/>
      <c r="AO62" s="217"/>
      <c r="AP62" s="207"/>
      <c r="AQ62" s="207"/>
      <c r="AR62" s="207"/>
      <c r="AS62" s="207"/>
      <c r="AT62" s="207"/>
      <c r="AU62" s="207"/>
      <c r="BU62" s="202"/>
      <c r="BV62" s="202"/>
      <c r="BW62" s="203"/>
      <c r="BX62" s="203"/>
      <c r="BY62" s="215"/>
    </row>
    <row r="63" spans="2:80" ht="18" customHeight="1">
      <c r="B63" s="200"/>
      <c r="L63" s="212"/>
      <c r="T63" s="213"/>
      <c r="AI63" s="213"/>
      <c r="BU63" s="202"/>
      <c r="BV63" s="202"/>
      <c r="BW63" s="203"/>
      <c r="BX63" s="203"/>
      <c r="BY63" s="215"/>
    </row>
    <row r="64" spans="2:80" ht="18" customHeight="1">
      <c r="B64" s="200"/>
      <c r="M64" s="212"/>
      <c r="U64" s="213"/>
      <c r="AJ64" s="213"/>
      <c r="BU64" s="203"/>
      <c r="BV64" s="202"/>
      <c r="BW64" s="202"/>
      <c r="BX64" s="202"/>
      <c r="BY64" s="203"/>
    </row>
    <row r="65" spans="2:80" ht="18" customHeight="1" thickBot="1">
      <c r="B65" s="200"/>
      <c r="D65" s="218" t="s">
        <v>69</v>
      </c>
      <c r="E65" s="218"/>
      <c r="F65" s="218"/>
      <c r="G65" s="218"/>
      <c r="H65" s="218"/>
      <c r="I65" s="218"/>
      <c r="J65" s="218"/>
      <c r="K65" s="218"/>
      <c r="L65" s="218"/>
      <c r="M65" s="219"/>
      <c r="N65" s="218"/>
      <c r="O65" s="218"/>
      <c r="P65" s="218"/>
      <c r="Q65" s="218"/>
      <c r="R65" s="218"/>
      <c r="S65" s="218"/>
      <c r="T65" s="218"/>
      <c r="U65" s="220"/>
      <c r="V65" s="218"/>
      <c r="W65" s="218"/>
      <c r="X65" s="218"/>
      <c r="Y65" s="218"/>
      <c r="Z65" s="218"/>
      <c r="AA65" s="218"/>
      <c r="AB65" s="218"/>
      <c r="AC65" s="218"/>
      <c r="AD65" s="218"/>
      <c r="AE65" s="218"/>
      <c r="AF65" s="218"/>
      <c r="AG65" s="218"/>
      <c r="AH65" s="218"/>
      <c r="AI65" s="218"/>
      <c r="AJ65" s="220"/>
      <c r="AK65" s="218"/>
      <c r="AL65" s="218"/>
      <c r="AM65" s="218"/>
      <c r="AN65" s="218"/>
      <c r="AO65" s="218"/>
      <c r="AP65" s="218"/>
      <c r="AQ65" s="218"/>
      <c r="AR65" s="218"/>
      <c r="AS65" s="218"/>
      <c r="AT65" s="218"/>
      <c r="AU65" s="218"/>
      <c r="AV65" s="218"/>
      <c r="AW65" s="218"/>
      <c r="AX65" s="218"/>
      <c r="AY65" s="218"/>
      <c r="AZ65" s="218"/>
      <c r="BA65" s="218"/>
      <c r="BB65" s="218"/>
      <c r="BC65" s="218"/>
      <c r="BD65" s="218"/>
      <c r="BE65" s="218"/>
      <c r="BF65" s="218"/>
      <c r="BG65" s="218"/>
      <c r="BH65" s="218"/>
      <c r="BI65" s="218"/>
      <c r="BJ65" s="218"/>
      <c r="BK65" s="218"/>
      <c r="BL65" s="218"/>
      <c r="BM65" s="218"/>
      <c r="BN65" s="218"/>
      <c r="BO65" s="218"/>
      <c r="BP65" s="218"/>
      <c r="BQ65" s="218"/>
      <c r="BR65" s="218"/>
      <c r="BS65" s="218"/>
      <c r="BT65" s="218"/>
      <c r="BU65" s="221">
        <f>BU54</f>
        <v>34539</v>
      </c>
      <c r="BV65" s="221">
        <f>BV54</f>
        <v>34539</v>
      </c>
      <c r="BW65" s="221"/>
      <c r="BX65" s="221"/>
      <c r="BY65" s="203"/>
    </row>
    <row r="66" spans="2:80" ht="18" customHeight="1" thickTop="1">
      <c r="B66" s="200"/>
      <c r="M66" s="212"/>
      <c r="U66" s="213"/>
      <c r="AJ66" s="213"/>
      <c r="BU66" s="203"/>
      <c r="BV66" s="203"/>
      <c r="BW66" s="203"/>
      <c r="BX66" s="203"/>
      <c r="BY66" s="203"/>
    </row>
    <row r="67" spans="2:80" ht="18" customHeight="1">
      <c r="B67" s="200"/>
      <c r="M67" s="212"/>
      <c r="U67" s="213"/>
      <c r="AJ67" s="213"/>
      <c r="BU67" s="203"/>
      <c r="BV67" s="203"/>
      <c r="BW67" s="203"/>
      <c r="BX67" s="203"/>
      <c r="BY67" s="203"/>
    </row>
    <row r="68" spans="2:80" ht="18" customHeight="1">
      <c r="B68" s="200"/>
      <c r="M68" s="212"/>
      <c r="U68" s="213"/>
      <c r="AJ68" s="213"/>
      <c r="BU68" s="203"/>
      <c r="BV68" s="203"/>
      <c r="BW68" s="203"/>
      <c r="BX68" s="203"/>
      <c r="BY68" s="203"/>
    </row>
    <row r="69" spans="2:80" ht="18" customHeight="1">
      <c r="B69" s="200"/>
      <c r="M69" s="212"/>
      <c r="U69" s="213"/>
      <c r="AJ69" s="213"/>
      <c r="BU69" s="203"/>
      <c r="BV69" s="203"/>
      <c r="BW69" s="203"/>
      <c r="BX69" s="203"/>
      <c r="BY69" s="203"/>
    </row>
    <row r="70" spans="2:80" ht="18" customHeight="1">
      <c r="B70" s="222"/>
      <c r="C70" s="223"/>
      <c r="D70" s="223"/>
      <c r="E70" s="223"/>
      <c r="F70" s="223"/>
      <c r="G70" s="223"/>
      <c r="H70" s="223"/>
      <c r="I70" s="223"/>
      <c r="J70" s="223"/>
      <c r="K70" s="223"/>
      <c r="L70" s="223"/>
      <c r="M70" s="224"/>
      <c r="N70" s="223"/>
      <c r="O70" s="223"/>
      <c r="P70" s="223"/>
      <c r="Q70" s="223"/>
      <c r="R70" s="223"/>
      <c r="S70" s="223"/>
      <c r="T70" s="223"/>
      <c r="U70" s="225"/>
      <c r="V70" s="223"/>
      <c r="W70" s="223"/>
      <c r="X70" s="223"/>
      <c r="Y70" s="223"/>
      <c r="Z70" s="223"/>
      <c r="AA70" s="223"/>
      <c r="AB70" s="223"/>
      <c r="AC70" s="223"/>
      <c r="AD70" s="223"/>
      <c r="AE70" s="223"/>
      <c r="AF70" s="223"/>
      <c r="AG70" s="223"/>
      <c r="AH70" s="223"/>
      <c r="AI70" s="223"/>
      <c r="AJ70" s="225"/>
      <c r="AK70" s="223"/>
      <c r="AL70" s="223"/>
      <c r="AM70" s="223"/>
      <c r="AN70" s="223"/>
      <c r="AO70" s="223"/>
      <c r="AP70" s="223"/>
      <c r="AQ70" s="223"/>
      <c r="AR70" s="223"/>
      <c r="AS70" s="223"/>
      <c r="AT70" s="223"/>
      <c r="AU70" s="223"/>
      <c r="AV70" s="223"/>
      <c r="AW70" s="223"/>
      <c r="AX70" s="223"/>
      <c r="AY70" s="223"/>
      <c r="AZ70" s="223"/>
      <c r="BA70" s="223"/>
      <c r="BB70" s="223"/>
      <c r="BC70" s="223"/>
      <c r="BD70" s="223"/>
      <c r="BE70" s="223"/>
      <c r="BF70" s="223"/>
      <c r="BG70" s="223"/>
      <c r="BH70" s="223"/>
      <c r="BI70" s="223"/>
      <c r="BJ70" s="223"/>
      <c r="BK70" s="223"/>
      <c r="BL70" s="223"/>
      <c r="BM70" s="223"/>
      <c r="BN70" s="223"/>
      <c r="BO70" s="223"/>
      <c r="BP70" s="223"/>
      <c r="BQ70" s="223"/>
      <c r="BR70" s="223"/>
      <c r="BS70" s="223"/>
      <c r="BT70" s="223"/>
      <c r="BU70" s="226"/>
      <c r="BV70" s="226"/>
      <c r="BW70" s="226"/>
      <c r="BX70" s="226"/>
      <c r="BY70" s="226"/>
    </row>
    <row r="71" spans="2:80" ht="30" customHeight="1">
      <c r="B71" s="237"/>
      <c r="C71" s="232" t="s">
        <v>170</v>
      </c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8"/>
      <c r="S71" s="238"/>
      <c r="T71" s="238"/>
      <c r="U71" s="238"/>
      <c r="V71" s="238"/>
      <c r="W71" s="238"/>
      <c r="X71" s="238"/>
      <c r="Y71" s="238"/>
      <c r="Z71" s="238"/>
      <c r="AA71" s="238"/>
      <c r="AB71" s="238"/>
      <c r="AC71" s="238"/>
      <c r="AD71" s="238"/>
      <c r="AE71" s="238"/>
      <c r="AF71" s="238"/>
      <c r="AG71" s="238"/>
      <c r="AH71" s="238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38"/>
      <c r="AT71" s="238"/>
      <c r="AU71" s="238"/>
      <c r="AV71" s="238"/>
      <c r="AW71" s="238"/>
      <c r="AX71" s="238"/>
      <c r="AY71" s="238"/>
      <c r="AZ71" s="238"/>
      <c r="BA71" s="238"/>
      <c r="BB71" s="238"/>
      <c r="BC71" s="238"/>
      <c r="BD71" s="238"/>
      <c r="BE71" s="238"/>
      <c r="BF71" s="238"/>
      <c r="BG71" s="238"/>
      <c r="BH71" s="238"/>
      <c r="BI71" s="238"/>
      <c r="BJ71" s="238"/>
      <c r="BK71" s="238"/>
      <c r="BL71" s="238"/>
      <c r="BM71" s="238"/>
      <c r="BN71" s="238"/>
      <c r="BO71" s="238"/>
      <c r="BP71" s="238"/>
      <c r="BQ71" s="238"/>
      <c r="BR71" s="238"/>
      <c r="BS71" s="238"/>
      <c r="BT71" s="238"/>
      <c r="BU71" s="234" t="s">
        <v>109</v>
      </c>
      <c r="BV71" s="234" t="s">
        <v>110</v>
      </c>
      <c r="BW71" s="234" t="s">
        <v>111</v>
      </c>
      <c r="BX71" s="234" t="s">
        <v>61</v>
      </c>
      <c r="BY71" s="239" t="s">
        <v>35</v>
      </c>
    </row>
    <row r="72" spans="2:80" ht="18" customHeight="1">
      <c r="B72" s="200"/>
      <c r="C72" s="227"/>
      <c r="L72" s="201"/>
      <c r="BU72" s="202"/>
      <c r="BV72" s="202"/>
      <c r="BW72" s="202"/>
      <c r="BX72" s="202"/>
      <c r="BY72" s="215"/>
      <c r="CB72" s="228"/>
    </row>
    <row r="73" spans="2:80" ht="18" customHeight="1">
      <c r="B73" s="200"/>
      <c r="C73" s="227" t="s">
        <v>14</v>
      </c>
      <c r="M73" s="171" t="s">
        <v>93</v>
      </c>
      <c r="N73" s="201"/>
      <c r="BU73" s="203"/>
      <c r="BV73" s="205"/>
      <c r="BW73" s="203"/>
      <c r="BX73" s="203"/>
      <c r="BY73" s="215"/>
      <c r="CB73" s="228"/>
    </row>
    <row r="74" spans="2:80" ht="18" customHeight="1">
      <c r="B74" s="200" t="s">
        <v>13</v>
      </c>
      <c r="J74" s="206">
        <v>100</v>
      </c>
      <c r="K74" s="207"/>
      <c r="L74" s="207"/>
      <c r="M74" s="207"/>
      <c r="N74" s="207"/>
      <c r="O74" s="171" t="s">
        <v>165</v>
      </c>
      <c r="AI74" s="213"/>
      <c r="BU74" s="203"/>
      <c r="BV74" s="203"/>
      <c r="BW74" s="203"/>
      <c r="BX74" s="203"/>
      <c r="BY74" s="203"/>
      <c r="CB74" s="210"/>
    </row>
    <row r="75" spans="2:80" ht="18" customHeight="1">
      <c r="B75" s="200"/>
      <c r="C75" s="171" t="s">
        <v>62</v>
      </c>
      <c r="L75" s="212"/>
      <c r="N75" s="206">
        <v>0.1</v>
      </c>
      <c r="O75" s="207"/>
      <c r="P75" s="207"/>
      <c r="Q75" s="207"/>
      <c r="R75" s="207"/>
      <c r="S75" s="207"/>
      <c r="T75" s="171" t="s">
        <v>162</v>
      </c>
      <c r="W75" s="207" t="s">
        <v>100</v>
      </c>
      <c r="X75" s="207"/>
      <c r="Y75" s="216">
        <f>CB51</f>
        <v>172698</v>
      </c>
      <c r="Z75" s="207"/>
      <c r="AA75" s="207"/>
      <c r="AB75" s="207"/>
      <c r="AC75" s="207"/>
      <c r="AD75" s="207"/>
      <c r="AE75" s="207"/>
      <c r="AF75" s="207"/>
      <c r="AG75" s="207" t="s">
        <v>100</v>
      </c>
      <c r="AH75" s="207"/>
      <c r="AI75" s="207">
        <f>J74/100</f>
        <v>1</v>
      </c>
      <c r="AJ75" s="207"/>
      <c r="AK75" s="207"/>
      <c r="AL75" s="207"/>
      <c r="AM75" s="209" t="s">
        <v>103</v>
      </c>
      <c r="AN75" s="207"/>
      <c r="AO75" s="217">
        <f>INT(N75*Y75*AI75)</f>
        <v>17269</v>
      </c>
      <c r="AP75" s="207"/>
      <c r="AQ75" s="207"/>
      <c r="AR75" s="207"/>
      <c r="AS75" s="207"/>
      <c r="AT75" s="207"/>
      <c r="AU75" s="207"/>
      <c r="AV75" s="171" t="s">
        <v>174</v>
      </c>
      <c r="BU75" s="202">
        <f>BV75</f>
        <v>17269</v>
      </c>
      <c r="BV75" s="202">
        <f>AO75</f>
        <v>17269</v>
      </c>
      <c r="BW75" s="203"/>
      <c r="BX75" s="203"/>
      <c r="BY75" s="203"/>
      <c r="CB75" s="210"/>
    </row>
    <row r="76" spans="2:80" ht="18" customHeight="1">
      <c r="B76" s="200"/>
      <c r="D76" s="171" t="s">
        <v>15</v>
      </c>
      <c r="L76" s="212"/>
      <c r="N76" s="206"/>
      <c r="O76" s="207"/>
      <c r="P76" s="207"/>
      <c r="Q76" s="207"/>
      <c r="R76" s="207"/>
      <c r="S76" s="207"/>
      <c r="W76" s="207"/>
      <c r="X76" s="207"/>
      <c r="Y76" s="216"/>
      <c r="Z76" s="207"/>
      <c r="AA76" s="207"/>
      <c r="AB76" s="207"/>
      <c r="AC76" s="207"/>
      <c r="AD76" s="207"/>
      <c r="AE76" s="207"/>
      <c r="AF76" s="207"/>
      <c r="AG76" s="207"/>
      <c r="AH76" s="207"/>
      <c r="AI76" s="207"/>
      <c r="AJ76" s="207"/>
      <c r="AK76" s="207"/>
      <c r="AL76" s="207"/>
      <c r="AM76" s="209"/>
      <c r="AN76" s="207"/>
      <c r="AO76" s="217"/>
      <c r="AP76" s="207"/>
      <c r="AQ76" s="207"/>
      <c r="AR76" s="207"/>
      <c r="AS76" s="207"/>
      <c r="AT76" s="207"/>
      <c r="AU76" s="207"/>
      <c r="BU76" s="202"/>
      <c r="BV76" s="202"/>
      <c r="BW76" s="203"/>
      <c r="BX76" s="203"/>
      <c r="BY76" s="203"/>
      <c r="CB76" s="228"/>
    </row>
    <row r="77" spans="2:80" ht="18" customHeight="1">
      <c r="B77" s="200"/>
      <c r="C77" s="171" t="s">
        <v>63</v>
      </c>
      <c r="L77" s="212"/>
      <c r="T77" s="213"/>
      <c r="AI77" s="213"/>
      <c r="BU77" s="202">
        <f>BV77</f>
        <v>17269</v>
      </c>
      <c r="BV77" s="202">
        <f>BV75</f>
        <v>17269</v>
      </c>
      <c r="BW77" s="203"/>
      <c r="BX77" s="203"/>
      <c r="BY77" s="203"/>
      <c r="CB77" s="210"/>
    </row>
    <row r="78" spans="2:80" ht="18" customHeight="1">
      <c r="B78" s="200"/>
      <c r="H78" s="208"/>
      <c r="I78" s="208"/>
      <c r="J78" s="208"/>
      <c r="K78" s="208"/>
      <c r="L78" s="209"/>
      <c r="M78" s="207"/>
      <c r="N78" s="208"/>
      <c r="O78" s="208"/>
      <c r="P78" s="208"/>
      <c r="Q78" s="208"/>
      <c r="R78" s="208"/>
      <c r="S78" s="209"/>
      <c r="T78" s="207"/>
      <c r="U78" s="208"/>
      <c r="V78" s="208"/>
      <c r="W78" s="208"/>
      <c r="X78" s="208"/>
      <c r="Y78" s="208"/>
      <c r="AH78" s="208"/>
      <c r="AI78" s="208"/>
      <c r="AJ78" s="208"/>
      <c r="AK78" s="208"/>
      <c r="BU78" s="203"/>
      <c r="BV78" s="203"/>
      <c r="BW78" s="203"/>
      <c r="BX78" s="203"/>
      <c r="BY78" s="203"/>
      <c r="CB78" s="211"/>
    </row>
    <row r="79" spans="2:80" ht="18" customHeight="1">
      <c r="B79" s="200"/>
      <c r="H79" s="208"/>
      <c r="I79" s="208"/>
      <c r="J79" s="208"/>
      <c r="K79" s="208"/>
      <c r="L79" s="208"/>
      <c r="M79" s="207"/>
      <c r="N79" s="207"/>
      <c r="O79" s="208"/>
      <c r="P79" s="208"/>
      <c r="Q79" s="208"/>
      <c r="R79" s="208"/>
      <c r="S79" s="207"/>
      <c r="T79" s="207"/>
      <c r="U79" s="208"/>
      <c r="V79" s="208"/>
      <c r="W79" s="208"/>
      <c r="X79" s="208"/>
      <c r="Y79" s="207"/>
      <c r="Z79" s="207"/>
      <c r="AA79" s="208"/>
      <c r="AB79" s="208"/>
      <c r="AC79" s="208"/>
      <c r="AD79" s="208"/>
      <c r="AE79" s="207"/>
      <c r="AF79" s="207"/>
      <c r="AG79" s="208"/>
      <c r="AH79" s="208"/>
      <c r="AI79" s="208"/>
      <c r="AJ79" s="208"/>
      <c r="AK79" s="208"/>
      <c r="AL79" s="209"/>
      <c r="AM79" s="207"/>
      <c r="AN79" s="208"/>
      <c r="AO79" s="208"/>
      <c r="AP79" s="208"/>
      <c r="AQ79" s="208"/>
      <c r="AR79" s="208"/>
      <c r="AS79" s="209"/>
      <c r="AT79" s="207"/>
      <c r="AU79" s="208"/>
      <c r="AV79" s="208"/>
      <c r="AW79" s="208"/>
      <c r="AX79" s="208"/>
      <c r="AY79" s="208"/>
      <c r="AZ79" s="208"/>
      <c r="BA79" s="208"/>
      <c r="BU79" s="203"/>
      <c r="BV79" s="203"/>
      <c r="BW79" s="203"/>
      <c r="BX79" s="203"/>
      <c r="BY79" s="203"/>
      <c r="CB79" s="211"/>
    </row>
    <row r="80" spans="2:80" ht="18" customHeight="1">
      <c r="B80" s="200"/>
      <c r="H80" s="207"/>
      <c r="I80" s="207"/>
      <c r="J80" s="207"/>
      <c r="K80" s="207"/>
      <c r="L80" s="207"/>
      <c r="O80" s="235"/>
      <c r="P80" s="236"/>
      <c r="Q80" s="236"/>
      <c r="R80" s="236"/>
      <c r="S80" s="236"/>
      <c r="T80" s="236"/>
      <c r="U80" s="236"/>
      <c r="V80" s="236"/>
      <c r="W80" s="209"/>
      <c r="X80" s="207"/>
      <c r="Y80" s="208"/>
      <c r="Z80" s="208"/>
      <c r="AA80" s="208"/>
      <c r="AB80" s="208"/>
      <c r="AC80" s="208"/>
      <c r="AD80" s="208"/>
      <c r="AE80" s="207"/>
      <c r="AF80" s="207"/>
      <c r="AG80" s="208"/>
      <c r="AH80" s="208"/>
      <c r="AI80" s="208"/>
      <c r="AJ80" s="208"/>
      <c r="AK80" s="208"/>
      <c r="AL80" s="209"/>
      <c r="AM80" s="207"/>
      <c r="AN80" s="208"/>
      <c r="AO80" s="208"/>
      <c r="AP80" s="208"/>
      <c r="AQ80" s="208"/>
      <c r="AR80" s="208"/>
      <c r="AS80" s="208"/>
      <c r="AT80" s="208"/>
      <c r="BU80" s="202"/>
      <c r="BV80" s="202"/>
      <c r="BW80" s="202"/>
      <c r="BX80" s="202"/>
      <c r="BY80" s="203"/>
    </row>
    <row r="81" spans="2:80" ht="18" customHeight="1">
      <c r="B81" s="200"/>
      <c r="M81" s="212"/>
      <c r="U81" s="213"/>
      <c r="AJ81" s="213"/>
      <c r="BU81" s="214"/>
      <c r="BV81" s="214"/>
      <c r="BW81" s="214"/>
      <c r="BX81" s="214"/>
      <c r="BY81" s="215"/>
    </row>
    <row r="82" spans="2:80" ht="18" customHeight="1">
      <c r="B82" s="200"/>
      <c r="M82" s="212"/>
      <c r="U82" s="213"/>
      <c r="AJ82" s="213"/>
      <c r="BU82" s="202"/>
      <c r="BV82" s="202"/>
      <c r="BW82" s="202"/>
      <c r="BX82" s="202"/>
      <c r="BY82" s="215"/>
    </row>
    <row r="83" spans="2:80" ht="18" customHeight="1">
      <c r="B83" s="200"/>
      <c r="M83" s="212"/>
      <c r="U83" s="213"/>
      <c r="AJ83" s="213"/>
      <c r="BU83" s="202"/>
      <c r="BV83" s="202"/>
      <c r="BW83" s="202"/>
      <c r="BX83" s="202"/>
      <c r="BY83" s="215"/>
    </row>
    <row r="84" spans="2:80" ht="18" customHeight="1">
      <c r="B84" s="200"/>
      <c r="C84" s="227" t="s">
        <v>16</v>
      </c>
      <c r="M84" s="171" t="s">
        <v>17</v>
      </c>
      <c r="N84" s="201"/>
      <c r="BU84" s="203"/>
      <c r="BV84" s="205"/>
      <c r="BW84" s="203"/>
      <c r="BX84" s="203"/>
      <c r="BY84" s="215"/>
      <c r="CB84" s="228"/>
    </row>
    <row r="85" spans="2:80" ht="18" customHeight="1">
      <c r="B85" s="200" t="s">
        <v>13</v>
      </c>
      <c r="J85" s="206">
        <v>100</v>
      </c>
      <c r="K85" s="207"/>
      <c r="L85" s="207"/>
      <c r="M85" s="207"/>
      <c r="N85" s="207"/>
      <c r="O85" s="171" t="s">
        <v>165</v>
      </c>
      <c r="AI85" s="213"/>
      <c r="BU85" s="203"/>
      <c r="BV85" s="203"/>
      <c r="BW85" s="203"/>
      <c r="BX85" s="203"/>
      <c r="BY85" s="203"/>
      <c r="CB85" s="210"/>
    </row>
    <row r="86" spans="2:80" ht="18" customHeight="1">
      <c r="B86" s="200"/>
      <c r="C86" s="171" t="s">
        <v>62</v>
      </c>
      <c r="L86" s="212"/>
      <c r="N86" s="206">
        <v>0.14000000000000001</v>
      </c>
      <c r="O86" s="207"/>
      <c r="P86" s="207"/>
      <c r="Q86" s="207"/>
      <c r="R86" s="207"/>
      <c r="S86" s="207"/>
      <c r="T86" s="171" t="s">
        <v>162</v>
      </c>
      <c r="W86" s="207" t="s">
        <v>100</v>
      </c>
      <c r="X86" s="207"/>
      <c r="Y86" s="216">
        <f>CB51</f>
        <v>172698</v>
      </c>
      <c r="Z86" s="207"/>
      <c r="AA86" s="207"/>
      <c r="AB86" s="207"/>
      <c r="AC86" s="207"/>
      <c r="AD86" s="207"/>
      <c r="AE86" s="207"/>
      <c r="AF86" s="207"/>
      <c r="AG86" s="207" t="s">
        <v>100</v>
      </c>
      <c r="AH86" s="207"/>
      <c r="AI86" s="207">
        <f>J85/100</f>
        <v>1</v>
      </c>
      <c r="AJ86" s="207"/>
      <c r="AK86" s="207"/>
      <c r="AL86" s="207"/>
      <c r="AM86" s="209" t="s">
        <v>103</v>
      </c>
      <c r="AN86" s="207"/>
      <c r="AO86" s="217">
        <f>INT(N86*Y86*AI86)</f>
        <v>24177</v>
      </c>
      <c r="AP86" s="207"/>
      <c r="AQ86" s="207"/>
      <c r="AR86" s="207"/>
      <c r="AS86" s="207"/>
      <c r="AT86" s="207"/>
      <c r="AU86" s="207"/>
      <c r="AV86" s="171" t="s">
        <v>174</v>
      </c>
      <c r="BU86" s="202">
        <f>BV86</f>
        <v>24177</v>
      </c>
      <c r="BV86" s="202">
        <f>AO86</f>
        <v>24177</v>
      </c>
      <c r="BW86" s="203"/>
      <c r="BX86" s="203"/>
      <c r="BY86" s="203"/>
      <c r="CB86" s="210"/>
    </row>
    <row r="87" spans="2:80" ht="18" customHeight="1">
      <c r="B87" s="200"/>
      <c r="L87" s="212"/>
      <c r="N87" s="206"/>
      <c r="O87" s="207"/>
      <c r="P87" s="207"/>
      <c r="Q87" s="207"/>
      <c r="R87" s="207"/>
      <c r="S87" s="207"/>
      <c r="W87" s="207"/>
      <c r="X87" s="207"/>
      <c r="Y87" s="216"/>
      <c r="Z87" s="207"/>
      <c r="AA87" s="207"/>
      <c r="AB87" s="207"/>
      <c r="AC87" s="207"/>
      <c r="AD87" s="207"/>
      <c r="AE87" s="207"/>
      <c r="AF87" s="207"/>
      <c r="AG87" s="207"/>
      <c r="AH87" s="207"/>
      <c r="AI87" s="207"/>
      <c r="AJ87" s="207"/>
      <c r="AK87" s="207"/>
      <c r="AL87" s="207"/>
      <c r="AM87" s="209"/>
      <c r="AN87" s="207"/>
      <c r="AO87" s="217"/>
      <c r="AP87" s="207"/>
      <c r="AQ87" s="207"/>
      <c r="AR87" s="207"/>
      <c r="AS87" s="207"/>
      <c r="AT87" s="207"/>
      <c r="AU87" s="207"/>
      <c r="BU87" s="202"/>
      <c r="BV87" s="202"/>
      <c r="BW87" s="203"/>
      <c r="BX87" s="203"/>
      <c r="BY87" s="203"/>
      <c r="CB87" s="228"/>
    </row>
    <row r="88" spans="2:80" ht="18" customHeight="1">
      <c r="B88" s="200"/>
      <c r="C88" s="171" t="s">
        <v>63</v>
      </c>
      <c r="L88" s="212"/>
      <c r="T88" s="213"/>
      <c r="AI88" s="213"/>
      <c r="BU88" s="202">
        <f>BV88</f>
        <v>24177</v>
      </c>
      <c r="BV88" s="202">
        <f>BV86</f>
        <v>24177</v>
      </c>
      <c r="BW88" s="203"/>
      <c r="BX88" s="203"/>
      <c r="BY88" s="203"/>
      <c r="CB88" s="210"/>
    </row>
    <row r="89" spans="2:80" ht="18" customHeight="1">
      <c r="B89" s="200"/>
      <c r="G89" s="207"/>
      <c r="H89" s="207"/>
      <c r="I89" s="207"/>
      <c r="J89" s="207"/>
      <c r="N89" s="235"/>
      <c r="O89" s="236"/>
      <c r="P89" s="236"/>
      <c r="Q89" s="236"/>
      <c r="R89" s="236"/>
      <c r="S89" s="236"/>
      <c r="T89" s="236"/>
      <c r="U89" s="236"/>
      <c r="V89" s="209"/>
      <c r="W89" s="207"/>
      <c r="X89" s="208"/>
      <c r="Y89" s="208"/>
      <c r="Z89" s="208"/>
      <c r="AA89" s="208"/>
      <c r="AB89" s="208"/>
      <c r="AC89" s="208"/>
      <c r="AD89" s="209"/>
      <c r="AE89" s="207"/>
      <c r="AF89" s="208"/>
      <c r="AG89" s="208"/>
      <c r="AH89" s="208"/>
      <c r="AI89" s="208"/>
      <c r="AJ89" s="208"/>
      <c r="AK89" s="208"/>
      <c r="AL89" s="208"/>
      <c r="BU89" s="202"/>
      <c r="BV89" s="203"/>
      <c r="BW89" s="203"/>
      <c r="BX89" s="203"/>
      <c r="BY89" s="215"/>
    </row>
    <row r="90" spans="2:80" ht="18" customHeight="1">
      <c r="B90" s="200"/>
      <c r="N90" s="235"/>
      <c r="O90" s="236"/>
      <c r="P90" s="236"/>
      <c r="Q90" s="236"/>
      <c r="R90" s="236"/>
      <c r="S90" s="236"/>
      <c r="T90" s="236"/>
      <c r="U90" s="236"/>
      <c r="V90" s="209"/>
      <c r="W90" s="207"/>
      <c r="X90" s="208"/>
      <c r="Y90" s="208"/>
      <c r="Z90" s="208"/>
      <c r="AA90" s="208"/>
      <c r="AB90" s="208"/>
      <c r="AC90" s="208"/>
      <c r="AD90" s="209"/>
      <c r="AE90" s="207"/>
      <c r="AF90" s="208"/>
      <c r="AG90" s="208"/>
      <c r="AH90" s="208"/>
      <c r="AI90" s="208"/>
      <c r="AJ90" s="208"/>
      <c r="AK90" s="208"/>
      <c r="AL90" s="208"/>
      <c r="BU90" s="202"/>
      <c r="BV90" s="203"/>
      <c r="BW90" s="203"/>
      <c r="BX90" s="203"/>
      <c r="BY90" s="215"/>
    </row>
    <row r="91" spans="2:80" ht="18" customHeight="1" thickBot="1">
      <c r="B91" s="200"/>
      <c r="D91" s="218" t="s">
        <v>69</v>
      </c>
      <c r="E91" s="218"/>
      <c r="F91" s="218"/>
      <c r="G91" s="218"/>
      <c r="H91" s="218"/>
      <c r="I91" s="218"/>
      <c r="J91" s="218"/>
      <c r="K91" s="218"/>
      <c r="L91" s="218"/>
      <c r="M91" s="219"/>
      <c r="N91" s="218"/>
      <c r="O91" s="218"/>
      <c r="P91" s="218"/>
      <c r="Q91" s="218"/>
      <c r="R91" s="218"/>
      <c r="S91" s="218"/>
      <c r="T91" s="218"/>
      <c r="U91" s="220"/>
      <c r="V91" s="218"/>
      <c r="W91" s="218"/>
      <c r="X91" s="218"/>
      <c r="Y91" s="218"/>
      <c r="Z91" s="218"/>
      <c r="AA91" s="218"/>
      <c r="AB91" s="218"/>
      <c r="AC91" s="218"/>
      <c r="AD91" s="218"/>
      <c r="AE91" s="218"/>
      <c r="AF91" s="218"/>
      <c r="AG91" s="218"/>
      <c r="AH91" s="218"/>
      <c r="AI91" s="218"/>
      <c r="AJ91" s="220"/>
      <c r="AK91" s="218"/>
      <c r="AL91" s="218"/>
      <c r="AM91" s="218"/>
      <c r="AN91" s="218"/>
      <c r="AO91" s="218"/>
      <c r="AP91" s="218"/>
      <c r="AQ91" s="218"/>
      <c r="AR91" s="218"/>
      <c r="AS91" s="218"/>
      <c r="AT91" s="218"/>
      <c r="AU91" s="218"/>
      <c r="AV91" s="218"/>
      <c r="AW91" s="218"/>
      <c r="AX91" s="218"/>
      <c r="AY91" s="218"/>
      <c r="AZ91" s="218"/>
      <c r="BA91" s="218"/>
      <c r="BB91" s="218"/>
      <c r="BC91" s="218"/>
      <c r="BD91" s="218"/>
      <c r="BE91" s="218"/>
      <c r="BF91" s="218"/>
      <c r="BG91" s="218"/>
      <c r="BH91" s="218"/>
      <c r="BI91" s="218"/>
      <c r="BJ91" s="218"/>
      <c r="BK91" s="218"/>
      <c r="BL91" s="218"/>
      <c r="BM91" s="218"/>
      <c r="BN91" s="218"/>
      <c r="BO91" s="218"/>
      <c r="BP91" s="218"/>
      <c r="BQ91" s="218"/>
      <c r="BR91" s="218"/>
      <c r="BS91" s="218"/>
      <c r="BT91" s="218"/>
      <c r="BU91" s="221">
        <f>BU77+BU88</f>
        <v>41446</v>
      </c>
      <c r="BV91" s="221">
        <f>BV77+BV88</f>
        <v>41446</v>
      </c>
      <c r="BW91" s="221"/>
      <c r="BX91" s="221"/>
      <c r="BY91" s="215"/>
      <c r="CB91" s="211"/>
    </row>
    <row r="92" spans="2:80" ht="18" customHeight="1" thickTop="1">
      <c r="B92" s="222"/>
      <c r="C92" s="223"/>
      <c r="D92" s="223"/>
      <c r="E92" s="223"/>
      <c r="F92" s="223"/>
      <c r="G92" s="223"/>
      <c r="H92" s="223"/>
      <c r="I92" s="223"/>
      <c r="J92" s="223"/>
      <c r="K92" s="223"/>
      <c r="L92" s="224"/>
      <c r="M92" s="223"/>
      <c r="N92" s="223"/>
      <c r="O92" s="223"/>
      <c r="P92" s="223"/>
      <c r="Q92" s="223"/>
      <c r="R92" s="223"/>
      <c r="S92" s="223"/>
      <c r="T92" s="225"/>
      <c r="U92" s="223"/>
      <c r="V92" s="223"/>
      <c r="W92" s="223"/>
      <c r="X92" s="223"/>
      <c r="Y92" s="223"/>
      <c r="Z92" s="223"/>
      <c r="AA92" s="223"/>
      <c r="AB92" s="223"/>
      <c r="AC92" s="223"/>
      <c r="AD92" s="223"/>
      <c r="AE92" s="223"/>
      <c r="AF92" s="223"/>
      <c r="AG92" s="223"/>
      <c r="AH92" s="223"/>
      <c r="AI92" s="225"/>
      <c r="AJ92" s="223"/>
      <c r="AK92" s="223"/>
      <c r="AL92" s="223"/>
      <c r="AM92" s="223"/>
      <c r="AN92" s="223"/>
      <c r="AO92" s="223"/>
      <c r="AP92" s="223"/>
      <c r="AQ92" s="223"/>
      <c r="AR92" s="223"/>
      <c r="AS92" s="223"/>
      <c r="AT92" s="223"/>
      <c r="AU92" s="223"/>
      <c r="AV92" s="223"/>
      <c r="AW92" s="223"/>
      <c r="AX92" s="223"/>
      <c r="AY92" s="223"/>
      <c r="AZ92" s="223"/>
      <c r="BA92" s="223"/>
      <c r="BB92" s="223"/>
      <c r="BC92" s="223"/>
      <c r="BD92" s="223"/>
      <c r="BE92" s="223"/>
      <c r="BF92" s="223"/>
      <c r="BG92" s="223"/>
      <c r="BH92" s="223"/>
      <c r="BI92" s="223"/>
      <c r="BJ92" s="223"/>
      <c r="BK92" s="223"/>
      <c r="BL92" s="223"/>
      <c r="BM92" s="223"/>
      <c r="BN92" s="223"/>
      <c r="BO92" s="223"/>
      <c r="BP92" s="223"/>
      <c r="BQ92" s="223"/>
      <c r="BR92" s="223"/>
      <c r="BS92" s="223"/>
      <c r="BT92" s="223"/>
      <c r="BU92" s="230"/>
      <c r="BV92" s="230"/>
      <c r="BW92" s="230"/>
      <c r="BX92" s="230"/>
      <c r="BY92" s="240"/>
    </row>
    <row r="93" spans="2:80" ht="30.75" customHeight="1">
      <c r="B93" s="237"/>
      <c r="C93" s="232" t="s">
        <v>171</v>
      </c>
      <c r="D93" s="238"/>
      <c r="E93" s="238"/>
      <c r="F93" s="238"/>
      <c r="G93" s="238"/>
      <c r="H93" s="238"/>
      <c r="I93" s="238"/>
      <c r="J93" s="238"/>
      <c r="K93" s="238"/>
      <c r="L93" s="238"/>
      <c r="M93" s="238"/>
      <c r="N93" s="238"/>
      <c r="O93" s="238"/>
      <c r="P93" s="238"/>
      <c r="Q93" s="238"/>
      <c r="R93" s="238"/>
      <c r="S93" s="238"/>
      <c r="T93" s="238"/>
      <c r="U93" s="238"/>
      <c r="V93" s="238"/>
      <c r="W93" s="238"/>
      <c r="X93" s="238"/>
      <c r="Y93" s="238"/>
      <c r="Z93" s="238"/>
      <c r="AA93" s="238"/>
      <c r="AB93" s="238"/>
      <c r="AC93" s="238"/>
      <c r="AD93" s="238"/>
      <c r="AE93" s="238"/>
      <c r="AF93" s="238"/>
      <c r="AG93" s="238"/>
      <c r="AH93" s="238"/>
      <c r="AI93" s="238"/>
      <c r="AJ93" s="238"/>
      <c r="AK93" s="238"/>
      <c r="AL93" s="238"/>
      <c r="AM93" s="238"/>
      <c r="AN93" s="238"/>
      <c r="AO93" s="238"/>
      <c r="AP93" s="238"/>
      <c r="AQ93" s="238"/>
      <c r="AR93" s="238"/>
      <c r="AS93" s="238"/>
      <c r="AT93" s="238"/>
      <c r="AU93" s="238"/>
      <c r="AV93" s="238"/>
      <c r="AW93" s="238"/>
      <c r="AX93" s="238"/>
      <c r="AY93" s="238"/>
      <c r="AZ93" s="238"/>
      <c r="BA93" s="238"/>
      <c r="BB93" s="238"/>
      <c r="BC93" s="238"/>
      <c r="BD93" s="238"/>
      <c r="BE93" s="238"/>
      <c r="BF93" s="238"/>
      <c r="BG93" s="238"/>
      <c r="BH93" s="238"/>
      <c r="BI93" s="238"/>
      <c r="BJ93" s="238"/>
      <c r="BK93" s="238"/>
      <c r="BL93" s="238"/>
      <c r="BM93" s="238"/>
      <c r="BN93" s="238"/>
      <c r="BO93" s="238"/>
      <c r="BP93" s="238"/>
      <c r="BQ93" s="238"/>
      <c r="BR93" s="238"/>
      <c r="BS93" s="238"/>
      <c r="BT93" s="238"/>
      <c r="BU93" s="234" t="s">
        <v>109</v>
      </c>
      <c r="BV93" s="234" t="s">
        <v>110</v>
      </c>
      <c r="BW93" s="234" t="s">
        <v>111</v>
      </c>
      <c r="BX93" s="234" t="s">
        <v>61</v>
      </c>
      <c r="BY93" s="234" t="s">
        <v>35</v>
      </c>
    </row>
    <row r="94" spans="2:80" ht="18" customHeight="1">
      <c r="B94" s="200"/>
      <c r="C94" s="227"/>
      <c r="L94" s="201"/>
      <c r="BU94" s="202" t="e">
        <f>BU109</f>
        <v>#REF!</v>
      </c>
      <c r="BV94" s="202">
        <f>BV109</f>
        <v>2410</v>
      </c>
      <c r="BW94" s="202" t="e">
        <f>BW109</f>
        <v>#REF!</v>
      </c>
      <c r="BX94" s="202" t="e">
        <f>BX109</f>
        <v>#REF!</v>
      </c>
      <c r="BY94" s="203"/>
      <c r="CB94" s="228"/>
    </row>
    <row r="95" spans="2:80" ht="18" customHeight="1">
      <c r="B95" s="200"/>
      <c r="C95" s="201"/>
      <c r="N95" s="201"/>
      <c r="BU95" s="203"/>
      <c r="BV95" s="205"/>
      <c r="BW95" s="203"/>
      <c r="BX95" s="203"/>
      <c r="BY95" s="203"/>
      <c r="CB95" s="228"/>
    </row>
    <row r="96" spans="2:80" ht="18" customHeight="1">
      <c r="B96" s="200"/>
      <c r="C96" s="171" t="s">
        <v>172</v>
      </c>
      <c r="Y96" s="206">
        <v>100</v>
      </c>
      <c r="Z96" s="207"/>
      <c r="AA96" s="207"/>
      <c r="AB96" s="207"/>
      <c r="AC96" s="207"/>
      <c r="AD96" s="171" t="s">
        <v>165</v>
      </c>
      <c r="AF96" s="171" t="s">
        <v>94</v>
      </c>
      <c r="BU96" s="203"/>
      <c r="BV96" s="203"/>
      <c r="BW96" s="203"/>
      <c r="BX96" s="203"/>
      <c r="BY96" s="203"/>
      <c r="CB96" s="210"/>
    </row>
    <row r="97" spans="2:80" ht="18" customHeight="1">
      <c r="B97" s="200"/>
      <c r="D97" s="171" t="s">
        <v>71</v>
      </c>
      <c r="H97" s="208">
        <v>0.2</v>
      </c>
      <c r="I97" s="208"/>
      <c r="J97" s="208"/>
      <c r="K97" s="208"/>
      <c r="L97" s="208"/>
      <c r="M97" s="229" t="s">
        <v>72</v>
      </c>
      <c r="O97" s="171" t="s">
        <v>73</v>
      </c>
      <c r="S97" s="208">
        <v>0.9</v>
      </c>
      <c r="T97" s="208"/>
      <c r="U97" s="208"/>
      <c r="V97" s="208"/>
      <c r="W97" s="208"/>
      <c r="X97" s="171" t="s">
        <v>72</v>
      </c>
      <c r="Z97" s="171" t="s">
        <v>173</v>
      </c>
      <c r="AD97" s="207">
        <v>1</v>
      </c>
      <c r="AE97" s="207"/>
      <c r="AF97" s="207"/>
      <c r="AG97" s="209" t="s">
        <v>99</v>
      </c>
      <c r="AH97" s="207"/>
      <c r="AI97" s="208">
        <v>1.24</v>
      </c>
      <c r="AJ97" s="208"/>
      <c r="AK97" s="208"/>
      <c r="AL97" s="208"/>
      <c r="AM97" s="208"/>
      <c r="AN97" s="209" t="s">
        <v>103</v>
      </c>
      <c r="AO97" s="207"/>
      <c r="AP97" s="208">
        <f>ROUND(AD97/AI97,2)</f>
        <v>0.81</v>
      </c>
      <c r="AQ97" s="208"/>
      <c r="AR97" s="208"/>
      <c r="AS97" s="208"/>
      <c r="AT97" s="208"/>
      <c r="BU97" s="203"/>
      <c r="BV97" s="203"/>
      <c r="BW97" s="203"/>
      <c r="BX97" s="203"/>
      <c r="BY97" s="203"/>
      <c r="CB97" s="210"/>
    </row>
    <row r="98" spans="2:80" ht="18" customHeight="1">
      <c r="B98" s="200"/>
      <c r="D98" s="171" t="s">
        <v>74</v>
      </c>
      <c r="H98" s="208">
        <v>0.7</v>
      </c>
      <c r="I98" s="208"/>
      <c r="J98" s="208"/>
      <c r="K98" s="208"/>
      <c r="L98" s="208"/>
      <c r="M98" s="229"/>
      <c r="P98" s="171" t="s">
        <v>75</v>
      </c>
      <c r="U98" s="208">
        <v>15</v>
      </c>
      <c r="V98" s="208"/>
      <c r="W98" s="208"/>
      <c r="X98" s="208"/>
      <c r="Y98" s="171" t="s">
        <v>76</v>
      </c>
      <c r="BU98" s="203"/>
      <c r="BV98" s="203"/>
      <c r="BW98" s="203"/>
      <c r="BX98" s="203"/>
      <c r="BY98" s="203"/>
      <c r="CB98" s="210"/>
    </row>
    <row r="99" spans="2:80" ht="18" customHeight="1">
      <c r="B99" s="200"/>
      <c r="D99" s="171" t="s">
        <v>71</v>
      </c>
      <c r="H99" s="208">
        <v>3600</v>
      </c>
      <c r="I99" s="208"/>
      <c r="J99" s="208"/>
      <c r="K99" s="208"/>
      <c r="L99" s="208"/>
      <c r="M99" s="208" t="s">
        <v>100</v>
      </c>
      <c r="N99" s="207"/>
      <c r="O99" s="208">
        <f>H97</f>
        <v>0.2</v>
      </c>
      <c r="P99" s="208"/>
      <c r="Q99" s="208"/>
      <c r="R99" s="208"/>
      <c r="S99" s="207" t="s">
        <v>100</v>
      </c>
      <c r="T99" s="207"/>
      <c r="U99" s="208">
        <f>S97</f>
        <v>0.9</v>
      </c>
      <c r="V99" s="208"/>
      <c r="W99" s="208"/>
      <c r="X99" s="208"/>
      <c r="Y99" s="207" t="s">
        <v>100</v>
      </c>
      <c r="Z99" s="207"/>
      <c r="AA99" s="208">
        <f>AP97</f>
        <v>0.81</v>
      </c>
      <c r="AB99" s="208"/>
      <c r="AC99" s="208"/>
      <c r="AD99" s="208"/>
      <c r="AE99" s="208"/>
      <c r="AF99" s="207" t="s">
        <v>100</v>
      </c>
      <c r="AG99" s="207"/>
      <c r="AH99" s="208">
        <f>H98</f>
        <v>0.7</v>
      </c>
      <c r="AI99" s="208"/>
      <c r="AJ99" s="208"/>
      <c r="AK99" s="208"/>
      <c r="AL99" s="208"/>
      <c r="AM99" s="209" t="s">
        <v>99</v>
      </c>
      <c r="AN99" s="207"/>
      <c r="AO99" s="208">
        <f>U98</f>
        <v>15</v>
      </c>
      <c r="AP99" s="208"/>
      <c r="AQ99" s="208"/>
      <c r="AR99" s="208"/>
      <c r="AS99" s="208"/>
      <c r="AT99" s="209" t="s">
        <v>103</v>
      </c>
      <c r="AU99" s="207"/>
      <c r="AV99" s="208">
        <f>ROUND(H99*O99*U99*AA99*AH99/AO99,2)</f>
        <v>24.49</v>
      </c>
      <c r="AW99" s="208"/>
      <c r="AX99" s="208"/>
      <c r="AY99" s="208"/>
      <c r="AZ99" s="208"/>
      <c r="BA99" s="208"/>
      <c r="BB99" s="208"/>
      <c r="BC99" s="171" t="s">
        <v>70</v>
      </c>
      <c r="BU99" s="203"/>
      <c r="BV99" s="203"/>
      <c r="BW99" s="203"/>
      <c r="BX99" s="203"/>
      <c r="BY99" s="203"/>
      <c r="CB99" s="241"/>
    </row>
    <row r="100" spans="2:80" ht="18" customHeight="1">
      <c r="B100" s="200"/>
      <c r="D100" s="171" t="s">
        <v>66</v>
      </c>
      <c r="H100" s="207"/>
      <c r="I100" s="207"/>
      <c r="J100" s="207"/>
      <c r="K100" s="207"/>
      <c r="L100" s="207"/>
      <c r="O100" s="235" t="e">
        <f>'기계경비(OLD)'!AT41</f>
        <v>#REF!</v>
      </c>
      <c r="P100" s="236"/>
      <c r="Q100" s="236"/>
      <c r="R100" s="236"/>
      <c r="S100" s="236"/>
      <c r="T100" s="236"/>
      <c r="U100" s="236"/>
      <c r="V100" s="236"/>
      <c r="W100" s="209" t="s">
        <v>99</v>
      </c>
      <c r="X100" s="207"/>
      <c r="Y100" s="208">
        <f>AV99</f>
        <v>24.49</v>
      </c>
      <c r="Z100" s="208"/>
      <c r="AA100" s="208"/>
      <c r="AB100" s="208"/>
      <c r="AC100" s="208"/>
      <c r="AD100" s="208"/>
      <c r="AE100" s="207" t="s">
        <v>100</v>
      </c>
      <c r="AF100" s="207"/>
      <c r="AG100" s="208">
        <f>Y96/100</f>
        <v>1</v>
      </c>
      <c r="AH100" s="208"/>
      <c r="AI100" s="208"/>
      <c r="AJ100" s="208"/>
      <c r="AK100" s="208"/>
      <c r="AL100" s="209" t="s">
        <v>103</v>
      </c>
      <c r="AM100" s="207"/>
      <c r="AN100" s="208" t="e">
        <f>INT(O100/Y100*AG100)</f>
        <v>#REF!</v>
      </c>
      <c r="AO100" s="208"/>
      <c r="AP100" s="208"/>
      <c r="AQ100" s="208"/>
      <c r="AR100" s="208"/>
      <c r="AS100" s="208"/>
      <c r="AT100" s="208"/>
      <c r="AU100" s="171" t="s">
        <v>174</v>
      </c>
      <c r="BU100" s="202" t="e">
        <f>SUM(BV100:BX100)</f>
        <v>#REF!</v>
      </c>
      <c r="BV100" s="202"/>
      <c r="BW100" s="202" t="e">
        <f>AN100</f>
        <v>#REF!</v>
      </c>
      <c r="BX100" s="202"/>
      <c r="BY100" s="203"/>
      <c r="CB100" s="241"/>
    </row>
    <row r="101" spans="2:80" ht="18" customHeight="1">
      <c r="B101" s="200"/>
      <c r="D101" s="171" t="s">
        <v>67</v>
      </c>
      <c r="H101" s="207"/>
      <c r="I101" s="207"/>
      <c r="J101" s="207"/>
      <c r="K101" s="207"/>
      <c r="O101" s="235">
        <f>'기계경비(OLD)'!BU34</f>
        <v>59025</v>
      </c>
      <c r="P101" s="236"/>
      <c r="Q101" s="236"/>
      <c r="R101" s="236"/>
      <c r="S101" s="236"/>
      <c r="T101" s="236"/>
      <c r="U101" s="236"/>
      <c r="V101" s="236"/>
      <c r="W101" s="209" t="s">
        <v>99</v>
      </c>
      <c r="X101" s="207"/>
      <c r="Y101" s="208">
        <f>Y100</f>
        <v>24.49</v>
      </c>
      <c r="Z101" s="208"/>
      <c r="AA101" s="208"/>
      <c r="AB101" s="208"/>
      <c r="AC101" s="208"/>
      <c r="AD101" s="208"/>
      <c r="AE101" s="207" t="s">
        <v>100</v>
      </c>
      <c r="AF101" s="207"/>
      <c r="AG101" s="208">
        <f>AG100</f>
        <v>1</v>
      </c>
      <c r="AH101" s="208"/>
      <c r="AI101" s="208"/>
      <c r="AJ101" s="208"/>
      <c r="AK101" s="208"/>
      <c r="AL101" s="209" t="s">
        <v>103</v>
      </c>
      <c r="AM101" s="207"/>
      <c r="AN101" s="208">
        <f>INT(O101/Y101*AG101)</f>
        <v>2410</v>
      </c>
      <c r="AO101" s="208"/>
      <c r="AP101" s="208"/>
      <c r="AQ101" s="208"/>
      <c r="AR101" s="208"/>
      <c r="AS101" s="208"/>
      <c r="AT101" s="208"/>
      <c r="AU101" s="171" t="s">
        <v>174</v>
      </c>
      <c r="BU101" s="202">
        <f>SUM(BV101:BX101)</f>
        <v>2410</v>
      </c>
      <c r="BV101" s="202">
        <f>AN101</f>
        <v>2410</v>
      </c>
      <c r="BW101" s="202"/>
      <c r="BX101" s="202"/>
      <c r="BY101" s="203"/>
      <c r="CB101" s="241"/>
    </row>
    <row r="102" spans="2:80" ht="18" customHeight="1">
      <c r="B102" s="200"/>
      <c r="D102" s="171" t="s">
        <v>68</v>
      </c>
      <c r="O102" s="235" t="e">
        <f>'기계경비(OLD)'!AY47</f>
        <v>#REF!</v>
      </c>
      <c r="P102" s="236"/>
      <c r="Q102" s="236"/>
      <c r="R102" s="236"/>
      <c r="S102" s="236"/>
      <c r="T102" s="236"/>
      <c r="U102" s="236"/>
      <c r="V102" s="236"/>
      <c r="W102" s="209" t="s">
        <v>99</v>
      </c>
      <c r="X102" s="207"/>
      <c r="Y102" s="208">
        <f>Y101</f>
        <v>24.49</v>
      </c>
      <c r="Z102" s="208"/>
      <c r="AA102" s="208"/>
      <c r="AB102" s="208"/>
      <c r="AC102" s="208"/>
      <c r="AD102" s="208"/>
      <c r="AE102" s="207" t="s">
        <v>100</v>
      </c>
      <c r="AF102" s="207"/>
      <c r="AG102" s="208">
        <f>AG101</f>
        <v>1</v>
      </c>
      <c r="AH102" s="208"/>
      <c r="AI102" s="208"/>
      <c r="AJ102" s="208"/>
      <c r="AK102" s="208"/>
      <c r="AL102" s="209" t="s">
        <v>103</v>
      </c>
      <c r="AM102" s="207"/>
      <c r="AN102" s="208" t="e">
        <f>INT(O102/Y102*AG102)</f>
        <v>#REF!</v>
      </c>
      <c r="AO102" s="208"/>
      <c r="AP102" s="208"/>
      <c r="AQ102" s="208"/>
      <c r="AR102" s="208"/>
      <c r="AS102" s="208"/>
      <c r="AT102" s="208"/>
      <c r="AU102" s="171" t="s">
        <v>174</v>
      </c>
      <c r="BU102" s="202" t="e">
        <f>SUM(BV102:BX102)</f>
        <v>#REF!</v>
      </c>
      <c r="BV102" s="202"/>
      <c r="BW102" s="202"/>
      <c r="BX102" s="202" t="e">
        <f>AN102</f>
        <v>#REF!</v>
      </c>
      <c r="BY102" s="203"/>
    </row>
    <row r="103" spans="2:80" ht="18" customHeight="1">
      <c r="B103" s="200"/>
      <c r="D103" s="171" t="s">
        <v>63</v>
      </c>
      <c r="M103" s="212"/>
      <c r="U103" s="213"/>
      <c r="AJ103" s="213"/>
      <c r="BU103" s="214" t="e">
        <f>SUM(BV103:BX103)</f>
        <v>#REF!</v>
      </c>
      <c r="BV103" s="214">
        <f>SUM(BV100:BV102)</f>
        <v>2410</v>
      </c>
      <c r="BW103" s="214" t="e">
        <f>SUM(BW100:BW102)</f>
        <v>#REF!</v>
      </c>
      <c r="BX103" s="214" t="e">
        <f>SUM(BX100:BX102)</f>
        <v>#REF!</v>
      </c>
      <c r="BY103" s="203"/>
    </row>
    <row r="104" spans="2:80" ht="18" customHeight="1">
      <c r="B104" s="200"/>
      <c r="M104" s="212"/>
      <c r="U104" s="213"/>
      <c r="AJ104" s="213"/>
      <c r="BU104" s="202"/>
      <c r="BV104" s="202"/>
      <c r="BW104" s="202"/>
      <c r="BX104" s="202"/>
      <c r="BY104" s="203"/>
    </row>
    <row r="105" spans="2:80" ht="18" customHeight="1">
      <c r="B105" s="200"/>
      <c r="K105" s="206"/>
      <c r="L105" s="207"/>
      <c r="M105" s="207"/>
      <c r="N105" s="207"/>
      <c r="O105" s="207"/>
      <c r="AJ105" s="213"/>
      <c r="BU105" s="202"/>
      <c r="BV105" s="202"/>
      <c r="BW105" s="202"/>
      <c r="BX105" s="202"/>
      <c r="BY105" s="203"/>
      <c r="CB105" s="210"/>
    </row>
    <row r="106" spans="2:80" ht="18" customHeight="1">
      <c r="B106" s="200"/>
      <c r="M106" s="212"/>
      <c r="O106" s="206"/>
      <c r="P106" s="207"/>
      <c r="Q106" s="207"/>
      <c r="R106" s="207"/>
      <c r="S106" s="207"/>
      <c r="T106" s="207"/>
      <c r="X106" s="207"/>
      <c r="Y106" s="207"/>
      <c r="Z106" s="216"/>
      <c r="AA106" s="207"/>
      <c r="AB106" s="207"/>
      <c r="AC106" s="207"/>
      <c r="AD106" s="207"/>
      <c r="AE106" s="207"/>
      <c r="AF106" s="207"/>
      <c r="AG106" s="207"/>
      <c r="AH106" s="207"/>
      <c r="AI106" s="207"/>
      <c r="AJ106" s="207"/>
      <c r="AK106" s="207"/>
      <c r="AL106" s="207"/>
      <c r="AM106" s="207"/>
      <c r="AN106" s="209"/>
      <c r="AO106" s="207"/>
      <c r="AP106" s="217"/>
      <c r="AQ106" s="207"/>
      <c r="AR106" s="207"/>
      <c r="AS106" s="207"/>
      <c r="AT106" s="207"/>
      <c r="AU106" s="207"/>
      <c r="AV106" s="207"/>
      <c r="BU106" s="202"/>
      <c r="BV106" s="202"/>
      <c r="BW106" s="202"/>
      <c r="BX106" s="202"/>
      <c r="BY106" s="203"/>
      <c r="CB106" s="210"/>
    </row>
    <row r="107" spans="2:80" ht="18" customHeight="1">
      <c r="B107" s="200"/>
      <c r="M107" s="212"/>
      <c r="U107" s="213"/>
      <c r="AJ107" s="213"/>
      <c r="BU107" s="214"/>
      <c r="BV107" s="214"/>
      <c r="BW107" s="214"/>
      <c r="BX107" s="214"/>
      <c r="BY107" s="203"/>
      <c r="CB107" s="210"/>
    </row>
    <row r="108" spans="2:80" ht="18" customHeight="1">
      <c r="B108" s="200"/>
      <c r="M108" s="212"/>
      <c r="U108" s="213"/>
      <c r="AJ108" s="213"/>
      <c r="BU108" s="202"/>
      <c r="BV108" s="202"/>
      <c r="BW108" s="202"/>
      <c r="BX108" s="202"/>
      <c r="BY108" s="203"/>
      <c r="CB108" s="241"/>
    </row>
    <row r="109" spans="2:80" ht="18" customHeight="1" thickBot="1">
      <c r="B109" s="200"/>
      <c r="D109" s="218" t="s">
        <v>69</v>
      </c>
      <c r="E109" s="218"/>
      <c r="F109" s="218"/>
      <c r="G109" s="218"/>
      <c r="H109" s="218"/>
      <c r="I109" s="218"/>
      <c r="J109" s="218"/>
      <c r="K109" s="218"/>
      <c r="L109" s="218"/>
      <c r="M109" s="219"/>
      <c r="N109" s="218"/>
      <c r="O109" s="218"/>
      <c r="P109" s="218"/>
      <c r="Q109" s="218"/>
      <c r="R109" s="218"/>
      <c r="S109" s="218"/>
      <c r="T109" s="218"/>
      <c r="U109" s="220"/>
      <c r="V109" s="218"/>
      <c r="W109" s="218"/>
      <c r="X109" s="218"/>
      <c r="Y109" s="218"/>
      <c r="Z109" s="218"/>
      <c r="AA109" s="218"/>
      <c r="AB109" s="218"/>
      <c r="AC109" s="218"/>
      <c r="AD109" s="218"/>
      <c r="AE109" s="218"/>
      <c r="AF109" s="218"/>
      <c r="AG109" s="218"/>
      <c r="AH109" s="218"/>
      <c r="AI109" s="218"/>
      <c r="AJ109" s="220"/>
      <c r="AK109" s="218"/>
      <c r="AL109" s="218"/>
      <c r="AM109" s="218"/>
      <c r="AN109" s="218"/>
      <c r="AO109" s="218"/>
      <c r="AP109" s="218"/>
      <c r="AQ109" s="218"/>
      <c r="AR109" s="218"/>
      <c r="AS109" s="218"/>
      <c r="AT109" s="218"/>
      <c r="AU109" s="218"/>
      <c r="AV109" s="218"/>
      <c r="AW109" s="218"/>
      <c r="AX109" s="218"/>
      <c r="AY109" s="218"/>
      <c r="AZ109" s="218"/>
      <c r="BA109" s="218"/>
      <c r="BB109" s="218"/>
      <c r="BC109" s="218"/>
      <c r="BD109" s="218"/>
      <c r="BE109" s="218"/>
      <c r="BF109" s="218"/>
      <c r="BG109" s="218"/>
      <c r="BH109" s="218"/>
      <c r="BI109" s="218"/>
      <c r="BJ109" s="218"/>
      <c r="BK109" s="218"/>
      <c r="BL109" s="218"/>
      <c r="BM109" s="218"/>
      <c r="BN109" s="218"/>
      <c r="BO109" s="218"/>
      <c r="BP109" s="218"/>
      <c r="BQ109" s="218"/>
      <c r="BR109" s="218"/>
      <c r="BS109" s="218"/>
      <c r="BT109" s="218"/>
      <c r="BU109" s="221" t="e">
        <f>BU103+BU107</f>
        <v>#REF!</v>
      </c>
      <c r="BV109" s="221">
        <f>BV103+BV107</f>
        <v>2410</v>
      </c>
      <c r="BW109" s="221" t="e">
        <f>BW103+BW107</f>
        <v>#REF!</v>
      </c>
      <c r="BX109" s="221" t="e">
        <f>BX103+BX107</f>
        <v>#REF!</v>
      </c>
      <c r="BY109" s="203"/>
      <c r="CB109" s="211"/>
    </row>
    <row r="110" spans="2:80" ht="18" customHeight="1" thickTop="1">
      <c r="B110" s="200"/>
      <c r="M110" s="212"/>
      <c r="U110" s="213"/>
      <c r="AJ110" s="213"/>
      <c r="BU110" s="203"/>
      <c r="BV110" s="203"/>
      <c r="BW110" s="203"/>
      <c r="BX110" s="203"/>
      <c r="BY110" s="203"/>
      <c r="CB110" s="211"/>
    </row>
    <row r="111" spans="2:80" ht="18" customHeight="1">
      <c r="B111" s="200"/>
      <c r="M111" s="212"/>
      <c r="U111" s="213"/>
      <c r="AJ111" s="213"/>
      <c r="BU111" s="203"/>
      <c r="BV111" s="203"/>
      <c r="BW111" s="203"/>
      <c r="BX111" s="203"/>
      <c r="BY111" s="203"/>
    </row>
    <row r="112" spans="2:80" ht="18" customHeight="1">
      <c r="B112" s="200"/>
      <c r="M112" s="212"/>
      <c r="U112" s="213"/>
      <c r="AJ112" s="213"/>
      <c r="BU112" s="203"/>
      <c r="BV112" s="203"/>
      <c r="BW112" s="203"/>
      <c r="BX112" s="203"/>
      <c r="BY112" s="203"/>
    </row>
    <row r="113" spans="1:77" ht="18" customHeight="1">
      <c r="B113" s="200"/>
      <c r="M113" s="212"/>
      <c r="U113" s="213"/>
      <c r="AJ113" s="213"/>
      <c r="BU113" s="203"/>
      <c r="BV113" s="203"/>
      <c r="BW113" s="203"/>
      <c r="BX113" s="203"/>
      <c r="BY113" s="203"/>
    </row>
    <row r="114" spans="1:77" ht="18" customHeight="1">
      <c r="B114" s="200"/>
      <c r="M114" s="212"/>
      <c r="U114" s="213"/>
      <c r="AJ114" s="213"/>
      <c r="BU114" s="203"/>
      <c r="BV114" s="203"/>
      <c r="BW114" s="203"/>
      <c r="BX114" s="203"/>
      <c r="BY114" s="203"/>
    </row>
    <row r="115" spans="1:77" ht="9.9499999999999993" customHeight="1"/>
    <row r="122" spans="1:77" ht="18" customHeight="1">
      <c r="A122" s="200"/>
    </row>
    <row r="123" spans="1:77" ht="18" customHeight="1">
      <c r="A123" s="200"/>
    </row>
    <row r="124" spans="1:77" ht="18" customHeight="1">
      <c r="A124" s="200"/>
    </row>
    <row r="125" spans="1:77" ht="18" customHeight="1">
      <c r="A125" s="200"/>
    </row>
    <row r="126" spans="1:77" ht="18" customHeight="1">
      <c r="A126" s="200"/>
    </row>
    <row r="127" spans="1:77" ht="18" customHeight="1">
      <c r="A127" s="200"/>
    </row>
    <row r="128" spans="1:77" ht="18" customHeight="1">
      <c r="A128" s="200"/>
    </row>
    <row r="129" spans="1:1" ht="18" customHeight="1">
      <c r="A129" s="200"/>
    </row>
    <row r="130" spans="1:1" ht="18" customHeight="1">
      <c r="A130" s="200"/>
    </row>
    <row r="131" spans="1:1" ht="18" customHeight="1">
      <c r="A131" s="200"/>
    </row>
    <row r="132" spans="1:1" ht="18" customHeight="1">
      <c r="A132" s="200"/>
    </row>
    <row r="133" spans="1:1" ht="18" customHeight="1">
      <c r="A133" s="200"/>
    </row>
    <row r="134" spans="1:1" ht="18" customHeight="1">
      <c r="A134" s="200"/>
    </row>
    <row r="135" spans="1:1" ht="18" customHeight="1">
      <c r="A135" s="200"/>
    </row>
    <row r="304" spans="75:75" ht="18" customHeight="1">
      <c r="BW304" s="171">
        <v>146720</v>
      </c>
    </row>
    <row r="331" spans="75:75" ht="18" customHeight="1">
      <c r="BW331" s="171">
        <v>67914</v>
      </c>
    </row>
  </sheetData>
  <mergeCells count="27">
    <mergeCell ref="N41:U41"/>
    <mergeCell ref="AM41:AY41"/>
    <mergeCell ref="N42:U42"/>
    <mergeCell ref="AM42:AY42"/>
    <mergeCell ref="N43:U43"/>
    <mergeCell ref="AM43:AY43"/>
    <mergeCell ref="J35:N35"/>
    <mergeCell ref="J13:N13"/>
    <mergeCell ref="N14:S14"/>
    <mergeCell ref="AZ8:BL8"/>
    <mergeCell ref="AZ9:BL9"/>
    <mergeCell ref="AZ10:BL10"/>
    <mergeCell ref="Y27:AC27"/>
    <mergeCell ref="AZ32:BL32"/>
    <mergeCell ref="AZ33:BL33"/>
    <mergeCell ref="O33:V33"/>
    <mergeCell ref="AZ31:BL31"/>
    <mergeCell ref="O31:V31"/>
    <mergeCell ref="O32:V32"/>
    <mergeCell ref="B1:BT1"/>
    <mergeCell ref="B25:BT25"/>
    <mergeCell ref="Z4:AD4"/>
    <mergeCell ref="AI14:AL14"/>
    <mergeCell ref="O8:V8"/>
    <mergeCell ref="O9:V9"/>
    <mergeCell ref="O10:V10"/>
    <mergeCell ref="Y14:AF14"/>
  </mergeCells>
  <phoneticPr fontId="4" type="noConversion"/>
  <printOptions horizontalCentered="1" verticalCentered="1"/>
  <pageMargins left="0.59055118110236227" right="0.39370078740157483" top="0.78740157480314965" bottom="1.1811023622047245" header="0.39370078740157483" footer="0.19685039370078741"/>
  <pageSetup paperSize="9" orientation="landscape" r:id="rId1"/>
  <headerFooter alignWithMargins="0">
    <oddHeader>&amp;C&amp;"맑은 고딕,굵게"&amp;20&amp;U단  가  산  출  서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CD5EB-E03E-4E76-BDA1-F9B41E03EE3E}">
  <dimension ref="B1:N30"/>
  <sheetViews>
    <sheetView view="pageBreakPreview" zoomScale="60" zoomScaleNormal="100" workbookViewId="0">
      <selection activeCell="J24" sqref="J24:M24"/>
    </sheetView>
  </sheetViews>
  <sheetFormatPr defaultRowHeight="12.75"/>
  <cols>
    <col min="1" max="1" width="0.5546875" style="1074" customWidth="1"/>
    <col min="2" max="2" width="1.6640625" style="1074" customWidth="1"/>
    <col min="3" max="3" width="8.109375" style="1074" customWidth="1"/>
    <col min="4" max="5" width="19.44140625" style="1074" customWidth="1"/>
    <col min="6" max="6" width="1.6640625" style="1074" customWidth="1"/>
    <col min="7" max="7" width="3.21875" style="1074" customWidth="1"/>
    <col min="8" max="8" width="12.88671875" style="1074" customWidth="1"/>
    <col min="9" max="9" width="9.6640625" style="1074" customWidth="1"/>
    <col min="10" max="10" width="4.88671875" style="1074" customWidth="1"/>
    <col min="11" max="11" width="12.88671875" style="1074" customWidth="1"/>
    <col min="12" max="12" width="1.6640625" style="1074" customWidth="1"/>
    <col min="13" max="256" width="8.88671875" style="1074"/>
    <col min="257" max="257" width="0.5546875" style="1074" customWidth="1"/>
    <col min="258" max="258" width="1.6640625" style="1074" customWidth="1"/>
    <col min="259" max="259" width="8.109375" style="1074" customWidth="1"/>
    <col min="260" max="261" width="19.44140625" style="1074" customWidth="1"/>
    <col min="262" max="262" width="1.6640625" style="1074" customWidth="1"/>
    <col min="263" max="263" width="3.21875" style="1074" customWidth="1"/>
    <col min="264" max="264" width="12.88671875" style="1074" customWidth="1"/>
    <col min="265" max="265" width="9.6640625" style="1074" customWidth="1"/>
    <col min="266" max="266" width="4.88671875" style="1074" customWidth="1"/>
    <col min="267" max="267" width="12.88671875" style="1074" customWidth="1"/>
    <col min="268" max="268" width="1.6640625" style="1074" customWidth="1"/>
    <col min="269" max="512" width="8.88671875" style="1074"/>
    <col min="513" max="513" width="0.5546875" style="1074" customWidth="1"/>
    <col min="514" max="514" width="1.6640625" style="1074" customWidth="1"/>
    <col min="515" max="515" width="8.109375" style="1074" customWidth="1"/>
    <col min="516" max="517" width="19.44140625" style="1074" customWidth="1"/>
    <col min="518" max="518" width="1.6640625" style="1074" customWidth="1"/>
    <col min="519" max="519" width="3.21875" style="1074" customWidth="1"/>
    <col min="520" max="520" width="12.88671875" style="1074" customWidth="1"/>
    <col min="521" max="521" width="9.6640625" style="1074" customWidth="1"/>
    <col min="522" max="522" width="4.88671875" style="1074" customWidth="1"/>
    <col min="523" max="523" width="12.88671875" style="1074" customWidth="1"/>
    <col min="524" max="524" width="1.6640625" style="1074" customWidth="1"/>
    <col min="525" max="768" width="8.88671875" style="1074"/>
    <col min="769" max="769" width="0.5546875" style="1074" customWidth="1"/>
    <col min="770" max="770" width="1.6640625" style="1074" customWidth="1"/>
    <col min="771" max="771" width="8.109375" style="1074" customWidth="1"/>
    <col min="772" max="773" width="19.44140625" style="1074" customWidth="1"/>
    <col min="774" max="774" width="1.6640625" style="1074" customWidth="1"/>
    <col min="775" max="775" width="3.21875" style="1074" customWidth="1"/>
    <col min="776" max="776" width="12.88671875" style="1074" customWidth="1"/>
    <col min="777" max="777" width="9.6640625" style="1074" customWidth="1"/>
    <col min="778" max="778" width="4.88671875" style="1074" customWidth="1"/>
    <col min="779" max="779" width="12.88671875" style="1074" customWidth="1"/>
    <col min="780" max="780" width="1.6640625" style="1074" customWidth="1"/>
    <col min="781" max="1024" width="8.88671875" style="1074"/>
    <col min="1025" max="1025" width="0.5546875" style="1074" customWidth="1"/>
    <col min="1026" max="1026" width="1.6640625" style="1074" customWidth="1"/>
    <col min="1027" max="1027" width="8.109375" style="1074" customWidth="1"/>
    <col min="1028" max="1029" width="19.44140625" style="1074" customWidth="1"/>
    <col min="1030" max="1030" width="1.6640625" style="1074" customWidth="1"/>
    <col min="1031" max="1031" width="3.21875" style="1074" customWidth="1"/>
    <col min="1032" max="1032" width="12.88671875" style="1074" customWidth="1"/>
    <col min="1033" max="1033" width="9.6640625" style="1074" customWidth="1"/>
    <col min="1034" max="1034" width="4.88671875" style="1074" customWidth="1"/>
    <col min="1035" max="1035" width="12.88671875" style="1074" customWidth="1"/>
    <col min="1036" max="1036" width="1.6640625" style="1074" customWidth="1"/>
    <col min="1037" max="1280" width="8.88671875" style="1074"/>
    <col min="1281" max="1281" width="0.5546875" style="1074" customWidth="1"/>
    <col min="1282" max="1282" width="1.6640625" style="1074" customWidth="1"/>
    <col min="1283" max="1283" width="8.109375" style="1074" customWidth="1"/>
    <col min="1284" max="1285" width="19.44140625" style="1074" customWidth="1"/>
    <col min="1286" max="1286" width="1.6640625" style="1074" customWidth="1"/>
    <col min="1287" max="1287" width="3.21875" style="1074" customWidth="1"/>
    <col min="1288" max="1288" width="12.88671875" style="1074" customWidth="1"/>
    <col min="1289" max="1289" width="9.6640625" style="1074" customWidth="1"/>
    <col min="1290" max="1290" width="4.88671875" style="1074" customWidth="1"/>
    <col min="1291" max="1291" width="12.88671875" style="1074" customWidth="1"/>
    <col min="1292" max="1292" width="1.6640625" style="1074" customWidth="1"/>
    <col min="1293" max="1536" width="8.88671875" style="1074"/>
    <col min="1537" max="1537" width="0.5546875" style="1074" customWidth="1"/>
    <col min="1538" max="1538" width="1.6640625" style="1074" customWidth="1"/>
    <col min="1539" max="1539" width="8.109375" style="1074" customWidth="1"/>
    <col min="1540" max="1541" width="19.44140625" style="1074" customWidth="1"/>
    <col min="1542" max="1542" width="1.6640625" style="1074" customWidth="1"/>
    <col min="1543" max="1543" width="3.21875" style="1074" customWidth="1"/>
    <col min="1544" max="1544" width="12.88671875" style="1074" customWidth="1"/>
    <col min="1545" max="1545" width="9.6640625" style="1074" customWidth="1"/>
    <col min="1546" max="1546" width="4.88671875" style="1074" customWidth="1"/>
    <col min="1547" max="1547" width="12.88671875" style="1074" customWidth="1"/>
    <col min="1548" max="1548" width="1.6640625" style="1074" customWidth="1"/>
    <col min="1549" max="1792" width="8.88671875" style="1074"/>
    <col min="1793" max="1793" width="0.5546875" style="1074" customWidth="1"/>
    <col min="1794" max="1794" width="1.6640625" style="1074" customWidth="1"/>
    <col min="1795" max="1795" width="8.109375" style="1074" customWidth="1"/>
    <col min="1796" max="1797" width="19.44140625" style="1074" customWidth="1"/>
    <col min="1798" max="1798" width="1.6640625" style="1074" customWidth="1"/>
    <col min="1799" max="1799" width="3.21875" style="1074" customWidth="1"/>
    <col min="1800" max="1800" width="12.88671875" style="1074" customWidth="1"/>
    <col min="1801" max="1801" width="9.6640625" style="1074" customWidth="1"/>
    <col min="1802" max="1802" width="4.88671875" style="1074" customWidth="1"/>
    <col min="1803" max="1803" width="12.88671875" style="1074" customWidth="1"/>
    <col min="1804" max="1804" width="1.6640625" style="1074" customWidth="1"/>
    <col min="1805" max="2048" width="8.88671875" style="1074"/>
    <col min="2049" max="2049" width="0.5546875" style="1074" customWidth="1"/>
    <col min="2050" max="2050" width="1.6640625" style="1074" customWidth="1"/>
    <col min="2051" max="2051" width="8.109375" style="1074" customWidth="1"/>
    <col min="2052" max="2053" width="19.44140625" style="1074" customWidth="1"/>
    <col min="2054" max="2054" width="1.6640625" style="1074" customWidth="1"/>
    <col min="2055" max="2055" width="3.21875" style="1074" customWidth="1"/>
    <col min="2056" max="2056" width="12.88671875" style="1074" customWidth="1"/>
    <col min="2057" max="2057" width="9.6640625" style="1074" customWidth="1"/>
    <col min="2058" max="2058" width="4.88671875" style="1074" customWidth="1"/>
    <col min="2059" max="2059" width="12.88671875" style="1074" customWidth="1"/>
    <col min="2060" max="2060" width="1.6640625" style="1074" customWidth="1"/>
    <col min="2061" max="2304" width="8.88671875" style="1074"/>
    <col min="2305" max="2305" width="0.5546875" style="1074" customWidth="1"/>
    <col min="2306" max="2306" width="1.6640625" style="1074" customWidth="1"/>
    <col min="2307" max="2307" width="8.109375" style="1074" customWidth="1"/>
    <col min="2308" max="2309" width="19.44140625" style="1074" customWidth="1"/>
    <col min="2310" max="2310" width="1.6640625" style="1074" customWidth="1"/>
    <col min="2311" max="2311" width="3.21875" style="1074" customWidth="1"/>
    <col min="2312" max="2312" width="12.88671875" style="1074" customWidth="1"/>
    <col min="2313" max="2313" width="9.6640625" style="1074" customWidth="1"/>
    <col min="2314" max="2314" width="4.88671875" style="1074" customWidth="1"/>
    <col min="2315" max="2315" width="12.88671875" style="1074" customWidth="1"/>
    <col min="2316" max="2316" width="1.6640625" style="1074" customWidth="1"/>
    <col min="2317" max="2560" width="8.88671875" style="1074"/>
    <col min="2561" max="2561" width="0.5546875" style="1074" customWidth="1"/>
    <col min="2562" max="2562" width="1.6640625" style="1074" customWidth="1"/>
    <col min="2563" max="2563" width="8.109375" style="1074" customWidth="1"/>
    <col min="2564" max="2565" width="19.44140625" style="1074" customWidth="1"/>
    <col min="2566" max="2566" width="1.6640625" style="1074" customWidth="1"/>
    <col min="2567" max="2567" width="3.21875" style="1074" customWidth="1"/>
    <col min="2568" max="2568" width="12.88671875" style="1074" customWidth="1"/>
    <col min="2569" max="2569" width="9.6640625" style="1074" customWidth="1"/>
    <col min="2570" max="2570" width="4.88671875" style="1074" customWidth="1"/>
    <col min="2571" max="2571" width="12.88671875" style="1074" customWidth="1"/>
    <col min="2572" max="2572" width="1.6640625" style="1074" customWidth="1"/>
    <col min="2573" max="2816" width="8.88671875" style="1074"/>
    <col min="2817" max="2817" width="0.5546875" style="1074" customWidth="1"/>
    <col min="2818" max="2818" width="1.6640625" style="1074" customWidth="1"/>
    <col min="2819" max="2819" width="8.109375" style="1074" customWidth="1"/>
    <col min="2820" max="2821" width="19.44140625" style="1074" customWidth="1"/>
    <col min="2822" max="2822" width="1.6640625" style="1074" customWidth="1"/>
    <col min="2823" max="2823" width="3.21875" style="1074" customWidth="1"/>
    <col min="2824" max="2824" width="12.88671875" style="1074" customWidth="1"/>
    <col min="2825" max="2825" width="9.6640625" style="1074" customWidth="1"/>
    <col min="2826" max="2826" width="4.88671875" style="1074" customWidth="1"/>
    <col min="2827" max="2827" width="12.88671875" style="1074" customWidth="1"/>
    <col min="2828" max="2828" width="1.6640625" style="1074" customWidth="1"/>
    <col min="2829" max="3072" width="8.88671875" style="1074"/>
    <col min="3073" max="3073" width="0.5546875" style="1074" customWidth="1"/>
    <col min="3074" max="3074" width="1.6640625" style="1074" customWidth="1"/>
    <col min="3075" max="3075" width="8.109375" style="1074" customWidth="1"/>
    <col min="3076" max="3077" width="19.44140625" style="1074" customWidth="1"/>
    <col min="3078" max="3078" width="1.6640625" style="1074" customWidth="1"/>
    <col min="3079" max="3079" width="3.21875" style="1074" customWidth="1"/>
    <col min="3080" max="3080" width="12.88671875" style="1074" customWidth="1"/>
    <col min="3081" max="3081" width="9.6640625" style="1074" customWidth="1"/>
    <col min="3082" max="3082" width="4.88671875" style="1074" customWidth="1"/>
    <col min="3083" max="3083" width="12.88671875" style="1074" customWidth="1"/>
    <col min="3084" max="3084" width="1.6640625" style="1074" customWidth="1"/>
    <col min="3085" max="3328" width="8.88671875" style="1074"/>
    <col min="3329" max="3329" width="0.5546875" style="1074" customWidth="1"/>
    <col min="3330" max="3330" width="1.6640625" style="1074" customWidth="1"/>
    <col min="3331" max="3331" width="8.109375" style="1074" customWidth="1"/>
    <col min="3332" max="3333" width="19.44140625" style="1074" customWidth="1"/>
    <col min="3334" max="3334" width="1.6640625" style="1074" customWidth="1"/>
    <col min="3335" max="3335" width="3.21875" style="1074" customWidth="1"/>
    <col min="3336" max="3336" width="12.88671875" style="1074" customWidth="1"/>
    <col min="3337" max="3337" width="9.6640625" style="1074" customWidth="1"/>
    <col min="3338" max="3338" width="4.88671875" style="1074" customWidth="1"/>
    <col min="3339" max="3339" width="12.88671875" style="1074" customWidth="1"/>
    <col min="3340" max="3340" width="1.6640625" style="1074" customWidth="1"/>
    <col min="3341" max="3584" width="8.88671875" style="1074"/>
    <col min="3585" max="3585" width="0.5546875" style="1074" customWidth="1"/>
    <col min="3586" max="3586" width="1.6640625" style="1074" customWidth="1"/>
    <col min="3587" max="3587" width="8.109375" style="1074" customWidth="1"/>
    <col min="3588" max="3589" width="19.44140625" style="1074" customWidth="1"/>
    <col min="3590" max="3590" width="1.6640625" style="1074" customWidth="1"/>
    <col min="3591" max="3591" width="3.21875" style="1074" customWidth="1"/>
    <col min="3592" max="3592" width="12.88671875" style="1074" customWidth="1"/>
    <col min="3593" max="3593" width="9.6640625" style="1074" customWidth="1"/>
    <col min="3594" max="3594" width="4.88671875" style="1074" customWidth="1"/>
    <col min="3595" max="3595" width="12.88671875" style="1074" customWidth="1"/>
    <col min="3596" max="3596" width="1.6640625" style="1074" customWidth="1"/>
    <col min="3597" max="3840" width="8.88671875" style="1074"/>
    <col min="3841" max="3841" width="0.5546875" style="1074" customWidth="1"/>
    <col min="3842" max="3842" width="1.6640625" style="1074" customWidth="1"/>
    <col min="3843" max="3843" width="8.109375" style="1074" customWidth="1"/>
    <col min="3844" max="3845" width="19.44140625" style="1074" customWidth="1"/>
    <col min="3846" max="3846" width="1.6640625" style="1074" customWidth="1"/>
    <col min="3847" max="3847" width="3.21875" style="1074" customWidth="1"/>
    <col min="3848" max="3848" width="12.88671875" style="1074" customWidth="1"/>
    <col min="3849" max="3849" width="9.6640625" style="1074" customWidth="1"/>
    <col min="3850" max="3850" width="4.88671875" style="1074" customWidth="1"/>
    <col min="3851" max="3851" width="12.88671875" style="1074" customWidth="1"/>
    <col min="3852" max="3852" width="1.6640625" style="1074" customWidth="1"/>
    <col min="3853" max="4096" width="8.88671875" style="1074"/>
    <col min="4097" max="4097" width="0.5546875" style="1074" customWidth="1"/>
    <col min="4098" max="4098" width="1.6640625" style="1074" customWidth="1"/>
    <col min="4099" max="4099" width="8.109375" style="1074" customWidth="1"/>
    <col min="4100" max="4101" width="19.44140625" style="1074" customWidth="1"/>
    <col min="4102" max="4102" width="1.6640625" style="1074" customWidth="1"/>
    <col min="4103" max="4103" width="3.21875" style="1074" customWidth="1"/>
    <col min="4104" max="4104" width="12.88671875" style="1074" customWidth="1"/>
    <col min="4105" max="4105" width="9.6640625" style="1074" customWidth="1"/>
    <col min="4106" max="4106" width="4.88671875" style="1074" customWidth="1"/>
    <col min="4107" max="4107" width="12.88671875" style="1074" customWidth="1"/>
    <col min="4108" max="4108" width="1.6640625" style="1074" customWidth="1"/>
    <col min="4109" max="4352" width="8.88671875" style="1074"/>
    <col min="4353" max="4353" width="0.5546875" style="1074" customWidth="1"/>
    <col min="4354" max="4354" width="1.6640625" style="1074" customWidth="1"/>
    <col min="4355" max="4355" width="8.109375" style="1074" customWidth="1"/>
    <col min="4356" max="4357" width="19.44140625" style="1074" customWidth="1"/>
    <col min="4358" max="4358" width="1.6640625" style="1074" customWidth="1"/>
    <col min="4359" max="4359" width="3.21875" style="1074" customWidth="1"/>
    <col min="4360" max="4360" width="12.88671875" style="1074" customWidth="1"/>
    <col min="4361" max="4361" width="9.6640625" style="1074" customWidth="1"/>
    <col min="4362" max="4362" width="4.88671875" style="1074" customWidth="1"/>
    <col min="4363" max="4363" width="12.88671875" style="1074" customWidth="1"/>
    <col min="4364" max="4364" width="1.6640625" style="1074" customWidth="1"/>
    <col min="4365" max="4608" width="8.88671875" style="1074"/>
    <col min="4609" max="4609" width="0.5546875" style="1074" customWidth="1"/>
    <col min="4610" max="4610" width="1.6640625" style="1074" customWidth="1"/>
    <col min="4611" max="4611" width="8.109375" style="1074" customWidth="1"/>
    <col min="4612" max="4613" width="19.44140625" style="1074" customWidth="1"/>
    <col min="4614" max="4614" width="1.6640625" style="1074" customWidth="1"/>
    <col min="4615" max="4615" width="3.21875" style="1074" customWidth="1"/>
    <col min="4616" max="4616" width="12.88671875" style="1074" customWidth="1"/>
    <col min="4617" max="4617" width="9.6640625" style="1074" customWidth="1"/>
    <col min="4618" max="4618" width="4.88671875" style="1074" customWidth="1"/>
    <col min="4619" max="4619" width="12.88671875" style="1074" customWidth="1"/>
    <col min="4620" max="4620" width="1.6640625" style="1074" customWidth="1"/>
    <col min="4621" max="4864" width="8.88671875" style="1074"/>
    <col min="4865" max="4865" width="0.5546875" style="1074" customWidth="1"/>
    <col min="4866" max="4866" width="1.6640625" style="1074" customWidth="1"/>
    <col min="4867" max="4867" width="8.109375" style="1074" customWidth="1"/>
    <col min="4868" max="4869" width="19.44140625" style="1074" customWidth="1"/>
    <col min="4870" max="4870" width="1.6640625" style="1074" customWidth="1"/>
    <col min="4871" max="4871" width="3.21875" style="1074" customWidth="1"/>
    <col min="4872" max="4872" width="12.88671875" style="1074" customWidth="1"/>
    <col min="4873" max="4873" width="9.6640625" style="1074" customWidth="1"/>
    <col min="4874" max="4874" width="4.88671875" style="1074" customWidth="1"/>
    <col min="4875" max="4875" width="12.88671875" style="1074" customWidth="1"/>
    <col min="4876" max="4876" width="1.6640625" style="1074" customWidth="1"/>
    <col min="4877" max="5120" width="8.88671875" style="1074"/>
    <col min="5121" max="5121" width="0.5546875" style="1074" customWidth="1"/>
    <col min="5122" max="5122" width="1.6640625" style="1074" customWidth="1"/>
    <col min="5123" max="5123" width="8.109375" style="1074" customWidth="1"/>
    <col min="5124" max="5125" width="19.44140625" style="1074" customWidth="1"/>
    <col min="5126" max="5126" width="1.6640625" style="1074" customWidth="1"/>
    <col min="5127" max="5127" width="3.21875" style="1074" customWidth="1"/>
    <col min="5128" max="5128" width="12.88671875" style="1074" customWidth="1"/>
    <col min="5129" max="5129" width="9.6640625" style="1074" customWidth="1"/>
    <col min="5130" max="5130" width="4.88671875" style="1074" customWidth="1"/>
    <col min="5131" max="5131" width="12.88671875" style="1074" customWidth="1"/>
    <col min="5132" max="5132" width="1.6640625" style="1074" customWidth="1"/>
    <col min="5133" max="5376" width="8.88671875" style="1074"/>
    <col min="5377" max="5377" width="0.5546875" style="1074" customWidth="1"/>
    <col min="5378" max="5378" width="1.6640625" style="1074" customWidth="1"/>
    <col min="5379" max="5379" width="8.109375" style="1074" customWidth="1"/>
    <col min="5380" max="5381" width="19.44140625" style="1074" customWidth="1"/>
    <col min="5382" max="5382" width="1.6640625" style="1074" customWidth="1"/>
    <col min="5383" max="5383" width="3.21875" style="1074" customWidth="1"/>
    <col min="5384" max="5384" width="12.88671875" style="1074" customWidth="1"/>
    <col min="5385" max="5385" width="9.6640625" style="1074" customWidth="1"/>
    <col min="5386" max="5386" width="4.88671875" style="1074" customWidth="1"/>
    <col min="5387" max="5387" width="12.88671875" style="1074" customWidth="1"/>
    <col min="5388" max="5388" width="1.6640625" style="1074" customWidth="1"/>
    <col min="5389" max="5632" width="8.88671875" style="1074"/>
    <col min="5633" max="5633" width="0.5546875" style="1074" customWidth="1"/>
    <col min="5634" max="5634" width="1.6640625" style="1074" customWidth="1"/>
    <col min="5635" max="5635" width="8.109375" style="1074" customWidth="1"/>
    <col min="5636" max="5637" width="19.44140625" style="1074" customWidth="1"/>
    <col min="5638" max="5638" width="1.6640625" style="1074" customWidth="1"/>
    <col min="5639" max="5639" width="3.21875" style="1074" customWidth="1"/>
    <col min="5640" max="5640" width="12.88671875" style="1074" customWidth="1"/>
    <col min="5641" max="5641" width="9.6640625" style="1074" customWidth="1"/>
    <col min="5642" max="5642" width="4.88671875" style="1074" customWidth="1"/>
    <col min="5643" max="5643" width="12.88671875" style="1074" customWidth="1"/>
    <col min="5644" max="5644" width="1.6640625" style="1074" customWidth="1"/>
    <col min="5645" max="5888" width="8.88671875" style="1074"/>
    <col min="5889" max="5889" width="0.5546875" style="1074" customWidth="1"/>
    <col min="5890" max="5890" width="1.6640625" style="1074" customWidth="1"/>
    <col min="5891" max="5891" width="8.109375" style="1074" customWidth="1"/>
    <col min="5892" max="5893" width="19.44140625" style="1074" customWidth="1"/>
    <col min="5894" max="5894" width="1.6640625" style="1074" customWidth="1"/>
    <col min="5895" max="5895" width="3.21875" style="1074" customWidth="1"/>
    <col min="5896" max="5896" width="12.88671875" style="1074" customWidth="1"/>
    <col min="5897" max="5897" width="9.6640625" style="1074" customWidth="1"/>
    <col min="5898" max="5898" width="4.88671875" style="1074" customWidth="1"/>
    <col min="5899" max="5899" width="12.88671875" style="1074" customWidth="1"/>
    <col min="5900" max="5900" width="1.6640625" style="1074" customWidth="1"/>
    <col min="5901" max="6144" width="8.88671875" style="1074"/>
    <col min="6145" max="6145" width="0.5546875" style="1074" customWidth="1"/>
    <col min="6146" max="6146" width="1.6640625" style="1074" customWidth="1"/>
    <col min="6147" max="6147" width="8.109375" style="1074" customWidth="1"/>
    <col min="6148" max="6149" width="19.44140625" style="1074" customWidth="1"/>
    <col min="6150" max="6150" width="1.6640625" style="1074" customWidth="1"/>
    <col min="6151" max="6151" width="3.21875" style="1074" customWidth="1"/>
    <col min="6152" max="6152" width="12.88671875" style="1074" customWidth="1"/>
    <col min="6153" max="6153" width="9.6640625" style="1074" customWidth="1"/>
    <col min="6154" max="6154" width="4.88671875" style="1074" customWidth="1"/>
    <col min="6155" max="6155" width="12.88671875" style="1074" customWidth="1"/>
    <col min="6156" max="6156" width="1.6640625" style="1074" customWidth="1"/>
    <col min="6157" max="6400" width="8.88671875" style="1074"/>
    <col min="6401" max="6401" width="0.5546875" style="1074" customWidth="1"/>
    <col min="6402" max="6402" width="1.6640625" style="1074" customWidth="1"/>
    <col min="6403" max="6403" width="8.109375" style="1074" customWidth="1"/>
    <col min="6404" max="6405" width="19.44140625" style="1074" customWidth="1"/>
    <col min="6406" max="6406" width="1.6640625" style="1074" customWidth="1"/>
    <col min="6407" max="6407" width="3.21875" style="1074" customWidth="1"/>
    <col min="6408" max="6408" width="12.88671875" style="1074" customWidth="1"/>
    <col min="6409" max="6409" width="9.6640625" style="1074" customWidth="1"/>
    <col min="6410" max="6410" width="4.88671875" style="1074" customWidth="1"/>
    <col min="6411" max="6411" width="12.88671875" style="1074" customWidth="1"/>
    <col min="6412" max="6412" width="1.6640625" style="1074" customWidth="1"/>
    <col min="6413" max="6656" width="8.88671875" style="1074"/>
    <col min="6657" max="6657" width="0.5546875" style="1074" customWidth="1"/>
    <col min="6658" max="6658" width="1.6640625" style="1074" customWidth="1"/>
    <col min="6659" max="6659" width="8.109375" style="1074" customWidth="1"/>
    <col min="6660" max="6661" width="19.44140625" style="1074" customWidth="1"/>
    <col min="6662" max="6662" width="1.6640625" style="1074" customWidth="1"/>
    <col min="6663" max="6663" width="3.21875" style="1074" customWidth="1"/>
    <col min="6664" max="6664" width="12.88671875" style="1074" customWidth="1"/>
    <col min="6665" max="6665" width="9.6640625" style="1074" customWidth="1"/>
    <col min="6666" max="6666" width="4.88671875" style="1074" customWidth="1"/>
    <col min="6667" max="6667" width="12.88671875" style="1074" customWidth="1"/>
    <col min="6668" max="6668" width="1.6640625" style="1074" customWidth="1"/>
    <col min="6669" max="6912" width="8.88671875" style="1074"/>
    <col min="6913" max="6913" width="0.5546875" style="1074" customWidth="1"/>
    <col min="6914" max="6914" width="1.6640625" style="1074" customWidth="1"/>
    <col min="6915" max="6915" width="8.109375" style="1074" customWidth="1"/>
    <col min="6916" max="6917" width="19.44140625" style="1074" customWidth="1"/>
    <col min="6918" max="6918" width="1.6640625" style="1074" customWidth="1"/>
    <col min="6919" max="6919" width="3.21875" style="1074" customWidth="1"/>
    <col min="6920" max="6920" width="12.88671875" style="1074" customWidth="1"/>
    <col min="6921" max="6921" width="9.6640625" style="1074" customWidth="1"/>
    <col min="6922" max="6922" width="4.88671875" style="1074" customWidth="1"/>
    <col min="6923" max="6923" width="12.88671875" style="1074" customWidth="1"/>
    <col min="6924" max="6924" width="1.6640625" style="1074" customWidth="1"/>
    <col min="6925" max="7168" width="8.88671875" style="1074"/>
    <col min="7169" max="7169" width="0.5546875" style="1074" customWidth="1"/>
    <col min="7170" max="7170" width="1.6640625" style="1074" customWidth="1"/>
    <col min="7171" max="7171" width="8.109375" style="1074" customWidth="1"/>
    <col min="7172" max="7173" width="19.44140625" style="1074" customWidth="1"/>
    <col min="7174" max="7174" width="1.6640625" style="1074" customWidth="1"/>
    <col min="7175" max="7175" width="3.21875" style="1074" customWidth="1"/>
    <col min="7176" max="7176" width="12.88671875" style="1074" customWidth="1"/>
    <col min="7177" max="7177" width="9.6640625" style="1074" customWidth="1"/>
    <col min="7178" max="7178" width="4.88671875" style="1074" customWidth="1"/>
    <col min="7179" max="7179" width="12.88671875" style="1074" customWidth="1"/>
    <col min="7180" max="7180" width="1.6640625" style="1074" customWidth="1"/>
    <col min="7181" max="7424" width="8.88671875" style="1074"/>
    <col min="7425" max="7425" width="0.5546875" style="1074" customWidth="1"/>
    <col min="7426" max="7426" width="1.6640625" style="1074" customWidth="1"/>
    <col min="7427" max="7427" width="8.109375" style="1074" customWidth="1"/>
    <col min="7428" max="7429" width="19.44140625" style="1074" customWidth="1"/>
    <col min="7430" max="7430" width="1.6640625" style="1074" customWidth="1"/>
    <col min="7431" max="7431" width="3.21875" style="1074" customWidth="1"/>
    <col min="7432" max="7432" width="12.88671875" style="1074" customWidth="1"/>
    <col min="7433" max="7433" width="9.6640625" style="1074" customWidth="1"/>
    <col min="7434" max="7434" width="4.88671875" style="1074" customWidth="1"/>
    <col min="7435" max="7435" width="12.88671875" style="1074" customWidth="1"/>
    <col min="7436" max="7436" width="1.6640625" style="1074" customWidth="1"/>
    <col min="7437" max="7680" width="8.88671875" style="1074"/>
    <col min="7681" max="7681" width="0.5546875" style="1074" customWidth="1"/>
    <col min="7682" max="7682" width="1.6640625" style="1074" customWidth="1"/>
    <col min="7683" max="7683" width="8.109375" style="1074" customWidth="1"/>
    <col min="7684" max="7685" width="19.44140625" style="1074" customWidth="1"/>
    <col min="7686" max="7686" width="1.6640625" style="1074" customWidth="1"/>
    <col min="7687" max="7687" width="3.21875" style="1074" customWidth="1"/>
    <col min="7688" max="7688" width="12.88671875" style="1074" customWidth="1"/>
    <col min="7689" max="7689" width="9.6640625" style="1074" customWidth="1"/>
    <col min="7690" max="7690" width="4.88671875" style="1074" customWidth="1"/>
    <col min="7691" max="7691" width="12.88671875" style="1074" customWidth="1"/>
    <col min="7692" max="7692" width="1.6640625" style="1074" customWidth="1"/>
    <col min="7693" max="7936" width="8.88671875" style="1074"/>
    <col min="7937" max="7937" width="0.5546875" style="1074" customWidth="1"/>
    <col min="7938" max="7938" width="1.6640625" style="1074" customWidth="1"/>
    <col min="7939" max="7939" width="8.109375" style="1074" customWidth="1"/>
    <col min="7940" max="7941" width="19.44140625" style="1074" customWidth="1"/>
    <col min="7942" max="7942" width="1.6640625" style="1074" customWidth="1"/>
    <col min="7943" max="7943" width="3.21875" style="1074" customWidth="1"/>
    <col min="7944" max="7944" width="12.88671875" style="1074" customWidth="1"/>
    <col min="7945" max="7945" width="9.6640625" style="1074" customWidth="1"/>
    <col min="7946" max="7946" width="4.88671875" style="1074" customWidth="1"/>
    <col min="7947" max="7947" width="12.88671875" style="1074" customWidth="1"/>
    <col min="7948" max="7948" width="1.6640625" style="1074" customWidth="1"/>
    <col min="7949" max="8192" width="8.88671875" style="1074"/>
    <col min="8193" max="8193" width="0.5546875" style="1074" customWidth="1"/>
    <col min="8194" max="8194" width="1.6640625" style="1074" customWidth="1"/>
    <col min="8195" max="8195" width="8.109375" style="1074" customWidth="1"/>
    <col min="8196" max="8197" width="19.44140625" style="1074" customWidth="1"/>
    <col min="8198" max="8198" width="1.6640625" style="1074" customWidth="1"/>
    <col min="8199" max="8199" width="3.21875" style="1074" customWidth="1"/>
    <col min="8200" max="8200" width="12.88671875" style="1074" customWidth="1"/>
    <col min="8201" max="8201" width="9.6640625" style="1074" customWidth="1"/>
    <col min="8202" max="8202" width="4.88671875" style="1074" customWidth="1"/>
    <col min="8203" max="8203" width="12.88671875" style="1074" customWidth="1"/>
    <col min="8204" max="8204" width="1.6640625" style="1074" customWidth="1"/>
    <col min="8205" max="8448" width="8.88671875" style="1074"/>
    <col min="8449" max="8449" width="0.5546875" style="1074" customWidth="1"/>
    <col min="8450" max="8450" width="1.6640625" style="1074" customWidth="1"/>
    <col min="8451" max="8451" width="8.109375" style="1074" customWidth="1"/>
    <col min="8452" max="8453" width="19.44140625" style="1074" customWidth="1"/>
    <col min="8454" max="8454" width="1.6640625" style="1074" customWidth="1"/>
    <col min="8455" max="8455" width="3.21875" style="1074" customWidth="1"/>
    <col min="8456" max="8456" width="12.88671875" style="1074" customWidth="1"/>
    <col min="8457" max="8457" width="9.6640625" style="1074" customWidth="1"/>
    <col min="8458" max="8458" width="4.88671875" style="1074" customWidth="1"/>
    <col min="8459" max="8459" width="12.88671875" style="1074" customWidth="1"/>
    <col min="8460" max="8460" width="1.6640625" style="1074" customWidth="1"/>
    <col min="8461" max="8704" width="8.88671875" style="1074"/>
    <col min="8705" max="8705" width="0.5546875" style="1074" customWidth="1"/>
    <col min="8706" max="8706" width="1.6640625" style="1074" customWidth="1"/>
    <col min="8707" max="8707" width="8.109375" style="1074" customWidth="1"/>
    <col min="8708" max="8709" width="19.44140625" style="1074" customWidth="1"/>
    <col min="8710" max="8710" width="1.6640625" style="1074" customWidth="1"/>
    <col min="8711" max="8711" width="3.21875" style="1074" customWidth="1"/>
    <col min="8712" max="8712" width="12.88671875" style="1074" customWidth="1"/>
    <col min="8713" max="8713" width="9.6640625" style="1074" customWidth="1"/>
    <col min="8714" max="8714" width="4.88671875" style="1074" customWidth="1"/>
    <col min="8715" max="8715" width="12.88671875" style="1074" customWidth="1"/>
    <col min="8716" max="8716" width="1.6640625" style="1074" customWidth="1"/>
    <col min="8717" max="8960" width="8.88671875" style="1074"/>
    <col min="8961" max="8961" width="0.5546875" style="1074" customWidth="1"/>
    <col min="8962" max="8962" width="1.6640625" style="1074" customWidth="1"/>
    <col min="8963" max="8963" width="8.109375" style="1074" customWidth="1"/>
    <col min="8964" max="8965" width="19.44140625" style="1074" customWidth="1"/>
    <col min="8966" max="8966" width="1.6640625" style="1074" customWidth="1"/>
    <col min="8967" max="8967" width="3.21875" style="1074" customWidth="1"/>
    <col min="8968" max="8968" width="12.88671875" style="1074" customWidth="1"/>
    <col min="8969" max="8969" width="9.6640625" style="1074" customWidth="1"/>
    <col min="8970" max="8970" width="4.88671875" style="1074" customWidth="1"/>
    <col min="8971" max="8971" width="12.88671875" style="1074" customWidth="1"/>
    <col min="8972" max="8972" width="1.6640625" style="1074" customWidth="1"/>
    <col min="8973" max="9216" width="8.88671875" style="1074"/>
    <col min="9217" max="9217" width="0.5546875" style="1074" customWidth="1"/>
    <col min="9218" max="9218" width="1.6640625" style="1074" customWidth="1"/>
    <col min="9219" max="9219" width="8.109375" style="1074" customWidth="1"/>
    <col min="9220" max="9221" width="19.44140625" style="1074" customWidth="1"/>
    <col min="9222" max="9222" width="1.6640625" style="1074" customWidth="1"/>
    <col min="9223" max="9223" width="3.21875" style="1074" customWidth="1"/>
    <col min="9224" max="9224" width="12.88671875" style="1074" customWidth="1"/>
    <col min="9225" max="9225" width="9.6640625" style="1074" customWidth="1"/>
    <col min="9226" max="9226" width="4.88671875" style="1074" customWidth="1"/>
    <col min="9227" max="9227" width="12.88671875" style="1074" customWidth="1"/>
    <col min="9228" max="9228" width="1.6640625" style="1074" customWidth="1"/>
    <col min="9229" max="9472" width="8.88671875" style="1074"/>
    <col min="9473" max="9473" width="0.5546875" style="1074" customWidth="1"/>
    <col min="9474" max="9474" width="1.6640625" style="1074" customWidth="1"/>
    <col min="9475" max="9475" width="8.109375" style="1074" customWidth="1"/>
    <col min="9476" max="9477" width="19.44140625" style="1074" customWidth="1"/>
    <col min="9478" max="9478" width="1.6640625" style="1074" customWidth="1"/>
    <col min="9479" max="9479" width="3.21875" style="1074" customWidth="1"/>
    <col min="9480" max="9480" width="12.88671875" style="1074" customWidth="1"/>
    <col min="9481" max="9481" width="9.6640625" style="1074" customWidth="1"/>
    <col min="9482" max="9482" width="4.88671875" style="1074" customWidth="1"/>
    <col min="9483" max="9483" width="12.88671875" style="1074" customWidth="1"/>
    <col min="9484" max="9484" width="1.6640625" style="1074" customWidth="1"/>
    <col min="9485" max="9728" width="8.88671875" style="1074"/>
    <col min="9729" max="9729" width="0.5546875" style="1074" customWidth="1"/>
    <col min="9730" max="9730" width="1.6640625" style="1074" customWidth="1"/>
    <col min="9731" max="9731" width="8.109375" style="1074" customWidth="1"/>
    <col min="9732" max="9733" width="19.44140625" style="1074" customWidth="1"/>
    <col min="9734" max="9734" width="1.6640625" style="1074" customWidth="1"/>
    <col min="9735" max="9735" width="3.21875" style="1074" customWidth="1"/>
    <col min="9736" max="9736" width="12.88671875" style="1074" customWidth="1"/>
    <col min="9737" max="9737" width="9.6640625" style="1074" customWidth="1"/>
    <col min="9738" max="9738" width="4.88671875" style="1074" customWidth="1"/>
    <col min="9739" max="9739" width="12.88671875" style="1074" customWidth="1"/>
    <col min="9740" max="9740" width="1.6640625" style="1074" customWidth="1"/>
    <col min="9741" max="9984" width="8.88671875" style="1074"/>
    <col min="9985" max="9985" width="0.5546875" style="1074" customWidth="1"/>
    <col min="9986" max="9986" width="1.6640625" style="1074" customWidth="1"/>
    <col min="9987" max="9987" width="8.109375" style="1074" customWidth="1"/>
    <col min="9988" max="9989" width="19.44140625" style="1074" customWidth="1"/>
    <col min="9990" max="9990" width="1.6640625" style="1074" customWidth="1"/>
    <col min="9991" max="9991" width="3.21875" style="1074" customWidth="1"/>
    <col min="9992" max="9992" width="12.88671875" style="1074" customWidth="1"/>
    <col min="9993" max="9993" width="9.6640625" style="1074" customWidth="1"/>
    <col min="9994" max="9994" width="4.88671875" style="1074" customWidth="1"/>
    <col min="9995" max="9995" width="12.88671875" style="1074" customWidth="1"/>
    <col min="9996" max="9996" width="1.6640625" style="1074" customWidth="1"/>
    <col min="9997" max="10240" width="8.88671875" style="1074"/>
    <col min="10241" max="10241" width="0.5546875" style="1074" customWidth="1"/>
    <col min="10242" max="10242" width="1.6640625" style="1074" customWidth="1"/>
    <col min="10243" max="10243" width="8.109375" style="1074" customWidth="1"/>
    <col min="10244" max="10245" width="19.44140625" style="1074" customWidth="1"/>
    <col min="10246" max="10246" width="1.6640625" style="1074" customWidth="1"/>
    <col min="10247" max="10247" width="3.21875" style="1074" customWidth="1"/>
    <col min="10248" max="10248" width="12.88671875" style="1074" customWidth="1"/>
    <col min="10249" max="10249" width="9.6640625" style="1074" customWidth="1"/>
    <col min="10250" max="10250" width="4.88671875" style="1074" customWidth="1"/>
    <col min="10251" max="10251" width="12.88671875" style="1074" customWidth="1"/>
    <col min="10252" max="10252" width="1.6640625" style="1074" customWidth="1"/>
    <col min="10253" max="10496" width="8.88671875" style="1074"/>
    <col min="10497" max="10497" width="0.5546875" style="1074" customWidth="1"/>
    <col min="10498" max="10498" width="1.6640625" style="1074" customWidth="1"/>
    <col min="10499" max="10499" width="8.109375" style="1074" customWidth="1"/>
    <col min="10500" max="10501" width="19.44140625" style="1074" customWidth="1"/>
    <col min="10502" max="10502" width="1.6640625" style="1074" customWidth="1"/>
    <col min="10503" max="10503" width="3.21875" style="1074" customWidth="1"/>
    <col min="10504" max="10504" width="12.88671875" style="1074" customWidth="1"/>
    <col min="10505" max="10505" width="9.6640625" style="1074" customWidth="1"/>
    <col min="10506" max="10506" width="4.88671875" style="1074" customWidth="1"/>
    <col min="10507" max="10507" width="12.88671875" style="1074" customWidth="1"/>
    <col min="10508" max="10508" width="1.6640625" style="1074" customWidth="1"/>
    <col min="10509" max="10752" width="8.88671875" style="1074"/>
    <col min="10753" max="10753" width="0.5546875" style="1074" customWidth="1"/>
    <col min="10754" max="10754" width="1.6640625" style="1074" customWidth="1"/>
    <col min="10755" max="10755" width="8.109375" style="1074" customWidth="1"/>
    <col min="10756" max="10757" width="19.44140625" style="1074" customWidth="1"/>
    <col min="10758" max="10758" width="1.6640625" style="1074" customWidth="1"/>
    <col min="10759" max="10759" width="3.21875" style="1074" customWidth="1"/>
    <col min="10760" max="10760" width="12.88671875" style="1074" customWidth="1"/>
    <col min="10761" max="10761" width="9.6640625" style="1074" customWidth="1"/>
    <col min="10762" max="10762" width="4.88671875" style="1074" customWidth="1"/>
    <col min="10763" max="10763" width="12.88671875" style="1074" customWidth="1"/>
    <col min="10764" max="10764" width="1.6640625" style="1074" customWidth="1"/>
    <col min="10765" max="11008" width="8.88671875" style="1074"/>
    <col min="11009" max="11009" width="0.5546875" style="1074" customWidth="1"/>
    <col min="11010" max="11010" width="1.6640625" style="1074" customWidth="1"/>
    <col min="11011" max="11011" width="8.109375" style="1074" customWidth="1"/>
    <col min="11012" max="11013" width="19.44140625" style="1074" customWidth="1"/>
    <col min="11014" max="11014" width="1.6640625" style="1074" customWidth="1"/>
    <col min="11015" max="11015" width="3.21875" style="1074" customWidth="1"/>
    <col min="11016" max="11016" width="12.88671875" style="1074" customWidth="1"/>
    <col min="11017" max="11017" width="9.6640625" style="1074" customWidth="1"/>
    <col min="11018" max="11018" width="4.88671875" style="1074" customWidth="1"/>
    <col min="11019" max="11019" width="12.88671875" style="1074" customWidth="1"/>
    <col min="11020" max="11020" width="1.6640625" style="1074" customWidth="1"/>
    <col min="11021" max="11264" width="8.88671875" style="1074"/>
    <col min="11265" max="11265" width="0.5546875" style="1074" customWidth="1"/>
    <col min="11266" max="11266" width="1.6640625" style="1074" customWidth="1"/>
    <col min="11267" max="11267" width="8.109375" style="1074" customWidth="1"/>
    <col min="11268" max="11269" width="19.44140625" style="1074" customWidth="1"/>
    <col min="11270" max="11270" width="1.6640625" style="1074" customWidth="1"/>
    <col min="11271" max="11271" width="3.21875" style="1074" customWidth="1"/>
    <col min="11272" max="11272" width="12.88671875" style="1074" customWidth="1"/>
    <col min="11273" max="11273" width="9.6640625" style="1074" customWidth="1"/>
    <col min="11274" max="11274" width="4.88671875" style="1074" customWidth="1"/>
    <col min="11275" max="11275" width="12.88671875" style="1074" customWidth="1"/>
    <col min="11276" max="11276" width="1.6640625" style="1074" customWidth="1"/>
    <col min="11277" max="11520" width="8.88671875" style="1074"/>
    <col min="11521" max="11521" width="0.5546875" style="1074" customWidth="1"/>
    <col min="11522" max="11522" width="1.6640625" style="1074" customWidth="1"/>
    <col min="11523" max="11523" width="8.109375" style="1074" customWidth="1"/>
    <col min="11524" max="11525" width="19.44140625" style="1074" customWidth="1"/>
    <col min="11526" max="11526" width="1.6640625" style="1074" customWidth="1"/>
    <col min="11527" max="11527" width="3.21875" style="1074" customWidth="1"/>
    <col min="11528" max="11528" width="12.88671875" style="1074" customWidth="1"/>
    <col min="11529" max="11529" width="9.6640625" style="1074" customWidth="1"/>
    <col min="11530" max="11530" width="4.88671875" style="1074" customWidth="1"/>
    <col min="11531" max="11531" width="12.88671875" style="1074" customWidth="1"/>
    <col min="11532" max="11532" width="1.6640625" style="1074" customWidth="1"/>
    <col min="11533" max="11776" width="8.88671875" style="1074"/>
    <col min="11777" max="11777" width="0.5546875" style="1074" customWidth="1"/>
    <col min="11778" max="11778" width="1.6640625" style="1074" customWidth="1"/>
    <col min="11779" max="11779" width="8.109375" style="1074" customWidth="1"/>
    <col min="11780" max="11781" width="19.44140625" style="1074" customWidth="1"/>
    <col min="11782" max="11782" width="1.6640625" style="1074" customWidth="1"/>
    <col min="11783" max="11783" width="3.21875" style="1074" customWidth="1"/>
    <col min="11784" max="11784" width="12.88671875" style="1074" customWidth="1"/>
    <col min="11785" max="11785" width="9.6640625" style="1074" customWidth="1"/>
    <col min="11786" max="11786" width="4.88671875" style="1074" customWidth="1"/>
    <col min="11787" max="11787" width="12.88671875" style="1074" customWidth="1"/>
    <col min="11788" max="11788" width="1.6640625" style="1074" customWidth="1"/>
    <col min="11789" max="12032" width="8.88671875" style="1074"/>
    <col min="12033" max="12033" width="0.5546875" style="1074" customWidth="1"/>
    <col min="12034" max="12034" width="1.6640625" style="1074" customWidth="1"/>
    <col min="12035" max="12035" width="8.109375" style="1074" customWidth="1"/>
    <col min="12036" max="12037" width="19.44140625" style="1074" customWidth="1"/>
    <col min="12038" max="12038" width="1.6640625" style="1074" customWidth="1"/>
    <col min="12039" max="12039" width="3.21875" style="1074" customWidth="1"/>
    <col min="12040" max="12040" width="12.88671875" style="1074" customWidth="1"/>
    <col min="12041" max="12041" width="9.6640625" style="1074" customWidth="1"/>
    <col min="12042" max="12042" width="4.88671875" style="1074" customWidth="1"/>
    <col min="12043" max="12043" width="12.88671875" style="1074" customWidth="1"/>
    <col min="12044" max="12044" width="1.6640625" style="1074" customWidth="1"/>
    <col min="12045" max="12288" width="8.88671875" style="1074"/>
    <col min="12289" max="12289" width="0.5546875" style="1074" customWidth="1"/>
    <col min="12290" max="12290" width="1.6640625" style="1074" customWidth="1"/>
    <col min="12291" max="12291" width="8.109375" style="1074" customWidth="1"/>
    <col min="12292" max="12293" width="19.44140625" style="1074" customWidth="1"/>
    <col min="12294" max="12294" width="1.6640625" style="1074" customWidth="1"/>
    <col min="12295" max="12295" width="3.21875" style="1074" customWidth="1"/>
    <col min="12296" max="12296" width="12.88671875" style="1074" customWidth="1"/>
    <col min="12297" max="12297" width="9.6640625" style="1074" customWidth="1"/>
    <col min="12298" max="12298" width="4.88671875" style="1074" customWidth="1"/>
    <col min="12299" max="12299" width="12.88671875" style="1074" customWidth="1"/>
    <col min="12300" max="12300" width="1.6640625" style="1074" customWidth="1"/>
    <col min="12301" max="12544" width="8.88671875" style="1074"/>
    <col min="12545" max="12545" width="0.5546875" style="1074" customWidth="1"/>
    <col min="12546" max="12546" width="1.6640625" style="1074" customWidth="1"/>
    <col min="12547" max="12547" width="8.109375" style="1074" customWidth="1"/>
    <col min="12548" max="12549" width="19.44140625" style="1074" customWidth="1"/>
    <col min="12550" max="12550" width="1.6640625" style="1074" customWidth="1"/>
    <col min="12551" max="12551" width="3.21875" style="1074" customWidth="1"/>
    <col min="12552" max="12552" width="12.88671875" style="1074" customWidth="1"/>
    <col min="12553" max="12553" width="9.6640625" style="1074" customWidth="1"/>
    <col min="12554" max="12554" width="4.88671875" style="1074" customWidth="1"/>
    <col min="12555" max="12555" width="12.88671875" style="1074" customWidth="1"/>
    <col min="12556" max="12556" width="1.6640625" style="1074" customWidth="1"/>
    <col min="12557" max="12800" width="8.88671875" style="1074"/>
    <col min="12801" max="12801" width="0.5546875" style="1074" customWidth="1"/>
    <col min="12802" max="12802" width="1.6640625" style="1074" customWidth="1"/>
    <col min="12803" max="12803" width="8.109375" style="1074" customWidth="1"/>
    <col min="12804" max="12805" width="19.44140625" style="1074" customWidth="1"/>
    <col min="12806" max="12806" width="1.6640625" style="1074" customWidth="1"/>
    <col min="12807" max="12807" width="3.21875" style="1074" customWidth="1"/>
    <col min="12808" max="12808" width="12.88671875" style="1074" customWidth="1"/>
    <col min="12809" max="12809" width="9.6640625" style="1074" customWidth="1"/>
    <col min="12810" max="12810" width="4.88671875" style="1074" customWidth="1"/>
    <col min="12811" max="12811" width="12.88671875" style="1074" customWidth="1"/>
    <col min="12812" max="12812" width="1.6640625" style="1074" customWidth="1"/>
    <col min="12813" max="13056" width="8.88671875" style="1074"/>
    <col min="13057" max="13057" width="0.5546875" style="1074" customWidth="1"/>
    <col min="13058" max="13058" width="1.6640625" style="1074" customWidth="1"/>
    <col min="13059" max="13059" width="8.109375" style="1074" customWidth="1"/>
    <col min="13060" max="13061" width="19.44140625" style="1074" customWidth="1"/>
    <col min="13062" max="13062" width="1.6640625" style="1074" customWidth="1"/>
    <col min="13063" max="13063" width="3.21875" style="1074" customWidth="1"/>
    <col min="13064" max="13064" width="12.88671875" style="1074" customWidth="1"/>
    <col min="13065" max="13065" width="9.6640625" style="1074" customWidth="1"/>
    <col min="13066" max="13066" width="4.88671875" style="1074" customWidth="1"/>
    <col min="13067" max="13067" width="12.88671875" style="1074" customWidth="1"/>
    <col min="13068" max="13068" width="1.6640625" style="1074" customWidth="1"/>
    <col min="13069" max="13312" width="8.88671875" style="1074"/>
    <col min="13313" max="13313" width="0.5546875" style="1074" customWidth="1"/>
    <col min="13314" max="13314" width="1.6640625" style="1074" customWidth="1"/>
    <col min="13315" max="13315" width="8.109375" style="1074" customWidth="1"/>
    <col min="13316" max="13317" width="19.44140625" style="1074" customWidth="1"/>
    <col min="13318" max="13318" width="1.6640625" style="1074" customWidth="1"/>
    <col min="13319" max="13319" width="3.21875" style="1074" customWidth="1"/>
    <col min="13320" max="13320" width="12.88671875" style="1074" customWidth="1"/>
    <col min="13321" max="13321" width="9.6640625" style="1074" customWidth="1"/>
    <col min="13322" max="13322" width="4.88671875" style="1074" customWidth="1"/>
    <col min="13323" max="13323" width="12.88671875" style="1074" customWidth="1"/>
    <col min="13324" max="13324" width="1.6640625" style="1074" customWidth="1"/>
    <col min="13325" max="13568" width="8.88671875" style="1074"/>
    <col min="13569" max="13569" width="0.5546875" style="1074" customWidth="1"/>
    <col min="13570" max="13570" width="1.6640625" style="1074" customWidth="1"/>
    <col min="13571" max="13571" width="8.109375" style="1074" customWidth="1"/>
    <col min="13572" max="13573" width="19.44140625" style="1074" customWidth="1"/>
    <col min="13574" max="13574" width="1.6640625" style="1074" customWidth="1"/>
    <col min="13575" max="13575" width="3.21875" style="1074" customWidth="1"/>
    <col min="13576" max="13576" width="12.88671875" style="1074" customWidth="1"/>
    <col min="13577" max="13577" width="9.6640625" style="1074" customWidth="1"/>
    <col min="13578" max="13578" width="4.88671875" style="1074" customWidth="1"/>
    <col min="13579" max="13579" width="12.88671875" style="1074" customWidth="1"/>
    <col min="13580" max="13580" width="1.6640625" style="1074" customWidth="1"/>
    <col min="13581" max="13824" width="8.88671875" style="1074"/>
    <col min="13825" max="13825" width="0.5546875" style="1074" customWidth="1"/>
    <col min="13826" max="13826" width="1.6640625" style="1074" customWidth="1"/>
    <col min="13827" max="13827" width="8.109375" style="1074" customWidth="1"/>
    <col min="13828" max="13829" width="19.44140625" style="1074" customWidth="1"/>
    <col min="13830" max="13830" width="1.6640625" style="1074" customWidth="1"/>
    <col min="13831" max="13831" width="3.21875" style="1074" customWidth="1"/>
    <col min="13832" max="13832" width="12.88671875" style="1074" customWidth="1"/>
    <col min="13833" max="13833" width="9.6640625" style="1074" customWidth="1"/>
    <col min="13834" max="13834" width="4.88671875" style="1074" customWidth="1"/>
    <col min="13835" max="13835" width="12.88671875" style="1074" customWidth="1"/>
    <col min="13836" max="13836" width="1.6640625" style="1074" customWidth="1"/>
    <col min="13837" max="14080" width="8.88671875" style="1074"/>
    <col min="14081" max="14081" width="0.5546875" style="1074" customWidth="1"/>
    <col min="14082" max="14082" width="1.6640625" style="1074" customWidth="1"/>
    <col min="14083" max="14083" width="8.109375" style="1074" customWidth="1"/>
    <col min="14084" max="14085" width="19.44140625" style="1074" customWidth="1"/>
    <col min="14086" max="14086" width="1.6640625" style="1074" customWidth="1"/>
    <col min="14087" max="14087" width="3.21875" style="1074" customWidth="1"/>
    <col min="14088" max="14088" width="12.88671875" style="1074" customWidth="1"/>
    <col min="14089" max="14089" width="9.6640625" style="1074" customWidth="1"/>
    <col min="14090" max="14090" width="4.88671875" style="1074" customWidth="1"/>
    <col min="14091" max="14091" width="12.88671875" style="1074" customWidth="1"/>
    <col min="14092" max="14092" width="1.6640625" style="1074" customWidth="1"/>
    <col min="14093" max="14336" width="8.88671875" style="1074"/>
    <col min="14337" max="14337" width="0.5546875" style="1074" customWidth="1"/>
    <col min="14338" max="14338" width="1.6640625" style="1074" customWidth="1"/>
    <col min="14339" max="14339" width="8.109375" style="1074" customWidth="1"/>
    <col min="14340" max="14341" width="19.44140625" style="1074" customWidth="1"/>
    <col min="14342" max="14342" width="1.6640625" style="1074" customWidth="1"/>
    <col min="14343" max="14343" width="3.21875" style="1074" customWidth="1"/>
    <col min="14344" max="14344" width="12.88671875" style="1074" customWidth="1"/>
    <col min="14345" max="14345" width="9.6640625" style="1074" customWidth="1"/>
    <col min="14346" max="14346" width="4.88671875" style="1074" customWidth="1"/>
    <col min="14347" max="14347" width="12.88671875" style="1074" customWidth="1"/>
    <col min="14348" max="14348" width="1.6640625" style="1074" customWidth="1"/>
    <col min="14349" max="14592" width="8.88671875" style="1074"/>
    <col min="14593" max="14593" width="0.5546875" style="1074" customWidth="1"/>
    <col min="14594" max="14594" width="1.6640625" style="1074" customWidth="1"/>
    <col min="14595" max="14595" width="8.109375" style="1074" customWidth="1"/>
    <col min="14596" max="14597" width="19.44140625" style="1074" customWidth="1"/>
    <col min="14598" max="14598" width="1.6640625" style="1074" customWidth="1"/>
    <col min="14599" max="14599" width="3.21875" style="1074" customWidth="1"/>
    <col min="14600" max="14600" width="12.88671875" style="1074" customWidth="1"/>
    <col min="14601" max="14601" width="9.6640625" style="1074" customWidth="1"/>
    <col min="14602" max="14602" width="4.88671875" style="1074" customWidth="1"/>
    <col min="14603" max="14603" width="12.88671875" style="1074" customWidth="1"/>
    <col min="14604" max="14604" width="1.6640625" style="1074" customWidth="1"/>
    <col min="14605" max="14848" width="8.88671875" style="1074"/>
    <col min="14849" max="14849" width="0.5546875" style="1074" customWidth="1"/>
    <col min="14850" max="14850" width="1.6640625" style="1074" customWidth="1"/>
    <col min="14851" max="14851" width="8.109375" style="1074" customWidth="1"/>
    <col min="14852" max="14853" width="19.44140625" style="1074" customWidth="1"/>
    <col min="14854" max="14854" width="1.6640625" style="1074" customWidth="1"/>
    <col min="14855" max="14855" width="3.21875" style="1074" customWidth="1"/>
    <col min="14856" max="14856" width="12.88671875" style="1074" customWidth="1"/>
    <col min="14857" max="14857" width="9.6640625" style="1074" customWidth="1"/>
    <col min="14858" max="14858" width="4.88671875" style="1074" customWidth="1"/>
    <col min="14859" max="14859" width="12.88671875" style="1074" customWidth="1"/>
    <col min="14860" max="14860" width="1.6640625" style="1074" customWidth="1"/>
    <col min="14861" max="15104" width="8.88671875" style="1074"/>
    <col min="15105" max="15105" width="0.5546875" style="1074" customWidth="1"/>
    <col min="15106" max="15106" width="1.6640625" style="1074" customWidth="1"/>
    <col min="15107" max="15107" width="8.109375" style="1074" customWidth="1"/>
    <col min="15108" max="15109" width="19.44140625" style="1074" customWidth="1"/>
    <col min="15110" max="15110" width="1.6640625" style="1074" customWidth="1"/>
    <col min="15111" max="15111" width="3.21875" style="1074" customWidth="1"/>
    <col min="15112" max="15112" width="12.88671875" style="1074" customWidth="1"/>
    <col min="15113" max="15113" width="9.6640625" style="1074" customWidth="1"/>
    <col min="15114" max="15114" width="4.88671875" style="1074" customWidth="1"/>
    <col min="15115" max="15115" width="12.88671875" style="1074" customWidth="1"/>
    <col min="15116" max="15116" width="1.6640625" style="1074" customWidth="1"/>
    <col min="15117" max="15360" width="8.88671875" style="1074"/>
    <col min="15361" max="15361" width="0.5546875" style="1074" customWidth="1"/>
    <col min="15362" max="15362" width="1.6640625" style="1074" customWidth="1"/>
    <col min="15363" max="15363" width="8.109375" style="1074" customWidth="1"/>
    <col min="15364" max="15365" width="19.44140625" style="1074" customWidth="1"/>
    <col min="15366" max="15366" width="1.6640625" style="1074" customWidth="1"/>
    <col min="15367" max="15367" width="3.21875" style="1074" customWidth="1"/>
    <col min="15368" max="15368" width="12.88671875" style="1074" customWidth="1"/>
    <col min="15369" max="15369" width="9.6640625" style="1074" customWidth="1"/>
    <col min="15370" max="15370" width="4.88671875" style="1074" customWidth="1"/>
    <col min="15371" max="15371" width="12.88671875" style="1074" customWidth="1"/>
    <col min="15372" max="15372" width="1.6640625" style="1074" customWidth="1"/>
    <col min="15373" max="15616" width="8.88671875" style="1074"/>
    <col min="15617" max="15617" width="0.5546875" style="1074" customWidth="1"/>
    <col min="15618" max="15618" width="1.6640625" style="1074" customWidth="1"/>
    <col min="15619" max="15619" width="8.109375" style="1074" customWidth="1"/>
    <col min="15620" max="15621" width="19.44140625" style="1074" customWidth="1"/>
    <col min="15622" max="15622" width="1.6640625" style="1074" customWidth="1"/>
    <col min="15623" max="15623" width="3.21875" style="1074" customWidth="1"/>
    <col min="15624" max="15624" width="12.88671875" style="1074" customWidth="1"/>
    <col min="15625" max="15625" width="9.6640625" style="1074" customWidth="1"/>
    <col min="15626" max="15626" width="4.88671875" style="1074" customWidth="1"/>
    <col min="15627" max="15627" width="12.88671875" style="1074" customWidth="1"/>
    <col min="15628" max="15628" width="1.6640625" style="1074" customWidth="1"/>
    <col min="15629" max="15872" width="8.88671875" style="1074"/>
    <col min="15873" max="15873" width="0.5546875" style="1074" customWidth="1"/>
    <col min="15874" max="15874" width="1.6640625" style="1074" customWidth="1"/>
    <col min="15875" max="15875" width="8.109375" style="1074" customWidth="1"/>
    <col min="15876" max="15877" width="19.44140625" style="1074" customWidth="1"/>
    <col min="15878" max="15878" width="1.6640625" style="1074" customWidth="1"/>
    <col min="15879" max="15879" width="3.21875" style="1074" customWidth="1"/>
    <col min="15880" max="15880" width="12.88671875" style="1074" customWidth="1"/>
    <col min="15881" max="15881" width="9.6640625" style="1074" customWidth="1"/>
    <col min="15882" max="15882" width="4.88671875" style="1074" customWidth="1"/>
    <col min="15883" max="15883" width="12.88671875" style="1074" customWidth="1"/>
    <col min="15884" max="15884" width="1.6640625" style="1074" customWidth="1"/>
    <col min="15885" max="16128" width="8.88671875" style="1074"/>
    <col min="16129" max="16129" width="0.5546875" style="1074" customWidth="1"/>
    <col min="16130" max="16130" width="1.6640625" style="1074" customWidth="1"/>
    <col min="16131" max="16131" width="8.109375" style="1074" customWidth="1"/>
    <col min="16132" max="16133" width="19.44140625" style="1074" customWidth="1"/>
    <col min="16134" max="16134" width="1.6640625" style="1074" customWidth="1"/>
    <col min="16135" max="16135" width="3.21875" style="1074" customWidth="1"/>
    <col min="16136" max="16136" width="12.88671875" style="1074" customWidth="1"/>
    <col min="16137" max="16137" width="9.6640625" style="1074" customWidth="1"/>
    <col min="16138" max="16138" width="4.88671875" style="1074" customWidth="1"/>
    <col min="16139" max="16139" width="12.88671875" style="1074" customWidth="1"/>
    <col min="16140" max="16140" width="1.6640625" style="1074" customWidth="1"/>
    <col min="16141" max="16384" width="8.88671875" style="1074"/>
  </cols>
  <sheetData>
    <row r="1" spans="2:14" ht="24.95" customHeight="1">
      <c r="B1" s="1529" t="s">
        <v>1066</v>
      </c>
      <c r="C1" s="1529"/>
      <c r="D1" s="1529"/>
      <c r="E1" s="1529"/>
      <c r="F1" s="1529"/>
      <c r="G1" s="1529"/>
      <c r="H1" s="1529"/>
      <c r="I1" s="1529"/>
      <c r="J1" s="1529"/>
      <c r="K1" s="1529"/>
      <c r="L1" s="1529"/>
      <c r="M1" s="1112"/>
      <c r="N1" s="1112"/>
    </row>
    <row r="2" spans="2:14" ht="9.9499999999999993" customHeight="1">
      <c r="B2" s="1530"/>
      <c r="C2" s="1530"/>
      <c r="D2" s="1530"/>
      <c r="E2" s="1530"/>
      <c r="F2" s="1530"/>
      <c r="G2" s="1530"/>
      <c r="H2" s="1530"/>
      <c r="I2" s="1530"/>
      <c r="J2" s="1530"/>
      <c r="K2" s="1530"/>
      <c r="L2" s="1530"/>
    </row>
    <row r="3" spans="2:14" ht="30" customHeight="1">
      <c r="B3" s="1113"/>
      <c r="C3" s="1114"/>
      <c r="D3" s="1114"/>
      <c r="E3" s="1114"/>
      <c r="F3" s="1114"/>
      <c r="G3" s="1114"/>
      <c r="H3" s="1114"/>
      <c r="I3" s="1114"/>
      <c r="J3" s="1114"/>
      <c r="K3" s="1114"/>
      <c r="L3" s="1115"/>
    </row>
    <row r="4" spans="2:14" ht="16.5">
      <c r="B4" s="1116"/>
      <c r="C4" s="1531" t="s">
        <v>1067</v>
      </c>
      <c r="D4" s="1531"/>
      <c r="E4" s="1531"/>
      <c r="G4" s="1531" t="s">
        <v>1068</v>
      </c>
      <c r="H4" s="1531"/>
      <c r="I4" s="1531"/>
      <c r="L4" s="1117"/>
    </row>
    <row r="5" spans="2:14" ht="7.5" customHeight="1">
      <c r="B5" s="1116"/>
      <c r="L5" s="1117"/>
    </row>
    <row r="6" spans="2:14" ht="19.7" customHeight="1">
      <c r="B6" s="1116"/>
      <c r="C6" s="1118" t="s">
        <v>1069</v>
      </c>
      <c r="D6" s="1118" t="s">
        <v>1070</v>
      </c>
      <c r="E6" s="1118" t="s">
        <v>1071</v>
      </c>
      <c r="F6" s="1119"/>
      <c r="G6" s="1118" t="s">
        <v>984</v>
      </c>
      <c r="H6" s="1118" t="s">
        <v>1072</v>
      </c>
      <c r="I6" s="1118" t="s">
        <v>965</v>
      </c>
      <c r="J6" s="1118" t="s">
        <v>987</v>
      </c>
      <c r="K6" s="1118" t="s">
        <v>1073</v>
      </c>
      <c r="L6" s="1120"/>
    </row>
    <row r="7" spans="2:14" ht="15.95" customHeight="1">
      <c r="B7" s="1116"/>
      <c r="C7" s="1121" t="s">
        <v>1074</v>
      </c>
      <c r="D7" s="1122">
        <v>1435.4</v>
      </c>
      <c r="E7" s="1121" t="s">
        <v>1075</v>
      </c>
      <c r="F7" s="1119"/>
      <c r="G7" s="1123" t="s">
        <v>992</v>
      </c>
      <c r="H7" s="1121" t="s">
        <v>1076</v>
      </c>
      <c r="I7" s="1121" t="s">
        <v>973</v>
      </c>
      <c r="J7" s="1118" t="s">
        <v>596</v>
      </c>
      <c r="K7" s="1124" t="e">
        <f>#REF!</f>
        <v>#REF!</v>
      </c>
      <c r="L7" s="1120"/>
    </row>
    <row r="8" spans="2:14" ht="15.95" customHeight="1">
      <c r="B8" s="1116"/>
      <c r="C8" s="1121" t="s">
        <v>1077</v>
      </c>
      <c r="D8" s="1122">
        <v>912.35</v>
      </c>
      <c r="E8" s="1121" t="s">
        <v>1075</v>
      </c>
      <c r="F8" s="1119"/>
      <c r="G8" s="1125"/>
      <c r="H8" s="1125"/>
      <c r="I8" s="1125"/>
      <c r="J8" s="1125"/>
      <c r="K8" s="1125"/>
      <c r="L8" s="1120"/>
    </row>
    <row r="9" spans="2:14" ht="15.95" customHeight="1">
      <c r="B9" s="1116"/>
      <c r="C9" s="1121" t="s">
        <v>1078</v>
      </c>
      <c r="D9" s="1122">
        <v>1678.48</v>
      </c>
      <c r="E9" s="1121" t="s">
        <v>1075</v>
      </c>
      <c r="F9" s="1119"/>
      <c r="G9" s="1125"/>
      <c r="H9" s="1125"/>
      <c r="I9" s="1125"/>
      <c r="J9" s="1125"/>
      <c r="K9" s="1125"/>
      <c r="L9" s="1120"/>
    </row>
    <row r="10" spans="2:14" ht="15.95" customHeight="1">
      <c r="B10" s="1116"/>
      <c r="C10" s="1121" t="s">
        <v>1079</v>
      </c>
      <c r="D10" s="1125"/>
      <c r="E10" s="1121" t="s">
        <v>973</v>
      </c>
      <c r="F10" s="1119"/>
      <c r="G10" s="1125"/>
      <c r="H10" s="1125"/>
      <c r="I10" s="1125"/>
      <c r="J10" s="1125"/>
      <c r="K10" s="1125"/>
      <c r="L10" s="1120"/>
    </row>
    <row r="11" spans="2:14" ht="15.95" customHeight="1">
      <c r="B11" s="1116"/>
      <c r="C11" s="1121" t="s">
        <v>1080</v>
      </c>
      <c r="D11" s="1122">
        <v>1924.51</v>
      </c>
      <c r="E11" s="1121" t="s">
        <v>1075</v>
      </c>
      <c r="F11" s="1119"/>
      <c r="G11" s="1125"/>
      <c r="H11" s="1125"/>
      <c r="I11" s="1125"/>
      <c r="J11" s="1125"/>
      <c r="K11" s="1125"/>
      <c r="L11" s="1120"/>
    </row>
    <row r="12" spans="2:14" ht="15.95" customHeight="1">
      <c r="B12" s="1116"/>
      <c r="C12" s="1121" t="s">
        <v>973</v>
      </c>
      <c r="D12" s="1125"/>
      <c r="E12" s="1121" t="s">
        <v>973</v>
      </c>
      <c r="F12" s="1119"/>
      <c r="G12" s="1125"/>
      <c r="H12" s="1125"/>
      <c r="I12" s="1125"/>
      <c r="J12" s="1125"/>
      <c r="K12" s="1125"/>
      <c r="L12" s="1120"/>
    </row>
    <row r="13" spans="2:14" ht="15.95" customHeight="1">
      <c r="B13" s="1116"/>
      <c r="C13" s="1125"/>
      <c r="D13" s="1125"/>
      <c r="E13" s="1125"/>
      <c r="F13" s="1119"/>
      <c r="G13" s="1125"/>
      <c r="H13" s="1125"/>
      <c r="I13" s="1125"/>
      <c r="J13" s="1125"/>
      <c r="K13" s="1125"/>
      <c r="L13" s="1120"/>
    </row>
    <row r="14" spans="2:14" ht="15.95" customHeight="1">
      <c r="B14" s="1116"/>
      <c r="C14" s="1125"/>
      <c r="D14" s="1125"/>
      <c r="E14" s="1125"/>
      <c r="F14" s="1119"/>
      <c r="G14" s="1125"/>
      <c r="H14" s="1125"/>
      <c r="I14" s="1125"/>
      <c r="J14" s="1125"/>
      <c r="K14" s="1125"/>
      <c r="L14" s="1120"/>
    </row>
    <row r="15" spans="2:14" ht="15.95" customHeight="1">
      <c r="B15" s="1116"/>
      <c r="C15" s="1125"/>
      <c r="D15" s="1125"/>
      <c r="E15" s="1125"/>
      <c r="F15" s="1119"/>
      <c r="G15" s="1125"/>
      <c r="H15" s="1125"/>
      <c r="I15" s="1125"/>
      <c r="J15" s="1125"/>
      <c r="K15" s="1125"/>
      <c r="L15" s="1120"/>
    </row>
    <row r="16" spans="2:14" ht="15.95" customHeight="1">
      <c r="B16" s="1116"/>
      <c r="C16" s="1125"/>
      <c r="D16" s="1125"/>
      <c r="E16" s="1125"/>
      <c r="F16" s="1119"/>
      <c r="G16" s="1125"/>
      <c r="H16" s="1125"/>
      <c r="I16" s="1125"/>
      <c r="J16" s="1125"/>
      <c r="K16" s="1125"/>
      <c r="L16" s="1120"/>
    </row>
    <row r="17" spans="2:12" ht="30" customHeight="1">
      <c r="B17" s="1116"/>
      <c r="C17" s="1126"/>
      <c r="D17" s="1126"/>
      <c r="E17" s="1126"/>
      <c r="G17" s="1126"/>
      <c r="H17" s="1126"/>
      <c r="I17" s="1126"/>
      <c r="J17" s="1126"/>
      <c r="K17" s="1126"/>
      <c r="L17" s="1117"/>
    </row>
    <row r="18" spans="2:12" ht="16.5">
      <c r="B18" s="1116"/>
      <c r="C18" s="1531" t="s">
        <v>1081</v>
      </c>
      <c r="D18" s="1531"/>
      <c r="E18" s="1531"/>
      <c r="G18" s="1531" t="s">
        <v>1082</v>
      </c>
      <c r="H18" s="1531"/>
      <c r="I18" s="1531"/>
      <c r="L18" s="1117"/>
    </row>
    <row r="19" spans="2:12" ht="7.5" customHeight="1">
      <c r="B19" s="1116"/>
      <c r="L19" s="1117"/>
    </row>
    <row r="20" spans="2:12" ht="19.7" customHeight="1">
      <c r="B20" s="1116"/>
      <c r="C20" s="1118" t="s">
        <v>984</v>
      </c>
      <c r="D20" s="1118" t="s">
        <v>1081</v>
      </c>
      <c r="E20" s="1118" t="s">
        <v>1083</v>
      </c>
      <c r="F20" s="1119"/>
      <c r="G20" s="1118"/>
      <c r="H20" s="1127"/>
      <c r="I20" s="1127"/>
      <c r="J20" s="1127"/>
      <c r="K20" s="1128"/>
      <c r="L20" s="1117"/>
    </row>
    <row r="21" spans="2:12" ht="15.95" customHeight="1">
      <c r="B21" s="1116"/>
      <c r="C21" s="1123" t="s">
        <v>992</v>
      </c>
      <c r="D21" s="1121" t="s">
        <v>982</v>
      </c>
      <c r="E21" s="1122">
        <f>1/8*16/12*25/20</f>
        <v>0.20833333333333331</v>
      </c>
      <c r="F21" s="1119"/>
      <c r="G21" s="1129"/>
      <c r="H21" s="1130"/>
      <c r="I21" s="1130"/>
      <c r="J21" s="1130"/>
      <c r="K21" s="1131"/>
      <c r="L21" s="1117"/>
    </row>
    <row r="22" spans="2:12" ht="15.95" customHeight="1">
      <c r="B22" s="1116"/>
      <c r="C22" s="1123" t="s">
        <v>995</v>
      </c>
      <c r="D22" s="1121" t="s">
        <v>1084</v>
      </c>
      <c r="E22" s="1122">
        <f>1/8*16/12*25/20*24/15</f>
        <v>0.33333333333333331</v>
      </c>
      <c r="F22" s="1119"/>
      <c r="G22" s="1526" t="s">
        <v>1085</v>
      </c>
      <c r="H22" s="1527"/>
      <c r="I22" s="1527"/>
      <c r="J22" s="1527"/>
      <c r="K22" s="1528"/>
      <c r="L22" s="1117"/>
    </row>
    <row r="23" spans="2:12" ht="15.95" customHeight="1">
      <c r="B23" s="1116"/>
      <c r="C23" s="1123" t="s">
        <v>997</v>
      </c>
      <c r="D23" s="1121" t="s">
        <v>1086</v>
      </c>
      <c r="E23" s="1122">
        <f>1/8*16/12*25/20*12/10</f>
        <v>0.25</v>
      </c>
      <c r="F23" s="1119"/>
      <c r="G23" s="1129"/>
      <c r="H23" s="1130"/>
      <c r="I23" s="1130"/>
      <c r="J23" s="1130"/>
      <c r="K23" s="1131"/>
      <c r="L23" s="1117"/>
    </row>
    <row r="24" spans="2:12" ht="15.95" customHeight="1">
      <c r="B24" s="1116"/>
      <c r="C24" s="1123" t="s">
        <v>999</v>
      </c>
      <c r="D24" s="1121" t="s">
        <v>1087</v>
      </c>
      <c r="E24" s="1122">
        <f>1/8*16/12*25/20*14/12</f>
        <v>0.24305555555555555</v>
      </c>
      <c r="F24" s="1119"/>
      <c r="G24" s="1526" t="s">
        <v>1088</v>
      </c>
      <c r="H24" s="1527"/>
      <c r="I24" s="1527"/>
      <c r="J24" s="1527"/>
      <c r="K24" s="1528"/>
      <c r="L24" s="1117"/>
    </row>
    <row r="25" spans="2:12" ht="15.95" customHeight="1">
      <c r="B25" s="1116"/>
      <c r="C25" s="1123" t="s">
        <v>1089</v>
      </c>
      <c r="D25" s="1121" t="s">
        <v>1090</v>
      </c>
      <c r="E25" s="1132">
        <f>1/8*16/12*25/20*24/5</f>
        <v>1</v>
      </c>
      <c r="F25" s="1119"/>
      <c r="G25" s="1129"/>
      <c r="H25" s="1130"/>
      <c r="I25" s="1130"/>
      <c r="J25" s="1130"/>
      <c r="K25" s="1131"/>
      <c r="L25" s="1117"/>
    </row>
    <row r="26" spans="2:12" ht="15.95" customHeight="1">
      <c r="B26" s="1116"/>
      <c r="C26" s="1125"/>
      <c r="D26" s="1125"/>
      <c r="E26" s="1125"/>
      <c r="F26" s="1119"/>
      <c r="G26" s="1526" t="s">
        <v>1091</v>
      </c>
      <c r="H26" s="1527"/>
      <c r="I26" s="1527"/>
      <c r="J26" s="1527"/>
      <c r="K26" s="1528"/>
      <c r="L26" s="1117"/>
    </row>
    <row r="27" spans="2:12" ht="15.95" customHeight="1">
      <c r="B27" s="1116"/>
      <c r="C27" s="1125"/>
      <c r="D27" s="1125"/>
      <c r="E27" s="1125"/>
      <c r="F27" s="1119"/>
      <c r="G27" s="1129"/>
      <c r="H27" s="1130"/>
      <c r="I27" s="1130"/>
      <c r="J27" s="1130"/>
      <c r="K27" s="1131"/>
      <c r="L27" s="1117"/>
    </row>
    <row r="28" spans="2:12" ht="15.95" customHeight="1">
      <c r="B28" s="1116"/>
      <c r="C28" s="1125"/>
      <c r="D28" s="1125"/>
      <c r="E28" s="1125"/>
      <c r="F28" s="1119"/>
      <c r="G28" s="1129"/>
      <c r="H28" s="1130"/>
      <c r="I28" s="1130"/>
      <c r="J28" s="1130"/>
      <c r="K28" s="1131"/>
      <c r="L28" s="1117"/>
    </row>
    <row r="29" spans="2:12" ht="15.95" customHeight="1">
      <c r="B29" s="1116"/>
      <c r="C29" s="1125"/>
      <c r="D29" s="1125"/>
      <c r="E29" s="1125"/>
      <c r="F29" s="1119"/>
      <c r="G29" s="1133"/>
      <c r="H29" s="1134"/>
      <c r="I29" s="1134"/>
      <c r="J29" s="1134"/>
      <c r="K29" s="1135"/>
      <c r="L29" s="1117"/>
    </row>
    <row r="30" spans="2:12" ht="15" customHeight="1">
      <c r="B30" s="1136"/>
      <c r="C30" s="1137"/>
      <c r="D30" s="1137"/>
      <c r="E30" s="1137"/>
      <c r="F30" s="1138"/>
      <c r="G30" s="1138"/>
      <c r="H30" s="1138"/>
      <c r="I30" s="1138"/>
      <c r="J30" s="1138"/>
      <c r="K30" s="1138"/>
      <c r="L30" s="1139"/>
    </row>
  </sheetData>
  <mergeCells count="8">
    <mergeCell ref="G24:K24"/>
    <mergeCell ref="G26:K26"/>
    <mergeCell ref="B1:L2"/>
    <mergeCell ref="C4:E4"/>
    <mergeCell ref="G4:I4"/>
    <mergeCell ref="C18:E18"/>
    <mergeCell ref="G18:I18"/>
    <mergeCell ref="G22:K22"/>
  </mergeCells>
  <phoneticPr fontId="4" type="noConversion"/>
  <printOptions horizontalCentered="1" verticalCentered="1"/>
  <pageMargins left="0.98425196850393704" right="7.874015748031496E-2" top="0.6692913385826772" bottom="0.59055118110236227" header="0.51181102362204722" footer="0.51181102362204722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A7FA9-5CAA-46CE-A171-905F4F96E136}">
  <dimension ref="B1:AC21"/>
  <sheetViews>
    <sheetView view="pageBreakPreview" zoomScaleNormal="100" zoomScaleSheetLayoutView="100" workbookViewId="0">
      <pane ySplit="3" topLeftCell="A4" activePane="bottomLeft" state="frozen"/>
      <selection activeCell="J24" sqref="J24:M24"/>
      <selection pane="bottomLeft" activeCell="J24" sqref="J24:M24"/>
    </sheetView>
  </sheetViews>
  <sheetFormatPr defaultRowHeight="12.75"/>
  <cols>
    <col min="1" max="1" width="0.5546875" style="1074" customWidth="1"/>
    <col min="2" max="2" width="3.33203125" style="1074" customWidth="1"/>
    <col min="3" max="4" width="20.77734375" style="1074" customWidth="1"/>
    <col min="5" max="5" width="4.6640625" style="1074" customWidth="1"/>
    <col min="6" max="9" width="10.77734375" style="1074" customWidth="1"/>
    <col min="10" max="10" width="15.77734375" style="1074" customWidth="1"/>
    <col min="11" max="256" width="8.88671875" style="1074"/>
    <col min="257" max="257" width="0.5546875" style="1074" customWidth="1"/>
    <col min="258" max="258" width="3.33203125" style="1074" customWidth="1"/>
    <col min="259" max="259" width="14.109375" style="1074" customWidth="1"/>
    <col min="260" max="260" width="13" style="1074" customWidth="1"/>
    <col min="261" max="261" width="4.6640625" style="1074" customWidth="1"/>
    <col min="262" max="265" width="8.77734375" style="1074" customWidth="1"/>
    <col min="266" max="266" width="8.21875" style="1074" customWidth="1"/>
    <col min="267" max="512" width="8.88671875" style="1074"/>
    <col min="513" max="513" width="0.5546875" style="1074" customWidth="1"/>
    <col min="514" max="514" width="3.33203125" style="1074" customWidth="1"/>
    <col min="515" max="515" width="14.109375" style="1074" customWidth="1"/>
    <col min="516" max="516" width="13" style="1074" customWidth="1"/>
    <col min="517" max="517" width="4.6640625" style="1074" customWidth="1"/>
    <col min="518" max="521" width="8.77734375" style="1074" customWidth="1"/>
    <col min="522" max="522" width="8.21875" style="1074" customWidth="1"/>
    <col min="523" max="768" width="8.88671875" style="1074"/>
    <col min="769" max="769" width="0.5546875" style="1074" customWidth="1"/>
    <col min="770" max="770" width="3.33203125" style="1074" customWidth="1"/>
    <col min="771" max="771" width="14.109375" style="1074" customWidth="1"/>
    <col min="772" max="772" width="13" style="1074" customWidth="1"/>
    <col min="773" max="773" width="4.6640625" style="1074" customWidth="1"/>
    <col min="774" max="777" width="8.77734375" style="1074" customWidth="1"/>
    <col min="778" max="778" width="8.21875" style="1074" customWidth="1"/>
    <col min="779" max="1024" width="8.88671875" style="1074"/>
    <col min="1025" max="1025" width="0.5546875" style="1074" customWidth="1"/>
    <col min="1026" max="1026" width="3.33203125" style="1074" customWidth="1"/>
    <col min="1027" max="1027" width="14.109375" style="1074" customWidth="1"/>
    <col min="1028" max="1028" width="13" style="1074" customWidth="1"/>
    <col min="1029" max="1029" width="4.6640625" style="1074" customWidth="1"/>
    <col min="1030" max="1033" width="8.77734375" style="1074" customWidth="1"/>
    <col min="1034" max="1034" width="8.21875" style="1074" customWidth="1"/>
    <col min="1035" max="1280" width="8.88671875" style="1074"/>
    <col min="1281" max="1281" width="0.5546875" style="1074" customWidth="1"/>
    <col min="1282" max="1282" width="3.33203125" style="1074" customWidth="1"/>
    <col min="1283" max="1283" width="14.109375" style="1074" customWidth="1"/>
    <col min="1284" max="1284" width="13" style="1074" customWidth="1"/>
    <col min="1285" max="1285" width="4.6640625" style="1074" customWidth="1"/>
    <col min="1286" max="1289" width="8.77734375" style="1074" customWidth="1"/>
    <col min="1290" max="1290" width="8.21875" style="1074" customWidth="1"/>
    <col min="1291" max="1536" width="8.88671875" style="1074"/>
    <col min="1537" max="1537" width="0.5546875" style="1074" customWidth="1"/>
    <col min="1538" max="1538" width="3.33203125" style="1074" customWidth="1"/>
    <col min="1539" max="1539" width="14.109375" style="1074" customWidth="1"/>
    <col min="1540" max="1540" width="13" style="1074" customWidth="1"/>
    <col min="1541" max="1541" width="4.6640625" style="1074" customWidth="1"/>
    <col min="1542" max="1545" width="8.77734375" style="1074" customWidth="1"/>
    <col min="1546" max="1546" width="8.21875" style="1074" customWidth="1"/>
    <col min="1547" max="1792" width="8.88671875" style="1074"/>
    <col min="1793" max="1793" width="0.5546875" style="1074" customWidth="1"/>
    <col min="1794" max="1794" width="3.33203125" style="1074" customWidth="1"/>
    <col min="1795" max="1795" width="14.109375" style="1074" customWidth="1"/>
    <col min="1796" max="1796" width="13" style="1074" customWidth="1"/>
    <col min="1797" max="1797" width="4.6640625" style="1074" customWidth="1"/>
    <col min="1798" max="1801" width="8.77734375" style="1074" customWidth="1"/>
    <col min="1802" max="1802" width="8.21875" style="1074" customWidth="1"/>
    <col min="1803" max="2048" width="8.88671875" style="1074"/>
    <col min="2049" max="2049" width="0.5546875" style="1074" customWidth="1"/>
    <col min="2050" max="2050" width="3.33203125" style="1074" customWidth="1"/>
    <col min="2051" max="2051" width="14.109375" style="1074" customWidth="1"/>
    <col min="2052" max="2052" width="13" style="1074" customWidth="1"/>
    <col min="2053" max="2053" width="4.6640625" style="1074" customWidth="1"/>
    <col min="2054" max="2057" width="8.77734375" style="1074" customWidth="1"/>
    <col min="2058" max="2058" width="8.21875" style="1074" customWidth="1"/>
    <col min="2059" max="2304" width="8.88671875" style="1074"/>
    <col min="2305" max="2305" width="0.5546875" style="1074" customWidth="1"/>
    <col min="2306" max="2306" width="3.33203125" style="1074" customWidth="1"/>
    <col min="2307" max="2307" width="14.109375" style="1074" customWidth="1"/>
    <col min="2308" max="2308" width="13" style="1074" customWidth="1"/>
    <col min="2309" max="2309" width="4.6640625" style="1074" customWidth="1"/>
    <col min="2310" max="2313" width="8.77734375" style="1074" customWidth="1"/>
    <col min="2314" max="2314" width="8.21875" style="1074" customWidth="1"/>
    <col min="2315" max="2560" width="8.88671875" style="1074"/>
    <col min="2561" max="2561" width="0.5546875" style="1074" customWidth="1"/>
    <col min="2562" max="2562" width="3.33203125" style="1074" customWidth="1"/>
    <col min="2563" max="2563" width="14.109375" style="1074" customWidth="1"/>
    <col min="2564" max="2564" width="13" style="1074" customWidth="1"/>
    <col min="2565" max="2565" width="4.6640625" style="1074" customWidth="1"/>
    <col min="2566" max="2569" width="8.77734375" style="1074" customWidth="1"/>
    <col min="2570" max="2570" width="8.21875" style="1074" customWidth="1"/>
    <col min="2571" max="2816" width="8.88671875" style="1074"/>
    <col min="2817" max="2817" width="0.5546875" style="1074" customWidth="1"/>
    <col min="2818" max="2818" width="3.33203125" style="1074" customWidth="1"/>
    <col min="2819" max="2819" width="14.109375" style="1074" customWidth="1"/>
    <col min="2820" max="2820" width="13" style="1074" customWidth="1"/>
    <col min="2821" max="2821" width="4.6640625" style="1074" customWidth="1"/>
    <col min="2822" max="2825" width="8.77734375" style="1074" customWidth="1"/>
    <col min="2826" max="2826" width="8.21875" style="1074" customWidth="1"/>
    <col min="2827" max="3072" width="8.88671875" style="1074"/>
    <col min="3073" max="3073" width="0.5546875" style="1074" customWidth="1"/>
    <col min="3074" max="3074" width="3.33203125" style="1074" customWidth="1"/>
    <col min="3075" max="3075" width="14.109375" style="1074" customWidth="1"/>
    <col min="3076" max="3076" width="13" style="1074" customWidth="1"/>
    <col min="3077" max="3077" width="4.6640625" style="1074" customWidth="1"/>
    <col min="3078" max="3081" width="8.77734375" style="1074" customWidth="1"/>
    <col min="3082" max="3082" width="8.21875" style="1074" customWidth="1"/>
    <col min="3083" max="3328" width="8.88671875" style="1074"/>
    <col min="3329" max="3329" width="0.5546875" style="1074" customWidth="1"/>
    <col min="3330" max="3330" width="3.33203125" style="1074" customWidth="1"/>
    <col min="3331" max="3331" width="14.109375" style="1074" customWidth="1"/>
    <col min="3332" max="3332" width="13" style="1074" customWidth="1"/>
    <col min="3333" max="3333" width="4.6640625" style="1074" customWidth="1"/>
    <col min="3334" max="3337" width="8.77734375" style="1074" customWidth="1"/>
    <col min="3338" max="3338" width="8.21875" style="1074" customWidth="1"/>
    <col min="3339" max="3584" width="8.88671875" style="1074"/>
    <col min="3585" max="3585" width="0.5546875" style="1074" customWidth="1"/>
    <col min="3586" max="3586" width="3.33203125" style="1074" customWidth="1"/>
    <col min="3587" max="3587" width="14.109375" style="1074" customWidth="1"/>
    <col min="3588" max="3588" width="13" style="1074" customWidth="1"/>
    <col min="3589" max="3589" width="4.6640625" style="1074" customWidth="1"/>
    <col min="3590" max="3593" width="8.77734375" style="1074" customWidth="1"/>
    <col min="3594" max="3594" width="8.21875" style="1074" customWidth="1"/>
    <col min="3595" max="3840" width="8.88671875" style="1074"/>
    <col min="3841" max="3841" width="0.5546875" style="1074" customWidth="1"/>
    <col min="3842" max="3842" width="3.33203125" style="1074" customWidth="1"/>
    <col min="3843" max="3843" width="14.109375" style="1074" customWidth="1"/>
    <col min="3844" max="3844" width="13" style="1074" customWidth="1"/>
    <col min="3845" max="3845" width="4.6640625" style="1074" customWidth="1"/>
    <col min="3846" max="3849" width="8.77734375" style="1074" customWidth="1"/>
    <col min="3850" max="3850" width="8.21875" style="1074" customWidth="1"/>
    <col min="3851" max="4096" width="8.88671875" style="1074"/>
    <col min="4097" max="4097" width="0.5546875" style="1074" customWidth="1"/>
    <col min="4098" max="4098" width="3.33203125" style="1074" customWidth="1"/>
    <col min="4099" max="4099" width="14.109375" style="1074" customWidth="1"/>
    <col min="4100" max="4100" width="13" style="1074" customWidth="1"/>
    <col min="4101" max="4101" width="4.6640625" style="1074" customWidth="1"/>
    <col min="4102" max="4105" width="8.77734375" style="1074" customWidth="1"/>
    <col min="4106" max="4106" width="8.21875" style="1074" customWidth="1"/>
    <col min="4107" max="4352" width="8.88671875" style="1074"/>
    <col min="4353" max="4353" width="0.5546875" style="1074" customWidth="1"/>
    <col min="4354" max="4354" width="3.33203125" style="1074" customWidth="1"/>
    <col min="4355" max="4355" width="14.109375" style="1074" customWidth="1"/>
    <col min="4356" max="4356" width="13" style="1074" customWidth="1"/>
    <col min="4357" max="4357" width="4.6640625" style="1074" customWidth="1"/>
    <col min="4358" max="4361" width="8.77734375" style="1074" customWidth="1"/>
    <col min="4362" max="4362" width="8.21875" style="1074" customWidth="1"/>
    <col min="4363" max="4608" width="8.88671875" style="1074"/>
    <col min="4609" max="4609" width="0.5546875" style="1074" customWidth="1"/>
    <col min="4610" max="4610" width="3.33203125" style="1074" customWidth="1"/>
    <col min="4611" max="4611" width="14.109375" style="1074" customWidth="1"/>
    <col min="4612" max="4612" width="13" style="1074" customWidth="1"/>
    <col min="4613" max="4613" width="4.6640625" style="1074" customWidth="1"/>
    <col min="4614" max="4617" width="8.77734375" style="1074" customWidth="1"/>
    <col min="4618" max="4618" width="8.21875" style="1074" customWidth="1"/>
    <col min="4619" max="4864" width="8.88671875" style="1074"/>
    <col min="4865" max="4865" width="0.5546875" style="1074" customWidth="1"/>
    <col min="4866" max="4866" width="3.33203125" style="1074" customWidth="1"/>
    <col min="4867" max="4867" width="14.109375" style="1074" customWidth="1"/>
    <col min="4868" max="4868" width="13" style="1074" customWidth="1"/>
    <col min="4869" max="4869" width="4.6640625" style="1074" customWidth="1"/>
    <col min="4870" max="4873" width="8.77734375" style="1074" customWidth="1"/>
    <col min="4874" max="4874" width="8.21875" style="1074" customWidth="1"/>
    <col min="4875" max="5120" width="8.88671875" style="1074"/>
    <col min="5121" max="5121" width="0.5546875" style="1074" customWidth="1"/>
    <col min="5122" max="5122" width="3.33203125" style="1074" customWidth="1"/>
    <col min="5123" max="5123" width="14.109375" style="1074" customWidth="1"/>
    <col min="5124" max="5124" width="13" style="1074" customWidth="1"/>
    <col min="5125" max="5125" width="4.6640625" style="1074" customWidth="1"/>
    <col min="5126" max="5129" width="8.77734375" style="1074" customWidth="1"/>
    <col min="5130" max="5130" width="8.21875" style="1074" customWidth="1"/>
    <col min="5131" max="5376" width="8.88671875" style="1074"/>
    <col min="5377" max="5377" width="0.5546875" style="1074" customWidth="1"/>
    <col min="5378" max="5378" width="3.33203125" style="1074" customWidth="1"/>
    <col min="5379" max="5379" width="14.109375" style="1074" customWidth="1"/>
    <col min="5380" max="5380" width="13" style="1074" customWidth="1"/>
    <col min="5381" max="5381" width="4.6640625" style="1074" customWidth="1"/>
    <col min="5382" max="5385" width="8.77734375" style="1074" customWidth="1"/>
    <col min="5386" max="5386" width="8.21875" style="1074" customWidth="1"/>
    <col min="5387" max="5632" width="8.88671875" style="1074"/>
    <col min="5633" max="5633" width="0.5546875" style="1074" customWidth="1"/>
    <col min="5634" max="5634" width="3.33203125" style="1074" customWidth="1"/>
    <col min="5635" max="5635" width="14.109375" style="1074" customWidth="1"/>
    <col min="5636" max="5636" width="13" style="1074" customWidth="1"/>
    <col min="5637" max="5637" width="4.6640625" style="1074" customWidth="1"/>
    <col min="5638" max="5641" width="8.77734375" style="1074" customWidth="1"/>
    <col min="5642" max="5642" width="8.21875" style="1074" customWidth="1"/>
    <col min="5643" max="5888" width="8.88671875" style="1074"/>
    <col min="5889" max="5889" width="0.5546875" style="1074" customWidth="1"/>
    <col min="5890" max="5890" width="3.33203125" style="1074" customWidth="1"/>
    <col min="5891" max="5891" width="14.109375" style="1074" customWidth="1"/>
    <col min="5892" max="5892" width="13" style="1074" customWidth="1"/>
    <col min="5893" max="5893" width="4.6640625" style="1074" customWidth="1"/>
    <col min="5894" max="5897" width="8.77734375" style="1074" customWidth="1"/>
    <col min="5898" max="5898" width="8.21875" style="1074" customWidth="1"/>
    <col min="5899" max="6144" width="8.88671875" style="1074"/>
    <col min="6145" max="6145" width="0.5546875" style="1074" customWidth="1"/>
    <col min="6146" max="6146" width="3.33203125" style="1074" customWidth="1"/>
    <col min="6147" max="6147" width="14.109375" style="1074" customWidth="1"/>
    <col min="6148" max="6148" width="13" style="1074" customWidth="1"/>
    <col min="6149" max="6149" width="4.6640625" style="1074" customWidth="1"/>
    <col min="6150" max="6153" width="8.77734375" style="1074" customWidth="1"/>
    <col min="6154" max="6154" width="8.21875" style="1074" customWidth="1"/>
    <col min="6155" max="6400" width="8.88671875" style="1074"/>
    <col min="6401" max="6401" width="0.5546875" style="1074" customWidth="1"/>
    <col min="6402" max="6402" width="3.33203125" style="1074" customWidth="1"/>
    <col min="6403" max="6403" width="14.109375" style="1074" customWidth="1"/>
    <col min="6404" max="6404" width="13" style="1074" customWidth="1"/>
    <col min="6405" max="6405" width="4.6640625" style="1074" customWidth="1"/>
    <col min="6406" max="6409" width="8.77734375" style="1074" customWidth="1"/>
    <col min="6410" max="6410" width="8.21875" style="1074" customWidth="1"/>
    <col min="6411" max="6656" width="8.88671875" style="1074"/>
    <col min="6657" max="6657" width="0.5546875" style="1074" customWidth="1"/>
    <col min="6658" max="6658" width="3.33203125" style="1074" customWidth="1"/>
    <col min="6659" max="6659" width="14.109375" style="1074" customWidth="1"/>
    <col min="6660" max="6660" width="13" style="1074" customWidth="1"/>
    <col min="6661" max="6661" width="4.6640625" style="1074" customWidth="1"/>
    <col min="6662" max="6665" width="8.77734375" style="1074" customWidth="1"/>
    <col min="6666" max="6666" width="8.21875" style="1074" customWidth="1"/>
    <col min="6667" max="6912" width="8.88671875" style="1074"/>
    <col min="6913" max="6913" width="0.5546875" style="1074" customWidth="1"/>
    <col min="6914" max="6914" width="3.33203125" style="1074" customWidth="1"/>
    <col min="6915" max="6915" width="14.109375" style="1074" customWidth="1"/>
    <col min="6916" max="6916" width="13" style="1074" customWidth="1"/>
    <col min="6917" max="6917" width="4.6640625" style="1074" customWidth="1"/>
    <col min="6918" max="6921" width="8.77734375" style="1074" customWidth="1"/>
    <col min="6922" max="6922" width="8.21875" style="1074" customWidth="1"/>
    <col min="6923" max="7168" width="8.88671875" style="1074"/>
    <col min="7169" max="7169" width="0.5546875" style="1074" customWidth="1"/>
    <col min="7170" max="7170" width="3.33203125" style="1074" customWidth="1"/>
    <col min="7171" max="7171" width="14.109375" style="1074" customWidth="1"/>
    <col min="7172" max="7172" width="13" style="1074" customWidth="1"/>
    <col min="7173" max="7173" width="4.6640625" style="1074" customWidth="1"/>
    <col min="7174" max="7177" width="8.77734375" style="1074" customWidth="1"/>
    <col min="7178" max="7178" width="8.21875" style="1074" customWidth="1"/>
    <col min="7179" max="7424" width="8.88671875" style="1074"/>
    <col min="7425" max="7425" width="0.5546875" style="1074" customWidth="1"/>
    <col min="7426" max="7426" width="3.33203125" style="1074" customWidth="1"/>
    <col min="7427" max="7427" width="14.109375" style="1074" customWidth="1"/>
    <col min="7428" max="7428" width="13" style="1074" customWidth="1"/>
    <col min="7429" max="7429" width="4.6640625" style="1074" customWidth="1"/>
    <col min="7430" max="7433" width="8.77734375" style="1074" customWidth="1"/>
    <col min="7434" max="7434" width="8.21875" style="1074" customWidth="1"/>
    <col min="7435" max="7680" width="8.88671875" style="1074"/>
    <col min="7681" max="7681" width="0.5546875" style="1074" customWidth="1"/>
    <col min="7682" max="7682" width="3.33203125" style="1074" customWidth="1"/>
    <col min="7683" max="7683" width="14.109375" style="1074" customWidth="1"/>
    <col min="7684" max="7684" width="13" style="1074" customWidth="1"/>
    <col min="7685" max="7685" width="4.6640625" style="1074" customWidth="1"/>
    <col min="7686" max="7689" width="8.77734375" style="1074" customWidth="1"/>
    <col min="7690" max="7690" width="8.21875" style="1074" customWidth="1"/>
    <col min="7691" max="7936" width="8.88671875" style="1074"/>
    <col min="7937" max="7937" width="0.5546875" style="1074" customWidth="1"/>
    <col min="7938" max="7938" width="3.33203125" style="1074" customWidth="1"/>
    <col min="7939" max="7939" width="14.109375" style="1074" customWidth="1"/>
    <col min="7940" max="7940" width="13" style="1074" customWidth="1"/>
    <col min="7941" max="7941" width="4.6640625" style="1074" customWidth="1"/>
    <col min="7942" max="7945" width="8.77734375" style="1074" customWidth="1"/>
    <col min="7946" max="7946" width="8.21875" style="1074" customWidth="1"/>
    <col min="7947" max="8192" width="8.88671875" style="1074"/>
    <col min="8193" max="8193" width="0.5546875" style="1074" customWidth="1"/>
    <col min="8194" max="8194" width="3.33203125" style="1074" customWidth="1"/>
    <col min="8195" max="8195" width="14.109375" style="1074" customWidth="1"/>
    <col min="8196" max="8196" width="13" style="1074" customWidth="1"/>
    <col min="8197" max="8197" width="4.6640625" style="1074" customWidth="1"/>
    <col min="8198" max="8201" width="8.77734375" style="1074" customWidth="1"/>
    <col min="8202" max="8202" width="8.21875" style="1074" customWidth="1"/>
    <col min="8203" max="8448" width="8.88671875" style="1074"/>
    <col min="8449" max="8449" width="0.5546875" style="1074" customWidth="1"/>
    <col min="8450" max="8450" width="3.33203125" style="1074" customWidth="1"/>
    <col min="8451" max="8451" width="14.109375" style="1074" customWidth="1"/>
    <col min="8452" max="8452" width="13" style="1074" customWidth="1"/>
    <col min="8453" max="8453" width="4.6640625" style="1074" customWidth="1"/>
    <col min="8454" max="8457" width="8.77734375" style="1074" customWidth="1"/>
    <col min="8458" max="8458" width="8.21875" style="1074" customWidth="1"/>
    <col min="8459" max="8704" width="8.88671875" style="1074"/>
    <col min="8705" max="8705" width="0.5546875" style="1074" customWidth="1"/>
    <col min="8706" max="8706" width="3.33203125" style="1074" customWidth="1"/>
    <col min="8707" max="8707" width="14.109375" style="1074" customWidth="1"/>
    <col min="8708" max="8708" width="13" style="1074" customWidth="1"/>
    <col min="8709" max="8709" width="4.6640625" style="1074" customWidth="1"/>
    <col min="8710" max="8713" width="8.77734375" style="1074" customWidth="1"/>
    <col min="8714" max="8714" width="8.21875" style="1074" customWidth="1"/>
    <col min="8715" max="8960" width="8.88671875" style="1074"/>
    <col min="8961" max="8961" width="0.5546875" style="1074" customWidth="1"/>
    <col min="8962" max="8962" width="3.33203125" style="1074" customWidth="1"/>
    <col min="8963" max="8963" width="14.109375" style="1074" customWidth="1"/>
    <col min="8964" max="8964" width="13" style="1074" customWidth="1"/>
    <col min="8965" max="8965" width="4.6640625" style="1074" customWidth="1"/>
    <col min="8966" max="8969" width="8.77734375" style="1074" customWidth="1"/>
    <col min="8970" max="8970" width="8.21875" style="1074" customWidth="1"/>
    <col min="8971" max="9216" width="8.88671875" style="1074"/>
    <col min="9217" max="9217" width="0.5546875" style="1074" customWidth="1"/>
    <col min="9218" max="9218" width="3.33203125" style="1074" customWidth="1"/>
    <col min="9219" max="9219" width="14.109375" style="1074" customWidth="1"/>
    <col min="9220" max="9220" width="13" style="1074" customWidth="1"/>
    <col min="9221" max="9221" width="4.6640625" style="1074" customWidth="1"/>
    <col min="9222" max="9225" width="8.77734375" style="1074" customWidth="1"/>
    <col min="9226" max="9226" width="8.21875" style="1074" customWidth="1"/>
    <col min="9227" max="9472" width="8.88671875" style="1074"/>
    <col min="9473" max="9473" width="0.5546875" style="1074" customWidth="1"/>
    <col min="9474" max="9474" width="3.33203125" style="1074" customWidth="1"/>
    <col min="9475" max="9475" width="14.109375" style="1074" customWidth="1"/>
    <col min="9476" max="9476" width="13" style="1074" customWidth="1"/>
    <col min="9477" max="9477" width="4.6640625" style="1074" customWidth="1"/>
    <col min="9478" max="9481" width="8.77734375" style="1074" customWidth="1"/>
    <col min="9482" max="9482" width="8.21875" style="1074" customWidth="1"/>
    <col min="9483" max="9728" width="8.88671875" style="1074"/>
    <col min="9729" max="9729" width="0.5546875" style="1074" customWidth="1"/>
    <col min="9730" max="9730" width="3.33203125" style="1074" customWidth="1"/>
    <col min="9731" max="9731" width="14.109375" style="1074" customWidth="1"/>
    <col min="9732" max="9732" width="13" style="1074" customWidth="1"/>
    <col min="9733" max="9733" width="4.6640625" style="1074" customWidth="1"/>
    <col min="9734" max="9737" width="8.77734375" style="1074" customWidth="1"/>
    <col min="9738" max="9738" width="8.21875" style="1074" customWidth="1"/>
    <col min="9739" max="9984" width="8.88671875" style="1074"/>
    <col min="9985" max="9985" width="0.5546875" style="1074" customWidth="1"/>
    <col min="9986" max="9986" width="3.33203125" style="1074" customWidth="1"/>
    <col min="9987" max="9987" width="14.109375" style="1074" customWidth="1"/>
    <col min="9988" max="9988" width="13" style="1074" customWidth="1"/>
    <col min="9989" max="9989" width="4.6640625" style="1074" customWidth="1"/>
    <col min="9990" max="9993" width="8.77734375" style="1074" customWidth="1"/>
    <col min="9994" max="9994" width="8.21875" style="1074" customWidth="1"/>
    <col min="9995" max="10240" width="8.88671875" style="1074"/>
    <col min="10241" max="10241" width="0.5546875" style="1074" customWidth="1"/>
    <col min="10242" max="10242" width="3.33203125" style="1074" customWidth="1"/>
    <col min="10243" max="10243" width="14.109375" style="1074" customWidth="1"/>
    <col min="10244" max="10244" width="13" style="1074" customWidth="1"/>
    <col min="10245" max="10245" width="4.6640625" style="1074" customWidth="1"/>
    <col min="10246" max="10249" width="8.77734375" style="1074" customWidth="1"/>
    <col min="10250" max="10250" width="8.21875" style="1074" customWidth="1"/>
    <col min="10251" max="10496" width="8.88671875" style="1074"/>
    <col min="10497" max="10497" width="0.5546875" style="1074" customWidth="1"/>
    <col min="10498" max="10498" width="3.33203125" style="1074" customWidth="1"/>
    <col min="10499" max="10499" width="14.109375" style="1074" customWidth="1"/>
    <col min="10500" max="10500" width="13" style="1074" customWidth="1"/>
    <col min="10501" max="10501" width="4.6640625" style="1074" customWidth="1"/>
    <col min="10502" max="10505" width="8.77734375" style="1074" customWidth="1"/>
    <col min="10506" max="10506" width="8.21875" style="1074" customWidth="1"/>
    <col min="10507" max="10752" width="8.88671875" style="1074"/>
    <col min="10753" max="10753" width="0.5546875" style="1074" customWidth="1"/>
    <col min="10754" max="10754" width="3.33203125" style="1074" customWidth="1"/>
    <col min="10755" max="10755" width="14.109375" style="1074" customWidth="1"/>
    <col min="10756" max="10756" width="13" style="1074" customWidth="1"/>
    <col min="10757" max="10757" width="4.6640625" style="1074" customWidth="1"/>
    <col min="10758" max="10761" width="8.77734375" style="1074" customWidth="1"/>
    <col min="10762" max="10762" width="8.21875" style="1074" customWidth="1"/>
    <col min="10763" max="11008" width="8.88671875" style="1074"/>
    <col min="11009" max="11009" width="0.5546875" style="1074" customWidth="1"/>
    <col min="11010" max="11010" width="3.33203125" style="1074" customWidth="1"/>
    <col min="11011" max="11011" width="14.109375" style="1074" customWidth="1"/>
    <col min="11012" max="11012" width="13" style="1074" customWidth="1"/>
    <col min="11013" max="11013" width="4.6640625" style="1074" customWidth="1"/>
    <col min="11014" max="11017" width="8.77734375" style="1074" customWidth="1"/>
    <col min="11018" max="11018" width="8.21875" style="1074" customWidth="1"/>
    <col min="11019" max="11264" width="8.88671875" style="1074"/>
    <col min="11265" max="11265" width="0.5546875" style="1074" customWidth="1"/>
    <col min="11266" max="11266" width="3.33203125" style="1074" customWidth="1"/>
    <col min="11267" max="11267" width="14.109375" style="1074" customWidth="1"/>
    <col min="11268" max="11268" width="13" style="1074" customWidth="1"/>
    <col min="11269" max="11269" width="4.6640625" style="1074" customWidth="1"/>
    <col min="11270" max="11273" width="8.77734375" style="1074" customWidth="1"/>
    <col min="11274" max="11274" width="8.21875" style="1074" customWidth="1"/>
    <col min="11275" max="11520" width="8.88671875" style="1074"/>
    <col min="11521" max="11521" width="0.5546875" style="1074" customWidth="1"/>
    <col min="11522" max="11522" width="3.33203125" style="1074" customWidth="1"/>
    <col min="11523" max="11523" width="14.109375" style="1074" customWidth="1"/>
    <col min="11524" max="11524" width="13" style="1074" customWidth="1"/>
    <col min="11525" max="11525" width="4.6640625" style="1074" customWidth="1"/>
    <col min="11526" max="11529" width="8.77734375" style="1074" customWidth="1"/>
    <col min="11530" max="11530" width="8.21875" style="1074" customWidth="1"/>
    <col min="11531" max="11776" width="8.88671875" style="1074"/>
    <col min="11777" max="11777" width="0.5546875" style="1074" customWidth="1"/>
    <col min="11778" max="11778" width="3.33203125" style="1074" customWidth="1"/>
    <col min="11779" max="11779" width="14.109375" style="1074" customWidth="1"/>
    <col min="11780" max="11780" width="13" style="1074" customWidth="1"/>
    <col min="11781" max="11781" width="4.6640625" style="1074" customWidth="1"/>
    <col min="11782" max="11785" width="8.77734375" style="1074" customWidth="1"/>
    <col min="11786" max="11786" width="8.21875" style="1074" customWidth="1"/>
    <col min="11787" max="12032" width="8.88671875" style="1074"/>
    <col min="12033" max="12033" width="0.5546875" style="1074" customWidth="1"/>
    <col min="12034" max="12034" width="3.33203125" style="1074" customWidth="1"/>
    <col min="12035" max="12035" width="14.109375" style="1074" customWidth="1"/>
    <col min="12036" max="12036" width="13" style="1074" customWidth="1"/>
    <col min="12037" max="12037" width="4.6640625" style="1074" customWidth="1"/>
    <col min="12038" max="12041" width="8.77734375" style="1074" customWidth="1"/>
    <col min="12042" max="12042" width="8.21875" style="1074" customWidth="1"/>
    <col min="12043" max="12288" width="8.88671875" style="1074"/>
    <col min="12289" max="12289" width="0.5546875" style="1074" customWidth="1"/>
    <col min="12290" max="12290" width="3.33203125" style="1074" customWidth="1"/>
    <col min="12291" max="12291" width="14.109375" style="1074" customWidth="1"/>
    <col min="12292" max="12292" width="13" style="1074" customWidth="1"/>
    <col min="12293" max="12293" width="4.6640625" style="1074" customWidth="1"/>
    <col min="12294" max="12297" width="8.77734375" style="1074" customWidth="1"/>
    <col min="12298" max="12298" width="8.21875" style="1074" customWidth="1"/>
    <col min="12299" max="12544" width="8.88671875" style="1074"/>
    <col min="12545" max="12545" width="0.5546875" style="1074" customWidth="1"/>
    <col min="12546" max="12546" width="3.33203125" style="1074" customWidth="1"/>
    <col min="12547" max="12547" width="14.109375" style="1074" customWidth="1"/>
    <col min="12548" max="12548" width="13" style="1074" customWidth="1"/>
    <col min="12549" max="12549" width="4.6640625" style="1074" customWidth="1"/>
    <col min="12550" max="12553" width="8.77734375" style="1074" customWidth="1"/>
    <col min="12554" max="12554" width="8.21875" style="1074" customWidth="1"/>
    <col min="12555" max="12800" width="8.88671875" style="1074"/>
    <col min="12801" max="12801" width="0.5546875" style="1074" customWidth="1"/>
    <col min="12802" max="12802" width="3.33203125" style="1074" customWidth="1"/>
    <col min="12803" max="12803" width="14.109375" style="1074" customWidth="1"/>
    <col min="12804" max="12804" width="13" style="1074" customWidth="1"/>
    <col min="12805" max="12805" width="4.6640625" style="1074" customWidth="1"/>
    <col min="12806" max="12809" width="8.77734375" style="1074" customWidth="1"/>
    <col min="12810" max="12810" width="8.21875" style="1074" customWidth="1"/>
    <col min="12811" max="13056" width="8.88671875" style="1074"/>
    <col min="13057" max="13057" width="0.5546875" style="1074" customWidth="1"/>
    <col min="13058" max="13058" width="3.33203125" style="1074" customWidth="1"/>
    <col min="13059" max="13059" width="14.109375" style="1074" customWidth="1"/>
    <col min="13060" max="13060" width="13" style="1074" customWidth="1"/>
    <col min="13061" max="13061" width="4.6640625" style="1074" customWidth="1"/>
    <col min="13062" max="13065" width="8.77734375" style="1074" customWidth="1"/>
    <col min="13066" max="13066" width="8.21875" style="1074" customWidth="1"/>
    <col min="13067" max="13312" width="8.88671875" style="1074"/>
    <col min="13313" max="13313" width="0.5546875" style="1074" customWidth="1"/>
    <col min="13314" max="13314" width="3.33203125" style="1074" customWidth="1"/>
    <col min="13315" max="13315" width="14.109375" style="1074" customWidth="1"/>
    <col min="13316" max="13316" width="13" style="1074" customWidth="1"/>
    <col min="13317" max="13317" width="4.6640625" style="1074" customWidth="1"/>
    <col min="13318" max="13321" width="8.77734375" style="1074" customWidth="1"/>
    <col min="13322" max="13322" width="8.21875" style="1074" customWidth="1"/>
    <col min="13323" max="13568" width="8.88671875" style="1074"/>
    <col min="13569" max="13569" width="0.5546875" style="1074" customWidth="1"/>
    <col min="13570" max="13570" width="3.33203125" style="1074" customWidth="1"/>
    <col min="13571" max="13571" width="14.109375" style="1074" customWidth="1"/>
    <col min="13572" max="13572" width="13" style="1074" customWidth="1"/>
    <col min="13573" max="13573" width="4.6640625" style="1074" customWidth="1"/>
    <col min="13574" max="13577" width="8.77734375" style="1074" customWidth="1"/>
    <col min="13578" max="13578" width="8.21875" style="1074" customWidth="1"/>
    <col min="13579" max="13824" width="8.88671875" style="1074"/>
    <col min="13825" max="13825" width="0.5546875" style="1074" customWidth="1"/>
    <col min="13826" max="13826" width="3.33203125" style="1074" customWidth="1"/>
    <col min="13827" max="13827" width="14.109375" style="1074" customWidth="1"/>
    <col min="13828" max="13828" width="13" style="1074" customWidth="1"/>
    <col min="13829" max="13829" width="4.6640625" style="1074" customWidth="1"/>
    <col min="13830" max="13833" width="8.77734375" style="1074" customWidth="1"/>
    <col min="13834" max="13834" width="8.21875" style="1074" customWidth="1"/>
    <col min="13835" max="14080" width="8.88671875" style="1074"/>
    <col min="14081" max="14081" width="0.5546875" style="1074" customWidth="1"/>
    <col min="14082" max="14082" width="3.33203125" style="1074" customWidth="1"/>
    <col min="14083" max="14083" width="14.109375" style="1074" customWidth="1"/>
    <col min="14084" max="14084" width="13" style="1074" customWidth="1"/>
    <col min="14085" max="14085" width="4.6640625" style="1074" customWidth="1"/>
    <col min="14086" max="14089" width="8.77734375" style="1074" customWidth="1"/>
    <col min="14090" max="14090" width="8.21875" style="1074" customWidth="1"/>
    <col min="14091" max="14336" width="8.88671875" style="1074"/>
    <col min="14337" max="14337" width="0.5546875" style="1074" customWidth="1"/>
    <col min="14338" max="14338" width="3.33203125" style="1074" customWidth="1"/>
    <col min="14339" max="14339" width="14.109375" style="1074" customWidth="1"/>
    <col min="14340" max="14340" width="13" style="1074" customWidth="1"/>
    <col min="14341" max="14341" width="4.6640625" style="1074" customWidth="1"/>
    <col min="14342" max="14345" width="8.77734375" style="1074" customWidth="1"/>
    <col min="14346" max="14346" width="8.21875" style="1074" customWidth="1"/>
    <col min="14347" max="14592" width="8.88671875" style="1074"/>
    <col min="14593" max="14593" width="0.5546875" style="1074" customWidth="1"/>
    <col min="14594" max="14594" width="3.33203125" style="1074" customWidth="1"/>
    <col min="14595" max="14595" width="14.109375" style="1074" customWidth="1"/>
    <col min="14596" max="14596" width="13" style="1074" customWidth="1"/>
    <col min="14597" max="14597" width="4.6640625" style="1074" customWidth="1"/>
    <col min="14598" max="14601" width="8.77734375" style="1074" customWidth="1"/>
    <col min="14602" max="14602" width="8.21875" style="1074" customWidth="1"/>
    <col min="14603" max="14848" width="8.88671875" style="1074"/>
    <col min="14849" max="14849" width="0.5546875" style="1074" customWidth="1"/>
    <col min="14850" max="14850" width="3.33203125" style="1074" customWidth="1"/>
    <col min="14851" max="14851" width="14.109375" style="1074" customWidth="1"/>
    <col min="14852" max="14852" width="13" style="1074" customWidth="1"/>
    <col min="14853" max="14853" width="4.6640625" style="1074" customWidth="1"/>
    <col min="14854" max="14857" width="8.77734375" style="1074" customWidth="1"/>
    <col min="14858" max="14858" width="8.21875" style="1074" customWidth="1"/>
    <col min="14859" max="15104" width="8.88671875" style="1074"/>
    <col min="15105" max="15105" width="0.5546875" style="1074" customWidth="1"/>
    <col min="15106" max="15106" width="3.33203125" style="1074" customWidth="1"/>
    <col min="15107" max="15107" width="14.109375" style="1074" customWidth="1"/>
    <col min="15108" max="15108" width="13" style="1074" customWidth="1"/>
    <col min="15109" max="15109" width="4.6640625" style="1074" customWidth="1"/>
    <col min="15110" max="15113" width="8.77734375" style="1074" customWidth="1"/>
    <col min="15114" max="15114" width="8.21875" style="1074" customWidth="1"/>
    <col min="15115" max="15360" width="8.88671875" style="1074"/>
    <col min="15361" max="15361" width="0.5546875" style="1074" customWidth="1"/>
    <col min="15362" max="15362" width="3.33203125" style="1074" customWidth="1"/>
    <col min="15363" max="15363" width="14.109375" style="1074" customWidth="1"/>
    <col min="15364" max="15364" width="13" style="1074" customWidth="1"/>
    <col min="15365" max="15365" width="4.6640625" style="1074" customWidth="1"/>
    <col min="15366" max="15369" width="8.77734375" style="1074" customWidth="1"/>
    <col min="15370" max="15370" width="8.21875" style="1074" customWidth="1"/>
    <col min="15371" max="15616" width="8.88671875" style="1074"/>
    <col min="15617" max="15617" width="0.5546875" style="1074" customWidth="1"/>
    <col min="15618" max="15618" width="3.33203125" style="1074" customWidth="1"/>
    <col min="15619" max="15619" width="14.109375" style="1074" customWidth="1"/>
    <col min="15620" max="15620" width="13" style="1074" customWidth="1"/>
    <col min="15621" max="15621" width="4.6640625" style="1074" customWidth="1"/>
    <col min="15622" max="15625" width="8.77734375" style="1074" customWidth="1"/>
    <col min="15626" max="15626" width="8.21875" style="1074" customWidth="1"/>
    <col min="15627" max="15872" width="8.88671875" style="1074"/>
    <col min="15873" max="15873" width="0.5546875" style="1074" customWidth="1"/>
    <col min="15874" max="15874" width="3.33203125" style="1074" customWidth="1"/>
    <col min="15875" max="15875" width="14.109375" style="1074" customWidth="1"/>
    <col min="15876" max="15876" width="13" style="1074" customWidth="1"/>
    <col min="15877" max="15877" width="4.6640625" style="1074" customWidth="1"/>
    <col min="15878" max="15881" width="8.77734375" style="1074" customWidth="1"/>
    <col min="15882" max="15882" width="8.21875" style="1074" customWidth="1"/>
    <col min="15883" max="16128" width="8.88671875" style="1074"/>
    <col min="16129" max="16129" width="0.5546875" style="1074" customWidth="1"/>
    <col min="16130" max="16130" width="3.33203125" style="1074" customWidth="1"/>
    <col min="16131" max="16131" width="14.109375" style="1074" customWidth="1"/>
    <col min="16132" max="16132" width="13" style="1074" customWidth="1"/>
    <col min="16133" max="16133" width="4.6640625" style="1074" customWidth="1"/>
    <col min="16134" max="16137" width="8.77734375" style="1074" customWidth="1"/>
    <col min="16138" max="16138" width="8.21875" style="1074" customWidth="1"/>
    <col min="16139" max="16384" width="8.88671875" style="1074"/>
  </cols>
  <sheetData>
    <row r="1" spans="2:29" ht="24.95" customHeight="1">
      <c r="B1" s="1529" t="s">
        <v>983</v>
      </c>
      <c r="C1" s="1529"/>
      <c r="D1" s="1529"/>
      <c r="E1" s="1529"/>
      <c r="F1" s="1529"/>
      <c r="G1" s="1529"/>
      <c r="H1" s="1529"/>
      <c r="I1" s="1529"/>
      <c r="J1" s="1529"/>
    </row>
    <row r="2" spans="2:29" ht="9.9499999999999993" customHeight="1"/>
    <row r="3" spans="2:29" ht="27.95" customHeight="1">
      <c r="B3" s="1075" t="s">
        <v>984</v>
      </c>
      <c r="C3" s="1077" t="s">
        <v>985</v>
      </c>
      <c r="D3" s="1077" t="s">
        <v>986</v>
      </c>
      <c r="E3" s="1077" t="s">
        <v>987</v>
      </c>
      <c r="F3" s="1077" t="s">
        <v>967</v>
      </c>
      <c r="G3" s="1077" t="s">
        <v>892</v>
      </c>
      <c r="H3" s="1077" t="s">
        <v>899</v>
      </c>
      <c r="I3" s="1077" t="s">
        <v>968</v>
      </c>
      <c r="J3" s="1150" t="s">
        <v>969</v>
      </c>
      <c r="Z3" s="1074" t="s">
        <v>988</v>
      </c>
      <c r="AA3" s="1074" t="s">
        <v>989</v>
      </c>
      <c r="AB3" s="1074" t="s">
        <v>990</v>
      </c>
      <c r="AC3" s="1074" t="s">
        <v>991</v>
      </c>
    </row>
    <row r="4" spans="2:29" ht="22.35" customHeight="1">
      <c r="B4" s="1190" t="s">
        <v>992</v>
      </c>
      <c r="C4" s="1191" t="s">
        <v>993</v>
      </c>
      <c r="D4" s="1191" t="s">
        <v>994</v>
      </c>
      <c r="E4" s="1192" t="s">
        <v>178</v>
      </c>
      <c r="F4" s="1193" t="e">
        <f>H4+G4+I4</f>
        <v>#REF!</v>
      </c>
      <c r="G4" s="1193" t="e">
        <f>단가산출!CZ4</f>
        <v>#REF!</v>
      </c>
      <c r="H4" s="1193" t="str">
        <f>단가산출!CY4</f>
        <v>9,130</v>
      </c>
      <c r="I4" s="1193" t="str">
        <f>단가산출!DA4</f>
        <v>713</v>
      </c>
      <c r="J4" s="1194" t="s">
        <v>973</v>
      </c>
      <c r="Z4" s="1098">
        <v>10334</v>
      </c>
      <c r="AA4" s="1098">
        <v>9108</v>
      </c>
      <c r="AB4" s="1098">
        <v>513</v>
      </c>
      <c r="AC4" s="1098">
        <v>713</v>
      </c>
    </row>
    <row r="5" spans="2:29" ht="22.35" customHeight="1">
      <c r="B5" s="1140" t="s">
        <v>995</v>
      </c>
      <c r="C5" s="1141" t="s">
        <v>996</v>
      </c>
      <c r="D5" s="1141" t="s">
        <v>994</v>
      </c>
      <c r="E5" s="1142" t="s">
        <v>178</v>
      </c>
      <c r="F5" s="1143" t="e">
        <f>H5+G5+I5</f>
        <v>#REF!</v>
      </c>
      <c r="G5" s="1143" t="e">
        <f>단가산출!CZ34</f>
        <v>#REF!</v>
      </c>
      <c r="H5" s="1143" t="str">
        <f>단가산출!CY34</f>
        <v>3,910</v>
      </c>
      <c r="I5" s="1143" t="str">
        <f>단가산출!DA34</f>
        <v>513</v>
      </c>
      <c r="J5" s="1144" t="s">
        <v>973</v>
      </c>
      <c r="Z5" s="1098">
        <v>4785</v>
      </c>
      <c r="AA5" s="1098">
        <v>3903</v>
      </c>
      <c r="AB5" s="1098">
        <v>369</v>
      </c>
      <c r="AC5" s="1098">
        <v>513</v>
      </c>
    </row>
    <row r="6" spans="2:29" ht="22.35" customHeight="1">
      <c r="B6" s="1140" t="s">
        <v>997</v>
      </c>
      <c r="C6" s="1141" t="s">
        <v>998</v>
      </c>
      <c r="D6" s="1141" t="s">
        <v>994</v>
      </c>
      <c r="E6" s="1142" t="s">
        <v>178</v>
      </c>
      <c r="F6" s="1143" t="e">
        <f>H6+G6+I6</f>
        <v>#REF!</v>
      </c>
      <c r="G6" s="1143" t="e">
        <f>단가산출!CZ64</f>
        <v>#REF!</v>
      </c>
      <c r="H6" s="1143" t="str">
        <f>단가산출!CY64</f>
        <v>5,623</v>
      </c>
      <c r="I6" s="1143" t="str">
        <f>단가산출!DA64</f>
        <v>509</v>
      </c>
      <c r="J6" s="1144" t="s">
        <v>973</v>
      </c>
      <c r="Z6" s="1098">
        <v>6486</v>
      </c>
      <c r="AA6" s="1098">
        <v>5610</v>
      </c>
      <c r="AB6" s="1098">
        <v>367</v>
      </c>
      <c r="AC6" s="1098">
        <v>509</v>
      </c>
    </row>
    <row r="7" spans="2:29" ht="22.35" customHeight="1">
      <c r="B7" s="1140" t="s">
        <v>999</v>
      </c>
      <c r="C7" s="1141" t="s">
        <v>955</v>
      </c>
      <c r="D7" s="1141" t="s">
        <v>1000</v>
      </c>
      <c r="E7" s="1142" t="s">
        <v>783</v>
      </c>
      <c r="F7" s="1143" t="e">
        <f>H7+G7+I7</f>
        <v>#REF!</v>
      </c>
      <c r="G7" s="1143" t="e">
        <f>단가산출!CZ95</f>
        <v>#REF!</v>
      </c>
      <c r="H7" s="1143" t="str">
        <f>단가산출!CY95</f>
        <v>34,445</v>
      </c>
      <c r="I7" s="1143">
        <f>단가산출!DA95</f>
        <v>0</v>
      </c>
      <c r="J7" s="1144" t="s">
        <v>973</v>
      </c>
      <c r="Z7" s="1098">
        <v>47142</v>
      </c>
      <c r="AA7" s="1098">
        <v>34461</v>
      </c>
      <c r="AB7" s="1098">
        <v>12681</v>
      </c>
    </row>
    <row r="8" spans="2:29" ht="22.35" customHeight="1">
      <c r="B8" s="1195" t="s">
        <v>1089</v>
      </c>
      <c r="C8" s="1196" t="s">
        <v>1155</v>
      </c>
      <c r="D8" s="1196" t="s">
        <v>1156</v>
      </c>
      <c r="E8" s="1197" t="s">
        <v>783</v>
      </c>
      <c r="F8" s="1198" t="e">
        <f t="shared" ref="F8:F9" si="0">G8+H8+I8</f>
        <v>#REF!</v>
      </c>
      <c r="G8" s="1198" t="e">
        <f>단가산출!$CZ$130</f>
        <v>#REF!</v>
      </c>
      <c r="H8" s="1198" t="str">
        <f>단가산출!$CY$130</f>
        <v>3,597</v>
      </c>
      <c r="I8" s="1198" t="str">
        <f>단가산출!$DA$130</f>
        <v>144</v>
      </c>
      <c r="J8" s="1199" t="s">
        <v>973</v>
      </c>
      <c r="Z8" s="1098"/>
      <c r="AA8" s="1098"/>
      <c r="AB8" s="1098"/>
    </row>
    <row r="9" spans="2:29" ht="22.35" customHeight="1">
      <c r="B9" s="1195" t="s">
        <v>1043</v>
      </c>
      <c r="C9" s="1196" t="s">
        <v>1157</v>
      </c>
      <c r="D9" s="1196" t="s">
        <v>1158</v>
      </c>
      <c r="E9" s="1197" t="s">
        <v>783</v>
      </c>
      <c r="F9" s="1198" t="e">
        <f t="shared" si="0"/>
        <v>#REF!</v>
      </c>
      <c r="G9" s="1198" t="e">
        <f>단가산출!$CZ$162</f>
        <v>#REF!</v>
      </c>
      <c r="H9" s="1198" t="str">
        <f>단가산출!$CY$162</f>
        <v>10,729</v>
      </c>
      <c r="I9" s="1198" t="str">
        <f>단가산출!$DA$162</f>
        <v>758</v>
      </c>
      <c r="J9" s="1199" t="s">
        <v>973</v>
      </c>
      <c r="Z9" s="1098"/>
      <c r="AA9" s="1098"/>
      <c r="AB9" s="1098"/>
    </row>
    <row r="10" spans="2:29" ht="22.35" customHeight="1">
      <c r="B10" s="1140"/>
      <c r="C10" s="1141"/>
      <c r="D10" s="1141"/>
      <c r="E10" s="1142"/>
      <c r="F10" s="1143"/>
      <c r="G10" s="1143"/>
      <c r="H10" s="1143"/>
      <c r="I10" s="1143"/>
      <c r="J10" s="1144"/>
      <c r="Z10" s="1098"/>
      <c r="AA10" s="1098"/>
      <c r="AB10" s="1098"/>
    </row>
    <row r="11" spans="2:29" ht="22.35" customHeight="1">
      <c r="B11" s="1140"/>
      <c r="C11" s="1141"/>
      <c r="D11" s="1141"/>
      <c r="E11" s="1142"/>
      <c r="F11" s="1143"/>
      <c r="G11" s="1143"/>
      <c r="H11" s="1143"/>
      <c r="I11" s="1143"/>
      <c r="J11" s="1144"/>
      <c r="Z11" s="1098"/>
      <c r="AA11" s="1098"/>
      <c r="AB11" s="1098"/>
    </row>
    <row r="12" spans="2:29" ht="22.35" customHeight="1">
      <c r="B12" s="1140"/>
      <c r="C12" s="1141"/>
      <c r="D12" s="1141"/>
      <c r="E12" s="1142"/>
      <c r="F12" s="1143"/>
      <c r="G12" s="1143"/>
      <c r="H12" s="1143"/>
      <c r="I12" s="1143"/>
      <c r="J12" s="1144"/>
      <c r="Z12" s="1098"/>
      <c r="AA12" s="1098"/>
      <c r="AB12" s="1098"/>
    </row>
    <row r="13" spans="2:29" ht="22.35" customHeight="1">
      <c r="B13" s="1140"/>
      <c r="C13" s="1141"/>
      <c r="D13" s="1141"/>
      <c r="E13" s="1142"/>
      <c r="F13" s="1143"/>
      <c r="G13" s="1143"/>
      <c r="H13" s="1143"/>
      <c r="I13" s="1143"/>
      <c r="J13" s="1144"/>
      <c r="Z13" s="1098"/>
      <c r="AA13" s="1098"/>
      <c r="AB13" s="1098"/>
    </row>
    <row r="14" spans="2:29" ht="22.35" customHeight="1">
      <c r="B14" s="1140"/>
      <c r="C14" s="1141"/>
      <c r="D14" s="1141"/>
      <c r="E14" s="1142"/>
      <c r="F14" s="1143"/>
      <c r="G14" s="1143"/>
      <c r="H14" s="1143"/>
      <c r="I14" s="1143"/>
      <c r="J14" s="1144"/>
      <c r="Z14" s="1098"/>
      <c r="AA14" s="1098"/>
      <c r="AB14" s="1098"/>
    </row>
    <row r="15" spans="2:29" ht="22.35" customHeight="1">
      <c r="B15" s="1140"/>
      <c r="C15" s="1141"/>
      <c r="D15" s="1141"/>
      <c r="E15" s="1142"/>
      <c r="F15" s="1143"/>
      <c r="G15" s="1143"/>
      <c r="H15" s="1143"/>
      <c r="I15" s="1143"/>
      <c r="J15" s="1144"/>
      <c r="Z15" s="1098"/>
      <c r="AA15" s="1098"/>
      <c r="AB15" s="1098"/>
    </row>
    <row r="16" spans="2:29" ht="22.35" customHeight="1">
      <c r="B16" s="1140"/>
      <c r="C16" s="1141"/>
      <c r="D16" s="1141"/>
      <c r="E16" s="1142"/>
      <c r="F16" s="1143"/>
      <c r="G16" s="1143"/>
      <c r="H16" s="1143"/>
      <c r="I16" s="1143"/>
      <c r="J16" s="1144"/>
      <c r="Z16" s="1098"/>
      <c r="AA16" s="1098"/>
      <c r="AB16" s="1098"/>
    </row>
    <row r="17" spans="2:28" ht="22.35" customHeight="1">
      <c r="B17" s="1140"/>
      <c r="C17" s="1141"/>
      <c r="D17" s="1141"/>
      <c r="E17" s="1142"/>
      <c r="F17" s="1143"/>
      <c r="G17" s="1143"/>
      <c r="H17" s="1143"/>
      <c r="I17" s="1143"/>
      <c r="J17" s="1144"/>
      <c r="Z17" s="1098"/>
      <c r="AA17" s="1098"/>
      <c r="AB17" s="1098"/>
    </row>
    <row r="18" spans="2:28" ht="22.35" customHeight="1">
      <c r="B18" s="1140"/>
      <c r="C18" s="1141"/>
      <c r="D18" s="1141"/>
      <c r="E18" s="1142"/>
      <c r="F18" s="1143"/>
      <c r="G18" s="1143"/>
      <c r="H18" s="1143"/>
      <c r="I18" s="1143"/>
      <c r="J18" s="1144"/>
      <c r="Z18" s="1098"/>
      <c r="AA18" s="1098"/>
      <c r="AB18" s="1098"/>
    </row>
    <row r="19" spans="2:28" ht="22.35" customHeight="1">
      <c r="B19" s="1140"/>
      <c r="C19" s="1141"/>
      <c r="D19" s="1141"/>
      <c r="E19" s="1142"/>
      <c r="F19" s="1143"/>
      <c r="G19" s="1143"/>
      <c r="H19" s="1143"/>
      <c r="I19" s="1143"/>
      <c r="J19" s="1144"/>
      <c r="Z19" s="1098"/>
      <c r="AA19" s="1098"/>
      <c r="AB19" s="1098"/>
    </row>
    <row r="20" spans="2:28" ht="22.35" customHeight="1">
      <c r="B20" s="1140"/>
      <c r="C20" s="1141"/>
      <c r="D20" s="1141"/>
      <c r="E20" s="1142"/>
      <c r="F20" s="1143"/>
      <c r="G20" s="1143"/>
      <c r="H20" s="1143"/>
      <c r="I20" s="1143"/>
      <c r="J20" s="1144"/>
      <c r="Z20" s="1098"/>
      <c r="AA20" s="1098"/>
      <c r="AB20" s="1098"/>
    </row>
    <row r="21" spans="2:28" ht="22.35" customHeight="1">
      <c r="B21" s="1145"/>
      <c r="C21" s="1146"/>
      <c r="D21" s="1146"/>
      <c r="E21" s="1147"/>
      <c r="F21" s="1148"/>
      <c r="G21" s="1148"/>
      <c r="H21" s="1148"/>
      <c r="I21" s="1148"/>
      <c r="J21" s="1149"/>
      <c r="Z21" s="1098"/>
      <c r="AA21" s="1098"/>
      <c r="AB21" s="1098"/>
    </row>
  </sheetData>
  <mergeCells count="1">
    <mergeCell ref="B1:J1"/>
  </mergeCells>
  <phoneticPr fontId="4" type="noConversion"/>
  <printOptions horizontalCentered="1" verticalCentered="1"/>
  <pageMargins left="0.78740157480314965" right="7.874015748031496E-2" top="0.94488188976377963" bottom="0.59055118110236227" header="0.51181102362204722" footer="0.51181102362204722"/>
  <pageSetup paperSize="9" orientation="landscape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B20D5-2B93-4669-9B46-8899F7BBAAD9}">
  <dimension ref="B1:DB277"/>
  <sheetViews>
    <sheetView view="pageBreakPreview" topLeftCell="B1" zoomScale="115" zoomScaleNormal="100" zoomScaleSheetLayoutView="115" workbookViewId="0">
      <pane ySplit="3" topLeftCell="A4" activePane="bottomLeft" state="frozen"/>
      <selection activeCell="J24" sqref="J24:M24"/>
      <selection pane="bottomLeft" activeCell="J24" sqref="J24:M24"/>
    </sheetView>
  </sheetViews>
  <sheetFormatPr defaultRowHeight="12.75"/>
  <cols>
    <col min="1" max="1" width="0.5546875" style="1074" customWidth="1"/>
    <col min="2" max="101" width="0.77734375" style="1074" customWidth="1"/>
    <col min="102" max="102" width="9.33203125" style="1074" customWidth="1"/>
    <col min="103" max="103" width="8.21875" style="1074" customWidth="1"/>
    <col min="104" max="105" width="7.88671875" style="1074" customWidth="1"/>
    <col min="106" max="256" width="8.88671875" style="1074"/>
    <col min="257" max="257" width="0.5546875" style="1074" customWidth="1"/>
    <col min="258" max="357" width="0.77734375" style="1074" customWidth="1"/>
    <col min="358" max="358" width="9.33203125" style="1074" customWidth="1"/>
    <col min="359" max="359" width="8.21875" style="1074" customWidth="1"/>
    <col min="360" max="361" width="7.88671875" style="1074" customWidth="1"/>
    <col min="362" max="512" width="8.88671875" style="1074"/>
    <col min="513" max="513" width="0.5546875" style="1074" customWidth="1"/>
    <col min="514" max="613" width="0.77734375" style="1074" customWidth="1"/>
    <col min="614" max="614" width="9.33203125" style="1074" customWidth="1"/>
    <col min="615" max="615" width="8.21875" style="1074" customWidth="1"/>
    <col min="616" max="617" width="7.88671875" style="1074" customWidth="1"/>
    <col min="618" max="768" width="8.88671875" style="1074"/>
    <col min="769" max="769" width="0.5546875" style="1074" customWidth="1"/>
    <col min="770" max="869" width="0.77734375" style="1074" customWidth="1"/>
    <col min="870" max="870" width="9.33203125" style="1074" customWidth="1"/>
    <col min="871" max="871" width="8.21875" style="1074" customWidth="1"/>
    <col min="872" max="873" width="7.88671875" style="1074" customWidth="1"/>
    <col min="874" max="1024" width="8.88671875" style="1074"/>
    <col min="1025" max="1025" width="0.5546875" style="1074" customWidth="1"/>
    <col min="1026" max="1125" width="0.77734375" style="1074" customWidth="1"/>
    <col min="1126" max="1126" width="9.33203125" style="1074" customWidth="1"/>
    <col min="1127" max="1127" width="8.21875" style="1074" customWidth="1"/>
    <col min="1128" max="1129" width="7.88671875" style="1074" customWidth="1"/>
    <col min="1130" max="1280" width="8.88671875" style="1074"/>
    <col min="1281" max="1281" width="0.5546875" style="1074" customWidth="1"/>
    <col min="1282" max="1381" width="0.77734375" style="1074" customWidth="1"/>
    <col min="1382" max="1382" width="9.33203125" style="1074" customWidth="1"/>
    <col min="1383" max="1383" width="8.21875" style="1074" customWidth="1"/>
    <col min="1384" max="1385" width="7.88671875" style="1074" customWidth="1"/>
    <col min="1386" max="1536" width="8.88671875" style="1074"/>
    <col min="1537" max="1537" width="0.5546875" style="1074" customWidth="1"/>
    <col min="1538" max="1637" width="0.77734375" style="1074" customWidth="1"/>
    <col min="1638" max="1638" width="9.33203125" style="1074" customWidth="1"/>
    <col min="1639" max="1639" width="8.21875" style="1074" customWidth="1"/>
    <col min="1640" max="1641" width="7.88671875" style="1074" customWidth="1"/>
    <col min="1642" max="1792" width="8.88671875" style="1074"/>
    <col min="1793" max="1793" width="0.5546875" style="1074" customWidth="1"/>
    <col min="1794" max="1893" width="0.77734375" style="1074" customWidth="1"/>
    <col min="1894" max="1894" width="9.33203125" style="1074" customWidth="1"/>
    <col min="1895" max="1895" width="8.21875" style="1074" customWidth="1"/>
    <col min="1896" max="1897" width="7.88671875" style="1074" customWidth="1"/>
    <col min="1898" max="2048" width="8.88671875" style="1074"/>
    <col min="2049" max="2049" width="0.5546875" style="1074" customWidth="1"/>
    <col min="2050" max="2149" width="0.77734375" style="1074" customWidth="1"/>
    <col min="2150" max="2150" width="9.33203125" style="1074" customWidth="1"/>
    <col min="2151" max="2151" width="8.21875" style="1074" customWidth="1"/>
    <col min="2152" max="2153" width="7.88671875" style="1074" customWidth="1"/>
    <col min="2154" max="2304" width="8.88671875" style="1074"/>
    <col min="2305" max="2305" width="0.5546875" style="1074" customWidth="1"/>
    <col min="2306" max="2405" width="0.77734375" style="1074" customWidth="1"/>
    <col min="2406" max="2406" width="9.33203125" style="1074" customWidth="1"/>
    <col min="2407" max="2407" width="8.21875" style="1074" customWidth="1"/>
    <col min="2408" max="2409" width="7.88671875" style="1074" customWidth="1"/>
    <col min="2410" max="2560" width="8.88671875" style="1074"/>
    <col min="2561" max="2561" width="0.5546875" style="1074" customWidth="1"/>
    <col min="2562" max="2661" width="0.77734375" style="1074" customWidth="1"/>
    <col min="2662" max="2662" width="9.33203125" style="1074" customWidth="1"/>
    <col min="2663" max="2663" width="8.21875" style="1074" customWidth="1"/>
    <col min="2664" max="2665" width="7.88671875" style="1074" customWidth="1"/>
    <col min="2666" max="2816" width="8.88671875" style="1074"/>
    <col min="2817" max="2817" width="0.5546875" style="1074" customWidth="1"/>
    <col min="2818" max="2917" width="0.77734375" style="1074" customWidth="1"/>
    <col min="2918" max="2918" width="9.33203125" style="1074" customWidth="1"/>
    <col min="2919" max="2919" width="8.21875" style="1074" customWidth="1"/>
    <col min="2920" max="2921" width="7.88671875" style="1074" customWidth="1"/>
    <col min="2922" max="3072" width="8.88671875" style="1074"/>
    <col min="3073" max="3073" width="0.5546875" style="1074" customWidth="1"/>
    <col min="3074" max="3173" width="0.77734375" style="1074" customWidth="1"/>
    <col min="3174" max="3174" width="9.33203125" style="1074" customWidth="1"/>
    <col min="3175" max="3175" width="8.21875" style="1074" customWidth="1"/>
    <col min="3176" max="3177" width="7.88671875" style="1074" customWidth="1"/>
    <col min="3178" max="3328" width="8.88671875" style="1074"/>
    <col min="3329" max="3329" width="0.5546875" style="1074" customWidth="1"/>
    <col min="3330" max="3429" width="0.77734375" style="1074" customWidth="1"/>
    <col min="3430" max="3430" width="9.33203125" style="1074" customWidth="1"/>
    <col min="3431" max="3431" width="8.21875" style="1074" customWidth="1"/>
    <col min="3432" max="3433" width="7.88671875" style="1074" customWidth="1"/>
    <col min="3434" max="3584" width="8.88671875" style="1074"/>
    <col min="3585" max="3585" width="0.5546875" style="1074" customWidth="1"/>
    <col min="3586" max="3685" width="0.77734375" style="1074" customWidth="1"/>
    <col min="3686" max="3686" width="9.33203125" style="1074" customWidth="1"/>
    <col min="3687" max="3687" width="8.21875" style="1074" customWidth="1"/>
    <col min="3688" max="3689" width="7.88671875" style="1074" customWidth="1"/>
    <col min="3690" max="3840" width="8.88671875" style="1074"/>
    <col min="3841" max="3841" width="0.5546875" style="1074" customWidth="1"/>
    <col min="3842" max="3941" width="0.77734375" style="1074" customWidth="1"/>
    <col min="3942" max="3942" width="9.33203125" style="1074" customWidth="1"/>
    <col min="3943" max="3943" width="8.21875" style="1074" customWidth="1"/>
    <col min="3944" max="3945" width="7.88671875" style="1074" customWidth="1"/>
    <col min="3946" max="4096" width="8.88671875" style="1074"/>
    <col min="4097" max="4097" width="0.5546875" style="1074" customWidth="1"/>
    <col min="4098" max="4197" width="0.77734375" style="1074" customWidth="1"/>
    <col min="4198" max="4198" width="9.33203125" style="1074" customWidth="1"/>
    <col min="4199" max="4199" width="8.21875" style="1074" customWidth="1"/>
    <col min="4200" max="4201" width="7.88671875" style="1074" customWidth="1"/>
    <col min="4202" max="4352" width="8.88671875" style="1074"/>
    <col min="4353" max="4353" width="0.5546875" style="1074" customWidth="1"/>
    <col min="4354" max="4453" width="0.77734375" style="1074" customWidth="1"/>
    <col min="4454" max="4454" width="9.33203125" style="1074" customWidth="1"/>
    <col min="4455" max="4455" width="8.21875" style="1074" customWidth="1"/>
    <col min="4456" max="4457" width="7.88671875" style="1074" customWidth="1"/>
    <col min="4458" max="4608" width="8.88671875" style="1074"/>
    <col min="4609" max="4609" width="0.5546875" style="1074" customWidth="1"/>
    <col min="4610" max="4709" width="0.77734375" style="1074" customWidth="1"/>
    <col min="4710" max="4710" width="9.33203125" style="1074" customWidth="1"/>
    <col min="4711" max="4711" width="8.21875" style="1074" customWidth="1"/>
    <col min="4712" max="4713" width="7.88671875" style="1074" customWidth="1"/>
    <col min="4714" max="4864" width="8.88671875" style="1074"/>
    <col min="4865" max="4865" width="0.5546875" style="1074" customWidth="1"/>
    <col min="4866" max="4965" width="0.77734375" style="1074" customWidth="1"/>
    <col min="4966" max="4966" width="9.33203125" style="1074" customWidth="1"/>
    <col min="4967" max="4967" width="8.21875" style="1074" customWidth="1"/>
    <col min="4968" max="4969" width="7.88671875" style="1074" customWidth="1"/>
    <col min="4970" max="5120" width="8.88671875" style="1074"/>
    <col min="5121" max="5121" width="0.5546875" style="1074" customWidth="1"/>
    <col min="5122" max="5221" width="0.77734375" style="1074" customWidth="1"/>
    <col min="5222" max="5222" width="9.33203125" style="1074" customWidth="1"/>
    <col min="5223" max="5223" width="8.21875" style="1074" customWidth="1"/>
    <col min="5224" max="5225" width="7.88671875" style="1074" customWidth="1"/>
    <col min="5226" max="5376" width="8.88671875" style="1074"/>
    <col min="5377" max="5377" width="0.5546875" style="1074" customWidth="1"/>
    <col min="5378" max="5477" width="0.77734375" style="1074" customWidth="1"/>
    <col min="5478" max="5478" width="9.33203125" style="1074" customWidth="1"/>
    <col min="5479" max="5479" width="8.21875" style="1074" customWidth="1"/>
    <col min="5480" max="5481" width="7.88671875" style="1074" customWidth="1"/>
    <col min="5482" max="5632" width="8.88671875" style="1074"/>
    <col min="5633" max="5633" width="0.5546875" style="1074" customWidth="1"/>
    <col min="5634" max="5733" width="0.77734375" style="1074" customWidth="1"/>
    <col min="5734" max="5734" width="9.33203125" style="1074" customWidth="1"/>
    <col min="5735" max="5735" width="8.21875" style="1074" customWidth="1"/>
    <col min="5736" max="5737" width="7.88671875" style="1074" customWidth="1"/>
    <col min="5738" max="5888" width="8.88671875" style="1074"/>
    <col min="5889" max="5889" width="0.5546875" style="1074" customWidth="1"/>
    <col min="5890" max="5989" width="0.77734375" style="1074" customWidth="1"/>
    <col min="5990" max="5990" width="9.33203125" style="1074" customWidth="1"/>
    <col min="5991" max="5991" width="8.21875" style="1074" customWidth="1"/>
    <col min="5992" max="5993" width="7.88671875" style="1074" customWidth="1"/>
    <col min="5994" max="6144" width="8.88671875" style="1074"/>
    <col min="6145" max="6145" width="0.5546875" style="1074" customWidth="1"/>
    <col min="6146" max="6245" width="0.77734375" style="1074" customWidth="1"/>
    <col min="6246" max="6246" width="9.33203125" style="1074" customWidth="1"/>
    <col min="6247" max="6247" width="8.21875" style="1074" customWidth="1"/>
    <col min="6248" max="6249" width="7.88671875" style="1074" customWidth="1"/>
    <col min="6250" max="6400" width="8.88671875" style="1074"/>
    <col min="6401" max="6401" width="0.5546875" style="1074" customWidth="1"/>
    <col min="6402" max="6501" width="0.77734375" style="1074" customWidth="1"/>
    <col min="6502" max="6502" width="9.33203125" style="1074" customWidth="1"/>
    <col min="6503" max="6503" width="8.21875" style="1074" customWidth="1"/>
    <col min="6504" max="6505" width="7.88671875" style="1074" customWidth="1"/>
    <col min="6506" max="6656" width="8.88671875" style="1074"/>
    <col min="6657" max="6657" width="0.5546875" style="1074" customWidth="1"/>
    <col min="6658" max="6757" width="0.77734375" style="1074" customWidth="1"/>
    <col min="6758" max="6758" width="9.33203125" style="1074" customWidth="1"/>
    <col min="6759" max="6759" width="8.21875" style="1074" customWidth="1"/>
    <col min="6760" max="6761" width="7.88671875" style="1074" customWidth="1"/>
    <col min="6762" max="6912" width="8.88671875" style="1074"/>
    <col min="6913" max="6913" width="0.5546875" style="1074" customWidth="1"/>
    <col min="6914" max="7013" width="0.77734375" style="1074" customWidth="1"/>
    <col min="7014" max="7014" width="9.33203125" style="1074" customWidth="1"/>
    <col min="7015" max="7015" width="8.21875" style="1074" customWidth="1"/>
    <col min="7016" max="7017" width="7.88671875" style="1074" customWidth="1"/>
    <col min="7018" max="7168" width="8.88671875" style="1074"/>
    <col min="7169" max="7169" width="0.5546875" style="1074" customWidth="1"/>
    <col min="7170" max="7269" width="0.77734375" style="1074" customWidth="1"/>
    <col min="7270" max="7270" width="9.33203125" style="1074" customWidth="1"/>
    <col min="7271" max="7271" width="8.21875" style="1074" customWidth="1"/>
    <col min="7272" max="7273" width="7.88671875" style="1074" customWidth="1"/>
    <col min="7274" max="7424" width="8.88671875" style="1074"/>
    <col min="7425" max="7425" width="0.5546875" style="1074" customWidth="1"/>
    <col min="7426" max="7525" width="0.77734375" style="1074" customWidth="1"/>
    <col min="7526" max="7526" width="9.33203125" style="1074" customWidth="1"/>
    <col min="7527" max="7527" width="8.21875" style="1074" customWidth="1"/>
    <col min="7528" max="7529" width="7.88671875" style="1074" customWidth="1"/>
    <col min="7530" max="7680" width="8.88671875" style="1074"/>
    <col min="7681" max="7681" width="0.5546875" style="1074" customWidth="1"/>
    <col min="7682" max="7781" width="0.77734375" style="1074" customWidth="1"/>
    <col min="7782" max="7782" width="9.33203125" style="1074" customWidth="1"/>
    <col min="7783" max="7783" width="8.21875" style="1074" customWidth="1"/>
    <col min="7784" max="7785" width="7.88671875" style="1074" customWidth="1"/>
    <col min="7786" max="7936" width="8.88671875" style="1074"/>
    <col min="7937" max="7937" width="0.5546875" style="1074" customWidth="1"/>
    <col min="7938" max="8037" width="0.77734375" style="1074" customWidth="1"/>
    <col min="8038" max="8038" width="9.33203125" style="1074" customWidth="1"/>
    <col min="8039" max="8039" width="8.21875" style="1074" customWidth="1"/>
    <col min="8040" max="8041" width="7.88671875" style="1074" customWidth="1"/>
    <col min="8042" max="8192" width="8.88671875" style="1074"/>
    <col min="8193" max="8193" width="0.5546875" style="1074" customWidth="1"/>
    <col min="8194" max="8293" width="0.77734375" style="1074" customWidth="1"/>
    <col min="8294" max="8294" width="9.33203125" style="1074" customWidth="1"/>
    <col min="8295" max="8295" width="8.21875" style="1074" customWidth="1"/>
    <col min="8296" max="8297" width="7.88671875" style="1074" customWidth="1"/>
    <col min="8298" max="8448" width="8.88671875" style="1074"/>
    <col min="8449" max="8449" width="0.5546875" style="1074" customWidth="1"/>
    <col min="8450" max="8549" width="0.77734375" style="1074" customWidth="1"/>
    <col min="8550" max="8550" width="9.33203125" style="1074" customWidth="1"/>
    <col min="8551" max="8551" width="8.21875" style="1074" customWidth="1"/>
    <col min="8552" max="8553" width="7.88671875" style="1074" customWidth="1"/>
    <col min="8554" max="8704" width="8.88671875" style="1074"/>
    <col min="8705" max="8705" width="0.5546875" style="1074" customWidth="1"/>
    <col min="8706" max="8805" width="0.77734375" style="1074" customWidth="1"/>
    <col min="8806" max="8806" width="9.33203125" style="1074" customWidth="1"/>
    <col min="8807" max="8807" width="8.21875" style="1074" customWidth="1"/>
    <col min="8808" max="8809" width="7.88671875" style="1074" customWidth="1"/>
    <col min="8810" max="8960" width="8.88671875" style="1074"/>
    <col min="8961" max="8961" width="0.5546875" style="1074" customWidth="1"/>
    <col min="8962" max="9061" width="0.77734375" style="1074" customWidth="1"/>
    <col min="9062" max="9062" width="9.33203125" style="1074" customWidth="1"/>
    <col min="9063" max="9063" width="8.21875" style="1074" customWidth="1"/>
    <col min="9064" max="9065" width="7.88671875" style="1074" customWidth="1"/>
    <col min="9066" max="9216" width="8.88671875" style="1074"/>
    <col min="9217" max="9217" width="0.5546875" style="1074" customWidth="1"/>
    <col min="9218" max="9317" width="0.77734375" style="1074" customWidth="1"/>
    <col min="9318" max="9318" width="9.33203125" style="1074" customWidth="1"/>
    <col min="9319" max="9319" width="8.21875" style="1074" customWidth="1"/>
    <col min="9320" max="9321" width="7.88671875" style="1074" customWidth="1"/>
    <col min="9322" max="9472" width="8.88671875" style="1074"/>
    <col min="9473" max="9473" width="0.5546875" style="1074" customWidth="1"/>
    <col min="9474" max="9573" width="0.77734375" style="1074" customWidth="1"/>
    <col min="9574" max="9574" width="9.33203125" style="1074" customWidth="1"/>
    <col min="9575" max="9575" width="8.21875" style="1074" customWidth="1"/>
    <col min="9576" max="9577" width="7.88671875" style="1074" customWidth="1"/>
    <col min="9578" max="9728" width="8.88671875" style="1074"/>
    <col min="9729" max="9729" width="0.5546875" style="1074" customWidth="1"/>
    <col min="9730" max="9829" width="0.77734375" style="1074" customWidth="1"/>
    <col min="9830" max="9830" width="9.33203125" style="1074" customWidth="1"/>
    <col min="9831" max="9831" width="8.21875" style="1074" customWidth="1"/>
    <col min="9832" max="9833" width="7.88671875" style="1074" customWidth="1"/>
    <col min="9834" max="9984" width="8.88671875" style="1074"/>
    <col min="9985" max="9985" width="0.5546875" style="1074" customWidth="1"/>
    <col min="9986" max="10085" width="0.77734375" style="1074" customWidth="1"/>
    <col min="10086" max="10086" width="9.33203125" style="1074" customWidth="1"/>
    <col min="10087" max="10087" width="8.21875" style="1074" customWidth="1"/>
    <col min="10088" max="10089" width="7.88671875" style="1074" customWidth="1"/>
    <col min="10090" max="10240" width="8.88671875" style="1074"/>
    <col min="10241" max="10241" width="0.5546875" style="1074" customWidth="1"/>
    <col min="10242" max="10341" width="0.77734375" style="1074" customWidth="1"/>
    <col min="10342" max="10342" width="9.33203125" style="1074" customWidth="1"/>
    <col min="10343" max="10343" width="8.21875" style="1074" customWidth="1"/>
    <col min="10344" max="10345" width="7.88671875" style="1074" customWidth="1"/>
    <col min="10346" max="10496" width="8.88671875" style="1074"/>
    <col min="10497" max="10497" width="0.5546875" style="1074" customWidth="1"/>
    <col min="10498" max="10597" width="0.77734375" style="1074" customWidth="1"/>
    <col min="10598" max="10598" width="9.33203125" style="1074" customWidth="1"/>
    <col min="10599" max="10599" width="8.21875" style="1074" customWidth="1"/>
    <col min="10600" max="10601" width="7.88671875" style="1074" customWidth="1"/>
    <col min="10602" max="10752" width="8.88671875" style="1074"/>
    <col min="10753" max="10753" width="0.5546875" style="1074" customWidth="1"/>
    <col min="10754" max="10853" width="0.77734375" style="1074" customWidth="1"/>
    <col min="10854" max="10854" width="9.33203125" style="1074" customWidth="1"/>
    <col min="10855" max="10855" width="8.21875" style="1074" customWidth="1"/>
    <col min="10856" max="10857" width="7.88671875" style="1074" customWidth="1"/>
    <col min="10858" max="11008" width="8.88671875" style="1074"/>
    <col min="11009" max="11009" width="0.5546875" style="1074" customWidth="1"/>
    <col min="11010" max="11109" width="0.77734375" style="1074" customWidth="1"/>
    <col min="11110" max="11110" width="9.33203125" style="1074" customWidth="1"/>
    <col min="11111" max="11111" width="8.21875" style="1074" customWidth="1"/>
    <col min="11112" max="11113" width="7.88671875" style="1074" customWidth="1"/>
    <col min="11114" max="11264" width="8.88671875" style="1074"/>
    <col min="11265" max="11265" width="0.5546875" style="1074" customWidth="1"/>
    <col min="11266" max="11365" width="0.77734375" style="1074" customWidth="1"/>
    <col min="11366" max="11366" width="9.33203125" style="1074" customWidth="1"/>
    <col min="11367" max="11367" width="8.21875" style="1074" customWidth="1"/>
    <col min="11368" max="11369" width="7.88671875" style="1074" customWidth="1"/>
    <col min="11370" max="11520" width="8.88671875" style="1074"/>
    <col min="11521" max="11521" width="0.5546875" style="1074" customWidth="1"/>
    <col min="11522" max="11621" width="0.77734375" style="1074" customWidth="1"/>
    <col min="11622" max="11622" width="9.33203125" style="1074" customWidth="1"/>
    <col min="11623" max="11623" width="8.21875" style="1074" customWidth="1"/>
    <col min="11624" max="11625" width="7.88671875" style="1074" customWidth="1"/>
    <col min="11626" max="11776" width="8.88671875" style="1074"/>
    <col min="11777" max="11777" width="0.5546875" style="1074" customWidth="1"/>
    <col min="11778" max="11877" width="0.77734375" style="1074" customWidth="1"/>
    <col min="11878" max="11878" width="9.33203125" style="1074" customWidth="1"/>
    <col min="11879" max="11879" width="8.21875" style="1074" customWidth="1"/>
    <col min="11880" max="11881" width="7.88671875" style="1074" customWidth="1"/>
    <col min="11882" max="12032" width="8.88671875" style="1074"/>
    <col min="12033" max="12033" width="0.5546875" style="1074" customWidth="1"/>
    <col min="12034" max="12133" width="0.77734375" style="1074" customWidth="1"/>
    <col min="12134" max="12134" width="9.33203125" style="1074" customWidth="1"/>
    <col min="12135" max="12135" width="8.21875" style="1074" customWidth="1"/>
    <col min="12136" max="12137" width="7.88671875" style="1074" customWidth="1"/>
    <col min="12138" max="12288" width="8.88671875" style="1074"/>
    <col min="12289" max="12289" width="0.5546875" style="1074" customWidth="1"/>
    <col min="12290" max="12389" width="0.77734375" style="1074" customWidth="1"/>
    <col min="12390" max="12390" width="9.33203125" style="1074" customWidth="1"/>
    <col min="12391" max="12391" width="8.21875" style="1074" customWidth="1"/>
    <col min="12392" max="12393" width="7.88671875" style="1074" customWidth="1"/>
    <col min="12394" max="12544" width="8.88671875" style="1074"/>
    <col min="12545" max="12545" width="0.5546875" style="1074" customWidth="1"/>
    <col min="12546" max="12645" width="0.77734375" style="1074" customWidth="1"/>
    <col min="12646" max="12646" width="9.33203125" style="1074" customWidth="1"/>
    <col min="12647" max="12647" width="8.21875" style="1074" customWidth="1"/>
    <col min="12648" max="12649" width="7.88671875" style="1074" customWidth="1"/>
    <col min="12650" max="12800" width="8.88671875" style="1074"/>
    <col min="12801" max="12801" width="0.5546875" style="1074" customWidth="1"/>
    <col min="12802" max="12901" width="0.77734375" style="1074" customWidth="1"/>
    <col min="12902" max="12902" width="9.33203125" style="1074" customWidth="1"/>
    <col min="12903" max="12903" width="8.21875" style="1074" customWidth="1"/>
    <col min="12904" max="12905" width="7.88671875" style="1074" customWidth="1"/>
    <col min="12906" max="13056" width="8.88671875" style="1074"/>
    <col min="13057" max="13057" width="0.5546875" style="1074" customWidth="1"/>
    <col min="13058" max="13157" width="0.77734375" style="1074" customWidth="1"/>
    <col min="13158" max="13158" width="9.33203125" style="1074" customWidth="1"/>
    <col min="13159" max="13159" width="8.21875" style="1074" customWidth="1"/>
    <col min="13160" max="13161" width="7.88671875" style="1074" customWidth="1"/>
    <col min="13162" max="13312" width="8.88671875" style="1074"/>
    <col min="13313" max="13313" width="0.5546875" style="1074" customWidth="1"/>
    <col min="13314" max="13413" width="0.77734375" style="1074" customWidth="1"/>
    <col min="13414" max="13414" width="9.33203125" style="1074" customWidth="1"/>
    <col min="13415" max="13415" width="8.21875" style="1074" customWidth="1"/>
    <col min="13416" max="13417" width="7.88671875" style="1074" customWidth="1"/>
    <col min="13418" max="13568" width="8.88671875" style="1074"/>
    <col min="13569" max="13569" width="0.5546875" style="1074" customWidth="1"/>
    <col min="13570" max="13669" width="0.77734375" style="1074" customWidth="1"/>
    <col min="13670" max="13670" width="9.33203125" style="1074" customWidth="1"/>
    <col min="13671" max="13671" width="8.21875" style="1074" customWidth="1"/>
    <col min="13672" max="13673" width="7.88671875" style="1074" customWidth="1"/>
    <col min="13674" max="13824" width="8.88671875" style="1074"/>
    <col min="13825" max="13825" width="0.5546875" style="1074" customWidth="1"/>
    <col min="13826" max="13925" width="0.77734375" style="1074" customWidth="1"/>
    <col min="13926" max="13926" width="9.33203125" style="1074" customWidth="1"/>
    <col min="13927" max="13927" width="8.21875" style="1074" customWidth="1"/>
    <col min="13928" max="13929" width="7.88671875" style="1074" customWidth="1"/>
    <col min="13930" max="14080" width="8.88671875" style="1074"/>
    <col min="14081" max="14081" width="0.5546875" style="1074" customWidth="1"/>
    <col min="14082" max="14181" width="0.77734375" style="1074" customWidth="1"/>
    <col min="14182" max="14182" width="9.33203125" style="1074" customWidth="1"/>
    <col min="14183" max="14183" width="8.21875" style="1074" customWidth="1"/>
    <col min="14184" max="14185" width="7.88671875" style="1074" customWidth="1"/>
    <col min="14186" max="14336" width="8.88671875" style="1074"/>
    <col min="14337" max="14337" width="0.5546875" style="1074" customWidth="1"/>
    <col min="14338" max="14437" width="0.77734375" style="1074" customWidth="1"/>
    <col min="14438" max="14438" width="9.33203125" style="1074" customWidth="1"/>
    <col min="14439" max="14439" width="8.21875" style="1074" customWidth="1"/>
    <col min="14440" max="14441" width="7.88671875" style="1074" customWidth="1"/>
    <col min="14442" max="14592" width="8.88671875" style="1074"/>
    <col min="14593" max="14593" width="0.5546875" style="1074" customWidth="1"/>
    <col min="14594" max="14693" width="0.77734375" style="1074" customWidth="1"/>
    <col min="14694" max="14694" width="9.33203125" style="1074" customWidth="1"/>
    <col min="14695" max="14695" width="8.21875" style="1074" customWidth="1"/>
    <col min="14696" max="14697" width="7.88671875" style="1074" customWidth="1"/>
    <col min="14698" max="14848" width="8.88671875" style="1074"/>
    <col min="14849" max="14849" width="0.5546875" style="1074" customWidth="1"/>
    <col min="14850" max="14949" width="0.77734375" style="1074" customWidth="1"/>
    <col min="14950" max="14950" width="9.33203125" style="1074" customWidth="1"/>
    <col min="14951" max="14951" width="8.21875" style="1074" customWidth="1"/>
    <col min="14952" max="14953" width="7.88671875" style="1074" customWidth="1"/>
    <col min="14954" max="15104" width="8.88671875" style="1074"/>
    <col min="15105" max="15105" width="0.5546875" style="1074" customWidth="1"/>
    <col min="15106" max="15205" width="0.77734375" style="1074" customWidth="1"/>
    <col min="15206" max="15206" width="9.33203125" style="1074" customWidth="1"/>
    <col min="15207" max="15207" width="8.21875" style="1074" customWidth="1"/>
    <col min="15208" max="15209" width="7.88671875" style="1074" customWidth="1"/>
    <col min="15210" max="15360" width="8.88671875" style="1074"/>
    <col min="15361" max="15361" width="0.5546875" style="1074" customWidth="1"/>
    <col min="15362" max="15461" width="0.77734375" style="1074" customWidth="1"/>
    <col min="15462" max="15462" width="9.33203125" style="1074" customWidth="1"/>
    <col min="15463" max="15463" width="8.21875" style="1074" customWidth="1"/>
    <col min="15464" max="15465" width="7.88671875" style="1074" customWidth="1"/>
    <col min="15466" max="15616" width="8.88671875" style="1074"/>
    <col min="15617" max="15617" width="0.5546875" style="1074" customWidth="1"/>
    <col min="15618" max="15717" width="0.77734375" style="1074" customWidth="1"/>
    <col min="15718" max="15718" width="9.33203125" style="1074" customWidth="1"/>
    <col min="15719" max="15719" width="8.21875" style="1074" customWidth="1"/>
    <col min="15720" max="15721" width="7.88671875" style="1074" customWidth="1"/>
    <col min="15722" max="15872" width="8.88671875" style="1074"/>
    <col min="15873" max="15873" width="0.5546875" style="1074" customWidth="1"/>
    <col min="15874" max="15973" width="0.77734375" style="1074" customWidth="1"/>
    <col min="15974" max="15974" width="9.33203125" style="1074" customWidth="1"/>
    <col min="15975" max="15975" width="8.21875" style="1074" customWidth="1"/>
    <col min="15976" max="15977" width="7.88671875" style="1074" customWidth="1"/>
    <col min="15978" max="16128" width="8.88671875" style="1074"/>
    <col min="16129" max="16129" width="0.5546875" style="1074" customWidth="1"/>
    <col min="16130" max="16229" width="0.77734375" style="1074" customWidth="1"/>
    <col min="16230" max="16230" width="9.33203125" style="1074" customWidth="1"/>
    <col min="16231" max="16231" width="8.21875" style="1074" customWidth="1"/>
    <col min="16232" max="16233" width="7.88671875" style="1074" customWidth="1"/>
    <col min="16234" max="16384" width="8.88671875" style="1074"/>
  </cols>
  <sheetData>
    <row r="1" spans="2:106" ht="24.95" customHeight="1">
      <c r="B1" s="1529" t="s">
        <v>1001</v>
      </c>
      <c r="C1" s="1529"/>
      <c r="D1" s="1529"/>
      <c r="E1" s="1529"/>
      <c r="F1" s="1529"/>
      <c r="G1" s="1529"/>
      <c r="H1" s="1529"/>
      <c r="I1" s="1529"/>
      <c r="J1" s="1529"/>
      <c r="K1" s="1529"/>
      <c r="L1" s="1529"/>
      <c r="M1" s="1529"/>
      <c r="N1" s="1529"/>
      <c r="O1" s="1529"/>
      <c r="P1" s="1529"/>
      <c r="Q1" s="1529"/>
      <c r="R1" s="1529"/>
      <c r="S1" s="1529"/>
      <c r="T1" s="1529"/>
      <c r="U1" s="1529"/>
      <c r="V1" s="1529"/>
      <c r="W1" s="1529"/>
      <c r="X1" s="1529"/>
      <c r="Y1" s="1529"/>
      <c r="Z1" s="1529"/>
      <c r="AA1" s="1529"/>
      <c r="AB1" s="1529"/>
      <c r="AC1" s="1529"/>
      <c r="AD1" s="1529"/>
      <c r="AE1" s="1529"/>
      <c r="AF1" s="1529"/>
      <c r="AG1" s="1529"/>
      <c r="AH1" s="1529"/>
      <c r="AI1" s="1529"/>
      <c r="AJ1" s="1529"/>
      <c r="AK1" s="1529"/>
      <c r="AL1" s="1529"/>
      <c r="AM1" s="1529"/>
      <c r="AN1" s="1529"/>
      <c r="AO1" s="1529"/>
      <c r="AP1" s="1529"/>
      <c r="AQ1" s="1529"/>
      <c r="AR1" s="1529"/>
      <c r="AS1" s="1529"/>
      <c r="AT1" s="1529"/>
      <c r="AU1" s="1529"/>
      <c r="AV1" s="1529"/>
      <c r="AW1" s="1529"/>
      <c r="AX1" s="1529"/>
      <c r="AY1" s="1529"/>
      <c r="AZ1" s="1529"/>
      <c r="BA1" s="1529"/>
      <c r="BB1" s="1529"/>
      <c r="BC1" s="1529"/>
      <c r="BD1" s="1529"/>
      <c r="BE1" s="1529"/>
      <c r="BF1" s="1529"/>
      <c r="BG1" s="1529"/>
      <c r="BH1" s="1529"/>
      <c r="BI1" s="1529"/>
      <c r="BJ1" s="1529"/>
      <c r="BK1" s="1529"/>
      <c r="BL1" s="1529"/>
      <c r="BM1" s="1529"/>
      <c r="BN1" s="1529"/>
      <c r="BO1" s="1529"/>
      <c r="BP1" s="1529"/>
      <c r="BQ1" s="1529"/>
      <c r="BR1" s="1529"/>
      <c r="BS1" s="1529"/>
      <c r="BT1" s="1529"/>
      <c r="BU1" s="1529"/>
      <c r="BV1" s="1529"/>
      <c r="BW1" s="1529"/>
      <c r="BX1" s="1529"/>
      <c r="BY1" s="1529"/>
      <c r="BZ1" s="1529"/>
      <c r="CA1" s="1529"/>
      <c r="CB1" s="1529"/>
      <c r="CC1" s="1529"/>
      <c r="CD1" s="1529"/>
      <c r="CE1" s="1529"/>
      <c r="CF1" s="1529"/>
      <c r="CG1" s="1529"/>
      <c r="CH1" s="1529"/>
      <c r="CI1" s="1529"/>
      <c r="CJ1" s="1529"/>
      <c r="CK1" s="1529"/>
      <c r="CL1" s="1529"/>
      <c r="CM1" s="1529"/>
      <c r="CN1" s="1529"/>
      <c r="CO1" s="1529"/>
      <c r="CP1" s="1529"/>
      <c r="CQ1" s="1529"/>
      <c r="CR1" s="1529"/>
      <c r="CS1" s="1529"/>
      <c r="CT1" s="1529"/>
      <c r="CU1" s="1529"/>
      <c r="CV1" s="1529"/>
      <c r="CW1" s="1529"/>
      <c r="CX1" s="1529"/>
      <c r="CY1" s="1529"/>
      <c r="CZ1" s="1529"/>
      <c r="DA1" s="1529"/>
    </row>
    <row r="2" spans="2:106" ht="9.9499999999999993" customHeight="1">
      <c r="B2" s="1530"/>
      <c r="C2" s="1530"/>
      <c r="D2" s="1530"/>
      <c r="E2" s="1530"/>
      <c r="F2" s="1530"/>
      <c r="G2" s="1530"/>
      <c r="H2" s="1530"/>
      <c r="I2" s="1530"/>
      <c r="J2" s="1530"/>
      <c r="K2" s="1530"/>
      <c r="L2" s="1530"/>
      <c r="M2" s="1530"/>
      <c r="N2" s="1530"/>
      <c r="O2" s="1530"/>
      <c r="P2" s="1530"/>
      <c r="Q2" s="1530"/>
      <c r="R2" s="1530"/>
      <c r="S2" s="1530"/>
      <c r="T2" s="1530"/>
      <c r="U2" s="1530"/>
      <c r="V2" s="1530"/>
      <c r="W2" s="1530"/>
      <c r="X2" s="1530"/>
      <c r="Y2" s="1530"/>
      <c r="Z2" s="1530"/>
      <c r="AA2" s="1530"/>
      <c r="AB2" s="1530"/>
      <c r="AC2" s="1530"/>
      <c r="AD2" s="1530"/>
      <c r="AE2" s="1530"/>
      <c r="AF2" s="1530"/>
      <c r="AG2" s="1530"/>
      <c r="AH2" s="1530"/>
      <c r="AI2" s="1530"/>
      <c r="AJ2" s="1530"/>
      <c r="AK2" s="1530"/>
      <c r="AL2" s="1530"/>
      <c r="AM2" s="1530"/>
      <c r="AN2" s="1530"/>
      <c r="AO2" s="1530"/>
      <c r="AP2" s="1530"/>
      <c r="AQ2" s="1530"/>
      <c r="AR2" s="1530"/>
      <c r="AS2" s="1530"/>
      <c r="AT2" s="1530"/>
      <c r="AU2" s="1530"/>
      <c r="AV2" s="1530"/>
      <c r="AW2" s="1530"/>
      <c r="AX2" s="1530"/>
      <c r="AY2" s="1530"/>
      <c r="AZ2" s="1530"/>
      <c r="BA2" s="1530"/>
      <c r="BB2" s="1530"/>
      <c r="BC2" s="1530"/>
      <c r="BD2" s="1530"/>
      <c r="BE2" s="1530"/>
      <c r="BF2" s="1530"/>
      <c r="BG2" s="1530"/>
      <c r="BH2" s="1530"/>
      <c r="BI2" s="1530"/>
      <c r="BJ2" s="1530"/>
      <c r="BK2" s="1530"/>
      <c r="BL2" s="1530"/>
      <c r="BM2" s="1530"/>
      <c r="BN2" s="1530"/>
      <c r="BO2" s="1530"/>
      <c r="BP2" s="1530"/>
      <c r="BQ2" s="1530"/>
      <c r="BR2" s="1530"/>
      <c r="BS2" s="1530"/>
      <c r="BT2" s="1530"/>
      <c r="BU2" s="1530"/>
      <c r="BV2" s="1530"/>
      <c r="BW2" s="1530"/>
      <c r="BX2" s="1530"/>
      <c r="BY2" s="1530"/>
      <c r="BZ2" s="1530"/>
      <c r="CA2" s="1530"/>
      <c r="CB2" s="1530"/>
      <c r="CC2" s="1530"/>
      <c r="CD2" s="1530"/>
      <c r="CE2" s="1530"/>
      <c r="CF2" s="1530"/>
      <c r="CG2" s="1530"/>
      <c r="CH2" s="1530"/>
      <c r="CI2" s="1530"/>
      <c r="CJ2" s="1530"/>
      <c r="CK2" s="1530"/>
      <c r="CL2" s="1530"/>
      <c r="CM2" s="1530"/>
      <c r="CN2" s="1530"/>
      <c r="CO2" s="1530"/>
      <c r="CP2" s="1530"/>
      <c r="CQ2" s="1530"/>
      <c r="CR2" s="1530"/>
      <c r="CS2" s="1530"/>
      <c r="CT2" s="1530"/>
      <c r="CU2" s="1530"/>
      <c r="CV2" s="1530"/>
      <c r="CW2" s="1530"/>
      <c r="CX2" s="1530"/>
      <c r="CY2" s="1530"/>
      <c r="CZ2" s="1530"/>
      <c r="DA2" s="1530"/>
    </row>
    <row r="3" spans="2:106" ht="27.95" customHeight="1">
      <c r="B3" s="1537" t="s">
        <v>1002</v>
      </c>
      <c r="C3" s="1538" t="s">
        <v>1003</v>
      </c>
      <c r="D3" s="1538" t="s">
        <v>899</v>
      </c>
      <c r="E3" s="1538" t="s">
        <v>892</v>
      </c>
      <c r="F3" s="1538" t="s">
        <v>1004</v>
      </c>
      <c r="G3" s="1538"/>
      <c r="H3" s="1538"/>
      <c r="I3" s="1538"/>
      <c r="J3" s="1538"/>
      <c r="K3" s="1538"/>
      <c r="L3" s="1538"/>
      <c r="M3" s="1538"/>
      <c r="N3" s="1538"/>
      <c r="O3" s="1538"/>
      <c r="P3" s="1538"/>
      <c r="Q3" s="1538"/>
      <c r="R3" s="1538"/>
      <c r="S3" s="1538"/>
      <c r="T3" s="1538"/>
      <c r="U3" s="1538"/>
      <c r="V3" s="1538"/>
      <c r="W3" s="1538"/>
      <c r="X3" s="1538"/>
      <c r="Y3" s="1538"/>
      <c r="Z3" s="1538"/>
      <c r="AA3" s="1538"/>
      <c r="AB3" s="1538"/>
      <c r="AC3" s="1538"/>
      <c r="AD3" s="1538"/>
      <c r="AE3" s="1538"/>
      <c r="AF3" s="1538"/>
      <c r="AG3" s="1538"/>
      <c r="AH3" s="1538"/>
      <c r="AI3" s="1538"/>
      <c r="AJ3" s="1538"/>
      <c r="AK3" s="1538"/>
      <c r="AL3" s="1538"/>
      <c r="AM3" s="1538"/>
      <c r="AN3" s="1538"/>
      <c r="AO3" s="1538"/>
      <c r="AP3" s="1538"/>
      <c r="AQ3" s="1538"/>
      <c r="AR3" s="1538"/>
      <c r="AS3" s="1538"/>
      <c r="AT3" s="1538"/>
      <c r="AU3" s="1538"/>
      <c r="AV3" s="1538"/>
      <c r="AW3" s="1538"/>
      <c r="AX3" s="1538"/>
      <c r="AY3" s="1538"/>
      <c r="AZ3" s="1538"/>
      <c r="BA3" s="1538"/>
      <c r="BB3" s="1538"/>
      <c r="BC3" s="1538"/>
      <c r="BD3" s="1538"/>
      <c r="BE3" s="1538"/>
      <c r="BF3" s="1538"/>
      <c r="BG3" s="1538"/>
      <c r="BH3" s="1538"/>
      <c r="BI3" s="1538"/>
      <c r="BJ3" s="1538"/>
      <c r="BK3" s="1538"/>
      <c r="BL3" s="1538"/>
      <c r="BM3" s="1538"/>
      <c r="BN3" s="1538"/>
      <c r="BO3" s="1538"/>
      <c r="BP3" s="1538"/>
      <c r="BQ3" s="1538"/>
      <c r="BR3" s="1538"/>
      <c r="BS3" s="1538"/>
      <c r="BT3" s="1538"/>
      <c r="BU3" s="1538"/>
      <c r="BV3" s="1538"/>
      <c r="BW3" s="1538"/>
      <c r="BX3" s="1538"/>
      <c r="BY3" s="1538"/>
      <c r="BZ3" s="1538"/>
      <c r="CA3" s="1538"/>
      <c r="CB3" s="1538"/>
      <c r="CC3" s="1538"/>
      <c r="CD3" s="1538"/>
      <c r="CE3" s="1538"/>
      <c r="CF3" s="1538"/>
      <c r="CG3" s="1538"/>
      <c r="CH3" s="1538"/>
      <c r="CI3" s="1538"/>
      <c r="CJ3" s="1538"/>
      <c r="CK3" s="1538"/>
      <c r="CL3" s="1538"/>
      <c r="CM3" s="1538"/>
      <c r="CN3" s="1538"/>
      <c r="CO3" s="1538"/>
      <c r="CP3" s="1538"/>
      <c r="CQ3" s="1538"/>
      <c r="CR3" s="1538"/>
      <c r="CS3" s="1538"/>
      <c r="CT3" s="1538"/>
      <c r="CU3" s="1538"/>
      <c r="CV3" s="1538"/>
      <c r="CW3" s="1538"/>
      <c r="CX3" s="1099" t="s">
        <v>1003</v>
      </c>
      <c r="CY3" s="1099" t="s">
        <v>899</v>
      </c>
      <c r="CZ3" s="1099" t="s">
        <v>892</v>
      </c>
      <c r="DA3" s="1100" t="s">
        <v>1004</v>
      </c>
    </row>
    <row r="4" spans="2:106" ht="11.25" customHeight="1">
      <c r="B4" s="1185" t="s">
        <v>1005</v>
      </c>
      <c r="C4" s="1186"/>
      <c r="D4" s="1186"/>
      <c r="E4" s="1186"/>
      <c r="F4" s="1186"/>
      <c r="G4" s="1186"/>
      <c r="H4" s="1186"/>
      <c r="I4" s="1186"/>
      <c r="J4" s="1186"/>
      <c r="K4" s="1186"/>
      <c r="L4" s="1186"/>
      <c r="M4" s="1186"/>
      <c r="N4" s="1186"/>
      <c r="O4" s="1186"/>
      <c r="P4" s="1186"/>
      <c r="Q4" s="1186"/>
      <c r="R4" s="1186"/>
      <c r="S4" s="1186"/>
      <c r="T4" s="1186"/>
      <c r="U4" s="1186"/>
      <c r="V4" s="1186"/>
      <c r="W4" s="1186"/>
      <c r="X4" s="1186"/>
      <c r="Y4" s="1186"/>
      <c r="Z4" s="1186"/>
      <c r="AA4" s="1186"/>
      <c r="AB4" s="1186"/>
      <c r="AC4" s="1186"/>
      <c r="AD4" s="1186"/>
      <c r="AE4" s="1186"/>
      <c r="AF4" s="1186"/>
      <c r="AG4" s="1186"/>
      <c r="AH4" s="1186"/>
      <c r="AI4" s="1186"/>
      <c r="AJ4" s="1186"/>
      <c r="AK4" s="1186"/>
      <c r="AL4" s="1186"/>
      <c r="AM4" s="1186"/>
      <c r="AN4" s="1186"/>
      <c r="AO4" s="1186"/>
      <c r="AP4" s="1186"/>
      <c r="AQ4" s="1186"/>
      <c r="AR4" s="1186"/>
      <c r="AS4" s="1186"/>
      <c r="AT4" s="1186"/>
      <c r="AU4" s="1186"/>
      <c r="AV4" s="1186"/>
      <c r="AW4" s="1186"/>
      <c r="AX4" s="1186"/>
      <c r="AY4" s="1186"/>
      <c r="AZ4" s="1186"/>
      <c r="BA4" s="1186"/>
      <c r="BB4" s="1186"/>
      <c r="BC4" s="1186"/>
      <c r="BD4" s="1186"/>
      <c r="BE4" s="1186"/>
      <c r="BF4" s="1186"/>
      <c r="BG4" s="1186"/>
      <c r="BH4" s="1186"/>
      <c r="BI4" s="1186"/>
      <c r="BJ4" s="1186"/>
      <c r="BK4" s="1186"/>
      <c r="BL4" s="1186"/>
      <c r="BM4" s="1186"/>
      <c r="BN4" s="1186"/>
      <c r="BO4" s="1186"/>
      <c r="BP4" s="1186"/>
      <c r="BQ4" s="1186"/>
      <c r="BR4" s="1186"/>
      <c r="BS4" s="1186"/>
      <c r="BT4" s="1186"/>
      <c r="BU4" s="1186"/>
      <c r="BV4" s="1186"/>
      <c r="BW4" s="1186"/>
      <c r="BX4" s="1186"/>
      <c r="BY4" s="1186"/>
      <c r="BZ4" s="1186"/>
      <c r="CA4" s="1186"/>
      <c r="CB4" s="1186"/>
      <c r="CC4" s="1186"/>
      <c r="CD4" s="1186"/>
      <c r="CE4" s="1186"/>
      <c r="CF4" s="1186"/>
      <c r="CG4" s="1186"/>
      <c r="CH4" s="1186"/>
      <c r="CI4" s="1186"/>
      <c r="CJ4" s="1186"/>
      <c r="CK4" s="1186"/>
      <c r="CL4" s="1186"/>
      <c r="CM4" s="1186"/>
      <c r="CN4" s="1186"/>
      <c r="CO4" s="1186"/>
      <c r="CP4" s="1186"/>
      <c r="CQ4" s="1186"/>
      <c r="CR4" s="1186"/>
      <c r="CS4" s="1186"/>
      <c r="CT4" s="1186"/>
      <c r="CU4" s="1186"/>
      <c r="CV4" s="1186"/>
      <c r="CW4" s="1186"/>
      <c r="CX4" s="1187" t="e">
        <f>CX32</f>
        <v>#REF!</v>
      </c>
      <c r="CY4" s="1187" t="str">
        <f>CY32</f>
        <v>9,130</v>
      </c>
      <c r="CZ4" s="1187" t="e">
        <f>CZ32</f>
        <v>#REF!</v>
      </c>
      <c r="DA4" s="1189" t="str">
        <f>DA32</f>
        <v>713</v>
      </c>
      <c r="DB4" s="1104"/>
    </row>
    <row r="5" spans="2:106" ht="11.25" customHeight="1">
      <c r="B5" s="1105"/>
      <c r="C5" s="1165"/>
      <c r="D5" s="1165"/>
      <c r="E5" s="1165"/>
      <c r="F5" s="1165"/>
      <c r="G5" s="1165"/>
      <c r="H5" s="1165"/>
      <c r="I5" s="1165"/>
      <c r="J5" s="1165"/>
      <c r="K5" s="1165"/>
      <c r="L5" s="1165"/>
      <c r="M5" s="1165"/>
      <c r="N5" s="1165"/>
      <c r="O5" s="1165"/>
      <c r="P5" s="1165"/>
      <c r="Q5" s="1165"/>
      <c r="R5" s="1165"/>
      <c r="S5" s="1165"/>
      <c r="T5" s="1165"/>
      <c r="U5" s="1165"/>
      <c r="V5" s="1165"/>
      <c r="W5" s="1165"/>
      <c r="X5" s="1165"/>
      <c r="Y5" s="1165"/>
      <c r="Z5" s="1165"/>
      <c r="AA5" s="1165"/>
      <c r="AB5" s="1165"/>
      <c r="AC5" s="1165"/>
      <c r="AD5" s="1165"/>
      <c r="AE5" s="1165"/>
      <c r="AF5" s="1165"/>
      <c r="AG5" s="1165"/>
      <c r="AH5" s="1165"/>
      <c r="AI5" s="1165"/>
      <c r="AJ5" s="1165"/>
      <c r="AK5" s="1165"/>
      <c r="AL5" s="1165"/>
      <c r="AM5" s="1165"/>
      <c r="AN5" s="1165"/>
      <c r="AO5" s="1165"/>
      <c r="AP5" s="1165"/>
      <c r="AQ5" s="1165"/>
      <c r="AR5" s="1165"/>
      <c r="AS5" s="1165"/>
      <c r="AT5" s="1165"/>
      <c r="AU5" s="1165"/>
      <c r="AV5" s="1165"/>
      <c r="AW5" s="1165"/>
      <c r="AX5" s="1165"/>
      <c r="AY5" s="1165"/>
      <c r="AZ5" s="1165"/>
      <c r="BA5" s="1165"/>
      <c r="BB5" s="1165"/>
      <c r="BC5" s="1165"/>
      <c r="BD5" s="1165"/>
      <c r="BE5" s="1165"/>
      <c r="BF5" s="1165"/>
      <c r="BG5" s="1165"/>
      <c r="BH5" s="1165"/>
      <c r="BI5" s="1165"/>
      <c r="BJ5" s="1165"/>
      <c r="BK5" s="1165"/>
      <c r="BL5" s="1165"/>
      <c r="BM5" s="1165"/>
      <c r="BN5" s="1165"/>
      <c r="BO5" s="1165"/>
      <c r="BP5" s="1165"/>
      <c r="BQ5" s="1165"/>
      <c r="BR5" s="1165"/>
      <c r="BS5" s="1165"/>
      <c r="BT5" s="1165"/>
      <c r="BU5" s="1165"/>
      <c r="BV5" s="1165"/>
      <c r="BW5" s="1165"/>
      <c r="BX5" s="1165"/>
      <c r="BY5" s="1165"/>
      <c r="BZ5" s="1165"/>
      <c r="CA5" s="1165"/>
      <c r="CB5" s="1165"/>
      <c r="CC5" s="1165"/>
      <c r="CD5" s="1165"/>
      <c r="CE5" s="1165"/>
      <c r="CF5" s="1165"/>
      <c r="CG5" s="1165"/>
      <c r="CH5" s="1165"/>
      <c r="CI5" s="1165"/>
      <c r="CJ5" s="1165"/>
      <c r="CK5" s="1165"/>
      <c r="CL5" s="1165"/>
      <c r="CM5" s="1165"/>
      <c r="CN5" s="1165"/>
      <c r="CO5" s="1165"/>
      <c r="CP5" s="1165"/>
      <c r="CQ5" s="1165"/>
      <c r="CR5" s="1165"/>
      <c r="CS5" s="1165"/>
      <c r="CT5" s="1165"/>
      <c r="CU5" s="1165"/>
      <c r="CV5" s="1165"/>
      <c r="CW5" s="1165"/>
      <c r="CX5" s="1106"/>
      <c r="CY5" s="1106"/>
      <c r="CZ5" s="1106"/>
      <c r="DA5" s="1107"/>
      <c r="DB5" s="1104"/>
    </row>
    <row r="6" spans="2:106" ht="11.25" customHeight="1">
      <c r="B6" s="1105"/>
      <c r="C6" s="1165"/>
      <c r="D6" s="1165" t="s">
        <v>1006</v>
      </c>
      <c r="E6" s="1165"/>
      <c r="F6" s="1165"/>
      <c r="G6" s="1165" t="s">
        <v>1007</v>
      </c>
      <c r="H6" s="1165"/>
      <c r="I6" s="1165"/>
      <c r="J6" s="1165" t="s">
        <v>179</v>
      </c>
      <c r="K6" s="1165"/>
      <c r="L6" s="1165" t="s">
        <v>263</v>
      </c>
      <c r="M6" s="1165" t="s">
        <v>1008</v>
      </c>
      <c r="N6" s="1165"/>
      <c r="O6" s="1165" t="s">
        <v>954</v>
      </c>
      <c r="P6" s="1165" t="s">
        <v>264</v>
      </c>
      <c r="Q6" s="1165"/>
      <c r="R6" s="1165"/>
      <c r="S6" s="1165"/>
      <c r="T6" s="1165"/>
      <c r="U6" s="1165"/>
      <c r="V6" s="1165"/>
      <c r="W6" s="1165"/>
      <c r="X6" s="1165"/>
      <c r="Y6" s="1165"/>
      <c r="Z6" s="1165"/>
      <c r="AA6" s="1165"/>
      <c r="AB6" s="1165"/>
      <c r="AC6" s="1165"/>
      <c r="AD6" s="1165"/>
      <c r="AE6" s="1165"/>
      <c r="AF6" s="1165"/>
      <c r="AG6" s="1165"/>
      <c r="AH6" s="1165"/>
      <c r="AI6" s="1165"/>
      <c r="AJ6" s="1165"/>
      <c r="AK6" s="1165"/>
      <c r="AL6" s="1165"/>
      <c r="AM6" s="1165"/>
      <c r="AN6" s="1165"/>
      <c r="AO6" s="1165"/>
      <c r="AP6" s="1165"/>
      <c r="AQ6" s="1165"/>
      <c r="AR6" s="1165"/>
      <c r="AS6" s="1165"/>
      <c r="AT6" s="1165"/>
      <c r="AU6" s="1165"/>
      <c r="AV6" s="1165"/>
      <c r="AW6" s="1165"/>
      <c r="AX6" s="1165"/>
      <c r="AY6" s="1165"/>
      <c r="AZ6" s="1165"/>
      <c r="BA6" s="1165"/>
      <c r="BB6" s="1165"/>
      <c r="BC6" s="1165"/>
      <c r="BD6" s="1165"/>
      <c r="BE6" s="1165"/>
      <c r="BF6" s="1165"/>
      <c r="BG6" s="1165"/>
      <c r="BH6" s="1165"/>
      <c r="BI6" s="1165"/>
      <c r="BJ6" s="1165"/>
      <c r="BK6" s="1165"/>
      <c r="BL6" s="1165"/>
      <c r="BM6" s="1165"/>
      <c r="BN6" s="1165"/>
      <c r="BO6" s="1165"/>
      <c r="BP6" s="1165"/>
      <c r="BQ6" s="1165"/>
      <c r="BR6" s="1165"/>
      <c r="BS6" s="1165"/>
      <c r="BT6" s="1165"/>
      <c r="BU6" s="1165"/>
      <c r="BV6" s="1165"/>
      <c r="BW6" s="1165"/>
      <c r="BX6" s="1165"/>
      <c r="BY6" s="1165"/>
      <c r="BZ6" s="1165"/>
      <c r="CA6" s="1165"/>
      <c r="CB6" s="1165"/>
      <c r="CC6" s="1165"/>
      <c r="CD6" s="1165"/>
      <c r="CE6" s="1165"/>
      <c r="CF6" s="1165"/>
      <c r="CG6" s="1165"/>
      <c r="CH6" s="1165"/>
      <c r="CI6" s="1165"/>
      <c r="CJ6" s="1165"/>
      <c r="CK6" s="1165"/>
      <c r="CL6" s="1165"/>
      <c r="CM6" s="1165"/>
      <c r="CN6" s="1165"/>
      <c r="CO6" s="1165"/>
      <c r="CP6" s="1165"/>
      <c r="CQ6" s="1165"/>
      <c r="CR6" s="1165"/>
      <c r="CS6" s="1165"/>
      <c r="CT6" s="1165"/>
      <c r="CU6" s="1165"/>
      <c r="CV6" s="1165"/>
      <c r="CW6" s="1165"/>
      <c r="CX6" s="1106"/>
      <c r="CY6" s="1106"/>
      <c r="CZ6" s="1106"/>
      <c r="DA6" s="1107"/>
      <c r="DB6" s="1104"/>
    </row>
    <row r="7" spans="2:106" ht="11.25" customHeight="1">
      <c r="B7" s="1105"/>
      <c r="C7" s="1165"/>
      <c r="D7" s="1165"/>
      <c r="E7" s="1165"/>
      <c r="F7" s="1165"/>
      <c r="G7" s="1165"/>
      <c r="H7" s="1165"/>
      <c r="I7" s="1165"/>
      <c r="J7" s="1165"/>
      <c r="K7" s="1165"/>
      <c r="L7" s="1165"/>
      <c r="M7" s="1165"/>
      <c r="N7" s="1165"/>
      <c r="O7" s="1165"/>
      <c r="P7" s="1165"/>
      <c r="Q7" s="1165"/>
      <c r="R7" s="1165"/>
      <c r="S7" s="1165"/>
      <c r="T7" s="1165"/>
      <c r="U7" s="1165"/>
      <c r="V7" s="1165"/>
      <c r="W7" s="1165"/>
      <c r="X7" s="1165"/>
      <c r="Y7" s="1165"/>
      <c r="Z7" s="1165"/>
      <c r="AA7" s="1165"/>
      <c r="AB7" s="1165"/>
      <c r="AC7" s="1165"/>
      <c r="AD7" s="1165"/>
      <c r="AE7" s="1165"/>
      <c r="AF7" s="1165"/>
      <c r="AG7" s="1165"/>
      <c r="AH7" s="1165"/>
      <c r="AI7" s="1165"/>
      <c r="AJ7" s="1165"/>
      <c r="AK7" s="1165"/>
      <c r="AL7" s="1165"/>
      <c r="AM7" s="1165"/>
      <c r="AN7" s="1165"/>
      <c r="AO7" s="1165"/>
      <c r="AP7" s="1165"/>
      <c r="AQ7" s="1165"/>
      <c r="AR7" s="1165"/>
      <c r="AS7" s="1165"/>
      <c r="AT7" s="1165"/>
      <c r="AU7" s="1165"/>
      <c r="AV7" s="1165"/>
      <c r="AW7" s="1165"/>
      <c r="AX7" s="1165"/>
      <c r="AY7" s="1165"/>
      <c r="AZ7" s="1165"/>
      <c r="BA7" s="1165"/>
      <c r="BB7" s="1165"/>
      <c r="BC7" s="1165"/>
      <c r="BD7" s="1165"/>
      <c r="BE7" s="1165"/>
      <c r="BF7" s="1165"/>
      <c r="BG7" s="1165"/>
      <c r="BH7" s="1165"/>
      <c r="BI7" s="1165"/>
      <c r="BJ7" s="1165"/>
      <c r="BK7" s="1165"/>
      <c r="BL7" s="1165"/>
      <c r="BM7" s="1165"/>
      <c r="BN7" s="1165"/>
      <c r="BO7" s="1165"/>
      <c r="BP7" s="1165"/>
      <c r="BQ7" s="1165"/>
      <c r="BR7" s="1165"/>
      <c r="BS7" s="1165"/>
      <c r="BT7" s="1165"/>
      <c r="BU7" s="1165"/>
      <c r="BV7" s="1165"/>
      <c r="BW7" s="1165"/>
      <c r="BX7" s="1165"/>
      <c r="BY7" s="1165"/>
      <c r="BZ7" s="1165"/>
      <c r="CA7" s="1165"/>
      <c r="CB7" s="1165"/>
      <c r="CC7" s="1165"/>
      <c r="CD7" s="1165"/>
      <c r="CE7" s="1165"/>
      <c r="CF7" s="1165"/>
      <c r="CG7" s="1165"/>
      <c r="CH7" s="1165"/>
      <c r="CI7" s="1165"/>
      <c r="CJ7" s="1165"/>
      <c r="CK7" s="1165"/>
      <c r="CL7" s="1165"/>
      <c r="CM7" s="1165"/>
      <c r="CN7" s="1165"/>
      <c r="CO7" s="1165"/>
      <c r="CP7" s="1165"/>
      <c r="CQ7" s="1165"/>
      <c r="CR7" s="1165"/>
      <c r="CS7" s="1165"/>
      <c r="CT7" s="1165"/>
      <c r="CU7" s="1165"/>
      <c r="CV7" s="1165"/>
      <c r="CW7" s="1165"/>
      <c r="CX7" s="1106"/>
      <c r="CY7" s="1106"/>
      <c r="CZ7" s="1106"/>
      <c r="DA7" s="1107"/>
      <c r="DB7" s="1104"/>
    </row>
    <row r="8" spans="2:106" ht="11.25" customHeight="1">
      <c r="B8" s="1105"/>
      <c r="C8" s="1165"/>
      <c r="D8" s="1165"/>
      <c r="E8" s="1165"/>
      <c r="F8" s="1165"/>
      <c r="G8" s="1165" t="s">
        <v>1009</v>
      </c>
      <c r="H8" s="1165"/>
      <c r="I8" s="1165"/>
      <c r="J8" s="1165"/>
      <c r="K8" s="1165"/>
      <c r="L8" s="1165"/>
      <c r="M8" s="1165"/>
      <c r="N8" s="1165"/>
      <c r="O8" s="1165"/>
      <c r="P8" s="1165"/>
      <c r="Q8" s="1165"/>
      <c r="R8" s="1165"/>
      <c r="S8" s="1165"/>
      <c r="T8" s="1165"/>
      <c r="U8" s="1165"/>
      <c r="V8" s="1165"/>
      <c r="W8" s="1165"/>
      <c r="X8" s="1165"/>
      <c r="Y8" s="1165"/>
      <c r="Z8" s="1165" t="s">
        <v>1010</v>
      </c>
      <c r="AA8" s="1165"/>
      <c r="AB8" s="1165"/>
      <c r="AC8" s="1165"/>
      <c r="AD8" s="1165"/>
      <c r="AE8" s="1165"/>
      <c r="AF8" s="1165"/>
      <c r="AG8" s="1165"/>
      <c r="AH8" s="1165"/>
      <c r="AI8" s="1165"/>
      <c r="AJ8" s="1165"/>
      <c r="AK8" s="1165"/>
      <c r="AL8" s="1165"/>
      <c r="AM8" s="1165"/>
      <c r="AN8" s="1165"/>
      <c r="AO8" s="1165"/>
      <c r="AP8" s="1165"/>
      <c r="AQ8" s="1165"/>
      <c r="AR8" s="1165"/>
      <c r="AS8" s="1165"/>
      <c r="AT8" s="1165"/>
      <c r="AU8" s="1165"/>
      <c r="AV8" s="1165"/>
      <c r="AW8" s="1165"/>
      <c r="AX8" s="1165"/>
      <c r="AY8" s="1165"/>
      <c r="AZ8" s="1165"/>
      <c r="BA8" s="1165"/>
      <c r="BB8" s="1165"/>
      <c r="BC8" s="1165"/>
      <c r="BD8" s="1165"/>
      <c r="BE8" s="1165"/>
      <c r="BF8" s="1165"/>
      <c r="BG8" s="1165"/>
      <c r="BH8" s="1165"/>
      <c r="BI8" s="1165"/>
      <c r="BJ8" s="1165"/>
      <c r="BK8" s="1165"/>
      <c r="BL8" s="1165"/>
      <c r="BM8" s="1165"/>
      <c r="BN8" s="1165"/>
      <c r="BO8" s="1165"/>
      <c r="BP8" s="1165"/>
      <c r="BQ8" s="1165"/>
      <c r="BR8" s="1165"/>
      <c r="BS8" s="1165"/>
      <c r="BT8" s="1165"/>
      <c r="BU8" s="1165"/>
      <c r="BV8" s="1165"/>
      <c r="BW8" s="1165"/>
      <c r="BX8" s="1165"/>
      <c r="BY8" s="1165"/>
      <c r="BZ8" s="1165"/>
      <c r="CA8" s="1165"/>
      <c r="CB8" s="1165"/>
      <c r="CC8" s="1165"/>
      <c r="CD8" s="1165"/>
      <c r="CE8" s="1165"/>
      <c r="CF8" s="1165"/>
      <c r="CG8" s="1165"/>
      <c r="CH8" s="1165"/>
      <c r="CI8" s="1165"/>
      <c r="CJ8" s="1165"/>
      <c r="CK8" s="1165"/>
      <c r="CL8" s="1165"/>
      <c r="CM8" s="1165"/>
      <c r="CN8" s="1165"/>
      <c r="CO8" s="1165"/>
      <c r="CP8" s="1165"/>
      <c r="CQ8" s="1165"/>
      <c r="CR8" s="1165"/>
      <c r="CS8" s="1165"/>
      <c r="CT8" s="1165"/>
      <c r="CU8" s="1165"/>
      <c r="CV8" s="1165"/>
      <c r="CW8" s="1165"/>
      <c r="CX8" s="1106"/>
      <c r="CY8" s="1106"/>
      <c r="CZ8" s="1106"/>
      <c r="DA8" s="1107"/>
      <c r="DB8" s="1104"/>
    </row>
    <row r="9" spans="2:106" ht="11.25" customHeight="1">
      <c r="B9" s="1105"/>
      <c r="C9" s="1165"/>
      <c r="D9" s="1165"/>
      <c r="E9" s="1165"/>
      <c r="F9" s="1165"/>
      <c r="G9" s="1165"/>
      <c r="H9" s="1165"/>
      <c r="I9" s="1165"/>
      <c r="J9" s="1165"/>
      <c r="K9" s="1165"/>
      <c r="L9" s="1165"/>
      <c r="M9" s="1165"/>
      <c r="N9" s="1165"/>
      <c r="O9" s="1165"/>
      <c r="P9" s="1165"/>
      <c r="Q9" s="1165"/>
      <c r="R9" s="1165"/>
      <c r="S9" s="1165"/>
      <c r="T9" s="1165"/>
      <c r="U9" s="1165"/>
      <c r="V9" s="1165"/>
      <c r="W9" s="1165"/>
      <c r="X9" s="1165"/>
      <c r="Y9" s="1165"/>
      <c r="Z9" s="1165"/>
      <c r="AA9" s="1165"/>
      <c r="AB9" s="1165"/>
      <c r="AC9" s="1165"/>
      <c r="AD9" s="1165"/>
      <c r="AE9" s="1165"/>
      <c r="AF9" s="1165"/>
      <c r="AG9" s="1165"/>
      <c r="AH9" s="1165"/>
      <c r="AI9" s="1165"/>
      <c r="AJ9" s="1165"/>
      <c r="AK9" s="1165"/>
      <c r="AL9" s="1165"/>
      <c r="AM9" s="1165"/>
      <c r="AN9" s="1165"/>
      <c r="AO9" s="1165"/>
      <c r="AP9" s="1165"/>
      <c r="AQ9" s="1165"/>
      <c r="AR9" s="1165"/>
      <c r="AS9" s="1165"/>
      <c r="AT9" s="1165"/>
      <c r="AU9" s="1165"/>
      <c r="AV9" s="1165"/>
      <c r="AW9" s="1165"/>
      <c r="AX9" s="1165"/>
      <c r="AY9" s="1165"/>
      <c r="AZ9" s="1165"/>
      <c r="BA9" s="1165"/>
      <c r="BB9" s="1165"/>
      <c r="BC9" s="1165"/>
      <c r="BD9" s="1165"/>
      <c r="BE9" s="1165"/>
      <c r="BF9" s="1165"/>
      <c r="BG9" s="1165"/>
      <c r="BH9" s="1165"/>
      <c r="BI9" s="1165"/>
      <c r="BJ9" s="1165"/>
      <c r="BK9" s="1165"/>
      <c r="BL9" s="1165"/>
      <c r="BM9" s="1165"/>
      <c r="BN9" s="1165"/>
      <c r="BO9" s="1165"/>
      <c r="BP9" s="1165"/>
      <c r="BQ9" s="1165"/>
      <c r="BR9" s="1165"/>
      <c r="BS9" s="1165"/>
      <c r="BT9" s="1165"/>
      <c r="BU9" s="1165"/>
      <c r="BV9" s="1165"/>
      <c r="BW9" s="1165"/>
      <c r="BX9" s="1165"/>
      <c r="BY9" s="1165"/>
      <c r="BZ9" s="1165"/>
      <c r="CA9" s="1165"/>
      <c r="CB9" s="1165"/>
      <c r="CC9" s="1165"/>
      <c r="CD9" s="1165"/>
      <c r="CE9" s="1165"/>
      <c r="CF9" s="1165"/>
      <c r="CG9" s="1165"/>
      <c r="CH9" s="1165"/>
      <c r="CI9" s="1165"/>
      <c r="CJ9" s="1165"/>
      <c r="CK9" s="1165"/>
      <c r="CL9" s="1165"/>
      <c r="CM9" s="1165"/>
      <c r="CN9" s="1165"/>
      <c r="CO9" s="1165"/>
      <c r="CP9" s="1165"/>
      <c r="CQ9" s="1165"/>
      <c r="CR9" s="1165"/>
      <c r="CS9" s="1165"/>
      <c r="CT9" s="1165"/>
      <c r="CU9" s="1165"/>
      <c r="CV9" s="1165"/>
      <c r="CW9" s="1165"/>
      <c r="CX9" s="1106"/>
      <c r="CY9" s="1106"/>
      <c r="CZ9" s="1106"/>
      <c r="DA9" s="1107"/>
      <c r="DB9" s="1104"/>
    </row>
    <row r="10" spans="2:106" ht="11.25" customHeight="1">
      <c r="B10" s="1105"/>
      <c r="C10" s="1165"/>
      <c r="D10" s="1165"/>
      <c r="E10" s="1165"/>
      <c r="F10" s="1165"/>
      <c r="G10" s="1165" t="s">
        <v>1011</v>
      </c>
      <c r="H10" s="1165"/>
      <c r="I10" s="1165" t="s">
        <v>227</v>
      </c>
      <c r="J10" s="1165"/>
      <c r="K10" s="1165" t="str">
        <f>TEXT(0.2,"#,##0.#######")</f>
        <v>0.2</v>
      </c>
      <c r="L10" s="1165"/>
      <c r="M10" s="1165"/>
      <c r="N10" s="1165" t="s">
        <v>178</v>
      </c>
      <c r="O10" s="1165"/>
      <c r="P10" s="1165"/>
      <c r="Q10" s="1165"/>
      <c r="R10" s="1165"/>
      <c r="S10" s="1165"/>
      <c r="T10" s="1165"/>
      <c r="U10" s="1165"/>
      <c r="V10" s="1165" t="s">
        <v>1012</v>
      </c>
      <c r="W10" s="1165"/>
      <c r="X10" s="1165" t="s">
        <v>227</v>
      </c>
      <c r="Y10" s="1165"/>
      <c r="Z10" s="1165" t="str">
        <f>TEXT(1,"#,##0.#######")</f>
        <v>1.</v>
      </c>
      <c r="AA10" s="1165"/>
      <c r="AB10" s="1165" t="s">
        <v>249</v>
      </c>
      <c r="AC10" s="1165"/>
      <c r="AD10" s="1165" t="str">
        <f>TEXT(1.24,"#,##0.#######")</f>
        <v>1.24</v>
      </c>
      <c r="AE10" s="1165"/>
      <c r="AF10" s="1165"/>
      <c r="AG10" s="1165"/>
      <c r="AH10" s="1165"/>
      <c r="AI10" s="1165" t="s">
        <v>227</v>
      </c>
      <c r="AJ10" s="1165"/>
      <c r="AK10" s="1165" t="str">
        <f>TEXT(ROUND(Z10/AD10,2),"#,##0.#######")</f>
        <v>0.81</v>
      </c>
      <c r="AL10" s="1165"/>
      <c r="AM10" s="1165"/>
      <c r="AN10" s="1165"/>
      <c r="AO10" s="1165"/>
      <c r="AP10" s="1165"/>
      <c r="AQ10" s="1165"/>
      <c r="AR10" s="1165"/>
      <c r="AS10" s="1165"/>
      <c r="AT10" s="1165"/>
      <c r="AU10" s="1165"/>
      <c r="AV10" s="1165" t="s">
        <v>1013</v>
      </c>
      <c r="AW10" s="1165"/>
      <c r="AX10" s="1165" t="s">
        <v>227</v>
      </c>
      <c r="AY10" s="1165"/>
      <c r="AZ10" s="1165" t="str">
        <f>TEXT(0.9,"#,##0.#######")</f>
        <v>0.9</v>
      </c>
      <c r="BA10" s="1165"/>
      <c r="BB10" s="1165"/>
      <c r="BC10" s="1165"/>
      <c r="BD10" s="1165"/>
      <c r="BE10" s="1165"/>
      <c r="BF10" s="1165"/>
      <c r="BG10" s="1165"/>
      <c r="BH10" s="1165"/>
      <c r="BI10" s="1165"/>
      <c r="BJ10" s="1165"/>
      <c r="BK10" s="1165"/>
      <c r="BL10" s="1165"/>
      <c r="BM10" s="1165"/>
      <c r="BN10" s="1165"/>
      <c r="BO10" s="1165"/>
      <c r="BP10" s="1165"/>
      <c r="BQ10" s="1165"/>
      <c r="BR10" s="1165"/>
      <c r="BS10" s="1165"/>
      <c r="BT10" s="1165"/>
      <c r="BU10" s="1165"/>
      <c r="BV10" s="1165"/>
      <c r="BW10" s="1165"/>
      <c r="BX10" s="1165"/>
      <c r="BY10" s="1165"/>
      <c r="BZ10" s="1165"/>
      <c r="CA10" s="1165"/>
      <c r="CB10" s="1165"/>
      <c r="CC10" s="1165"/>
      <c r="CD10" s="1165"/>
      <c r="CE10" s="1165"/>
      <c r="CF10" s="1165"/>
      <c r="CG10" s="1165"/>
      <c r="CH10" s="1165"/>
      <c r="CI10" s="1165"/>
      <c r="CJ10" s="1165"/>
      <c r="CK10" s="1165"/>
      <c r="CL10" s="1165"/>
      <c r="CM10" s="1165"/>
      <c r="CN10" s="1165"/>
      <c r="CO10" s="1165"/>
      <c r="CP10" s="1165"/>
      <c r="CQ10" s="1165"/>
      <c r="CR10" s="1165"/>
      <c r="CS10" s="1165"/>
      <c r="CT10" s="1165"/>
      <c r="CU10" s="1165"/>
      <c r="CV10" s="1165"/>
      <c r="CW10" s="1165"/>
      <c r="CX10" s="1106"/>
      <c r="CY10" s="1106"/>
      <c r="CZ10" s="1106"/>
      <c r="DA10" s="1107"/>
      <c r="DB10" s="1104"/>
    </row>
    <row r="11" spans="2:106" ht="11.25" customHeight="1">
      <c r="B11" s="1105"/>
      <c r="C11" s="1165"/>
      <c r="D11" s="1165"/>
      <c r="E11" s="1165"/>
      <c r="F11" s="1165"/>
      <c r="G11" s="1165"/>
      <c r="H11" s="1165"/>
      <c r="I11" s="1165"/>
      <c r="J11" s="1165"/>
      <c r="K11" s="1165"/>
      <c r="L11" s="1165"/>
      <c r="M11" s="1165"/>
      <c r="N11" s="1165"/>
      <c r="O11" s="1165"/>
      <c r="P11" s="1165"/>
      <c r="Q11" s="1165"/>
      <c r="R11" s="1165"/>
      <c r="S11" s="1165"/>
      <c r="T11" s="1165"/>
      <c r="U11" s="1165"/>
      <c r="V11" s="1165"/>
      <c r="W11" s="1165"/>
      <c r="X11" s="1165"/>
      <c r="Y11" s="1165"/>
      <c r="Z11" s="1165"/>
      <c r="AA11" s="1165"/>
      <c r="AB11" s="1165"/>
      <c r="AC11" s="1165"/>
      <c r="AD11" s="1165"/>
      <c r="AE11" s="1165"/>
      <c r="AF11" s="1165"/>
      <c r="AG11" s="1165"/>
      <c r="AH11" s="1165"/>
      <c r="AI11" s="1165"/>
      <c r="AJ11" s="1165"/>
      <c r="AK11" s="1165"/>
      <c r="AL11" s="1165"/>
      <c r="AM11" s="1165"/>
      <c r="AN11" s="1165"/>
      <c r="AO11" s="1165"/>
      <c r="AP11" s="1165"/>
      <c r="AQ11" s="1165"/>
      <c r="AR11" s="1165"/>
      <c r="AS11" s="1165"/>
      <c r="AT11" s="1165"/>
      <c r="AU11" s="1165"/>
      <c r="AV11" s="1165"/>
      <c r="AW11" s="1165"/>
      <c r="AX11" s="1165"/>
      <c r="AY11" s="1165"/>
      <c r="AZ11" s="1165"/>
      <c r="BA11" s="1165"/>
      <c r="BB11" s="1165"/>
      <c r="BC11" s="1165"/>
      <c r="BD11" s="1165"/>
      <c r="BE11" s="1165"/>
      <c r="BF11" s="1165"/>
      <c r="BG11" s="1165"/>
      <c r="BH11" s="1165"/>
      <c r="BI11" s="1165"/>
      <c r="BJ11" s="1165"/>
      <c r="BK11" s="1165"/>
      <c r="BL11" s="1165"/>
      <c r="BM11" s="1165"/>
      <c r="BN11" s="1165"/>
      <c r="BO11" s="1165"/>
      <c r="BP11" s="1165"/>
      <c r="BQ11" s="1165"/>
      <c r="BR11" s="1165"/>
      <c r="BS11" s="1165"/>
      <c r="BT11" s="1165"/>
      <c r="BU11" s="1165"/>
      <c r="BV11" s="1165"/>
      <c r="BW11" s="1165"/>
      <c r="BX11" s="1165"/>
      <c r="BY11" s="1165"/>
      <c r="BZ11" s="1165"/>
      <c r="CA11" s="1165"/>
      <c r="CB11" s="1165"/>
      <c r="CC11" s="1165"/>
      <c r="CD11" s="1165"/>
      <c r="CE11" s="1165"/>
      <c r="CF11" s="1165"/>
      <c r="CG11" s="1165"/>
      <c r="CH11" s="1165"/>
      <c r="CI11" s="1165"/>
      <c r="CJ11" s="1165"/>
      <c r="CK11" s="1165"/>
      <c r="CL11" s="1165"/>
      <c r="CM11" s="1165"/>
      <c r="CN11" s="1165"/>
      <c r="CO11" s="1165"/>
      <c r="CP11" s="1165"/>
      <c r="CQ11" s="1165"/>
      <c r="CR11" s="1165"/>
      <c r="CS11" s="1165"/>
      <c r="CT11" s="1165"/>
      <c r="CU11" s="1165"/>
      <c r="CV11" s="1165"/>
      <c r="CW11" s="1165"/>
      <c r="CX11" s="1106"/>
      <c r="CY11" s="1106"/>
      <c r="CZ11" s="1106"/>
      <c r="DA11" s="1107"/>
      <c r="DB11" s="1104"/>
    </row>
    <row r="12" spans="2:106" ht="11.25" customHeight="1">
      <c r="B12" s="1105"/>
      <c r="C12" s="1165"/>
      <c r="D12" s="1165"/>
      <c r="E12" s="1165"/>
      <c r="F12" s="1165"/>
      <c r="G12" s="1165" t="s">
        <v>1014</v>
      </c>
      <c r="H12" s="1165"/>
      <c r="I12" s="1165" t="s">
        <v>227</v>
      </c>
      <c r="J12" s="1165"/>
      <c r="K12" s="1165" t="s">
        <v>263</v>
      </c>
      <c r="L12" s="1165" t="str">
        <f>TEXT(0.7,"#,##0.#######")</f>
        <v>0.7</v>
      </c>
      <c r="M12" s="1165"/>
      <c r="N12" s="1165"/>
      <c r="O12" s="1165" t="s">
        <v>209</v>
      </c>
      <c r="P12" s="1165" t="str">
        <f>TEXT(0.6,"#,##0.#######")</f>
        <v>0.6</v>
      </c>
      <c r="Q12" s="1165"/>
      <c r="R12" s="1165"/>
      <c r="S12" s="1165" t="s">
        <v>264</v>
      </c>
      <c r="T12" s="1165" t="s">
        <v>249</v>
      </c>
      <c r="U12" s="1165" t="str">
        <f>TEXT(2,"#,##0.#######")</f>
        <v>2.</v>
      </c>
      <c r="V12" s="1165" t="s">
        <v>214</v>
      </c>
      <c r="W12" s="1165" t="str">
        <f>TEXT(0.05,"#,##0.#######")</f>
        <v>0.05</v>
      </c>
      <c r="X12" s="1165"/>
      <c r="Y12" s="1165"/>
      <c r="Z12" s="1165"/>
      <c r="AA12" s="1165"/>
      <c r="AB12" s="1165" t="s">
        <v>227</v>
      </c>
      <c r="AC12" s="1165"/>
      <c r="AD12" s="1165" t="str">
        <f>TEXT(ROUND((L12+P12)/U12-W12,2),"#,##0.#######")</f>
        <v>0.6</v>
      </c>
      <c r="AE12" s="1165"/>
      <c r="AF12" s="1165"/>
      <c r="AG12" s="1165"/>
      <c r="AH12" s="1165"/>
      <c r="AI12" s="1165"/>
      <c r="AJ12" s="1165"/>
      <c r="AK12" s="1165"/>
      <c r="AL12" s="1165"/>
      <c r="AM12" s="1165"/>
      <c r="AN12" s="1165" t="s">
        <v>1015</v>
      </c>
      <c r="AO12" s="1165"/>
      <c r="AP12" s="1165"/>
      <c r="AQ12" s="1165" t="s">
        <v>227</v>
      </c>
      <c r="AR12" s="1165"/>
      <c r="AS12" s="1165" t="str">
        <f>TEXT(18,"#,##0.#######")</f>
        <v>18.</v>
      </c>
      <c r="AT12" s="1165"/>
      <c r="AU12" s="1165" t="s">
        <v>1016</v>
      </c>
      <c r="AV12" s="1165"/>
      <c r="AW12" s="1165"/>
      <c r="AX12" s="1165"/>
      <c r="AY12" s="1165" t="s">
        <v>263</v>
      </c>
      <c r="AZ12" s="1165" t="s">
        <v>1017</v>
      </c>
      <c r="BA12" s="1165"/>
      <c r="BB12" s="1165"/>
      <c r="BC12" s="1165" t="s">
        <v>1018</v>
      </c>
      <c r="BD12" s="1165"/>
      <c r="BE12" s="1165" t="s">
        <v>264</v>
      </c>
      <c r="BF12" s="1165"/>
      <c r="BG12" s="1165"/>
      <c r="BH12" s="1165"/>
      <c r="BI12" s="1165"/>
      <c r="BJ12" s="1165"/>
      <c r="BK12" s="1165"/>
      <c r="BL12" s="1165"/>
      <c r="BM12" s="1165"/>
      <c r="BN12" s="1165"/>
      <c r="BO12" s="1165"/>
      <c r="BP12" s="1165"/>
      <c r="BQ12" s="1165"/>
      <c r="BR12" s="1165"/>
      <c r="BS12" s="1165"/>
      <c r="BT12" s="1165"/>
      <c r="BU12" s="1165"/>
      <c r="BV12" s="1165"/>
      <c r="BW12" s="1165"/>
      <c r="BX12" s="1165"/>
      <c r="BY12" s="1165"/>
      <c r="BZ12" s="1165"/>
      <c r="CA12" s="1165"/>
      <c r="CB12" s="1165"/>
      <c r="CC12" s="1165"/>
      <c r="CD12" s="1165"/>
      <c r="CE12" s="1165"/>
      <c r="CF12" s="1165"/>
      <c r="CG12" s="1165"/>
      <c r="CH12" s="1165"/>
      <c r="CI12" s="1165"/>
      <c r="CJ12" s="1165"/>
      <c r="CK12" s="1165"/>
      <c r="CL12" s="1165"/>
      <c r="CM12" s="1165"/>
      <c r="CN12" s="1165"/>
      <c r="CO12" s="1165"/>
      <c r="CP12" s="1165"/>
      <c r="CQ12" s="1165"/>
      <c r="CR12" s="1165"/>
      <c r="CS12" s="1165"/>
      <c r="CT12" s="1165"/>
      <c r="CU12" s="1165"/>
      <c r="CV12" s="1165"/>
      <c r="CW12" s="1165"/>
      <c r="CX12" s="1106"/>
      <c r="CY12" s="1106"/>
      <c r="CZ12" s="1106"/>
      <c r="DA12" s="1107"/>
      <c r="DB12" s="1104"/>
    </row>
    <row r="13" spans="2:106" ht="11.25" customHeight="1">
      <c r="B13" s="1105"/>
      <c r="C13" s="1165"/>
      <c r="D13" s="1165"/>
      <c r="E13" s="1165"/>
      <c r="F13" s="1165"/>
      <c r="G13" s="1165"/>
      <c r="H13" s="1165"/>
      <c r="I13" s="1165"/>
      <c r="J13" s="1165"/>
      <c r="K13" s="1165"/>
      <c r="L13" s="1165"/>
      <c r="M13" s="1165"/>
      <c r="N13" s="1165"/>
      <c r="O13" s="1165"/>
      <c r="P13" s="1165"/>
      <c r="Q13" s="1165"/>
      <c r="R13" s="1165"/>
      <c r="S13" s="1165"/>
      <c r="T13" s="1165"/>
      <c r="U13" s="1165"/>
      <c r="V13" s="1165"/>
      <c r="W13" s="1165"/>
      <c r="X13" s="1165"/>
      <c r="Y13" s="1165"/>
      <c r="Z13" s="1165"/>
      <c r="AA13" s="1165"/>
      <c r="AB13" s="1165"/>
      <c r="AC13" s="1165"/>
      <c r="AD13" s="1165"/>
      <c r="AE13" s="1165"/>
      <c r="AF13" s="1165"/>
      <c r="AG13" s="1165"/>
      <c r="AH13" s="1165"/>
      <c r="AI13" s="1165"/>
      <c r="AJ13" s="1165"/>
      <c r="AK13" s="1165"/>
      <c r="AL13" s="1165"/>
      <c r="AM13" s="1165"/>
      <c r="AN13" s="1165"/>
      <c r="AO13" s="1165"/>
      <c r="AP13" s="1165"/>
      <c r="AQ13" s="1165"/>
      <c r="AR13" s="1165"/>
      <c r="AS13" s="1165"/>
      <c r="AT13" s="1165"/>
      <c r="AU13" s="1165"/>
      <c r="AV13" s="1165"/>
      <c r="AW13" s="1165"/>
      <c r="AX13" s="1165"/>
      <c r="AY13" s="1165"/>
      <c r="AZ13" s="1165"/>
      <c r="BA13" s="1165"/>
      <c r="BB13" s="1165"/>
      <c r="BC13" s="1165"/>
      <c r="BD13" s="1165"/>
      <c r="BE13" s="1165"/>
      <c r="BF13" s="1165"/>
      <c r="BG13" s="1165"/>
      <c r="BH13" s="1165"/>
      <c r="BI13" s="1165"/>
      <c r="BJ13" s="1165"/>
      <c r="BK13" s="1165"/>
      <c r="BL13" s="1165"/>
      <c r="BM13" s="1165"/>
      <c r="BN13" s="1165"/>
      <c r="BO13" s="1165"/>
      <c r="BP13" s="1165"/>
      <c r="BQ13" s="1165"/>
      <c r="BR13" s="1165"/>
      <c r="BS13" s="1165"/>
      <c r="BT13" s="1165"/>
      <c r="BU13" s="1165"/>
      <c r="BV13" s="1165"/>
      <c r="BW13" s="1165"/>
      <c r="BX13" s="1165"/>
      <c r="BY13" s="1165"/>
      <c r="BZ13" s="1165"/>
      <c r="CA13" s="1165"/>
      <c r="CB13" s="1165"/>
      <c r="CC13" s="1165"/>
      <c r="CD13" s="1165"/>
      <c r="CE13" s="1165"/>
      <c r="CF13" s="1165"/>
      <c r="CG13" s="1165"/>
      <c r="CH13" s="1165"/>
      <c r="CI13" s="1165"/>
      <c r="CJ13" s="1165"/>
      <c r="CK13" s="1165"/>
      <c r="CL13" s="1165"/>
      <c r="CM13" s="1165"/>
      <c r="CN13" s="1165"/>
      <c r="CO13" s="1165"/>
      <c r="CP13" s="1165"/>
      <c r="CQ13" s="1165"/>
      <c r="CR13" s="1165"/>
      <c r="CS13" s="1165"/>
      <c r="CT13" s="1165"/>
      <c r="CU13" s="1165"/>
      <c r="CV13" s="1165"/>
      <c r="CW13" s="1165"/>
      <c r="CX13" s="1106"/>
      <c r="CY13" s="1106"/>
      <c r="CZ13" s="1106"/>
      <c r="DA13" s="1107"/>
      <c r="DB13" s="1104"/>
    </row>
    <row r="14" spans="2:106" ht="11.25" customHeight="1">
      <c r="B14" s="1105"/>
      <c r="C14" s="1165"/>
      <c r="D14" s="1165"/>
      <c r="E14" s="1165"/>
      <c r="F14" s="1165"/>
      <c r="G14" s="1165"/>
      <c r="H14" s="1165"/>
      <c r="I14" s="1165"/>
      <c r="J14" s="1165"/>
      <c r="K14" s="1165"/>
      <c r="L14" s="1165" t="str">
        <f>TEXT(3600,"#,##0.#######")</f>
        <v>3,600.</v>
      </c>
      <c r="M14" s="1165"/>
      <c r="N14" s="1165"/>
      <c r="O14" s="1165"/>
      <c r="P14" s="1165"/>
      <c r="Q14" s="1165" t="s">
        <v>975</v>
      </c>
      <c r="R14" s="1165"/>
      <c r="S14" s="1165" t="s">
        <v>1011</v>
      </c>
      <c r="T14" s="1165" t="s">
        <v>975</v>
      </c>
      <c r="U14" s="1165"/>
      <c r="V14" s="1165" t="s">
        <v>1013</v>
      </c>
      <c r="W14" s="1165" t="s">
        <v>975</v>
      </c>
      <c r="X14" s="1165"/>
      <c r="Y14" s="1165" t="s">
        <v>1012</v>
      </c>
      <c r="Z14" s="1165" t="s">
        <v>975</v>
      </c>
      <c r="AA14" s="1165"/>
      <c r="AB14" s="1165" t="s">
        <v>1014</v>
      </c>
      <c r="AC14" s="1165"/>
      <c r="AD14" s="1165"/>
      <c r="AE14" s="1165"/>
      <c r="AF14" s="1165"/>
      <c r="AG14" s="1165"/>
      <c r="AH14" s="1165"/>
      <c r="AI14" s="1165" t="str">
        <f>TEXT(L14,"#,##0.#######")</f>
        <v>3,600.</v>
      </c>
      <c r="AJ14" s="1165"/>
      <c r="AK14" s="1165"/>
      <c r="AL14" s="1165"/>
      <c r="AM14" s="1165"/>
      <c r="AN14" s="1165" t="s">
        <v>975</v>
      </c>
      <c r="AO14" s="1165"/>
      <c r="AP14" s="1165" t="str">
        <f>TEXT(K10,"#,##0.#######")</f>
        <v>0.2</v>
      </c>
      <c r="AQ14" s="1165"/>
      <c r="AR14" s="1165"/>
      <c r="AS14" s="1165" t="s">
        <v>975</v>
      </c>
      <c r="AT14" s="1165"/>
      <c r="AU14" s="1165" t="str">
        <f>TEXT(AZ10,"#,##0.#######")</f>
        <v>0.9</v>
      </c>
      <c r="AV14" s="1165"/>
      <c r="AW14" s="1165"/>
      <c r="AX14" s="1165" t="s">
        <v>975</v>
      </c>
      <c r="AY14" s="1165"/>
      <c r="AZ14" s="1165" t="str">
        <f>TEXT(AK10,"#,##0.#######")</f>
        <v>0.81</v>
      </c>
      <c r="BA14" s="1165"/>
      <c r="BB14" s="1165"/>
      <c r="BC14" s="1165"/>
      <c r="BD14" s="1165" t="s">
        <v>975</v>
      </c>
      <c r="BE14" s="1165"/>
      <c r="BF14" s="1165" t="str">
        <f>TEXT(AD12,"#,##0.#######")</f>
        <v>0.6</v>
      </c>
      <c r="BG14" s="1165"/>
      <c r="BH14" s="1165"/>
      <c r="BI14" s="1165"/>
      <c r="BJ14" s="1165"/>
      <c r="BK14" s="1165"/>
      <c r="BL14" s="1165"/>
      <c r="BM14" s="1165"/>
      <c r="BN14" s="1165"/>
      <c r="BO14" s="1165"/>
      <c r="BP14" s="1165"/>
      <c r="BQ14" s="1165"/>
      <c r="BR14" s="1165"/>
      <c r="BS14" s="1165"/>
      <c r="BT14" s="1165"/>
      <c r="BU14" s="1165"/>
      <c r="BV14" s="1165"/>
      <c r="BW14" s="1165"/>
      <c r="BX14" s="1165"/>
      <c r="BY14" s="1165"/>
      <c r="BZ14" s="1165"/>
      <c r="CA14" s="1165"/>
      <c r="CB14" s="1165"/>
      <c r="CC14" s="1165"/>
      <c r="CD14" s="1165"/>
      <c r="CE14" s="1165"/>
      <c r="CF14" s="1165"/>
      <c r="CG14" s="1165"/>
      <c r="CH14" s="1165"/>
      <c r="CI14" s="1165"/>
      <c r="CJ14" s="1165"/>
      <c r="CK14" s="1165"/>
      <c r="CL14" s="1165"/>
      <c r="CM14" s="1165"/>
      <c r="CN14" s="1165"/>
      <c r="CO14" s="1165"/>
      <c r="CP14" s="1165"/>
      <c r="CQ14" s="1165"/>
      <c r="CR14" s="1165"/>
      <c r="CS14" s="1165"/>
      <c r="CT14" s="1165"/>
      <c r="CU14" s="1165"/>
      <c r="CV14" s="1165"/>
      <c r="CW14" s="1165"/>
      <c r="CX14" s="1106"/>
      <c r="CY14" s="1106"/>
      <c r="CZ14" s="1106"/>
      <c r="DA14" s="1107"/>
      <c r="DB14" s="1104"/>
    </row>
    <row r="15" spans="2:106" ht="11.25" customHeight="1">
      <c r="B15" s="1105"/>
      <c r="C15" s="1165"/>
      <c r="D15" s="1165"/>
      <c r="E15" s="1165"/>
      <c r="F15" s="1165"/>
      <c r="G15" s="1165" t="s">
        <v>1019</v>
      </c>
      <c r="H15" s="1165"/>
      <c r="I15" s="1165" t="s">
        <v>227</v>
      </c>
      <c r="J15" s="1165"/>
      <c r="K15" s="1165" t="s">
        <v>1020</v>
      </c>
      <c r="L15" s="1165"/>
      <c r="M15" s="1165" t="s">
        <v>1020</v>
      </c>
      <c r="N15" s="1165"/>
      <c r="O15" s="1165" t="s">
        <v>1020</v>
      </c>
      <c r="P15" s="1165"/>
      <c r="Q15" s="1165" t="s">
        <v>1020</v>
      </c>
      <c r="R15" s="1165"/>
      <c r="S15" s="1165" t="s">
        <v>1020</v>
      </c>
      <c r="T15" s="1165"/>
      <c r="U15" s="1165" t="s">
        <v>1020</v>
      </c>
      <c r="V15" s="1165"/>
      <c r="W15" s="1165" t="s">
        <v>1020</v>
      </c>
      <c r="X15" s="1165"/>
      <c r="Y15" s="1165" t="s">
        <v>1020</v>
      </c>
      <c r="Z15" s="1165"/>
      <c r="AA15" s="1165" t="s">
        <v>1020</v>
      </c>
      <c r="AB15" s="1165"/>
      <c r="AC15" s="1165" t="s">
        <v>1020</v>
      </c>
      <c r="AD15" s="1165"/>
      <c r="AE15" s="1165"/>
      <c r="AF15" s="1165" t="s">
        <v>227</v>
      </c>
      <c r="AG15" s="1165"/>
      <c r="AH15" s="1165" t="s">
        <v>1020</v>
      </c>
      <c r="AI15" s="1165"/>
      <c r="AJ15" s="1165" t="s">
        <v>1020</v>
      </c>
      <c r="AK15" s="1165"/>
      <c r="AL15" s="1165" t="s">
        <v>1020</v>
      </c>
      <c r="AM15" s="1165"/>
      <c r="AN15" s="1165" t="s">
        <v>1020</v>
      </c>
      <c r="AO15" s="1165"/>
      <c r="AP15" s="1165" t="s">
        <v>1020</v>
      </c>
      <c r="AQ15" s="1165"/>
      <c r="AR15" s="1165" t="s">
        <v>1020</v>
      </c>
      <c r="AS15" s="1165"/>
      <c r="AT15" s="1165" t="s">
        <v>1020</v>
      </c>
      <c r="AU15" s="1165"/>
      <c r="AV15" s="1165" t="s">
        <v>1020</v>
      </c>
      <c r="AW15" s="1165"/>
      <c r="AX15" s="1165" t="s">
        <v>1020</v>
      </c>
      <c r="AY15" s="1165"/>
      <c r="AZ15" s="1165" t="s">
        <v>1020</v>
      </c>
      <c r="BA15" s="1165"/>
      <c r="BB15" s="1165" t="s">
        <v>1020</v>
      </c>
      <c r="BC15" s="1165"/>
      <c r="BD15" s="1165" t="s">
        <v>1020</v>
      </c>
      <c r="BE15" s="1165"/>
      <c r="BF15" s="1165" t="s">
        <v>1020</v>
      </c>
      <c r="BG15" s="1165"/>
      <c r="BH15" s="1165" t="s">
        <v>1020</v>
      </c>
      <c r="BI15" s="1165"/>
      <c r="BJ15" s="1165" t="s">
        <v>227</v>
      </c>
      <c r="BK15" s="1165"/>
      <c r="BL15" s="1165" t="str">
        <f>TEXT(ROUND((3600*K10*AZ10*AK10*AD12)/(AS12),2),"#,##0.#######")</f>
        <v>17.5</v>
      </c>
      <c r="BM15" s="1165"/>
      <c r="BN15" s="1165"/>
      <c r="BO15" s="1165"/>
      <c r="BP15" s="1165"/>
      <c r="BQ15" s="1165"/>
      <c r="BR15" s="1165"/>
      <c r="BS15" s="1165" t="s">
        <v>178</v>
      </c>
      <c r="BT15" s="1165"/>
      <c r="BU15" s="1165" t="s">
        <v>249</v>
      </c>
      <c r="BV15" s="1165" t="s">
        <v>352</v>
      </c>
      <c r="BW15" s="1165"/>
      <c r="BX15" s="1165"/>
      <c r="BY15" s="1165"/>
      <c r="BZ15" s="1165"/>
      <c r="CA15" s="1165"/>
      <c r="CB15" s="1165"/>
      <c r="CC15" s="1165"/>
      <c r="CD15" s="1165"/>
      <c r="CE15" s="1165"/>
      <c r="CF15" s="1165"/>
      <c r="CG15" s="1165"/>
      <c r="CH15" s="1165"/>
      <c r="CI15" s="1165"/>
      <c r="CJ15" s="1165"/>
      <c r="CK15" s="1165"/>
      <c r="CL15" s="1165"/>
      <c r="CM15" s="1165"/>
      <c r="CN15" s="1165"/>
      <c r="CO15" s="1165"/>
      <c r="CP15" s="1165"/>
      <c r="CQ15" s="1165"/>
      <c r="CR15" s="1165"/>
      <c r="CS15" s="1165"/>
      <c r="CT15" s="1165"/>
      <c r="CU15" s="1165"/>
      <c r="CV15" s="1165"/>
      <c r="CW15" s="1165"/>
      <c r="CX15" s="1106"/>
      <c r="CY15" s="1106"/>
      <c r="CZ15" s="1106"/>
      <c r="DA15" s="1107"/>
      <c r="DB15" s="1104"/>
    </row>
    <row r="16" spans="2:106" ht="11.25" customHeight="1">
      <c r="B16" s="1105"/>
      <c r="C16" s="1165"/>
      <c r="D16" s="1165"/>
      <c r="E16" s="1165"/>
      <c r="F16" s="1165"/>
      <c r="G16" s="1165"/>
      <c r="H16" s="1165"/>
      <c r="I16" s="1165"/>
      <c r="J16" s="1165"/>
      <c r="K16" s="1165"/>
      <c r="L16" s="1165"/>
      <c r="M16" s="1165"/>
      <c r="N16" s="1165"/>
      <c r="O16" s="1165"/>
      <c r="P16" s="1165"/>
      <c r="Q16" s="1165"/>
      <c r="R16" s="1165"/>
      <c r="S16" s="1165"/>
      <c r="T16" s="1165" t="s">
        <v>1015</v>
      </c>
      <c r="U16" s="1165"/>
      <c r="V16" s="1165"/>
      <c r="W16" s="1165"/>
      <c r="X16" s="1165"/>
      <c r="Y16" s="1165"/>
      <c r="Z16" s="1165"/>
      <c r="AA16" s="1165"/>
      <c r="AB16" s="1165"/>
      <c r="AC16" s="1165"/>
      <c r="AD16" s="1165"/>
      <c r="AE16" s="1165"/>
      <c r="AF16" s="1165"/>
      <c r="AG16" s="1165"/>
      <c r="AH16" s="1165"/>
      <c r="AI16" s="1165"/>
      <c r="AJ16" s="1165"/>
      <c r="AK16" s="1165"/>
      <c r="AL16" s="1165"/>
      <c r="AM16" s="1165"/>
      <c r="AN16" s="1165"/>
      <c r="AO16" s="1165"/>
      <c r="AP16" s="1165"/>
      <c r="AQ16" s="1165"/>
      <c r="AR16" s="1165"/>
      <c r="AS16" s="1165"/>
      <c r="AT16" s="1165"/>
      <c r="AU16" s="1165" t="str">
        <f>TEXT(AS12,"#,##0.#######")</f>
        <v>18.</v>
      </c>
      <c r="AV16" s="1165"/>
      <c r="AW16" s="1165"/>
      <c r="AX16" s="1165"/>
      <c r="AY16" s="1165"/>
      <c r="AZ16" s="1165"/>
      <c r="BA16" s="1165"/>
      <c r="BB16" s="1165"/>
      <c r="BC16" s="1165"/>
      <c r="BD16" s="1165"/>
      <c r="BE16" s="1165"/>
      <c r="BF16" s="1165"/>
      <c r="BG16" s="1165"/>
      <c r="BH16" s="1165"/>
      <c r="BI16" s="1165"/>
      <c r="BJ16" s="1165"/>
      <c r="BK16" s="1165"/>
      <c r="BL16" s="1165"/>
      <c r="BM16" s="1165"/>
      <c r="BN16" s="1165"/>
      <c r="BO16" s="1165"/>
      <c r="BP16" s="1165"/>
      <c r="BQ16" s="1165"/>
      <c r="BR16" s="1165"/>
      <c r="BS16" s="1165"/>
      <c r="BT16" s="1165"/>
      <c r="BU16" s="1165"/>
      <c r="BV16" s="1165"/>
      <c r="BW16" s="1165"/>
      <c r="BX16" s="1165"/>
      <c r="BY16" s="1165"/>
      <c r="BZ16" s="1165"/>
      <c r="CA16" s="1165"/>
      <c r="CB16" s="1165"/>
      <c r="CC16" s="1165"/>
      <c r="CD16" s="1165"/>
      <c r="CE16" s="1165"/>
      <c r="CF16" s="1165"/>
      <c r="CG16" s="1165"/>
      <c r="CH16" s="1165"/>
      <c r="CI16" s="1165"/>
      <c r="CJ16" s="1165"/>
      <c r="CK16" s="1165"/>
      <c r="CL16" s="1165"/>
      <c r="CM16" s="1165"/>
      <c r="CN16" s="1165"/>
      <c r="CO16" s="1165"/>
      <c r="CP16" s="1165"/>
      <c r="CQ16" s="1165"/>
      <c r="CR16" s="1165"/>
      <c r="CS16" s="1165"/>
      <c r="CT16" s="1165"/>
      <c r="CU16" s="1165"/>
      <c r="CV16" s="1165"/>
      <c r="CW16" s="1165"/>
      <c r="CX16" s="1106"/>
      <c r="CY16" s="1106"/>
      <c r="CZ16" s="1106"/>
      <c r="DA16" s="1107"/>
      <c r="DB16" s="1104"/>
    </row>
    <row r="17" spans="2:106" ht="11.25" customHeight="1">
      <c r="B17" s="1105"/>
      <c r="C17" s="1165"/>
      <c r="D17" s="1165"/>
      <c r="E17" s="1165"/>
      <c r="F17" s="1165"/>
      <c r="G17" s="1165"/>
      <c r="H17" s="1165"/>
      <c r="I17" s="1165"/>
      <c r="J17" s="1165"/>
      <c r="K17" s="1165"/>
      <c r="L17" s="1165"/>
      <c r="M17" s="1165"/>
      <c r="N17" s="1165"/>
      <c r="O17" s="1165"/>
      <c r="P17" s="1165"/>
      <c r="Q17" s="1165"/>
      <c r="R17" s="1165"/>
      <c r="S17" s="1165"/>
      <c r="T17" s="1165"/>
      <c r="U17" s="1165"/>
      <c r="V17" s="1165"/>
      <c r="W17" s="1165"/>
      <c r="X17" s="1165"/>
      <c r="Y17" s="1165"/>
      <c r="Z17" s="1165"/>
      <c r="AA17" s="1165"/>
      <c r="AB17" s="1165"/>
      <c r="AC17" s="1165"/>
      <c r="AD17" s="1165"/>
      <c r="AE17" s="1165"/>
      <c r="AF17" s="1165"/>
      <c r="AG17" s="1165"/>
      <c r="AH17" s="1165"/>
      <c r="AI17" s="1165"/>
      <c r="AJ17" s="1165"/>
      <c r="AK17" s="1165"/>
      <c r="AL17" s="1165"/>
      <c r="AM17" s="1165"/>
      <c r="AN17" s="1165"/>
      <c r="AO17" s="1165"/>
      <c r="AP17" s="1165"/>
      <c r="AQ17" s="1165"/>
      <c r="AR17" s="1165"/>
      <c r="AS17" s="1165"/>
      <c r="AT17" s="1165"/>
      <c r="AU17" s="1165"/>
      <c r="AV17" s="1165"/>
      <c r="AW17" s="1165"/>
      <c r="AX17" s="1165"/>
      <c r="AY17" s="1165"/>
      <c r="AZ17" s="1165"/>
      <c r="BA17" s="1165"/>
      <c r="BB17" s="1165"/>
      <c r="BC17" s="1165"/>
      <c r="BD17" s="1165"/>
      <c r="BE17" s="1165"/>
      <c r="BF17" s="1165"/>
      <c r="BG17" s="1165"/>
      <c r="BH17" s="1165"/>
      <c r="BI17" s="1165"/>
      <c r="BJ17" s="1165"/>
      <c r="BK17" s="1165"/>
      <c r="BL17" s="1165"/>
      <c r="BM17" s="1165"/>
      <c r="BN17" s="1165"/>
      <c r="BO17" s="1165"/>
      <c r="BP17" s="1165"/>
      <c r="BQ17" s="1165"/>
      <c r="BR17" s="1165"/>
      <c r="BS17" s="1165"/>
      <c r="BT17" s="1165"/>
      <c r="BU17" s="1165"/>
      <c r="BV17" s="1165"/>
      <c r="BW17" s="1165"/>
      <c r="BX17" s="1165"/>
      <c r="BY17" s="1165"/>
      <c r="BZ17" s="1165"/>
      <c r="CA17" s="1165"/>
      <c r="CB17" s="1165"/>
      <c r="CC17" s="1165"/>
      <c r="CD17" s="1165"/>
      <c r="CE17" s="1165"/>
      <c r="CF17" s="1165"/>
      <c r="CG17" s="1165"/>
      <c r="CH17" s="1165"/>
      <c r="CI17" s="1165"/>
      <c r="CJ17" s="1165"/>
      <c r="CK17" s="1165"/>
      <c r="CL17" s="1165"/>
      <c r="CM17" s="1165"/>
      <c r="CN17" s="1165"/>
      <c r="CO17" s="1165"/>
      <c r="CP17" s="1165"/>
      <c r="CQ17" s="1165"/>
      <c r="CR17" s="1165"/>
      <c r="CS17" s="1165"/>
      <c r="CT17" s="1165"/>
      <c r="CU17" s="1165"/>
      <c r="CV17" s="1165"/>
      <c r="CW17" s="1165"/>
      <c r="CX17" s="1106"/>
      <c r="CY17" s="1106"/>
      <c r="CZ17" s="1106"/>
      <c r="DA17" s="1107"/>
      <c r="DB17" s="1104"/>
    </row>
    <row r="18" spans="2:106" ht="11.25" customHeight="1">
      <c r="B18" s="1105"/>
      <c r="C18" s="1165"/>
      <c r="D18" s="1165"/>
      <c r="E18" s="1165"/>
      <c r="F18" s="1165"/>
      <c r="G18" s="1165" t="s">
        <v>899</v>
      </c>
      <c r="H18" s="1165"/>
      <c r="I18" s="1165"/>
      <c r="J18" s="1165"/>
      <c r="K18" s="1165"/>
      <c r="L18" s="1165"/>
      <c r="M18" s="1165"/>
      <c r="N18" s="1165" t="s">
        <v>217</v>
      </c>
      <c r="O18" s="1165"/>
      <c r="P18" s="1536">
        <f>기계경비!$AA$4</f>
        <v>59025</v>
      </c>
      <c r="Q18" s="1536"/>
      <c r="R18" s="1536"/>
      <c r="S18" s="1536"/>
      <c r="T18" s="1536"/>
      <c r="U18" s="1536"/>
      <c r="V18" s="1536"/>
      <c r="W18" s="1536"/>
      <c r="X18" s="1165"/>
      <c r="Y18" s="1165" t="s">
        <v>1021</v>
      </c>
      <c r="Z18" s="1165"/>
      <c r="AA18" s="1165"/>
      <c r="AB18" s="1165" t="str">
        <f>TEXT(BL15,"#,##0.#######")</f>
        <v>17.5</v>
      </c>
      <c r="AC18" s="1165"/>
      <c r="AD18" s="1165"/>
      <c r="AE18" s="1165"/>
      <c r="AF18" s="1165"/>
      <c r="AG18" s="1165"/>
      <c r="AH18" s="1165"/>
      <c r="AI18" s="1165" t="s">
        <v>975</v>
      </c>
      <c r="AJ18" s="1165"/>
      <c r="AK18" s="1165" t="str">
        <f>TEXT(0.9,"#,##0.#######")</f>
        <v>0.9</v>
      </c>
      <c r="AL18" s="1165"/>
      <c r="AM18" s="1165"/>
      <c r="AN18" s="1165"/>
      <c r="AO18" s="1165" t="s">
        <v>227</v>
      </c>
      <c r="AP18" s="1165"/>
      <c r="AQ18" s="1539" t="str">
        <f>TEXT(TRUNC(P18/BL15*AK18,1),"#,##0.#")</f>
        <v>3,035.5</v>
      </c>
      <c r="AR18" s="1539"/>
      <c r="AS18" s="1539"/>
      <c r="AT18" s="1539"/>
      <c r="AU18" s="1539"/>
      <c r="AV18" s="1539"/>
      <c r="AW18" s="1539"/>
      <c r="AX18" s="1165"/>
      <c r="AY18" s="1165"/>
      <c r="AZ18" s="1165"/>
      <c r="BA18" s="1165"/>
      <c r="BB18" s="1165"/>
      <c r="BC18" s="1165"/>
      <c r="BD18" s="1165"/>
      <c r="BE18" s="1165"/>
      <c r="BF18" s="1165"/>
      <c r="BG18" s="1165"/>
      <c r="BH18" s="1165"/>
      <c r="BI18" s="1165"/>
      <c r="BJ18" s="1165"/>
      <c r="BK18" s="1165"/>
      <c r="BL18" s="1165"/>
      <c r="BM18" s="1165"/>
      <c r="BN18" s="1165"/>
      <c r="BO18" s="1165"/>
      <c r="BP18" s="1165"/>
      <c r="BQ18" s="1165"/>
      <c r="BR18" s="1165"/>
      <c r="BS18" s="1165"/>
      <c r="BT18" s="1165"/>
      <c r="BU18" s="1165"/>
      <c r="BV18" s="1165"/>
      <c r="BW18" s="1165"/>
      <c r="BX18" s="1165"/>
      <c r="BY18" s="1165"/>
      <c r="BZ18" s="1165"/>
      <c r="CA18" s="1165"/>
      <c r="CB18" s="1165"/>
      <c r="CC18" s="1165"/>
      <c r="CD18" s="1165"/>
      <c r="CE18" s="1165"/>
      <c r="CF18" s="1165"/>
      <c r="CG18" s="1165"/>
      <c r="CH18" s="1165"/>
      <c r="CI18" s="1165"/>
      <c r="CJ18" s="1165"/>
      <c r="CK18" s="1165"/>
      <c r="CL18" s="1165"/>
      <c r="CM18" s="1165"/>
      <c r="CN18" s="1165"/>
      <c r="CO18" s="1165"/>
      <c r="CP18" s="1165"/>
      <c r="CQ18" s="1165"/>
      <c r="CR18" s="1165"/>
      <c r="CS18" s="1165"/>
      <c r="CT18" s="1165"/>
      <c r="CU18" s="1165"/>
      <c r="CV18" s="1165"/>
      <c r="CW18" s="1165"/>
      <c r="CX18" s="1106"/>
      <c r="CY18" s="1106"/>
      <c r="CZ18" s="1106"/>
      <c r="DA18" s="1107"/>
      <c r="DB18" s="1104"/>
    </row>
    <row r="19" spans="2:106" ht="11.25" customHeight="1">
      <c r="B19" s="1105"/>
      <c r="C19" s="1165"/>
      <c r="D19" s="1165"/>
      <c r="E19" s="1165"/>
      <c r="F19" s="1165"/>
      <c r="G19" s="1165" t="s">
        <v>892</v>
      </c>
      <c r="H19" s="1165"/>
      <c r="I19" s="1165"/>
      <c r="J19" s="1165"/>
      <c r="K19" s="1165"/>
      <c r="L19" s="1165"/>
      <c r="M19" s="1165"/>
      <c r="N19" s="1165" t="s">
        <v>217</v>
      </c>
      <c r="O19" s="1165"/>
      <c r="P19" s="1536" t="e">
        <f>기계경비!$AB$4</f>
        <v>#REF!</v>
      </c>
      <c r="Q19" s="1536"/>
      <c r="R19" s="1536"/>
      <c r="S19" s="1536"/>
      <c r="T19" s="1536"/>
      <c r="U19" s="1536"/>
      <c r="V19" s="1536"/>
      <c r="W19" s="1536"/>
      <c r="X19" s="1165"/>
      <c r="Y19" s="1165" t="s">
        <v>1021</v>
      </c>
      <c r="Z19" s="1165"/>
      <c r="AA19" s="1165"/>
      <c r="AB19" s="1165" t="str">
        <f>TEXT(BL15,"#,##0.#######")</f>
        <v>17.5</v>
      </c>
      <c r="AC19" s="1165"/>
      <c r="AD19" s="1165"/>
      <c r="AE19" s="1165"/>
      <c r="AF19" s="1165"/>
      <c r="AG19" s="1165"/>
      <c r="AH19" s="1165"/>
      <c r="AI19" s="1165" t="s">
        <v>975</v>
      </c>
      <c r="AJ19" s="1165"/>
      <c r="AK19" s="1165" t="str">
        <f>TEXT(0.9,"#,##0.#######")</f>
        <v>0.9</v>
      </c>
      <c r="AL19" s="1165"/>
      <c r="AM19" s="1165"/>
      <c r="AN19" s="1165"/>
      <c r="AO19" s="1165" t="s">
        <v>227</v>
      </c>
      <c r="AP19" s="1165"/>
      <c r="AQ19" s="1539" t="e">
        <f>TEXT(TRUNC(P19/BL15*AK19,1),"#,##0.#")</f>
        <v>#REF!</v>
      </c>
      <c r="AR19" s="1539"/>
      <c r="AS19" s="1539"/>
      <c r="AT19" s="1539"/>
      <c r="AU19" s="1539"/>
      <c r="AV19" s="1539"/>
      <c r="AW19" s="1539"/>
      <c r="AX19" s="1165"/>
      <c r="AY19" s="1165"/>
      <c r="AZ19" s="1165"/>
      <c r="BA19" s="1165"/>
      <c r="BB19" s="1165"/>
      <c r="BC19" s="1165"/>
      <c r="BD19" s="1165"/>
      <c r="BE19" s="1165"/>
      <c r="BF19" s="1165"/>
      <c r="BG19" s="1165"/>
      <c r="BH19" s="1165"/>
      <c r="BI19" s="1165"/>
      <c r="BJ19" s="1165"/>
      <c r="BK19" s="1165"/>
      <c r="BL19" s="1165"/>
      <c r="BM19" s="1165"/>
      <c r="BN19" s="1165"/>
      <c r="BO19" s="1165"/>
      <c r="BP19" s="1165"/>
      <c r="BQ19" s="1165"/>
      <c r="BR19" s="1165"/>
      <c r="BS19" s="1165"/>
      <c r="BT19" s="1165"/>
      <c r="BU19" s="1165"/>
      <c r="BV19" s="1165"/>
      <c r="BW19" s="1165"/>
      <c r="BX19" s="1165"/>
      <c r="BY19" s="1165"/>
      <c r="BZ19" s="1165"/>
      <c r="CA19" s="1165"/>
      <c r="CB19" s="1165"/>
      <c r="CC19" s="1165"/>
      <c r="CD19" s="1165"/>
      <c r="CE19" s="1165"/>
      <c r="CF19" s="1165"/>
      <c r="CG19" s="1165"/>
      <c r="CH19" s="1165"/>
      <c r="CI19" s="1165"/>
      <c r="CJ19" s="1165"/>
      <c r="CK19" s="1165"/>
      <c r="CL19" s="1165"/>
      <c r="CM19" s="1165"/>
      <c r="CN19" s="1165"/>
      <c r="CO19" s="1165"/>
      <c r="CP19" s="1165"/>
      <c r="CQ19" s="1165"/>
      <c r="CR19" s="1165"/>
      <c r="CS19" s="1165"/>
      <c r="CT19" s="1165"/>
      <c r="CU19" s="1165"/>
      <c r="CV19" s="1165"/>
      <c r="CW19" s="1165"/>
      <c r="CX19" s="1106"/>
      <c r="CY19" s="1106"/>
      <c r="CZ19" s="1106"/>
      <c r="DA19" s="1107"/>
      <c r="DB19" s="1104"/>
    </row>
    <row r="20" spans="2:106" ht="11.25" customHeight="1">
      <c r="B20" s="1105"/>
      <c r="C20" s="1165"/>
      <c r="D20" s="1165"/>
      <c r="E20" s="1165"/>
      <c r="F20" s="1165"/>
      <c r="G20" s="1165" t="s">
        <v>1022</v>
      </c>
      <c r="H20" s="1165"/>
      <c r="I20" s="1165"/>
      <c r="J20" s="1165"/>
      <c r="K20" s="1165" t="s">
        <v>1023</v>
      </c>
      <c r="L20" s="1165"/>
      <c r="M20" s="1165"/>
      <c r="N20" s="1165" t="s">
        <v>217</v>
      </c>
      <c r="O20" s="1165"/>
      <c r="P20" s="1536">
        <f>기계경비!$AC$4</f>
        <v>13873</v>
      </c>
      <c r="Q20" s="1536"/>
      <c r="R20" s="1536"/>
      <c r="S20" s="1536"/>
      <c r="T20" s="1536"/>
      <c r="U20" s="1536"/>
      <c r="V20" s="1536"/>
      <c r="W20" s="1536"/>
      <c r="X20" s="1165"/>
      <c r="Y20" s="1165" t="s">
        <v>1021</v>
      </c>
      <c r="Z20" s="1165"/>
      <c r="AA20" s="1165"/>
      <c r="AB20" s="1165" t="str">
        <f>TEXT(BL15,"#,##0.#######")</f>
        <v>17.5</v>
      </c>
      <c r="AC20" s="1165"/>
      <c r="AD20" s="1165"/>
      <c r="AE20" s="1165"/>
      <c r="AF20" s="1165"/>
      <c r="AG20" s="1165"/>
      <c r="AH20" s="1165"/>
      <c r="AI20" s="1165" t="s">
        <v>975</v>
      </c>
      <c r="AJ20" s="1165"/>
      <c r="AK20" s="1165" t="str">
        <f>TEXT(0.9,"#,##0.#######")</f>
        <v>0.9</v>
      </c>
      <c r="AL20" s="1165"/>
      <c r="AM20" s="1165"/>
      <c r="AN20" s="1165"/>
      <c r="AO20" s="1165" t="s">
        <v>227</v>
      </c>
      <c r="AP20" s="1165"/>
      <c r="AQ20" s="1539" t="str">
        <f>TEXT(TRUNC(P20/BL15*AK20,1),"#,##0.#")</f>
        <v>713.4</v>
      </c>
      <c r="AR20" s="1539"/>
      <c r="AS20" s="1539"/>
      <c r="AT20" s="1539"/>
      <c r="AU20" s="1539"/>
      <c r="AV20" s="1539"/>
      <c r="AW20" s="1539"/>
      <c r="AX20" s="1165"/>
      <c r="AY20" s="1165"/>
      <c r="AZ20" s="1165"/>
      <c r="BA20" s="1165"/>
      <c r="BB20" s="1165"/>
      <c r="BC20" s="1165"/>
      <c r="BD20" s="1165"/>
      <c r="BE20" s="1165"/>
      <c r="BF20" s="1165"/>
      <c r="BG20" s="1165"/>
      <c r="BH20" s="1165"/>
      <c r="BI20" s="1165"/>
      <c r="BJ20" s="1165"/>
      <c r="BK20" s="1165"/>
      <c r="BL20" s="1165"/>
      <c r="BM20" s="1165"/>
      <c r="BN20" s="1165"/>
      <c r="BO20" s="1165"/>
      <c r="BP20" s="1165"/>
      <c r="BQ20" s="1165"/>
      <c r="BR20" s="1165"/>
      <c r="BS20" s="1165"/>
      <c r="BT20" s="1165"/>
      <c r="BU20" s="1165"/>
      <c r="BV20" s="1165"/>
      <c r="BW20" s="1165"/>
      <c r="BX20" s="1165"/>
      <c r="BY20" s="1165"/>
      <c r="BZ20" s="1165"/>
      <c r="CA20" s="1165"/>
      <c r="CB20" s="1165"/>
      <c r="CC20" s="1165"/>
      <c r="CD20" s="1165"/>
      <c r="CE20" s="1165"/>
      <c r="CF20" s="1165"/>
      <c r="CG20" s="1165"/>
      <c r="CH20" s="1165"/>
      <c r="CI20" s="1165"/>
      <c r="CJ20" s="1165"/>
      <c r="CK20" s="1165"/>
      <c r="CL20" s="1165"/>
      <c r="CM20" s="1165"/>
      <c r="CN20" s="1165"/>
      <c r="CO20" s="1165"/>
      <c r="CP20" s="1165"/>
      <c r="CQ20" s="1165"/>
      <c r="CR20" s="1165"/>
      <c r="CS20" s="1165"/>
      <c r="CT20" s="1165"/>
      <c r="CU20" s="1165"/>
      <c r="CV20" s="1165"/>
      <c r="CW20" s="1165"/>
      <c r="CX20" s="1106"/>
      <c r="CY20" s="1106"/>
      <c r="CZ20" s="1106"/>
      <c r="DA20" s="1107"/>
      <c r="DB20" s="1104"/>
    </row>
    <row r="21" spans="2:106" ht="11.25" customHeight="1">
      <c r="B21" s="1105"/>
      <c r="C21" s="1165"/>
      <c r="D21" s="1165"/>
      <c r="E21" s="1165"/>
      <c r="F21" s="1165"/>
      <c r="G21" s="1165" t="s">
        <v>1024</v>
      </c>
      <c r="H21" s="1165"/>
      <c r="I21" s="1165"/>
      <c r="J21" s="1165"/>
      <c r="K21" s="1165" t="s">
        <v>179</v>
      </c>
      <c r="L21" s="1165"/>
      <c r="M21" s="1165"/>
      <c r="N21" s="1165" t="s">
        <v>217</v>
      </c>
      <c r="O21" s="1165"/>
      <c r="P21" s="1165"/>
      <c r="Q21" s="1165"/>
      <c r="R21" s="1165"/>
      <c r="S21" s="1165"/>
      <c r="T21" s="1165"/>
      <c r="U21" s="1165"/>
      <c r="V21" s="1165"/>
      <c r="W21" s="1165"/>
      <c r="X21" s="1165"/>
      <c r="Y21" s="1165"/>
      <c r="Z21" s="1165"/>
      <c r="AA21" s="1165"/>
      <c r="AB21" s="1165"/>
      <c r="AC21" s="1165"/>
      <c r="AD21" s="1165"/>
      <c r="AE21" s="1165"/>
      <c r="AF21" s="1165"/>
      <c r="AG21" s="1165"/>
      <c r="AH21" s="1165"/>
      <c r="AI21" s="1165"/>
      <c r="AJ21" s="1165"/>
      <c r="AK21" s="1165"/>
      <c r="AL21" s="1165"/>
      <c r="AM21" s="1165" t="e">
        <f>TEXT(AQ18+AQ19+AQ20,"#,##0.#######")</f>
        <v>#REF!</v>
      </c>
      <c r="AN21" s="1165"/>
      <c r="AO21" s="1165"/>
      <c r="AP21" s="1165"/>
      <c r="AQ21" s="1165"/>
      <c r="AR21" s="1165"/>
      <c r="AS21" s="1165"/>
      <c r="AT21" s="1165"/>
      <c r="AU21" s="1165"/>
      <c r="AV21" s="1165"/>
      <c r="AW21" s="1165"/>
      <c r="AX21" s="1165"/>
      <c r="AY21" s="1165"/>
      <c r="AZ21" s="1165"/>
      <c r="BA21" s="1165"/>
      <c r="BB21" s="1165"/>
      <c r="BC21" s="1165"/>
      <c r="BD21" s="1165"/>
      <c r="BE21" s="1165"/>
      <c r="BF21" s="1165"/>
      <c r="BG21" s="1165"/>
      <c r="BH21" s="1165"/>
      <c r="BI21" s="1165"/>
      <c r="BJ21" s="1165"/>
      <c r="BK21" s="1165"/>
      <c r="BL21" s="1165"/>
      <c r="BM21" s="1165"/>
      <c r="BN21" s="1165"/>
      <c r="BO21" s="1165"/>
      <c r="BP21" s="1165"/>
      <c r="BQ21" s="1165"/>
      <c r="BR21" s="1165"/>
      <c r="BS21" s="1165"/>
      <c r="BT21" s="1165"/>
      <c r="BU21" s="1165"/>
      <c r="BV21" s="1165"/>
      <c r="BW21" s="1165"/>
      <c r="BX21" s="1165"/>
      <c r="BY21" s="1165"/>
      <c r="BZ21" s="1165"/>
      <c r="CA21" s="1165"/>
      <c r="CB21" s="1165"/>
      <c r="CC21" s="1165"/>
      <c r="CD21" s="1165"/>
      <c r="CE21" s="1165"/>
      <c r="CF21" s="1165"/>
      <c r="CG21" s="1165"/>
      <c r="CH21" s="1165"/>
      <c r="CI21" s="1165"/>
      <c r="CJ21" s="1165"/>
      <c r="CK21" s="1165"/>
      <c r="CL21" s="1165"/>
      <c r="CM21" s="1165"/>
      <c r="CN21" s="1165"/>
      <c r="CO21" s="1165"/>
      <c r="CP21" s="1165"/>
      <c r="CQ21" s="1165"/>
      <c r="CR21" s="1165"/>
      <c r="CS21" s="1165"/>
      <c r="CT21" s="1165"/>
      <c r="CU21" s="1165"/>
      <c r="CV21" s="1165"/>
      <c r="CW21" s="1165"/>
      <c r="CX21" s="1106" t="e">
        <f>CY21+CZ21+DA21</f>
        <v>#REF!</v>
      </c>
      <c r="CY21" s="1106" t="str">
        <f>TEXT(AQ18,"#,###.0")</f>
        <v>3,035.5</v>
      </c>
      <c r="CZ21" s="1106" t="e">
        <f>TEXT(AQ19,"#,###.0")</f>
        <v>#REF!</v>
      </c>
      <c r="DA21" s="1107" t="str">
        <f>TEXT(AQ20,"#,###.0")</f>
        <v>713.4</v>
      </c>
      <c r="DB21" s="1104"/>
    </row>
    <row r="22" spans="2:106" ht="11.25" customHeight="1">
      <c r="B22" s="1105"/>
      <c r="C22" s="1165"/>
      <c r="D22" s="1165"/>
      <c r="E22" s="1165"/>
      <c r="F22" s="1165"/>
      <c r="G22" s="1165"/>
      <c r="H22" s="1165"/>
      <c r="I22" s="1165"/>
      <c r="J22" s="1165"/>
      <c r="K22" s="1165"/>
      <c r="L22" s="1165"/>
      <c r="M22" s="1165"/>
      <c r="N22" s="1165"/>
      <c r="O22" s="1165"/>
      <c r="P22" s="1165"/>
      <c r="Q22" s="1165"/>
      <c r="R22" s="1165"/>
      <c r="S22" s="1165"/>
      <c r="T22" s="1165"/>
      <c r="U22" s="1165"/>
      <c r="V22" s="1165"/>
      <c r="W22" s="1165"/>
      <c r="X22" s="1165"/>
      <c r="Y22" s="1165"/>
      <c r="Z22" s="1165"/>
      <c r="AA22" s="1165"/>
      <c r="AB22" s="1165"/>
      <c r="AC22" s="1165"/>
      <c r="AD22" s="1165"/>
      <c r="AE22" s="1165"/>
      <c r="AF22" s="1165"/>
      <c r="AG22" s="1165"/>
      <c r="AH22" s="1165"/>
      <c r="AI22" s="1165"/>
      <c r="AJ22" s="1165"/>
      <c r="AK22" s="1165"/>
      <c r="AL22" s="1165"/>
      <c r="AM22" s="1165"/>
      <c r="AN22" s="1165"/>
      <c r="AO22" s="1165"/>
      <c r="AP22" s="1165"/>
      <c r="AQ22" s="1165"/>
      <c r="AR22" s="1165"/>
      <c r="AS22" s="1165"/>
      <c r="AT22" s="1165"/>
      <c r="AU22" s="1165"/>
      <c r="AV22" s="1165"/>
      <c r="AW22" s="1165"/>
      <c r="AX22" s="1165"/>
      <c r="AY22" s="1165"/>
      <c r="AZ22" s="1165"/>
      <c r="BA22" s="1165"/>
      <c r="BB22" s="1165"/>
      <c r="BC22" s="1165"/>
      <c r="BD22" s="1165"/>
      <c r="BE22" s="1165"/>
      <c r="BF22" s="1165"/>
      <c r="BG22" s="1165"/>
      <c r="BH22" s="1165"/>
      <c r="BI22" s="1165"/>
      <c r="BJ22" s="1165"/>
      <c r="BK22" s="1165"/>
      <c r="BL22" s="1165"/>
      <c r="BM22" s="1165"/>
      <c r="BN22" s="1165"/>
      <c r="BO22" s="1165"/>
      <c r="BP22" s="1165"/>
      <c r="BQ22" s="1165"/>
      <c r="BR22" s="1165"/>
      <c r="BS22" s="1165"/>
      <c r="BT22" s="1165"/>
      <c r="BU22" s="1165"/>
      <c r="BV22" s="1165"/>
      <c r="BW22" s="1165"/>
      <c r="BX22" s="1165"/>
      <c r="BY22" s="1165"/>
      <c r="BZ22" s="1165"/>
      <c r="CA22" s="1165"/>
      <c r="CB22" s="1165"/>
      <c r="CC22" s="1165"/>
      <c r="CD22" s="1165"/>
      <c r="CE22" s="1165"/>
      <c r="CF22" s="1165"/>
      <c r="CG22" s="1165"/>
      <c r="CH22" s="1165"/>
      <c r="CI22" s="1165"/>
      <c r="CJ22" s="1165"/>
      <c r="CK22" s="1165"/>
      <c r="CL22" s="1165"/>
      <c r="CM22" s="1165"/>
      <c r="CN22" s="1165"/>
      <c r="CO22" s="1165"/>
      <c r="CP22" s="1165"/>
      <c r="CQ22" s="1165"/>
      <c r="CR22" s="1165"/>
      <c r="CS22" s="1165"/>
      <c r="CT22" s="1165"/>
      <c r="CU22" s="1165"/>
      <c r="CV22" s="1165"/>
      <c r="CW22" s="1165"/>
      <c r="CX22" s="1106"/>
      <c r="CY22" s="1106"/>
      <c r="CZ22" s="1106"/>
      <c r="DA22" s="1107"/>
      <c r="DB22" s="1104"/>
    </row>
    <row r="23" spans="2:106" ht="11.25" customHeight="1">
      <c r="B23" s="1105"/>
      <c r="C23" s="1165"/>
      <c r="D23" s="1165" t="s">
        <v>1025</v>
      </c>
      <c r="E23" s="1165"/>
      <c r="F23" s="1165"/>
      <c r="G23" s="1165" t="s">
        <v>181</v>
      </c>
      <c r="H23" s="1165"/>
      <c r="I23" s="1165"/>
      <c r="J23" s="1165" t="s">
        <v>1026</v>
      </c>
      <c r="K23" s="1165"/>
      <c r="L23" s="1165" t="s">
        <v>263</v>
      </c>
      <c r="M23" s="1165" t="s">
        <v>1027</v>
      </c>
      <c r="N23" s="1165"/>
      <c r="O23" s="1165" t="s">
        <v>954</v>
      </c>
      <c r="P23" s="1165" t="s">
        <v>264</v>
      </c>
      <c r="Q23" s="1165"/>
      <c r="R23" s="1165" t="s">
        <v>217</v>
      </c>
      <c r="S23" s="1165"/>
      <c r="T23" s="1165" t="s">
        <v>263</v>
      </c>
      <c r="U23" s="1165" t="s">
        <v>1028</v>
      </c>
      <c r="V23" s="1165"/>
      <c r="W23" s="1165"/>
      <c r="X23" s="1165"/>
      <c r="Y23" s="1165"/>
      <c r="Z23" s="1165"/>
      <c r="AA23" s="1165" t="s">
        <v>1029</v>
      </c>
      <c r="AB23" s="1165"/>
      <c r="AC23" s="1165"/>
      <c r="AD23" s="1165"/>
      <c r="AE23" s="1165"/>
      <c r="AF23" s="1165"/>
      <c r="AG23" s="1165"/>
      <c r="AH23" s="1165" t="s">
        <v>1030</v>
      </c>
      <c r="AI23" s="1165"/>
      <c r="AJ23" s="1165"/>
      <c r="AK23" s="1165"/>
      <c r="AL23" s="1165"/>
      <c r="AM23" s="1165"/>
      <c r="AN23" s="1165"/>
      <c r="AO23" s="1165" t="s">
        <v>264</v>
      </c>
      <c r="AP23" s="1165" t="s">
        <v>1031</v>
      </c>
      <c r="AQ23" s="1165"/>
      <c r="AR23" s="1165"/>
      <c r="AS23" s="1165" t="s">
        <v>1032</v>
      </c>
      <c r="AT23" s="1165"/>
      <c r="AU23" s="1165"/>
      <c r="AV23" s="1165"/>
      <c r="AW23" s="1165"/>
      <c r="AX23" s="1165" t="s">
        <v>1033</v>
      </c>
      <c r="AY23" s="1165"/>
      <c r="AZ23" s="1165"/>
      <c r="BA23" s="1165"/>
      <c r="BB23" s="1165"/>
      <c r="BC23" s="1165"/>
      <c r="BD23" s="1165"/>
      <c r="BE23" s="1165"/>
      <c r="BF23" s="1165"/>
      <c r="BG23" s="1165"/>
      <c r="BH23" s="1165"/>
      <c r="BI23" s="1165"/>
      <c r="BJ23" s="1165"/>
      <c r="BK23" s="1165"/>
      <c r="BL23" s="1165"/>
      <c r="BM23" s="1165"/>
      <c r="BN23" s="1165"/>
      <c r="BO23" s="1165"/>
      <c r="BP23" s="1165"/>
      <c r="BQ23" s="1165"/>
      <c r="BR23" s="1165"/>
      <c r="BS23" s="1165"/>
      <c r="BT23" s="1165"/>
      <c r="BU23" s="1165"/>
      <c r="BV23" s="1165"/>
      <c r="BW23" s="1165"/>
      <c r="BX23" s="1165"/>
      <c r="BY23" s="1165"/>
      <c r="BZ23" s="1165"/>
      <c r="CA23" s="1165"/>
      <c r="CB23" s="1165"/>
      <c r="CC23" s="1165"/>
      <c r="CD23" s="1165"/>
      <c r="CE23" s="1165"/>
      <c r="CF23" s="1165"/>
      <c r="CG23" s="1165"/>
      <c r="CH23" s="1165"/>
      <c r="CI23" s="1165"/>
      <c r="CJ23" s="1165"/>
      <c r="CK23" s="1165"/>
      <c r="CL23" s="1165"/>
      <c r="CM23" s="1165"/>
      <c r="CN23" s="1165"/>
      <c r="CO23" s="1165"/>
      <c r="CP23" s="1165"/>
      <c r="CQ23" s="1165"/>
      <c r="CR23" s="1165"/>
      <c r="CS23" s="1165"/>
      <c r="CT23" s="1165"/>
      <c r="CU23" s="1165"/>
      <c r="CV23" s="1165"/>
      <c r="CW23" s="1165"/>
      <c r="CX23" s="1106"/>
      <c r="CY23" s="1106"/>
      <c r="CZ23" s="1106"/>
      <c r="DA23" s="1107"/>
      <c r="DB23" s="1104"/>
    </row>
    <row r="24" spans="2:106" ht="11.25" customHeight="1">
      <c r="B24" s="1105"/>
      <c r="C24" s="1165"/>
      <c r="D24" s="1165"/>
      <c r="E24" s="1165"/>
      <c r="F24" s="1165"/>
      <c r="G24" s="1165"/>
      <c r="H24" s="1165"/>
      <c r="I24" s="1165"/>
      <c r="J24" s="1165"/>
      <c r="K24" s="1165"/>
      <c r="L24" s="1165"/>
      <c r="M24" s="1165"/>
      <c r="N24" s="1165"/>
      <c r="O24" s="1165"/>
      <c r="P24" s="1165"/>
      <c r="Q24" s="1165"/>
      <c r="R24" s="1165"/>
      <c r="S24" s="1165"/>
      <c r="T24" s="1165"/>
      <c r="U24" s="1165"/>
      <c r="V24" s="1165"/>
      <c r="W24" s="1165"/>
      <c r="X24" s="1165"/>
      <c r="Y24" s="1165"/>
      <c r="Z24" s="1165"/>
      <c r="AA24" s="1165"/>
      <c r="AB24" s="1165"/>
      <c r="AC24" s="1165"/>
      <c r="AD24" s="1165"/>
      <c r="AE24" s="1165"/>
      <c r="AF24" s="1165"/>
      <c r="AG24" s="1165"/>
      <c r="AH24" s="1165"/>
      <c r="AI24" s="1165"/>
      <c r="AJ24" s="1165"/>
      <c r="AK24" s="1165"/>
      <c r="AL24" s="1165"/>
      <c r="AM24" s="1165"/>
      <c r="AN24" s="1165"/>
      <c r="AO24" s="1165"/>
      <c r="AP24" s="1165"/>
      <c r="AQ24" s="1165"/>
      <c r="AR24" s="1165"/>
      <c r="AS24" s="1165"/>
      <c r="AT24" s="1165"/>
      <c r="AU24" s="1165"/>
      <c r="AV24" s="1165"/>
      <c r="AW24" s="1165"/>
      <c r="AX24" s="1165"/>
      <c r="AY24" s="1165"/>
      <c r="AZ24" s="1165"/>
      <c r="BA24" s="1165"/>
      <c r="BB24" s="1165"/>
      <c r="BC24" s="1165"/>
      <c r="BD24" s="1165"/>
      <c r="BE24" s="1165"/>
      <c r="BF24" s="1165"/>
      <c r="BG24" s="1165"/>
      <c r="BH24" s="1165"/>
      <c r="BI24" s="1165"/>
      <c r="BJ24" s="1165"/>
      <c r="BK24" s="1165"/>
      <c r="BL24" s="1165"/>
      <c r="BM24" s="1165"/>
      <c r="BN24" s="1165"/>
      <c r="BO24" s="1165"/>
      <c r="BP24" s="1165"/>
      <c r="BQ24" s="1165"/>
      <c r="BR24" s="1165"/>
      <c r="BS24" s="1165"/>
      <c r="BT24" s="1165"/>
      <c r="BU24" s="1165"/>
      <c r="BV24" s="1165"/>
      <c r="BW24" s="1165"/>
      <c r="BX24" s="1165"/>
      <c r="BY24" s="1165"/>
      <c r="BZ24" s="1165"/>
      <c r="CA24" s="1165"/>
      <c r="CB24" s="1165"/>
      <c r="CC24" s="1165"/>
      <c r="CD24" s="1165"/>
      <c r="CE24" s="1165"/>
      <c r="CF24" s="1165"/>
      <c r="CG24" s="1165"/>
      <c r="CH24" s="1165"/>
      <c r="CI24" s="1165"/>
      <c r="CJ24" s="1165"/>
      <c r="CK24" s="1165"/>
      <c r="CL24" s="1165"/>
      <c r="CM24" s="1165"/>
      <c r="CN24" s="1165"/>
      <c r="CO24" s="1165"/>
      <c r="CP24" s="1165"/>
      <c r="CQ24" s="1165"/>
      <c r="CR24" s="1165"/>
      <c r="CS24" s="1165"/>
      <c r="CT24" s="1165"/>
      <c r="CU24" s="1165"/>
      <c r="CV24" s="1165"/>
      <c r="CW24" s="1165"/>
      <c r="CX24" s="1106"/>
      <c r="CY24" s="1106"/>
      <c r="CZ24" s="1106"/>
      <c r="DA24" s="1107"/>
      <c r="DB24" s="1104"/>
    </row>
    <row r="25" spans="2:106" ht="11.25" customHeight="1">
      <c r="B25" s="1105"/>
      <c r="C25" s="1165"/>
      <c r="D25" s="1165"/>
      <c r="E25" s="1165"/>
      <c r="F25" s="1165"/>
      <c r="G25" s="1165" t="s">
        <v>182</v>
      </c>
      <c r="H25" s="1165"/>
      <c r="I25" s="1165"/>
      <c r="J25" s="1165"/>
      <c r="K25" s="1165"/>
      <c r="L25" s="1165"/>
      <c r="M25" s="1165"/>
      <c r="N25" s="1165"/>
      <c r="O25" s="1165"/>
      <c r="P25" s="1165"/>
      <c r="Q25" s="1165"/>
      <c r="R25" s="1165" t="s">
        <v>217</v>
      </c>
      <c r="S25" s="1165"/>
      <c r="T25" s="1536">
        <f>VLOOKUP($G25,인건비!A:B,2,FALSE)</f>
        <v>172698</v>
      </c>
      <c r="U25" s="1536"/>
      <c r="V25" s="1536"/>
      <c r="W25" s="1536"/>
      <c r="X25" s="1536"/>
      <c r="Y25" s="1536"/>
      <c r="Z25" s="1536"/>
      <c r="AA25" s="1536"/>
      <c r="AB25" s="1165"/>
      <c r="AC25" s="1165"/>
      <c r="AD25" s="1165" t="s">
        <v>975</v>
      </c>
      <c r="AE25" s="1165"/>
      <c r="AF25" s="1165"/>
      <c r="AG25" s="1165" t="str">
        <f>TEXT(1,"#,##0.#######")</f>
        <v>1.</v>
      </c>
      <c r="AH25" s="1165" t="s">
        <v>181</v>
      </c>
      <c r="AI25" s="1165"/>
      <c r="AJ25" s="1165"/>
      <c r="AK25" s="1165" t="s">
        <v>249</v>
      </c>
      <c r="AL25" s="1165"/>
      <c r="AM25" s="1165" t="s">
        <v>263</v>
      </c>
      <c r="AN25" s="1165" t="s">
        <v>263</v>
      </c>
      <c r="AO25" s="1165" t="str">
        <f>TEXT(3.6,"#,##0.#######")</f>
        <v>3.6</v>
      </c>
      <c r="AP25" s="1165"/>
      <c r="AQ25" s="1165"/>
      <c r="AR25" s="1165" t="s">
        <v>209</v>
      </c>
      <c r="AS25" s="1165" t="str">
        <f>TEXT(2.7,"#,##0.#######")</f>
        <v>2.7</v>
      </c>
      <c r="AT25" s="1165"/>
      <c r="AU25" s="1165"/>
      <c r="AV25" s="1165" t="s">
        <v>209</v>
      </c>
      <c r="AW25" s="1165" t="str">
        <f>TEXT(2.2,"#,##0.#######")</f>
        <v>2.2</v>
      </c>
      <c r="AX25" s="1165"/>
      <c r="AY25" s="1165"/>
      <c r="AZ25" s="1165" t="s">
        <v>264</v>
      </c>
      <c r="BA25" s="1165" t="s">
        <v>249</v>
      </c>
      <c r="BB25" s="1165" t="str">
        <f>TEXT(3,"#,##0.#######")</f>
        <v>3.</v>
      </c>
      <c r="BC25" s="1165" t="s">
        <v>264</v>
      </c>
      <c r="BD25" s="1165"/>
      <c r="BE25" s="1165" t="s">
        <v>975</v>
      </c>
      <c r="BF25" s="1165"/>
      <c r="BG25" s="1165"/>
      <c r="BH25" s="1165" t="str">
        <f>TEXT(0.1,"#,##0.#######")</f>
        <v>0.1</v>
      </c>
      <c r="BI25" s="1165"/>
      <c r="BJ25" s="1165"/>
      <c r="BK25" s="1165"/>
      <c r="BL25" s="1165" t="s">
        <v>227</v>
      </c>
      <c r="BM25" s="1165"/>
      <c r="BN25" s="1165" t="str">
        <f>TEXT(TRUNC(T25*AG25/((AO25+AS25+AW25)/BB25)*BH25,1),"#,##0.#")</f>
        <v>6,095.2</v>
      </c>
      <c r="BO25" s="1165"/>
      <c r="BP25" s="1165"/>
      <c r="BQ25" s="1165"/>
      <c r="BR25" s="1165"/>
      <c r="BS25" s="1165"/>
      <c r="BT25" s="1165"/>
      <c r="BU25" s="1165"/>
      <c r="BV25" s="1165"/>
      <c r="BW25" s="1165"/>
      <c r="BX25" s="1165"/>
      <c r="BY25" s="1165"/>
      <c r="BZ25" s="1165"/>
      <c r="CA25" s="1165"/>
      <c r="CB25" s="1165"/>
      <c r="CC25" s="1165"/>
      <c r="CD25" s="1165"/>
      <c r="CE25" s="1165"/>
      <c r="CF25" s="1165"/>
      <c r="CG25" s="1165"/>
      <c r="CH25" s="1165"/>
      <c r="CI25" s="1165"/>
      <c r="CJ25" s="1165"/>
      <c r="CK25" s="1165"/>
      <c r="CL25" s="1165"/>
      <c r="CM25" s="1165"/>
      <c r="CN25" s="1165"/>
      <c r="CO25" s="1165"/>
      <c r="CP25" s="1165"/>
      <c r="CQ25" s="1165"/>
      <c r="CR25" s="1165"/>
      <c r="CS25" s="1165"/>
      <c r="CT25" s="1165"/>
      <c r="CU25" s="1165"/>
      <c r="CV25" s="1165"/>
      <c r="CW25" s="1165"/>
      <c r="CX25" s="1106">
        <f>CY25+CZ25+DA25</f>
        <v>6095.2</v>
      </c>
      <c r="CY25" s="1106" t="str">
        <f>BN25</f>
        <v>6,095.2</v>
      </c>
      <c r="CZ25" s="1106"/>
      <c r="DA25" s="1107"/>
      <c r="DB25" s="1104"/>
    </row>
    <row r="26" spans="2:106" ht="11.25" customHeight="1">
      <c r="B26" s="1105"/>
      <c r="C26" s="1165"/>
      <c r="D26" s="1165"/>
      <c r="E26" s="1165"/>
      <c r="F26" s="1165"/>
      <c r="G26" s="1165"/>
      <c r="H26" s="1165"/>
      <c r="I26" s="1165"/>
      <c r="J26" s="1165"/>
      <c r="K26" s="1165"/>
      <c r="L26" s="1165"/>
      <c r="M26" s="1165"/>
      <c r="N26" s="1165"/>
      <c r="O26" s="1165"/>
      <c r="P26" s="1165"/>
      <c r="Q26" s="1165"/>
      <c r="R26" s="1165"/>
      <c r="S26" s="1165"/>
      <c r="T26" s="1165"/>
      <c r="U26" s="1165"/>
      <c r="V26" s="1165"/>
      <c r="W26" s="1165"/>
      <c r="X26" s="1165"/>
      <c r="Y26" s="1165"/>
      <c r="Z26" s="1165"/>
      <c r="AA26" s="1165"/>
      <c r="AB26" s="1165"/>
      <c r="AC26" s="1165"/>
      <c r="AD26" s="1165"/>
      <c r="AE26" s="1165"/>
      <c r="AF26" s="1165"/>
      <c r="AG26" s="1165"/>
      <c r="AH26" s="1165"/>
      <c r="AI26" s="1165"/>
      <c r="AJ26" s="1165"/>
      <c r="AK26" s="1165"/>
      <c r="AL26" s="1165"/>
      <c r="AM26" s="1165"/>
      <c r="AN26" s="1165"/>
      <c r="AO26" s="1165"/>
      <c r="AP26" s="1165"/>
      <c r="AQ26" s="1165"/>
      <c r="AR26" s="1165"/>
      <c r="AS26" s="1165"/>
      <c r="AT26" s="1165"/>
      <c r="AU26" s="1165"/>
      <c r="AV26" s="1165"/>
      <c r="AW26" s="1165"/>
      <c r="AX26" s="1165"/>
      <c r="AY26" s="1165"/>
      <c r="AZ26" s="1165"/>
      <c r="BA26" s="1165"/>
      <c r="BB26" s="1165"/>
      <c r="BC26" s="1165"/>
      <c r="BD26" s="1165"/>
      <c r="BE26" s="1165"/>
      <c r="BF26" s="1165"/>
      <c r="BG26" s="1165"/>
      <c r="BH26" s="1165"/>
      <c r="BI26" s="1165"/>
      <c r="BJ26" s="1165"/>
      <c r="BK26" s="1165"/>
      <c r="BL26" s="1165"/>
      <c r="BM26" s="1165"/>
      <c r="BN26" s="1165"/>
      <c r="BO26" s="1165"/>
      <c r="BP26" s="1165"/>
      <c r="BQ26" s="1165"/>
      <c r="BR26" s="1165"/>
      <c r="BS26" s="1165"/>
      <c r="BT26" s="1165"/>
      <c r="BU26" s="1165"/>
      <c r="BV26" s="1165"/>
      <c r="BW26" s="1165"/>
      <c r="BX26" s="1165"/>
      <c r="BY26" s="1165"/>
      <c r="BZ26" s="1165"/>
      <c r="CA26" s="1165"/>
      <c r="CB26" s="1165"/>
      <c r="CC26" s="1165"/>
      <c r="CD26" s="1165"/>
      <c r="CE26" s="1165"/>
      <c r="CF26" s="1165"/>
      <c r="CG26" s="1165"/>
      <c r="CH26" s="1165"/>
      <c r="CI26" s="1165"/>
      <c r="CJ26" s="1165"/>
      <c r="CK26" s="1165"/>
      <c r="CL26" s="1165"/>
      <c r="CM26" s="1165"/>
      <c r="CN26" s="1165"/>
      <c r="CO26" s="1165"/>
      <c r="CP26" s="1165"/>
      <c r="CQ26" s="1165"/>
      <c r="CR26" s="1165"/>
      <c r="CS26" s="1165"/>
      <c r="CT26" s="1165"/>
      <c r="CU26" s="1165"/>
      <c r="CV26" s="1165"/>
      <c r="CW26" s="1165"/>
      <c r="CX26" s="1106"/>
      <c r="CY26" s="1106"/>
      <c r="CZ26" s="1106"/>
      <c r="DA26" s="1107"/>
      <c r="DB26" s="1104"/>
    </row>
    <row r="27" spans="2:106" ht="11.25" customHeight="1">
      <c r="B27" s="1105"/>
      <c r="C27" s="1165"/>
      <c r="D27" s="1165" t="s">
        <v>1034</v>
      </c>
      <c r="E27" s="1165"/>
      <c r="F27" s="1165"/>
      <c r="G27" s="1165" t="s">
        <v>1035</v>
      </c>
      <c r="H27" s="1165"/>
      <c r="I27" s="1165"/>
      <c r="J27" s="1165"/>
      <c r="K27" s="1165" t="s">
        <v>179</v>
      </c>
      <c r="L27" s="1165"/>
      <c r="M27" s="1165"/>
      <c r="N27" s="1165"/>
      <c r="O27" s="1165"/>
      <c r="P27" s="1165"/>
      <c r="Q27" s="1165"/>
      <c r="R27" s="1165"/>
      <c r="S27" s="1165"/>
      <c r="T27" s="1165"/>
      <c r="U27" s="1165"/>
      <c r="V27" s="1165"/>
      <c r="W27" s="1165"/>
      <c r="X27" s="1165"/>
      <c r="Y27" s="1165"/>
      <c r="Z27" s="1165"/>
      <c r="AA27" s="1165"/>
      <c r="AB27" s="1165"/>
      <c r="AC27" s="1165"/>
      <c r="AD27" s="1165"/>
      <c r="AE27" s="1165"/>
      <c r="AF27" s="1165"/>
      <c r="AG27" s="1165"/>
      <c r="AH27" s="1165"/>
      <c r="AI27" s="1165"/>
      <c r="AJ27" s="1165"/>
      <c r="AK27" s="1165"/>
      <c r="AL27" s="1165"/>
      <c r="AM27" s="1165"/>
      <c r="AN27" s="1165"/>
      <c r="AO27" s="1165"/>
      <c r="AP27" s="1165"/>
      <c r="AQ27" s="1165"/>
      <c r="AR27" s="1165"/>
      <c r="AS27" s="1165"/>
      <c r="AT27" s="1165"/>
      <c r="AU27" s="1165"/>
      <c r="AV27" s="1165"/>
      <c r="AW27" s="1165"/>
      <c r="AX27" s="1165"/>
      <c r="AY27" s="1165"/>
      <c r="AZ27" s="1165"/>
      <c r="BA27" s="1165"/>
      <c r="BB27" s="1165"/>
      <c r="BC27" s="1165"/>
      <c r="BD27" s="1165"/>
      <c r="BE27" s="1165"/>
      <c r="BF27" s="1165"/>
      <c r="BG27" s="1165"/>
      <c r="BH27" s="1165"/>
      <c r="BI27" s="1165"/>
      <c r="BJ27" s="1165"/>
      <c r="BK27" s="1165"/>
      <c r="BL27" s="1165"/>
      <c r="BM27" s="1165"/>
      <c r="BN27" s="1165"/>
      <c r="BO27" s="1165"/>
      <c r="BP27" s="1165"/>
      <c r="BQ27" s="1165"/>
      <c r="BR27" s="1165"/>
      <c r="BS27" s="1165"/>
      <c r="BT27" s="1165"/>
      <c r="BU27" s="1165"/>
      <c r="BV27" s="1165"/>
      <c r="BW27" s="1165"/>
      <c r="BX27" s="1165"/>
      <c r="BY27" s="1165"/>
      <c r="BZ27" s="1165"/>
      <c r="CA27" s="1165"/>
      <c r="CB27" s="1165"/>
      <c r="CC27" s="1165"/>
      <c r="CD27" s="1165"/>
      <c r="CE27" s="1165"/>
      <c r="CF27" s="1165"/>
      <c r="CG27" s="1165"/>
      <c r="CH27" s="1165"/>
      <c r="CI27" s="1165"/>
      <c r="CJ27" s="1165"/>
      <c r="CK27" s="1165"/>
      <c r="CL27" s="1165"/>
      <c r="CM27" s="1165"/>
      <c r="CN27" s="1165"/>
      <c r="CO27" s="1165"/>
      <c r="CP27" s="1165"/>
      <c r="CQ27" s="1165"/>
      <c r="CR27" s="1165"/>
      <c r="CS27" s="1165"/>
      <c r="CT27" s="1165"/>
      <c r="CU27" s="1165"/>
      <c r="CV27" s="1165"/>
      <c r="CW27" s="1165"/>
      <c r="CX27" s="1106"/>
      <c r="CY27" s="1106"/>
      <c r="CZ27" s="1106"/>
      <c r="DA27" s="1107"/>
      <c r="DB27" s="1104"/>
    </row>
    <row r="28" spans="2:106" ht="11.25" customHeight="1">
      <c r="B28" s="1105"/>
      <c r="C28" s="1165"/>
      <c r="D28" s="1165"/>
      <c r="E28" s="1165"/>
      <c r="F28" s="1165"/>
      <c r="G28" s="1165"/>
      <c r="H28" s="1165"/>
      <c r="I28" s="1165"/>
      <c r="J28" s="1165"/>
      <c r="K28" s="1165"/>
      <c r="L28" s="1165"/>
      <c r="M28" s="1165"/>
      <c r="N28" s="1165"/>
      <c r="O28" s="1165"/>
      <c r="P28" s="1165"/>
      <c r="Q28" s="1165"/>
      <c r="R28" s="1165"/>
      <c r="S28" s="1165"/>
      <c r="T28" s="1165"/>
      <c r="U28" s="1165"/>
      <c r="V28" s="1165"/>
      <c r="W28" s="1165"/>
      <c r="X28" s="1165"/>
      <c r="Y28" s="1165"/>
      <c r="Z28" s="1165"/>
      <c r="AA28" s="1165"/>
      <c r="AB28" s="1165"/>
      <c r="AC28" s="1165"/>
      <c r="AD28" s="1165"/>
      <c r="AE28" s="1165"/>
      <c r="AF28" s="1165"/>
      <c r="AG28" s="1165"/>
      <c r="AH28" s="1165"/>
      <c r="AI28" s="1165"/>
      <c r="AJ28" s="1165"/>
      <c r="AK28" s="1165"/>
      <c r="AL28" s="1165"/>
      <c r="AM28" s="1165"/>
      <c r="AN28" s="1165"/>
      <c r="AO28" s="1165"/>
      <c r="AP28" s="1165"/>
      <c r="AQ28" s="1165"/>
      <c r="AR28" s="1165"/>
      <c r="AS28" s="1165"/>
      <c r="AT28" s="1165"/>
      <c r="AU28" s="1165"/>
      <c r="AV28" s="1165"/>
      <c r="AW28" s="1165"/>
      <c r="AX28" s="1165"/>
      <c r="AY28" s="1165"/>
      <c r="AZ28" s="1165"/>
      <c r="BA28" s="1165"/>
      <c r="BB28" s="1165"/>
      <c r="BC28" s="1165"/>
      <c r="BD28" s="1165"/>
      <c r="BE28" s="1165"/>
      <c r="BF28" s="1165"/>
      <c r="BG28" s="1165"/>
      <c r="BH28" s="1165"/>
      <c r="BI28" s="1165"/>
      <c r="BJ28" s="1165"/>
      <c r="BK28" s="1165"/>
      <c r="BL28" s="1165"/>
      <c r="BM28" s="1165"/>
      <c r="BN28" s="1165"/>
      <c r="BO28" s="1165"/>
      <c r="BP28" s="1165"/>
      <c r="BQ28" s="1165"/>
      <c r="BR28" s="1165"/>
      <c r="BS28" s="1165"/>
      <c r="BT28" s="1165"/>
      <c r="BU28" s="1165"/>
      <c r="BV28" s="1165"/>
      <c r="BW28" s="1165"/>
      <c r="BX28" s="1165"/>
      <c r="BY28" s="1165"/>
      <c r="BZ28" s="1165"/>
      <c r="CA28" s="1165"/>
      <c r="CB28" s="1165"/>
      <c r="CC28" s="1165"/>
      <c r="CD28" s="1165"/>
      <c r="CE28" s="1165"/>
      <c r="CF28" s="1165"/>
      <c r="CG28" s="1165"/>
      <c r="CH28" s="1165"/>
      <c r="CI28" s="1165"/>
      <c r="CJ28" s="1165"/>
      <c r="CK28" s="1165"/>
      <c r="CL28" s="1165"/>
      <c r="CM28" s="1165"/>
      <c r="CN28" s="1165"/>
      <c r="CO28" s="1165"/>
      <c r="CP28" s="1165"/>
      <c r="CQ28" s="1165"/>
      <c r="CR28" s="1165"/>
      <c r="CS28" s="1165"/>
      <c r="CT28" s="1165"/>
      <c r="CU28" s="1165"/>
      <c r="CV28" s="1165"/>
      <c r="CW28" s="1165"/>
      <c r="CX28" s="1106"/>
      <c r="CY28" s="1106"/>
      <c r="CZ28" s="1106"/>
      <c r="DA28" s="1107"/>
      <c r="DB28" s="1104"/>
    </row>
    <row r="29" spans="2:106" ht="11.25" customHeight="1">
      <c r="B29" s="1105"/>
      <c r="C29" s="1165"/>
      <c r="D29" s="1165"/>
      <c r="E29" s="1165"/>
      <c r="F29" s="1165"/>
      <c r="G29" s="1165"/>
      <c r="H29" s="1165" t="s">
        <v>899</v>
      </c>
      <c r="I29" s="1165"/>
      <c r="J29" s="1165"/>
      <c r="K29" s="1165"/>
      <c r="L29" s="1165"/>
      <c r="M29" s="1165"/>
      <c r="N29" s="1165"/>
      <c r="O29" s="1165" t="s">
        <v>217</v>
      </c>
      <c r="P29" s="1165"/>
      <c r="Q29" s="1165" t="str">
        <f>TEXT(CY21,"#,###.##")</f>
        <v>3,035.5</v>
      </c>
      <c r="R29" s="1165"/>
      <c r="S29" s="1165"/>
      <c r="T29" s="1165"/>
      <c r="U29" s="1165"/>
      <c r="V29" s="1165"/>
      <c r="W29" s="1165"/>
      <c r="X29" s="1165"/>
      <c r="Y29" s="1165" t="s">
        <v>209</v>
      </c>
      <c r="Z29" s="1165"/>
      <c r="AA29" s="1165" t="str">
        <f>TEXT(CY25,"#,###.##")</f>
        <v>6,095.2</v>
      </c>
      <c r="AB29" s="1165"/>
      <c r="AC29" s="1165"/>
      <c r="AD29" s="1165"/>
      <c r="AE29" s="1165"/>
      <c r="AF29" s="1165"/>
      <c r="AG29" s="1165"/>
      <c r="AH29" s="1165"/>
      <c r="AI29" s="1165" t="s">
        <v>227</v>
      </c>
      <c r="AJ29" s="1165"/>
      <c r="AK29" s="1165"/>
      <c r="AL29" s="1165" t="str">
        <f>TEXT(TRUNC(CY21+CY25,0),"#,##0")</f>
        <v>9,130</v>
      </c>
      <c r="AM29" s="1165"/>
      <c r="AN29" s="1165"/>
      <c r="AO29" s="1165"/>
      <c r="AP29" s="1165"/>
      <c r="AQ29" s="1165"/>
      <c r="AR29" s="1165"/>
      <c r="AS29" s="1165"/>
      <c r="AT29" s="1165"/>
      <c r="AU29" s="1165"/>
      <c r="AV29" s="1165"/>
      <c r="AW29" s="1165"/>
      <c r="AX29" s="1165"/>
      <c r="AY29" s="1165"/>
      <c r="AZ29" s="1165"/>
      <c r="BA29" s="1165"/>
      <c r="BB29" s="1165"/>
      <c r="BC29" s="1165"/>
      <c r="BD29" s="1165"/>
      <c r="BE29" s="1165"/>
      <c r="BF29" s="1165"/>
      <c r="BG29" s="1165"/>
      <c r="BH29" s="1165"/>
      <c r="BI29" s="1165"/>
      <c r="BJ29" s="1165"/>
      <c r="BK29" s="1165"/>
      <c r="BL29" s="1165"/>
      <c r="BM29" s="1165"/>
      <c r="BN29" s="1165"/>
      <c r="BO29" s="1165"/>
      <c r="BP29" s="1165"/>
      <c r="BQ29" s="1165"/>
      <c r="BR29" s="1165"/>
      <c r="BS29" s="1165"/>
      <c r="BT29" s="1165"/>
      <c r="BU29" s="1165"/>
      <c r="BV29" s="1165"/>
      <c r="BW29" s="1165"/>
      <c r="BX29" s="1165"/>
      <c r="BY29" s="1165"/>
      <c r="BZ29" s="1165"/>
      <c r="CA29" s="1165"/>
      <c r="CB29" s="1165"/>
      <c r="CC29" s="1165"/>
      <c r="CD29" s="1165"/>
      <c r="CE29" s="1165"/>
      <c r="CF29" s="1165"/>
      <c r="CG29" s="1165"/>
      <c r="CH29" s="1165"/>
      <c r="CI29" s="1165"/>
      <c r="CJ29" s="1165"/>
      <c r="CK29" s="1165"/>
      <c r="CL29" s="1165"/>
      <c r="CM29" s="1165"/>
      <c r="CN29" s="1165"/>
      <c r="CO29" s="1165"/>
      <c r="CP29" s="1165"/>
      <c r="CQ29" s="1165"/>
      <c r="CR29" s="1165"/>
      <c r="CS29" s="1165"/>
      <c r="CT29" s="1165"/>
      <c r="CU29" s="1165"/>
      <c r="CV29" s="1165"/>
      <c r="CW29" s="1165"/>
      <c r="CX29" s="1106"/>
      <c r="CY29" s="1106"/>
      <c r="CZ29" s="1106"/>
      <c r="DA29" s="1107"/>
      <c r="DB29" s="1104"/>
    </row>
    <row r="30" spans="2:106" ht="11.25" customHeight="1">
      <c r="B30" s="1105"/>
      <c r="C30" s="1165"/>
      <c r="D30" s="1165"/>
      <c r="E30" s="1165"/>
      <c r="F30" s="1165"/>
      <c r="G30" s="1165"/>
      <c r="H30" s="1165" t="s">
        <v>892</v>
      </c>
      <c r="I30" s="1165"/>
      <c r="J30" s="1165"/>
      <c r="K30" s="1165"/>
      <c r="L30" s="1165"/>
      <c r="M30" s="1165"/>
      <c r="N30" s="1165"/>
      <c r="O30" s="1165" t="s">
        <v>217</v>
      </c>
      <c r="P30" s="1165"/>
      <c r="Q30" s="1165" t="e">
        <f>TEXT(TRUNC(CZ21,0),"#,##0")</f>
        <v>#REF!</v>
      </c>
      <c r="R30" s="1165"/>
      <c r="S30" s="1165"/>
      <c r="T30" s="1165"/>
      <c r="U30" s="1165"/>
      <c r="V30" s="1165"/>
      <c r="W30" s="1165"/>
      <c r="X30" s="1165"/>
      <c r="Y30" s="1165"/>
      <c r="Z30" s="1165"/>
      <c r="AA30" s="1165"/>
      <c r="AB30" s="1165"/>
      <c r="AC30" s="1165"/>
      <c r="AD30" s="1165"/>
      <c r="AE30" s="1165"/>
      <c r="AF30" s="1165"/>
      <c r="AG30" s="1165"/>
      <c r="AH30" s="1165"/>
      <c r="AI30" s="1165"/>
      <c r="AJ30" s="1165"/>
      <c r="AK30" s="1165"/>
      <c r="AL30" s="1165"/>
      <c r="AM30" s="1165"/>
      <c r="AN30" s="1165"/>
      <c r="AO30" s="1165"/>
      <c r="AP30" s="1165"/>
      <c r="AQ30" s="1165"/>
      <c r="AR30" s="1165"/>
      <c r="AS30" s="1165"/>
      <c r="AT30" s="1165"/>
      <c r="AU30" s="1165"/>
      <c r="AV30" s="1165"/>
      <c r="AW30" s="1165"/>
      <c r="AX30" s="1165"/>
      <c r="AY30" s="1165"/>
      <c r="AZ30" s="1165"/>
      <c r="BA30" s="1165"/>
      <c r="BB30" s="1165"/>
      <c r="BC30" s="1165"/>
      <c r="BD30" s="1165"/>
      <c r="BE30" s="1165"/>
      <c r="BF30" s="1165"/>
      <c r="BG30" s="1165"/>
      <c r="BH30" s="1165"/>
      <c r="BI30" s="1165"/>
      <c r="BJ30" s="1165"/>
      <c r="BK30" s="1165"/>
      <c r="BL30" s="1165"/>
      <c r="BM30" s="1165"/>
      <c r="BN30" s="1165"/>
      <c r="BO30" s="1165"/>
      <c r="BP30" s="1165"/>
      <c r="BQ30" s="1165"/>
      <c r="BR30" s="1165"/>
      <c r="BS30" s="1165"/>
      <c r="BT30" s="1165"/>
      <c r="BU30" s="1165"/>
      <c r="BV30" s="1165"/>
      <c r="BW30" s="1165"/>
      <c r="BX30" s="1165"/>
      <c r="BY30" s="1165"/>
      <c r="BZ30" s="1165"/>
      <c r="CA30" s="1165"/>
      <c r="CB30" s="1165"/>
      <c r="CC30" s="1165"/>
      <c r="CD30" s="1165"/>
      <c r="CE30" s="1165"/>
      <c r="CF30" s="1165"/>
      <c r="CG30" s="1165"/>
      <c r="CH30" s="1165"/>
      <c r="CI30" s="1165"/>
      <c r="CJ30" s="1165"/>
      <c r="CK30" s="1165"/>
      <c r="CL30" s="1165"/>
      <c r="CM30" s="1165"/>
      <c r="CN30" s="1165"/>
      <c r="CO30" s="1165"/>
      <c r="CP30" s="1165"/>
      <c r="CQ30" s="1165"/>
      <c r="CR30" s="1165"/>
      <c r="CS30" s="1165"/>
      <c r="CT30" s="1165"/>
      <c r="CU30" s="1165"/>
      <c r="CV30" s="1165"/>
      <c r="CW30" s="1165"/>
      <c r="CX30" s="1106"/>
      <c r="CY30" s="1106"/>
      <c r="CZ30" s="1106"/>
      <c r="DA30" s="1107"/>
      <c r="DB30" s="1104"/>
    </row>
    <row r="31" spans="2:106" ht="11.25" customHeight="1">
      <c r="B31" s="1105"/>
      <c r="C31" s="1165"/>
      <c r="D31" s="1165"/>
      <c r="E31" s="1165"/>
      <c r="F31" s="1165"/>
      <c r="G31" s="1165"/>
      <c r="H31" s="1165" t="s">
        <v>1022</v>
      </c>
      <c r="I31" s="1165"/>
      <c r="J31" s="1165"/>
      <c r="K31" s="1165"/>
      <c r="L31" s="1165" t="s">
        <v>1023</v>
      </c>
      <c r="M31" s="1165"/>
      <c r="N31" s="1165"/>
      <c r="O31" s="1165" t="s">
        <v>217</v>
      </c>
      <c r="P31" s="1165"/>
      <c r="Q31" s="1165" t="str">
        <f>TEXT(TRUNC(DA21,0),"#,##0")</f>
        <v>713</v>
      </c>
      <c r="R31" s="1165"/>
      <c r="S31" s="1165"/>
      <c r="T31" s="1165"/>
      <c r="U31" s="1165"/>
      <c r="V31" s="1165"/>
      <c r="W31" s="1165"/>
      <c r="X31" s="1165"/>
      <c r="Y31" s="1165"/>
      <c r="Z31" s="1165"/>
      <c r="AA31" s="1165"/>
      <c r="AB31" s="1165"/>
      <c r="AC31" s="1165"/>
      <c r="AD31" s="1165"/>
      <c r="AE31" s="1165"/>
      <c r="AF31" s="1165"/>
      <c r="AG31" s="1165"/>
      <c r="AH31" s="1165"/>
      <c r="AI31" s="1165"/>
      <c r="AJ31" s="1165"/>
      <c r="AK31" s="1165"/>
      <c r="AL31" s="1165"/>
      <c r="AM31" s="1165"/>
      <c r="AN31" s="1165"/>
      <c r="AO31" s="1165"/>
      <c r="AP31" s="1165"/>
      <c r="AQ31" s="1165"/>
      <c r="AR31" s="1165"/>
      <c r="AS31" s="1165"/>
      <c r="AT31" s="1165"/>
      <c r="AU31" s="1165"/>
      <c r="AV31" s="1165"/>
      <c r="AW31" s="1165"/>
      <c r="AX31" s="1165"/>
      <c r="AY31" s="1165"/>
      <c r="AZ31" s="1165"/>
      <c r="BA31" s="1165"/>
      <c r="BB31" s="1165"/>
      <c r="BC31" s="1165"/>
      <c r="BD31" s="1165"/>
      <c r="BE31" s="1165"/>
      <c r="BF31" s="1165"/>
      <c r="BG31" s="1165"/>
      <c r="BH31" s="1165"/>
      <c r="BI31" s="1165"/>
      <c r="BJ31" s="1165"/>
      <c r="BK31" s="1165"/>
      <c r="BL31" s="1165"/>
      <c r="BM31" s="1165"/>
      <c r="BN31" s="1165"/>
      <c r="BO31" s="1165"/>
      <c r="BP31" s="1165"/>
      <c r="BQ31" s="1165"/>
      <c r="BR31" s="1165"/>
      <c r="BS31" s="1165"/>
      <c r="BT31" s="1165"/>
      <c r="BU31" s="1165"/>
      <c r="BV31" s="1165"/>
      <c r="BW31" s="1165"/>
      <c r="BX31" s="1165"/>
      <c r="BY31" s="1165"/>
      <c r="BZ31" s="1165"/>
      <c r="CA31" s="1165"/>
      <c r="CB31" s="1165"/>
      <c r="CC31" s="1165"/>
      <c r="CD31" s="1165"/>
      <c r="CE31" s="1165"/>
      <c r="CF31" s="1165"/>
      <c r="CG31" s="1165"/>
      <c r="CH31" s="1165"/>
      <c r="CI31" s="1165"/>
      <c r="CJ31" s="1165"/>
      <c r="CK31" s="1165"/>
      <c r="CL31" s="1165"/>
      <c r="CM31" s="1165"/>
      <c r="CN31" s="1165"/>
      <c r="CO31" s="1165"/>
      <c r="CP31" s="1165"/>
      <c r="CQ31" s="1165"/>
      <c r="CR31" s="1165"/>
      <c r="CS31" s="1165"/>
      <c r="CT31" s="1165"/>
      <c r="CU31" s="1165"/>
      <c r="CV31" s="1165"/>
      <c r="CW31" s="1165"/>
      <c r="CX31" s="1106"/>
      <c r="CY31" s="1106"/>
      <c r="CZ31" s="1106"/>
      <c r="DA31" s="1107"/>
      <c r="DB31" s="1104"/>
    </row>
    <row r="32" spans="2:106" ht="11.25" customHeight="1">
      <c r="B32" s="1105"/>
      <c r="C32" s="1165"/>
      <c r="D32" s="1165"/>
      <c r="E32" s="1165"/>
      <c r="F32" s="1165"/>
      <c r="G32" s="1165"/>
      <c r="H32" s="1165"/>
      <c r="I32" s="1165"/>
      <c r="J32" s="1165" t="s">
        <v>179</v>
      </c>
      <c r="K32" s="1165"/>
      <c r="L32" s="1165"/>
      <c r="M32" s="1165"/>
      <c r="N32" s="1165"/>
      <c r="O32" s="1165" t="s">
        <v>217</v>
      </c>
      <c r="P32" s="1165"/>
      <c r="Q32" s="1165"/>
      <c r="R32" s="1165" t="e">
        <f>TEXT(AL29+Q30+Q31,"#,##0")</f>
        <v>#REF!</v>
      </c>
      <c r="S32" s="1165"/>
      <c r="T32" s="1165"/>
      <c r="U32" s="1165"/>
      <c r="V32" s="1165"/>
      <c r="W32" s="1165"/>
      <c r="X32" s="1165"/>
      <c r="Y32" s="1165"/>
      <c r="Z32" s="1165"/>
      <c r="AA32" s="1165"/>
      <c r="AB32" s="1165"/>
      <c r="AC32" s="1165"/>
      <c r="AD32" s="1165"/>
      <c r="AE32" s="1165"/>
      <c r="AF32" s="1165"/>
      <c r="AG32" s="1165"/>
      <c r="AH32" s="1165"/>
      <c r="AI32" s="1165"/>
      <c r="AJ32" s="1165"/>
      <c r="AK32" s="1165"/>
      <c r="AL32" s="1165"/>
      <c r="AM32" s="1165"/>
      <c r="AN32" s="1165"/>
      <c r="AO32" s="1165"/>
      <c r="AP32" s="1165"/>
      <c r="AQ32" s="1165"/>
      <c r="AR32" s="1165"/>
      <c r="AS32" s="1165"/>
      <c r="AT32" s="1165"/>
      <c r="AU32" s="1165"/>
      <c r="AV32" s="1165"/>
      <c r="AW32" s="1165"/>
      <c r="AX32" s="1165"/>
      <c r="AY32" s="1165"/>
      <c r="AZ32" s="1165"/>
      <c r="BA32" s="1165"/>
      <c r="BB32" s="1165"/>
      <c r="BC32" s="1165"/>
      <c r="BD32" s="1165"/>
      <c r="BE32" s="1165"/>
      <c r="BF32" s="1165"/>
      <c r="BG32" s="1165"/>
      <c r="BH32" s="1165"/>
      <c r="BI32" s="1165"/>
      <c r="BJ32" s="1165"/>
      <c r="BK32" s="1165"/>
      <c r="BL32" s="1165"/>
      <c r="BM32" s="1165"/>
      <c r="BN32" s="1165"/>
      <c r="BO32" s="1165"/>
      <c r="BP32" s="1165"/>
      <c r="BQ32" s="1165"/>
      <c r="BR32" s="1165"/>
      <c r="BS32" s="1165"/>
      <c r="BT32" s="1165"/>
      <c r="BU32" s="1165"/>
      <c r="BV32" s="1165"/>
      <c r="BW32" s="1165"/>
      <c r="BX32" s="1165"/>
      <c r="BY32" s="1165"/>
      <c r="BZ32" s="1165"/>
      <c r="CA32" s="1165"/>
      <c r="CB32" s="1165"/>
      <c r="CC32" s="1165"/>
      <c r="CD32" s="1165"/>
      <c r="CE32" s="1165"/>
      <c r="CF32" s="1165"/>
      <c r="CG32" s="1165"/>
      <c r="CH32" s="1165"/>
      <c r="CI32" s="1165"/>
      <c r="CJ32" s="1165"/>
      <c r="CK32" s="1165"/>
      <c r="CL32" s="1165"/>
      <c r="CM32" s="1165"/>
      <c r="CN32" s="1165"/>
      <c r="CO32" s="1165"/>
      <c r="CP32" s="1165"/>
      <c r="CQ32" s="1165"/>
      <c r="CR32" s="1165"/>
      <c r="CS32" s="1165"/>
      <c r="CT32" s="1165"/>
      <c r="CU32" s="1165"/>
      <c r="CV32" s="1165"/>
      <c r="CW32" s="1165"/>
      <c r="CX32" s="1108" t="e">
        <f>CY32+CZ32+DA32</f>
        <v>#REF!</v>
      </c>
      <c r="CY32" s="1106" t="str">
        <f>TEXT(AL29,"#,##0")</f>
        <v>9,130</v>
      </c>
      <c r="CZ32" s="1106" t="e">
        <f>TEXT(Q30,"#,##0")</f>
        <v>#REF!</v>
      </c>
      <c r="DA32" s="1107" t="str">
        <f>TEXT(Q31,"#,##0")</f>
        <v>713</v>
      </c>
      <c r="DB32" s="1104"/>
    </row>
    <row r="33" spans="2:106" ht="11.25" customHeight="1">
      <c r="B33" s="1105"/>
      <c r="C33" s="1165"/>
      <c r="D33" s="1165"/>
      <c r="E33" s="1165"/>
      <c r="F33" s="1165"/>
      <c r="G33" s="1165"/>
      <c r="H33" s="1165"/>
      <c r="I33" s="1165"/>
      <c r="J33" s="1165"/>
      <c r="K33" s="1165"/>
      <c r="L33" s="1165"/>
      <c r="M33" s="1165"/>
      <c r="N33" s="1165"/>
      <c r="O33" s="1165"/>
      <c r="P33" s="1165"/>
      <c r="Q33" s="1165"/>
      <c r="R33" s="1165"/>
      <c r="S33" s="1165"/>
      <c r="T33" s="1165"/>
      <c r="U33" s="1165"/>
      <c r="V33" s="1165"/>
      <c r="W33" s="1165"/>
      <c r="X33" s="1165"/>
      <c r="Y33" s="1165"/>
      <c r="Z33" s="1165"/>
      <c r="AA33" s="1165"/>
      <c r="AB33" s="1165"/>
      <c r="AC33" s="1165"/>
      <c r="AD33" s="1165"/>
      <c r="AE33" s="1165"/>
      <c r="AF33" s="1165"/>
      <c r="AG33" s="1165"/>
      <c r="AH33" s="1165"/>
      <c r="AI33" s="1165"/>
      <c r="AJ33" s="1165"/>
      <c r="AK33" s="1165"/>
      <c r="AL33" s="1165"/>
      <c r="AM33" s="1165"/>
      <c r="AN33" s="1165"/>
      <c r="AO33" s="1165"/>
      <c r="AP33" s="1165"/>
      <c r="AQ33" s="1165"/>
      <c r="AR33" s="1165"/>
      <c r="AS33" s="1165"/>
      <c r="AT33" s="1165"/>
      <c r="AU33" s="1165"/>
      <c r="AV33" s="1165"/>
      <c r="AW33" s="1165"/>
      <c r="AX33" s="1165"/>
      <c r="AY33" s="1165"/>
      <c r="AZ33" s="1165"/>
      <c r="BA33" s="1165"/>
      <c r="BB33" s="1165"/>
      <c r="BC33" s="1165"/>
      <c r="BD33" s="1165"/>
      <c r="BE33" s="1165"/>
      <c r="BF33" s="1165"/>
      <c r="BG33" s="1165"/>
      <c r="BH33" s="1165"/>
      <c r="BI33" s="1165"/>
      <c r="BJ33" s="1165"/>
      <c r="BK33" s="1165"/>
      <c r="BL33" s="1165"/>
      <c r="BM33" s="1165"/>
      <c r="BN33" s="1165"/>
      <c r="BO33" s="1165"/>
      <c r="BP33" s="1165"/>
      <c r="BQ33" s="1165"/>
      <c r="BR33" s="1165"/>
      <c r="BS33" s="1165"/>
      <c r="BT33" s="1165"/>
      <c r="BU33" s="1165"/>
      <c r="BV33" s="1165"/>
      <c r="BW33" s="1165"/>
      <c r="BX33" s="1165"/>
      <c r="BY33" s="1165"/>
      <c r="BZ33" s="1165"/>
      <c r="CA33" s="1165"/>
      <c r="CB33" s="1165"/>
      <c r="CC33" s="1165"/>
      <c r="CD33" s="1165"/>
      <c r="CE33" s="1165"/>
      <c r="CF33" s="1165"/>
      <c r="CG33" s="1165"/>
      <c r="CH33" s="1165"/>
      <c r="CI33" s="1165"/>
      <c r="CJ33" s="1165"/>
      <c r="CK33" s="1165"/>
      <c r="CL33" s="1165"/>
      <c r="CM33" s="1165"/>
      <c r="CN33" s="1165"/>
      <c r="CO33" s="1165"/>
      <c r="CP33" s="1165"/>
      <c r="CQ33" s="1165"/>
      <c r="CR33" s="1165"/>
      <c r="CS33" s="1165"/>
      <c r="CT33" s="1165"/>
      <c r="CU33" s="1165"/>
      <c r="CV33" s="1165"/>
      <c r="CW33" s="1165"/>
      <c r="CX33" s="1106"/>
      <c r="CY33" s="1106"/>
      <c r="CZ33" s="1106"/>
      <c r="DA33" s="1107"/>
      <c r="DB33" s="1104"/>
    </row>
    <row r="34" spans="2:106" ht="11.25" customHeight="1">
      <c r="B34" s="1101" t="s">
        <v>1036</v>
      </c>
      <c r="C34" s="1165"/>
      <c r="D34" s="1165"/>
      <c r="E34" s="1165"/>
      <c r="F34" s="1165"/>
      <c r="G34" s="1165"/>
      <c r="H34" s="1165"/>
      <c r="I34" s="1165"/>
      <c r="J34" s="1165"/>
      <c r="K34" s="1165"/>
      <c r="L34" s="1165"/>
      <c r="M34" s="1165"/>
      <c r="N34" s="1165"/>
      <c r="O34" s="1165"/>
      <c r="P34" s="1165"/>
      <c r="Q34" s="1165"/>
      <c r="R34" s="1165"/>
      <c r="S34" s="1165"/>
      <c r="T34" s="1165"/>
      <c r="U34" s="1165"/>
      <c r="V34" s="1165"/>
      <c r="W34" s="1165"/>
      <c r="X34" s="1165"/>
      <c r="Y34" s="1165"/>
      <c r="Z34" s="1165"/>
      <c r="AA34" s="1165"/>
      <c r="AB34" s="1165"/>
      <c r="AC34" s="1165"/>
      <c r="AD34" s="1165"/>
      <c r="AE34" s="1165"/>
      <c r="AF34" s="1165"/>
      <c r="AG34" s="1165"/>
      <c r="AH34" s="1165"/>
      <c r="AI34" s="1165"/>
      <c r="AJ34" s="1165"/>
      <c r="AK34" s="1165"/>
      <c r="AL34" s="1165"/>
      <c r="AM34" s="1165"/>
      <c r="AN34" s="1165"/>
      <c r="AO34" s="1165"/>
      <c r="AP34" s="1165"/>
      <c r="AQ34" s="1165"/>
      <c r="AR34" s="1165"/>
      <c r="AS34" s="1165"/>
      <c r="AT34" s="1165"/>
      <c r="AU34" s="1165"/>
      <c r="AV34" s="1165"/>
      <c r="AW34" s="1165"/>
      <c r="AX34" s="1165"/>
      <c r="AY34" s="1165"/>
      <c r="AZ34" s="1165"/>
      <c r="BA34" s="1165"/>
      <c r="BB34" s="1165"/>
      <c r="BC34" s="1165"/>
      <c r="BD34" s="1165"/>
      <c r="BE34" s="1165"/>
      <c r="BF34" s="1165"/>
      <c r="BG34" s="1165"/>
      <c r="BH34" s="1165"/>
      <c r="BI34" s="1165"/>
      <c r="BJ34" s="1165"/>
      <c r="BK34" s="1165"/>
      <c r="BL34" s="1165"/>
      <c r="BM34" s="1165"/>
      <c r="BN34" s="1165"/>
      <c r="BO34" s="1165"/>
      <c r="BP34" s="1165"/>
      <c r="BQ34" s="1165"/>
      <c r="BR34" s="1165"/>
      <c r="BS34" s="1165"/>
      <c r="BT34" s="1165"/>
      <c r="BU34" s="1165"/>
      <c r="BV34" s="1165"/>
      <c r="BW34" s="1165"/>
      <c r="BX34" s="1165"/>
      <c r="BY34" s="1165"/>
      <c r="BZ34" s="1165"/>
      <c r="CA34" s="1165"/>
      <c r="CB34" s="1165"/>
      <c r="CC34" s="1165"/>
      <c r="CD34" s="1165"/>
      <c r="CE34" s="1165"/>
      <c r="CF34" s="1165"/>
      <c r="CG34" s="1165"/>
      <c r="CH34" s="1165"/>
      <c r="CI34" s="1165"/>
      <c r="CJ34" s="1165"/>
      <c r="CK34" s="1165"/>
      <c r="CL34" s="1165"/>
      <c r="CM34" s="1165"/>
      <c r="CN34" s="1165"/>
      <c r="CO34" s="1165"/>
      <c r="CP34" s="1165"/>
      <c r="CQ34" s="1165"/>
      <c r="CR34" s="1165"/>
      <c r="CS34" s="1165"/>
      <c r="CT34" s="1165"/>
      <c r="CU34" s="1165"/>
      <c r="CV34" s="1165"/>
      <c r="CW34" s="1165"/>
      <c r="CX34" s="1102" t="e">
        <f>CX62</f>
        <v>#REF!</v>
      </c>
      <c r="CY34" s="1102" t="str">
        <f>CY62</f>
        <v>3,910</v>
      </c>
      <c r="CZ34" s="1102" t="e">
        <f>CZ62</f>
        <v>#REF!</v>
      </c>
      <c r="DA34" s="1103" t="str">
        <f>DA62</f>
        <v>513</v>
      </c>
      <c r="DB34" s="1104"/>
    </row>
    <row r="35" spans="2:106" ht="11.25" customHeight="1">
      <c r="B35" s="1105"/>
      <c r="C35" s="1165"/>
      <c r="D35" s="1165"/>
      <c r="E35" s="1165"/>
      <c r="F35" s="1165"/>
      <c r="G35" s="1165"/>
      <c r="H35" s="1165"/>
      <c r="I35" s="1165"/>
      <c r="J35" s="1165"/>
      <c r="K35" s="1165"/>
      <c r="L35" s="1165"/>
      <c r="M35" s="1165"/>
      <c r="N35" s="1165"/>
      <c r="O35" s="1165"/>
      <c r="P35" s="1165"/>
      <c r="Q35" s="1165"/>
      <c r="R35" s="1165"/>
      <c r="S35" s="1165"/>
      <c r="T35" s="1165"/>
      <c r="U35" s="1165"/>
      <c r="V35" s="1165"/>
      <c r="W35" s="1165"/>
      <c r="X35" s="1165"/>
      <c r="Y35" s="1165"/>
      <c r="Z35" s="1165"/>
      <c r="AA35" s="1165"/>
      <c r="AB35" s="1165"/>
      <c r="AC35" s="1165"/>
      <c r="AD35" s="1165"/>
      <c r="AE35" s="1165"/>
      <c r="AF35" s="1165"/>
      <c r="AG35" s="1165"/>
      <c r="AH35" s="1165"/>
      <c r="AI35" s="1165"/>
      <c r="AJ35" s="1165"/>
      <c r="AK35" s="1165"/>
      <c r="AL35" s="1165"/>
      <c r="AM35" s="1165"/>
      <c r="AN35" s="1165"/>
      <c r="AO35" s="1165"/>
      <c r="AP35" s="1165"/>
      <c r="AQ35" s="1165"/>
      <c r="AR35" s="1165"/>
      <c r="AS35" s="1165"/>
      <c r="AT35" s="1165"/>
      <c r="AU35" s="1165"/>
      <c r="AV35" s="1165"/>
      <c r="AW35" s="1165"/>
      <c r="AX35" s="1165"/>
      <c r="AY35" s="1165"/>
      <c r="AZ35" s="1165"/>
      <c r="BA35" s="1165"/>
      <c r="BB35" s="1165"/>
      <c r="BC35" s="1165"/>
      <c r="BD35" s="1165"/>
      <c r="BE35" s="1165"/>
      <c r="BF35" s="1165"/>
      <c r="BG35" s="1165"/>
      <c r="BH35" s="1165"/>
      <c r="BI35" s="1165"/>
      <c r="BJ35" s="1165"/>
      <c r="BK35" s="1165"/>
      <c r="BL35" s="1165"/>
      <c r="BM35" s="1165"/>
      <c r="BN35" s="1165"/>
      <c r="BO35" s="1165"/>
      <c r="BP35" s="1165"/>
      <c r="BQ35" s="1165"/>
      <c r="BR35" s="1165"/>
      <c r="BS35" s="1165"/>
      <c r="BT35" s="1165"/>
      <c r="BU35" s="1165"/>
      <c r="BV35" s="1165"/>
      <c r="BW35" s="1165"/>
      <c r="BX35" s="1165"/>
      <c r="BY35" s="1165"/>
      <c r="BZ35" s="1165"/>
      <c r="CA35" s="1165"/>
      <c r="CB35" s="1165"/>
      <c r="CC35" s="1165"/>
      <c r="CD35" s="1165"/>
      <c r="CE35" s="1165"/>
      <c r="CF35" s="1165"/>
      <c r="CG35" s="1165"/>
      <c r="CH35" s="1165"/>
      <c r="CI35" s="1165"/>
      <c r="CJ35" s="1165"/>
      <c r="CK35" s="1165"/>
      <c r="CL35" s="1165"/>
      <c r="CM35" s="1165"/>
      <c r="CN35" s="1165"/>
      <c r="CO35" s="1165"/>
      <c r="CP35" s="1165"/>
      <c r="CQ35" s="1165"/>
      <c r="CR35" s="1165"/>
      <c r="CS35" s="1165"/>
      <c r="CT35" s="1165"/>
      <c r="CU35" s="1165"/>
      <c r="CV35" s="1165"/>
      <c r="CW35" s="1165"/>
      <c r="CX35" s="1106"/>
      <c r="CY35" s="1106"/>
      <c r="CZ35" s="1106"/>
      <c r="DA35" s="1107"/>
      <c r="DB35" s="1104"/>
    </row>
    <row r="36" spans="2:106" ht="11.25" customHeight="1">
      <c r="B36" s="1105"/>
      <c r="C36" s="1165"/>
      <c r="D36" s="1165" t="s">
        <v>1006</v>
      </c>
      <c r="E36" s="1165"/>
      <c r="F36" s="1165"/>
      <c r="G36" s="1165" t="s">
        <v>1007</v>
      </c>
      <c r="H36" s="1165"/>
      <c r="I36" s="1165"/>
      <c r="J36" s="1165" t="s">
        <v>179</v>
      </c>
      <c r="K36" s="1165"/>
      <c r="L36" s="1165"/>
      <c r="M36" s="1165" t="s">
        <v>263</v>
      </c>
      <c r="N36" s="1165" t="s">
        <v>1008</v>
      </c>
      <c r="O36" s="1165"/>
      <c r="P36" s="1165" t="s">
        <v>954</v>
      </c>
      <c r="Q36" s="1165" t="s">
        <v>264</v>
      </c>
      <c r="R36" s="1165"/>
      <c r="S36" s="1165"/>
      <c r="T36" s="1165"/>
      <c r="U36" s="1165"/>
      <c r="V36" s="1165"/>
      <c r="W36" s="1165"/>
      <c r="X36" s="1165"/>
      <c r="Y36" s="1165"/>
      <c r="Z36" s="1165"/>
      <c r="AA36" s="1165"/>
      <c r="AB36" s="1165"/>
      <c r="AC36" s="1165"/>
      <c r="AD36" s="1165"/>
      <c r="AE36" s="1165"/>
      <c r="AF36" s="1165"/>
      <c r="AG36" s="1165"/>
      <c r="AH36" s="1165"/>
      <c r="AI36" s="1165"/>
      <c r="AJ36" s="1165"/>
      <c r="AK36" s="1165"/>
      <c r="AL36" s="1165"/>
      <c r="AM36" s="1165"/>
      <c r="AN36" s="1165"/>
      <c r="AO36" s="1165"/>
      <c r="AP36" s="1165"/>
      <c r="AQ36" s="1165"/>
      <c r="AR36" s="1165"/>
      <c r="AS36" s="1165"/>
      <c r="AT36" s="1165"/>
      <c r="AU36" s="1165"/>
      <c r="AV36" s="1165"/>
      <c r="AW36" s="1165"/>
      <c r="AX36" s="1165"/>
      <c r="AY36" s="1165"/>
      <c r="AZ36" s="1165"/>
      <c r="BA36" s="1165"/>
      <c r="BB36" s="1165"/>
      <c r="BC36" s="1165"/>
      <c r="BD36" s="1165"/>
      <c r="BE36" s="1165"/>
      <c r="BF36" s="1165"/>
      <c r="BG36" s="1165"/>
      <c r="BH36" s="1165"/>
      <c r="BI36" s="1165"/>
      <c r="BJ36" s="1165"/>
      <c r="BK36" s="1165"/>
      <c r="BL36" s="1165"/>
      <c r="BM36" s="1165"/>
      <c r="BN36" s="1165"/>
      <c r="BO36" s="1165"/>
      <c r="BP36" s="1165"/>
      <c r="BQ36" s="1165"/>
      <c r="BR36" s="1165"/>
      <c r="BS36" s="1165"/>
      <c r="BT36" s="1165"/>
      <c r="BU36" s="1165"/>
      <c r="BV36" s="1165"/>
      <c r="BW36" s="1165"/>
      <c r="BX36" s="1165"/>
      <c r="BY36" s="1165"/>
      <c r="BZ36" s="1165"/>
      <c r="CA36" s="1165"/>
      <c r="CB36" s="1165"/>
      <c r="CC36" s="1165"/>
      <c r="CD36" s="1165"/>
      <c r="CE36" s="1165"/>
      <c r="CF36" s="1165"/>
      <c r="CG36" s="1165"/>
      <c r="CH36" s="1165"/>
      <c r="CI36" s="1165"/>
      <c r="CJ36" s="1165"/>
      <c r="CK36" s="1165"/>
      <c r="CL36" s="1165"/>
      <c r="CM36" s="1165"/>
      <c r="CN36" s="1165"/>
      <c r="CO36" s="1165"/>
      <c r="CP36" s="1165"/>
      <c r="CQ36" s="1165"/>
      <c r="CR36" s="1165"/>
      <c r="CS36" s="1165"/>
      <c r="CT36" s="1165"/>
      <c r="CU36" s="1165"/>
      <c r="CV36" s="1165"/>
      <c r="CW36" s="1165"/>
      <c r="CX36" s="1106"/>
      <c r="CY36" s="1106"/>
      <c r="CZ36" s="1106"/>
      <c r="DA36" s="1107"/>
      <c r="DB36" s="1104"/>
    </row>
    <row r="37" spans="2:106" ht="11.25" customHeight="1">
      <c r="B37" s="1105"/>
      <c r="C37" s="1165"/>
      <c r="D37" s="1165"/>
      <c r="E37" s="1165"/>
      <c r="F37" s="1165"/>
      <c r="G37" s="1165"/>
      <c r="H37" s="1165"/>
      <c r="I37" s="1165"/>
      <c r="J37" s="1165"/>
      <c r="K37" s="1165"/>
      <c r="L37" s="1165"/>
      <c r="M37" s="1165"/>
      <c r="N37" s="1165"/>
      <c r="O37" s="1165"/>
      <c r="P37" s="1165"/>
      <c r="Q37" s="1165"/>
      <c r="R37" s="1165"/>
      <c r="S37" s="1165"/>
      <c r="T37" s="1165"/>
      <c r="U37" s="1165"/>
      <c r="V37" s="1165"/>
      <c r="W37" s="1165"/>
      <c r="X37" s="1165"/>
      <c r="Y37" s="1165"/>
      <c r="Z37" s="1165"/>
      <c r="AA37" s="1165"/>
      <c r="AB37" s="1165"/>
      <c r="AC37" s="1165"/>
      <c r="AD37" s="1165"/>
      <c r="AE37" s="1165"/>
      <c r="AF37" s="1165"/>
      <c r="AG37" s="1165"/>
      <c r="AH37" s="1165"/>
      <c r="AI37" s="1165"/>
      <c r="AJ37" s="1165"/>
      <c r="AK37" s="1165"/>
      <c r="AL37" s="1165"/>
      <c r="AM37" s="1165"/>
      <c r="AN37" s="1165"/>
      <c r="AO37" s="1165"/>
      <c r="AP37" s="1165"/>
      <c r="AQ37" s="1165"/>
      <c r="AR37" s="1165"/>
      <c r="AS37" s="1165"/>
      <c r="AT37" s="1165"/>
      <c r="AU37" s="1165"/>
      <c r="AV37" s="1165"/>
      <c r="AW37" s="1165"/>
      <c r="AX37" s="1165"/>
      <c r="AY37" s="1165"/>
      <c r="AZ37" s="1165"/>
      <c r="BA37" s="1165"/>
      <c r="BB37" s="1165"/>
      <c r="BC37" s="1165"/>
      <c r="BD37" s="1165"/>
      <c r="BE37" s="1165"/>
      <c r="BF37" s="1165"/>
      <c r="BG37" s="1165"/>
      <c r="BH37" s="1165"/>
      <c r="BI37" s="1165"/>
      <c r="BJ37" s="1165"/>
      <c r="BK37" s="1165"/>
      <c r="BL37" s="1165"/>
      <c r="BM37" s="1165"/>
      <c r="BN37" s="1165"/>
      <c r="BO37" s="1165"/>
      <c r="BP37" s="1165"/>
      <c r="BQ37" s="1165"/>
      <c r="BR37" s="1165"/>
      <c r="BS37" s="1165"/>
      <c r="BT37" s="1165"/>
      <c r="BU37" s="1165"/>
      <c r="BV37" s="1165"/>
      <c r="BW37" s="1165"/>
      <c r="BX37" s="1165"/>
      <c r="BY37" s="1165"/>
      <c r="BZ37" s="1165"/>
      <c r="CA37" s="1165"/>
      <c r="CB37" s="1165"/>
      <c r="CC37" s="1165"/>
      <c r="CD37" s="1165"/>
      <c r="CE37" s="1165"/>
      <c r="CF37" s="1165"/>
      <c r="CG37" s="1165"/>
      <c r="CH37" s="1165"/>
      <c r="CI37" s="1165"/>
      <c r="CJ37" s="1165"/>
      <c r="CK37" s="1165"/>
      <c r="CL37" s="1165"/>
      <c r="CM37" s="1165"/>
      <c r="CN37" s="1165"/>
      <c r="CO37" s="1165"/>
      <c r="CP37" s="1165"/>
      <c r="CQ37" s="1165"/>
      <c r="CR37" s="1165"/>
      <c r="CS37" s="1165"/>
      <c r="CT37" s="1165"/>
      <c r="CU37" s="1165"/>
      <c r="CV37" s="1165"/>
      <c r="CW37" s="1165"/>
      <c r="CX37" s="1106"/>
      <c r="CY37" s="1106"/>
      <c r="CZ37" s="1106"/>
      <c r="DA37" s="1107"/>
      <c r="DB37" s="1104"/>
    </row>
    <row r="38" spans="2:106" ht="11.25" customHeight="1">
      <c r="B38" s="1105"/>
      <c r="C38" s="1165"/>
      <c r="D38" s="1165"/>
      <c r="E38" s="1165"/>
      <c r="F38" s="1165"/>
      <c r="G38" s="1165" t="s">
        <v>1009</v>
      </c>
      <c r="H38" s="1165"/>
      <c r="I38" s="1165"/>
      <c r="J38" s="1165"/>
      <c r="K38" s="1165"/>
      <c r="L38" s="1165"/>
      <c r="M38" s="1165"/>
      <c r="N38" s="1165"/>
      <c r="O38" s="1165"/>
      <c r="P38" s="1165"/>
      <c r="Q38" s="1165"/>
      <c r="R38" s="1165"/>
      <c r="S38" s="1165"/>
      <c r="T38" s="1165"/>
      <c r="U38" s="1165"/>
      <c r="V38" s="1165"/>
      <c r="W38" s="1165"/>
      <c r="X38" s="1165"/>
      <c r="Y38" s="1165"/>
      <c r="Z38" s="1165" t="s">
        <v>1010</v>
      </c>
      <c r="AA38" s="1165"/>
      <c r="AB38" s="1165"/>
      <c r="AC38" s="1165"/>
      <c r="AD38" s="1165"/>
      <c r="AE38" s="1165"/>
      <c r="AF38" s="1165"/>
      <c r="AG38" s="1165"/>
      <c r="AH38" s="1165"/>
      <c r="AI38" s="1165"/>
      <c r="AJ38" s="1165"/>
      <c r="AK38" s="1165"/>
      <c r="AL38" s="1165"/>
      <c r="AM38" s="1165"/>
      <c r="AN38" s="1165"/>
      <c r="AO38" s="1165"/>
      <c r="AP38" s="1165"/>
      <c r="AQ38" s="1165"/>
      <c r="AR38" s="1165"/>
      <c r="AS38" s="1165"/>
      <c r="AT38" s="1165"/>
      <c r="AU38" s="1165"/>
      <c r="AV38" s="1165"/>
      <c r="AW38" s="1165"/>
      <c r="AX38" s="1165"/>
      <c r="AY38" s="1165"/>
      <c r="AZ38" s="1165"/>
      <c r="BA38" s="1165"/>
      <c r="BB38" s="1165"/>
      <c r="BC38" s="1165"/>
      <c r="BD38" s="1165"/>
      <c r="BE38" s="1165"/>
      <c r="BF38" s="1165"/>
      <c r="BG38" s="1165"/>
      <c r="BH38" s="1165"/>
      <c r="BI38" s="1165"/>
      <c r="BJ38" s="1165"/>
      <c r="BK38" s="1165"/>
      <c r="BL38" s="1165"/>
      <c r="BM38" s="1165"/>
      <c r="BN38" s="1165"/>
      <c r="BO38" s="1165"/>
      <c r="BP38" s="1165"/>
      <c r="BQ38" s="1165"/>
      <c r="BR38" s="1165"/>
      <c r="BS38" s="1165"/>
      <c r="BT38" s="1165"/>
      <c r="BU38" s="1165"/>
      <c r="BV38" s="1165"/>
      <c r="BW38" s="1165"/>
      <c r="BX38" s="1165"/>
      <c r="BY38" s="1165"/>
      <c r="BZ38" s="1165"/>
      <c r="CA38" s="1165"/>
      <c r="CB38" s="1165"/>
      <c r="CC38" s="1165"/>
      <c r="CD38" s="1165"/>
      <c r="CE38" s="1165"/>
      <c r="CF38" s="1165"/>
      <c r="CG38" s="1165"/>
      <c r="CH38" s="1165"/>
      <c r="CI38" s="1165"/>
      <c r="CJ38" s="1165"/>
      <c r="CK38" s="1165"/>
      <c r="CL38" s="1165"/>
      <c r="CM38" s="1165"/>
      <c r="CN38" s="1165"/>
      <c r="CO38" s="1165"/>
      <c r="CP38" s="1165"/>
      <c r="CQ38" s="1165"/>
      <c r="CR38" s="1165"/>
      <c r="CS38" s="1165"/>
      <c r="CT38" s="1165"/>
      <c r="CU38" s="1165"/>
      <c r="CV38" s="1165"/>
      <c r="CW38" s="1165"/>
      <c r="CX38" s="1106"/>
      <c r="CY38" s="1106"/>
      <c r="CZ38" s="1106"/>
      <c r="DA38" s="1107"/>
      <c r="DB38" s="1104"/>
    </row>
    <row r="39" spans="2:106" ht="11.25" customHeight="1">
      <c r="B39" s="1105"/>
      <c r="C39" s="1165"/>
      <c r="D39" s="1165"/>
      <c r="E39" s="1165"/>
      <c r="F39" s="1165"/>
      <c r="G39" s="1165"/>
      <c r="H39" s="1165"/>
      <c r="I39" s="1165"/>
      <c r="J39" s="1165"/>
      <c r="K39" s="1165"/>
      <c r="L39" s="1165"/>
      <c r="M39" s="1165"/>
      <c r="N39" s="1165"/>
      <c r="O39" s="1165"/>
      <c r="P39" s="1165"/>
      <c r="Q39" s="1165"/>
      <c r="R39" s="1165"/>
      <c r="S39" s="1165"/>
      <c r="T39" s="1165"/>
      <c r="U39" s="1165"/>
      <c r="V39" s="1165"/>
      <c r="W39" s="1165"/>
      <c r="X39" s="1165"/>
      <c r="Y39" s="1165"/>
      <c r="Z39" s="1165"/>
      <c r="AA39" s="1165"/>
      <c r="AB39" s="1165"/>
      <c r="AC39" s="1165"/>
      <c r="AD39" s="1165"/>
      <c r="AE39" s="1165"/>
      <c r="AF39" s="1165"/>
      <c r="AG39" s="1165"/>
      <c r="AH39" s="1165"/>
      <c r="AI39" s="1165"/>
      <c r="AJ39" s="1165"/>
      <c r="AK39" s="1165"/>
      <c r="AL39" s="1165"/>
      <c r="AM39" s="1165"/>
      <c r="AN39" s="1165"/>
      <c r="AO39" s="1165"/>
      <c r="AP39" s="1165"/>
      <c r="AQ39" s="1165"/>
      <c r="AR39" s="1165"/>
      <c r="AS39" s="1165"/>
      <c r="AT39" s="1165"/>
      <c r="AU39" s="1165"/>
      <c r="AV39" s="1165"/>
      <c r="AW39" s="1165"/>
      <c r="AX39" s="1165"/>
      <c r="AY39" s="1165"/>
      <c r="AZ39" s="1165"/>
      <c r="BA39" s="1165"/>
      <c r="BB39" s="1165"/>
      <c r="BC39" s="1165"/>
      <c r="BD39" s="1165"/>
      <c r="BE39" s="1165"/>
      <c r="BF39" s="1165"/>
      <c r="BG39" s="1165"/>
      <c r="BH39" s="1165"/>
      <c r="BI39" s="1165"/>
      <c r="BJ39" s="1165"/>
      <c r="BK39" s="1165"/>
      <c r="BL39" s="1165"/>
      <c r="BM39" s="1165"/>
      <c r="BN39" s="1165"/>
      <c r="BO39" s="1165"/>
      <c r="BP39" s="1165"/>
      <c r="BQ39" s="1165"/>
      <c r="BR39" s="1165"/>
      <c r="BS39" s="1165"/>
      <c r="BT39" s="1165"/>
      <c r="BU39" s="1165"/>
      <c r="BV39" s="1165"/>
      <c r="BW39" s="1165"/>
      <c r="BX39" s="1165"/>
      <c r="BY39" s="1165"/>
      <c r="BZ39" s="1165"/>
      <c r="CA39" s="1165"/>
      <c r="CB39" s="1165"/>
      <c r="CC39" s="1165"/>
      <c r="CD39" s="1165"/>
      <c r="CE39" s="1165"/>
      <c r="CF39" s="1165"/>
      <c r="CG39" s="1165"/>
      <c r="CH39" s="1165"/>
      <c r="CI39" s="1165"/>
      <c r="CJ39" s="1165"/>
      <c r="CK39" s="1165"/>
      <c r="CL39" s="1165"/>
      <c r="CM39" s="1165"/>
      <c r="CN39" s="1165"/>
      <c r="CO39" s="1165"/>
      <c r="CP39" s="1165"/>
      <c r="CQ39" s="1165"/>
      <c r="CR39" s="1165"/>
      <c r="CS39" s="1165"/>
      <c r="CT39" s="1165"/>
      <c r="CU39" s="1165"/>
      <c r="CV39" s="1165"/>
      <c r="CW39" s="1165"/>
      <c r="CX39" s="1106"/>
      <c r="CY39" s="1106"/>
      <c r="CZ39" s="1106"/>
      <c r="DA39" s="1107"/>
      <c r="DB39" s="1104"/>
    </row>
    <row r="40" spans="2:106" ht="11.25" customHeight="1">
      <c r="B40" s="1105"/>
      <c r="C40" s="1165"/>
      <c r="D40" s="1165"/>
      <c r="E40" s="1165"/>
      <c r="F40" s="1165"/>
      <c r="G40" s="1165" t="s">
        <v>1011</v>
      </c>
      <c r="H40" s="1165"/>
      <c r="I40" s="1165" t="s">
        <v>227</v>
      </c>
      <c r="J40" s="1165"/>
      <c r="K40" s="1165" t="str">
        <f>TEXT(0.2,"#,##0.#######")</f>
        <v>0.2</v>
      </c>
      <c r="L40" s="1165"/>
      <c r="M40" s="1165"/>
      <c r="N40" s="1165" t="s">
        <v>178</v>
      </c>
      <c r="O40" s="1165"/>
      <c r="P40" s="1165"/>
      <c r="Q40" s="1165"/>
      <c r="R40" s="1165"/>
      <c r="S40" s="1165"/>
      <c r="T40" s="1165"/>
      <c r="U40" s="1165"/>
      <c r="V40" s="1165" t="s">
        <v>1012</v>
      </c>
      <c r="W40" s="1165"/>
      <c r="X40" s="1165" t="s">
        <v>227</v>
      </c>
      <c r="Y40" s="1165"/>
      <c r="Z40" s="1165" t="str">
        <f>TEXT(0.98,"#,##0.#######")</f>
        <v>0.98</v>
      </c>
      <c r="AA40" s="1165"/>
      <c r="AB40" s="1165"/>
      <c r="AC40" s="1165"/>
      <c r="AD40" s="1165"/>
      <c r="AE40" s="1165" t="s">
        <v>249</v>
      </c>
      <c r="AF40" s="1165"/>
      <c r="AG40" s="1165" t="str">
        <f>TEXT(1.24,"#,##0.#######")</f>
        <v>1.24</v>
      </c>
      <c r="AH40" s="1165"/>
      <c r="AI40" s="1165"/>
      <c r="AJ40" s="1165"/>
      <c r="AK40" s="1165"/>
      <c r="AL40" s="1165" t="s">
        <v>227</v>
      </c>
      <c r="AM40" s="1165"/>
      <c r="AN40" s="1165" t="str">
        <f>TEXT(ROUND(Z40/AG40,2),"#,##0.#######")</f>
        <v>0.79</v>
      </c>
      <c r="AO40" s="1165"/>
      <c r="AP40" s="1165"/>
      <c r="AQ40" s="1165"/>
      <c r="AR40" s="1165"/>
      <c r="AS40" s="1165"/>
      <c r="AT40" s="1165"/>
      <c r="AU40" s="1165"/>
      <c r="AV40" s="1165"/>
      <c r="AW40" s="1165"/>
      <c r="AX40" s="1165"/>
      <c r="AY40" s="1165" t="s">
        <v>1013</v>
      </c>
      <c r="AZ40" s="1165"/>
      <c r="BA40" s="1165" t="s">
        <v>227</v>
      </c>
      <c r="BB40" s="1165"/>
      <c r="BC40" s="1165" t="str">
        <f>TEXT(1.1,"#,##0.#######")</f>
        <v>1.1</v>
      </c>
      <c r="BD40" s="1165"/>
      <c r="BE40" s="1165"/>
      <c r="BF40" s="1165"/>
      <c r="BG40" s="1165"/>
      <c r="BH40" s="1165"/>
      <c r="BI40" s="1165"/>
      <c r="BJ40" s="1165"/>
      <c r="BK40" s="1165"/>
      <c r="BL40" s="1165"/>
      <c r="BM40" s="1165"/>
      <c r="BN40" s="1165"/>
      <c r="BO40" s="1165"/>
      <c r="BP40" s="1165"/>
      <c r="BQ40" s="1165"/>
      <c r="BR40" s="1165"/>
      <c r="BS40" s="1165"/>
      <c r="BT40" s="1165"/>
      <c r="BU40" s="1165"/>
      <c r="BV40" s="1165"/>
      <c r="BW40" s="1165"/>
      <c r="BX40" s="1165"/>
      <c r="BY40" s="1165"/>
      <c r="BZ40" s="1165"/>
      <c r="CA40" s="1165"/>
      <c r="CB40" s="1165"/>
      <c r="CC40" s="1165"/>
      <c r="CD40" s="1165"/>
      <c r="CE40" s="1165"/>
      <c r="CF40" s="1165"/>
      <c r="CG40" s="1165"/>
      <c r="CH40" s="1165"/>
      <c r="CI40" s="1165"/>
      <c r="CJ40" s="1165"/>
      <c r="CK40" s="1165"/>
      <c r="CL40" s="1165"/>
      <c r="CM40" s="1165"/>
      <c r="CN40" s="1165"/>
      <c r="CO40" s="1165"/>
      <c r="CP40" s="1165"/>
      <c r="CQ40" s="1165"/>
      <c r="CR40" s="1165"/>
      <c r="CS40" s="1165"/>
      <c r="CT40" s="1165"/>
      <c r="CU40" s="1165"/>
      <c r="CV40" s="1165"/>
      <c r="CW40" s="1165"/>
      <c r="CX40" s="1106"/>
      <c r="CY40" s="1106"/>
      <c r="CZ40" s="1106"/>
      <c r="DA40" s="1107"/>
      <c r="DB40" s="1104"/>
    </row>
    <row r="41" spans="2:106" ht="11.25" customHeight="1">
      <c r="B41" s="1105"/>
      <c r="C41" s="1165"/>
      <c r="D41" s="1165"/>
      <c r="E41" s="1165"/>
      <c r="F41" s="1165"/>
      <c r="G41" s="1165"/>
      <c r="H41" s="1165"/>
      <c r="I41" s="1165"/>
      <c r="J41" s="1165"/>
      <c r="K41" s="1165"/>
      <c r="L41" s="1165"/>
      <c r="M41" s="1165"/>
      <c r="N41" s="1165"/>
      <c r="O41" s="1165"/>
      <c r="P41" s="1165"/>
      <c r="Q41" s="1165"/>
      <c r="R41" s="1165"/>
      <c r="S41" s="1165"/>
      <c r="T41" s="1165"/>
      <c r="U41" s="1165"/>
      <c r="V41" s="1165"/>
      <c r="W41" s="1165"/>
      <c r="X41" s="1165"/>
      <c r="Y41" s="1165"/>
      <c r="Z41" s="1165"/>
      <c r="AA41" s="1165"/>
      <c r="AB41" s="1165"/>
      <c r="AC41" s="1165"/>
      <c r="AD41" s="1165"/>
      <c r="AE41" s="1165"/>
      <c r="AF41" s="1165"/>
      <c r="AG41" s="1165"/>
      <c r="AH41" s="1165"/>
      <c r="AI41" s="1165"/>
      <c r="AJ41" s="1165"/>
      <c r="AK41" s="1165"/>
      <c r="AL41" s="1165"/>
      <c r="AM41" s="1165"/>
      <c r="AN41" s="1165"/>
      <c r="AO41" s="1165"/>
      <c r="AP41" s="1165"/>
      <c r="AQ41" s="1165"/>
      <c r="AR41" s="1165"/>
      <c r="AS41" s="1165"/>
      <c r="AT41" s="1165"/>
      <c r="AU41" s="1165"/>
      <c r="AV41" s="1165"/>
      <c r="AW41" s="1165"/>
      <c r="AX41" s="1165"/>
      <c r="AY41" s="1165"/>
      <c r="AZ41" s="1165"/>
      <c r="BA41" s="1165"/>
      <c r="BB41" s="1165"/>
      <c r="BC41" s="1165"/>
      <c r="BD41" s="1165"/>
      <c r="BE41" s="1165"/>
      <c r="BF41" s="1165"/>
      <c r="BG41" s="1165"/>
      <c r="BH41" s="1165"/>
      <c r="BI41" s="1165"/>
      <c r="BJ41" s="1165"/>
      <c r="BK41" s="1165"/>
      <c r="BL41" s="1165"/>
      <c r="BM41" s="1165"/>
      <c r="BN41" s="1165"/>
      <c r="BO41" s="1165"/>
      <c r="BP41" s="1165"/>
      <c r="BQ41" s="1165"/>
      <c r="BR41" s="1165"/>
      <c r="BS41" s="1165"/>
      <c r="BT41" s="1165"/>
      <c r="BU41" s="1165"/>
      <c r="BV41" s="1165"/>
      <c r="BW41" s="1165"/>
      <c r="BX41" s="1165"/>
      <c r="BY41" s="1165"/>
      <c r="BZ41" s="1165"/>
      <c r="CA41" s="1165"/>
      <c r="CB41" s="1165"/>
      <c r="CC41" s="1165"/>
      <c r="CD41" s="1165"/>
      <c r="CE41" s="1165"/>
      <c r="CF41" s="1165"/>
      <c r="CG41" s="1165"/>
      <c r="CH41" s="1165"/>
      <c r="CI41" s="1165"/>
      <c r="CJ41" s="1165"/>
      <c r="CK41" s="1165"/>
      <c r="CL41" s="1165"/>
      <c r="CM41" s="1165"/>
      <c r="CN41" s="1165"/>
      <c r="CO41" s="1165"/>
      <c r="CP41" s="1165"/>
      <c r="CQ41" s="1165"/>
      <c r="CR41" s="1165"/>
      <c r="CS41" s="1165"/>
      <c r="CT41" s="1165"/>
      <c r="CU41" s="1165"/>
      <c r="CV41" s="1165"/>
      <c r="CW41" s="1165"/>
      <c r="CX41" s="1106"/>
      <c r="CY41" s="1106"/>
      <c r="CZ41" s="1106"/>
      <c r="DA41" s="1107"/>
      <c r="DB41" s="1104"/>
    </row>
    <row r="42" spans="2:106" ht="11.25" customHeight="1">
      <c r="B42" s="1105"/>
      <c r="C42" s="1165"/>
      <c r="D42" s="1165"/>
      <c r="E42" s="1165"/>
      <c r="F42" s="1165"/>
      <c r="G42" s="1165" t="s">
        <v>1014</v>
      </c>
      <c r="H42" s="1165"/>
      <c r="I42" s="1165" t="s">
        <v>227</v>
      </c>
      <c r="J42" s="1165"/>
      <c r="K42" s="1165" t="s">
        <v>263</v>
      </c>
      <c r="L42" s="1165" t="str">
        <f>TEXT(0.75,"#,##0.#######")</f>
        <v>0.75</v>
      </c>
      <c r="M42" s="1165"/>
      <c r="N42" s="1165"/>
      <c r="O42" s="1165"/>
      <c r="P42" s="1165" t="s">
        <v>209</v>
      </c>
      <c r="Q42" s="1165" t="str">
        <f>TEXT(0.65,"#,##0.#######")</f>
        <v>0.65</v>
      </c>
      <c r="R42" s="1165"/>
      <c r="S42" s="1165"/>
      <c r="T42" s="1165"/>
      <c r="U42" s="1165" t="s">
        <v>264</v>
      </c>
      <c r="V42" s="1165" t="s">
        <v>249</v>
      </c>
      <c r="W42" s="1165" t="str">
        <f>TEXT(2,"#,##0.#######")</f>
        <v>2.</v>
      </c>
      <c r="X42" s="1165"/>
      <c r="Y42" s="1165" t="s">
        <v>227</v>
      </c>
      <c r="Z42" s="1165"/>
      <c r="AA42" s="1165" t="str">
        <f>TEXT(ROUND((L42+Q42)/W42,2),"#,##0.#######")</f>
        <v>0.7</v>
      </c>
      <c r="AB42" s="1165"/>
      <c r="AC42" s="1165"/>
      <c r="AD42" s="1165"/>
      <c r="AE42" s="1165"/>
      <c r="AF42" s="1165"/>
      <c r="AG42" s="1165"/>
      <c r="AH42" s="1165"/>
      <c r="AI42" s="1165"/>
      <c r="AJ42" s="1165"/>
      <c r="AK42" s="1165" t="s">
        <v>1015</v>
      </c>
      <c r="AL42" s="1165"/>
      <c r="AM42" s="1165"/>
      <c r="AN42" s="1165" t="s">
        <v>227</v>
      </c>
      <c r="AO42" s="1165"/>
      <c r="AP42" s="1165" t="str">
        <f>TEXT(18,"#,##0.#######")</f>
        <v>18.</v>
      </c>
      <c r="AQ42" s="1165"/>
      <c r="AR42" s="1165" t="s">
        <v>1016</v>
      </c>
      <c r="AS42" s="1165"/>
      <c r="AT42" s="1165"/>
      <c r="AU42" s="1165"/>
      <c r="AV42" s="1165" t="s">
        <v>263</v>
      </c>
      <c r="AW42" s="1165" t="s">
        <v>1017</v>
      </c>
      <c r="AX42" s="1165"/>
      <c r="AY42" s="1165"/>
      <c r="AZ42" s="1165" t="s">
        <v>1018</v>
      </c>
      <c r="BA42" s="1165"/>
      <c r="BB42" s="1165" t="s">
        <v>264</v>
      </c>
      <c r="BC42" s="1165"/>
      <c r="BD42" s="1165"/>
      <c r="BE42" s="1165"/>
      <c r="BF42" s="1165"/>
      <c r="BG42" s="1165"/>
      <c r="BH42" s="1165"/>
      <c r="BI42" s="1165"/>
      <c r="BJ42" s="1165"/>
      <c r="BK42" s="1165"/>
      <c r="BL42" s="1165"/>
      <c r="BM42" s="1165"/>
      <c r="BN42" s="1165"/>
      <c r="BO42" s="1165"/>
      <c r="BP42" s="1165"/>
      <c r="BQ42" s="1165"/>
      <c r="BR42" s="1165"/>
      <c r="BS42" s="1165"/>
      <c r="BT42" s="1165"/>
      <c r="BU42" s="1165"/>
      <c r="BV42" s="1165"/>
      <c r="BW42" s="1165"/>
      <c r="BX42" s="1165"/>
      <c r="BY42" s="1165"/>
      <c r="BZ42" s="1165"/>
      <c r="CA42" s="1165"/>
      <c r="CB42" s="1165"/>
      <c r="CC42" s="1165"/>
      <c r="CD42" s="1165"/>
      <c r="CE42" s="1165"/>
      <c r="CF42" s="1165"/>
      <c r="CG42" s="1165"/>
      <c r="CH42" s="1165"/>
      <c r="CI42" s="1165"/>
      <c r="CJ42" s="1165"/>
      <c r="CK42" s="1165"/>
      <c r="CL42" s="1165"/>
      <c r="CM42" s="1165"/>
      <c r="CN42" s="1165"/>
      <c r="CO42" s="1165"/>
      <c r="CP42" s="1165"/>
      <c r="CQ42" s="1165"/>
      <c r="CR42" s="1165"/>
      <c r="CS42" s="1165"/>
      <c r="CT42" s="1165"/>
      <c r="CU42" s="1165"/>
      <c r="CV42" s="1165"/>
      <c r="CW42" s="1165"/>
      <c r="CX42" s="1106"/>
      <c r="CY42" s="1106"/>
      <c r="CZ42" s="1106"/>
      <c r="DA42" s="1107"/>
      <c r="DB42" s="1104"/>
    </row>
    <row r="43" spans="2:106" ht="11.25" customHeight="1">
      <c r="B43" s="1105"/>
      <c r="C43" s="1165"/>
      <c r="D43" s="1165"/>
      <c r="E43" s="1165"/>
      <c r="F43" s="1165"/>
      <c r="G43" s="1165"/>
      <c r="H43" s="1165"/>
      <c r="I43" s="1165"/>
      <c r="J43" s="1165"/>
      <c r="K43" s="1165"/>
      <c r="L43" s="1165"/>
      <c r="M43" s="1165"/>
      <c r="N43" s="1165"/>
      <c r="O43" s="1165"/>
      <c r="P43" s="1165"/>
      <c r="Q43" s="1165"/>
      <c r="R43" s="1165"/>
      <c r="S43" s="1165"/>
      <c r="T43" s="1165"/>
      <c r="U43" s="1165"/>
      <c r="V43" s="1165"/>
      <c r="W43" s="1165"/>
      <c r="X43" s="1165"/>
      <c r="Y43" s="1165"/>
      <c r="Z43" s="1165"/>
      <c r="AA43" s="1165"/>
      <c r="AB43" s="1165"/>
      <c r="AC43" s="1165"/>
      <c r="AD43" s="1165"/>
      <c r="AE43" s="1165"/>
      <c r="AF43" s="1165"/>
      <c r="AG43" s="1165"/>
      <c r="AH43" s="1165"/>
      <c r="AI43" s="1165"/>
      <c r="AJ43" s="1165"/>
      <c r="AK43" s="1165"/>
      <c r="AL43" s="1165"/>
      <c r="AM43" s="1165"/>
      <c r="AN43" s="1165"/>
      <c r="AO43" s="1165"/>
      <c r="AP43" s="1165"/>
      <c r="AQ43" s="1165"/>
      <c r="AR43" s="1165"/>
      <c r="AS43" s="1165"/>
      <c r="AT43" s="1165"/>
      <c r="AU43" s="1165"/>
      <c r="AV43" s="1165"/>
      <c r="AW43" s="1165"/>
      <c r="AX43" s="1165"/>
      <c r="AY43" s="1165"/>
      <c r="AZ43" s="1165"/>
      <c r="BA43" s="1165"/>
      <c r="BB43" s="1165"/>
      <c r="BC43" s="1165"/>
      <c r="BD43" s="1165"/>
      <c r="BE43" s="1165"/>
      <c r="BF43" s="1165"/>
      <c r="BG43" s="1165"/>
      <c r="BH43" s="1165"/>
      <c r="BI43" s="1165"/>
      <c r="BJ43" s="1165"/>
      <c r="BK43" s="1165"/>
      <c r="BL43" s="1165"/>
      <c r="BM43" s="1165"/>
      <c r="BN43" s="1165"/>
      <c r="BO43" s="1165"/>
      <c r="BP43" s="1165"/>
      <c r="BQ43" s="1165"/>
      <c r="BR43" s="1165"/>
      <c r="BS43" s="1165"/>
      <c r="BT43" s="1165"/>
      <c r="BU43" s="1165"/>
      <c r="BV43" s="1165"/>
      <c r="BW43" s="1165"/>
      <c r="BX43" s="1165"/>
      <c r="BY43" s="1165"/>
      <c r="BZ43" s="1165"/>
      <c r="CA43" s="1165"/>
      <c r="CB43" s="1165"/>
      <c r="CC43" s="1165"/>
      <c r="CD43" s="1165"/>
      <c r="CE43" s="1165"/>
      <c r="CF43" s="1165"/>
      <c r="CG43" s="1165"/>
      <c r="CH43" s="1165"/>
      <c r="CI43" s="1165"/>
      <c r="CJ43" s="1165"/>
      <c r="CK43" s="1165"/>
      <c r="CL43" s="1165"/>
      <c r="CM43" s="1165"/>
      <c r="CN43" s="1165"/>
      <c r="CO43" s="1165"/>
      <c r="CP43" s="1165"/>
      <c r="CQ43" s="1165"/>
      <c r="CR43" s="1165"/>
      <c r="CS43" s="1165"/>
      <c r="CT43" s="1165"/>
      <c r="CU43" s="1165"/>
      <c r="CV43" s="1165"/>
      <c r="CW43" s="1165"/>
      <c r="CX43" s="1106"/>
      <c r="CY43" s="1106"/>
      <c r="CZ43" s="1106"/>
      <c r="DA43" s="1107"/>
      <c r="DB43" s="1104"/>
    </row>
    <row r="44" spans="2:106" ht="11.25" customHeight="1">
      <c r="B44" s="1105"/>
      <c r="C44" s="1165"/>
      <c r="D44" s="1165"/>
      <c r="E44" s="1165"/>
      <c r="F44" s="1165"/>
      <c r="G44" s="1165"/>
      <c r="H44" s="1165"/>
      <c r="I44" s="1165"/>
      <c r="J44" s="1165"/>
      <c r="K44" s="1165"/>
      <c r="L44" s="1165" t="str">
        <f>TEXT(3600,"#,##0.#######")</f>
        <v>3,600.</v>
      </c>
      <c r="M44" s="1165"/>
      <c r="N44" s="1165"/>
      <c r="O44" s="1165"/>
      <c r="P44" s="1165"/>
      <c r="Q44" s="1165" t="s">
        <v>975</v>
      </c>
      <c r="R44" s="1165"/>
      <c r="S44" s="1165" t="s">
        <v>1011</v>
      </c>
      <c r="T44" s="1165" t="s">
        <v>975</v>
      </c>
      <c r="U44" s="1165"/>
      <c r="V44" s="1165" t="s">
        <v>1013</v>
      </c>
      <c r="W44" s="1165" t="s">
        <v>975</v>
      </c>
      <c r="X44" s="1165"/>
      <c r="Y44" s="1165" t="s">
        <v>1012</v>
      </c>
      <c r="Z44" s="1165" t="s">
        <v>975</v>
      </c>
      <c r="AA44" s="1165"/>
      <c r="AB44" s="1165" t="s">
        <v>1014</v>
      </c>
      <c r="AC44" s="1165"/>
      <c r="AD44" s="1165"/>
      <c r="AE44" s="1165"/>
      <c r="AF44" s="1165"/>
      <c r="AG44" s="1165"/>
      <c r="AH44" s="1165"/>
      <c r="AI44" s="1165" t="str">
        <f>TEXT(L44,"#,##0.#######")</f>
        <v>3,600.</v>
      </c>
      <c r="AJ44" s="1165"/>
      <c r="AK44" s="1165"/>
      <c r="AL44" s="1165"/>
      <c r="AM44" s="1165"/>
      <c r="AN44" s="1165" t="s">
        <v>975</v>
      </c>
      <c r="AO44" s="1165"/>
      <c r="AP44" s="1165" t="str">
        <f>TEXT(K40,"#,##0.#######")</f>
        <v>0.2</v>
      </c>
      <c r="AQ44" s="1165"/>
      <c r="AR44" s="1165"/>
      <c r="AS44" s="1165" t="s">
        <v>975</v>
      </c>
      <c r="AT44" s="1165"/>
      <c r="AU44" s="1165" t="str">
        <f>TEXT(BC40,"#,##0.#######")</f>
        <v>1.1</v>
      </c>
      <c r="AV44" s="1165"/>
      <c r="AW44" s="1165"/>
      <c r="AX44" s="1165" t="s">
        <v>975</v>
      </c>
      <c r="AY44" s="1165"/>
      <c r="AZ44" s="1165" t="str">
        <f>TEXT(AN40,"#,##0.#######")</f>
        <v>0.79</v>
      </c>
      <c r="BA44" s="1165"/>
      <c r="BB44" s="1165"/>
      <c r="BC44" s="1165"/>
      <c r="BD44" s="1165" t="s">
        <v>975</v>
      </c>
      <c r="BE44" s="1165"/>
      <c r="BF44" s="1165" t="str">
        <f>TEXT(AA42,"#,##0.#######")</f>
        <v>0.7</v>
      </c>
      <c r="BG44" s="1165"/>
      <c r="BH44" s="1165"/>
      <c r="BI44" s="1165"/>
      <c r="BJ44" s="1165"/>
      <c r="BK44" s="1165"/>
      <c r="BL44" s="1165"/>
      <c r="BM44" s="1165"/>
      <c r="BN44" s="1165"/>
      <c r="BO44" s="1165"/>
      <c r="BP44" s="1165"/>
      <c r="BQ44" s="1165"/>
      <c r="BR44" s="1165"/>
      <c r="BS44" s="1165"/>
      <c r="BT44" s="1165"/>
      <c r="BU44" s="1165"/>
      <c r="BV44" s="1165"/>
      <c r="BW44" s="1165"/>
      <c r="BX44" s="1165"/>
      <c r="BY44" s="1165"/>
      <c r="BZ44" s="1165"/>
      <c r="CA44" s="1165"/>
      <c r="CB44" s="1165"/>
      <c r="CC44" s="1165"/>
      <c r="CD44" s="1165"/>
      <c r="CE44" s="1165"/>
      <c r="CF44" s="1165"/>
      <c r="CG44" s="1165"/>
      <c r="CH44" s="1165"/>
      <c r="CI44" s="1165"/>
      <c r="CJ44" s="1165"/>
      <c r="CK44" s="1165"/>
      <c r="CL44" s="1165"/>
      <c r="CM44" s="1165"/>
      <c r="CN44" s="1165"/>
      <c r="CO44" s="1165"/>
      <c r="CP44" s="1165"/>
      <c r="CQ44" s="1165"/>
      <c r="CR44" s="1165"/>
      <c r="CS44" s="1165"/>
      <c r="CT44" s="1165"/>
      <c r="CU44" s="1165"/>
      <c r="CV44" s="1165"/>
      <c r="CW44" s="1165"/>
      <c r="CX44" s="1106"/>
      <c r="CY44" s="1106"/>
      <c r="CZ44" s="1106"/>
      <c r="DA44" s="1107"/>
      <c r="DB44" s="1104"/>
    </row>
    <row r="45" spans="2:106" ht="11.25" customHeight="1">
      <c r="B45" s="1105"/>
      <c r="C45" s="1165"/>
      <c r="D45" s="1165"/>
      <c r="E45" s="1165"/>
      <c r="F45" s="1165"/>
      <c r="G45" s="1165" t="s">
        <v>1019</v>
      </c>
      <c r="H45" s="1165"/>
      <c r="I45" s="1165" t="s">
        <v>227</v>
      </c>
      <c r="J45" s="1165"/>
      <c r="K45" s="1165" t="s">
        <v>1020</v>
      </c>
      <c r="L45" s="1165"/>
      <c r="M45" s="1165" t="s">
        <v>1020</v>
      </c>
      <c r="N45" s="1165"/>
      <c r="O45" s="1165" t="s">
        <v>1020</v>
      </c>
      <c r="P45" s="1165"/>
      <c r="Q45" s="1165" t="s">
        <v>1020</v>
      </c>
      <c r="R45" s="1165"/>
      <c r="S45" s="1165" t="s">
        <v>1020</v>
      </c>
      <c r="T45" s="1165"/>
      <c r="U45" s="1165" t="s">
        <v>1020</v>
      </c>
      <c r="V45" s="1165"/>
      <c r="W45" s="1165" t="s">
        <v>1020</v>
      </c>
      <c r="X45" s="1165"/>
      <c r="Y45" s="1165" t="s">
        <v>1020</v>
      </c>
      <c r="Z45" s="1165"/>
      <c r="AA45" s="1165" t="s">
        <v>1020</v>
      </c>
      <c r="AB45" s="1165"/>
      <c r="AC45" s="1165" t="s">
        <v>1020</v>
      </c>
      <c r="AD45" s="1165"/>
      <c r="AE45" s="1165"/>
      <c r="AF45" s="1165" t="s">
        <v>227</v>
      </c>
      <c r="AG45" s="1165"/>
      <c r="AH45" s="1165" t="s">
        <v>1020</v>
      </c>
      <c r="AI45" s="1165"/>
      <c r="AJ45" s="1165" t="s">
        <v>1020</v>
      </c>
      <c r="AK45" s="1165"/>
      <c r="AL45" s="1165" t="s">
        <v>1020</v>
      </c>
      <c r="AM45" s="1165"/>
      <c r="AN45" s="1165" t="s">
        <v>1020</v>
      </c>
      <c r="AO45" s="1165"/>
      <c r="AP45" s="1165" t="s">
        <v>1020</v>
      </c>
      <c r="AQ45" s="1165"/>
      <c r="AR45" s="1165" t="s">
        <v>1020</v>
      </c>
      <c r="AS45" s="1165"/>
      <c r="AT45" s="1165" t="s">
        <v>1020</v>
      </c>
      <c r="AU45" s="1165"/>
      <c r="AV45" s="1165" t="s">
        <v>1020</v>
      </c>
      <c r="AW45" s="1165"/>
      <c r="AX45" s="1165" t="s">
        <v>1020</v>
      </c>
      <c r="AY45" s="1165"/>
      <c r="AZ45" s="1165" t="s">
        <v>1020</v>
      </c>
      <c r="BA45" s="1165"/>
      <c r="BB45" s="1165" t="s">
        <v>1020</v>
      </c>
      <c r="BC45" s="1165"/>
      <c r="BD45" s="1165" t="s">
        <v>1020</v>
      </c>
      <c r="BE45" s="1165"/>
      <c r="BF45" s="1165" t="s">
        <v>1020</v>
      </c>
      <c r="BG45" s="1165"/>
      <c r="BH45" s="1165" t="s">
        <v>1020</v>
      </c>
      <c r="BI45" s="1165"/>
      <c r="BJ45" s="1165" t="s">
        <v>227</v>
      </c>
      <c r="BK45" s="1165"/>
      <c r="BL45" s="1165" t="str">
        <f>TEXT(ROUND((3600*K40*BC40*AN40*AA42)/(AP42),2),"#,##0.#######")</f>
        <v>24.33</v>
      </c>
      <c r="BM45" s="1165"/>
      <c r="BN45" s="1165"/>
      <c r="BO45" s="1165"/>
      <c r="BP45" s="1165"/>
      <c r="BQ45" s="1165"/>
      <c r="BR45" s="1165"/>
      <c r="BS45" s="1165"/>
      <c r="BT45" s="1165" t="s">
        <v>178</v>
      </c>
      <c r="BU45" s="1165"/>
      <c r="BV45" s="1165" t="s">
        <v>249</v>
      </c>
      <c r="BW45" s="1165" t="s">
        <v>352</v>
      </c>
      <c r="BX45" s="1165"/>
      <c r="BY45" s="1165"/>
      <c r="BZ45" s="1165"/>
      <c r="CA45" s="1165"/>
      <c r="CB45" s="1165"/>
      <c r="CC45" s="1165"/>
      <c r="CD45" s="1165"/>
      <c r="CE45" s="1165"/>
      <c r="CF45" s="1165"/>
      <c r="CG45" s="1165"/>
      <c r="CH45" s="1165"/>
      <c r="CI45" s="1165"/>
      <c r="CJ45" s="1165"/>
      <c r="CK45" s="1165"/>
      <c r="CL45" s="1165"/>
      <c r="CM45" s="1165"/>
      <c r="CN45" s="1165"/>
      <c r="CO45" s="1165"/>
      <c r="CP45" s="1165"/>
      <c r="CQ45" s="1165"/>
      <c r="CR45" s="1165"/>
      <c r="CS45" s="1165"/>
      <c r="CT45" s="1165"/>
      <c r="CU45" s="1165"/>
      <c r="CV45" s="1165"/>
      <c r="CW45" s="1165"/>
      <c r="CX45" s="1106"/>
      <c r="CY45" s="1106"/>
      <c r="CZ45" s="1106"/>
      <c r="DA45" s="1107"/>
      <c r="DB45" s="1104"/>
    </row>
    <row r="46" spans="2:106" ht="11.25" customHeight="1">
      <c r="B46" s="1105"/>
      <c r="C46" s="1165"/>
      <c r="D46" s="1165"/>
      <c r="E46" s="1165"/>
      <c r="F46" s="1165"/>
      <c r="G46" s="1165"/>
      <c r="H46" s="1165"/>
      <c r="I46" s="1165"/>
      <c r="J46" s="1165"/>
      <c r="K46" s="1165"/>
      <c r="L46" s="1165"/>
      <c r="M46" s="1165"/>
      <c r="N46" s="1165"/>
      <c r="O46" s="1165"/>
      <c r="P46" s="1165"/>
      <c r="Q46" s="1165"/>
      <c r="R46" s="1165"/>
      <c r="S46" s="1165" t="s">
        <v>1015</v>
      </c>
      <c r="T46" s="1165"/>
      <c r="U46" s="1165"/>
      <c r="V46" s="1165"/>
      <c r="W46" s="1165"/>
      <c r="X46" s="1165"/>
      <c r="Y46" s="1165"/>
      <c r="Z46" s="1165"/>
      <c r="AA46" s="1165"/>
      <c r="AB46" s="1165"/>
      <c r="AC46" s="1165"/>
      <c r="AD46" s="1165"/>
      <c r="AE46" s="1165"/>
      <c r="AF46" s="1165"/>
      <c r="AG46" s="1165"/>
      <c r="AH46" s="1165"/>
      <c r="AI46" s="1165"/>
      <c r="AJ46" s="1165"/>
      <c r="AK46" s="1165"/>
      <c r="AL46" s="1165"/>
      <c r="AM46" s="1165"/>
      <c r="AN46" s="1165"/>
      <c r="AO46" s="1165"/>
      <c r="AP46" s="1165"/>
      <c r="AQ46" s="1165"/>
      <c r="AR46" s="1165"/>
      <c r="AS46" s="1165"/>
      <c r="AT46" s="1165"/>
      <c r="AU46" s="1165" t="str">
        <f>TEXT(AP42,"#,##0.#######")</f>
        <v>18.</v>
      </c>
      <c r="AV46" s="1165"/>
      <c r="AW46" s="1165"/>
      <c r="AX46" s="1165"/>
      <c r="AY46" s="1165"/>
      <c r="AZ46" s="1165"/>
      <c r="BA46" s="1165"/>
      <c r="BB46" s="1165"/>
      <c r="BC46" s="1165"/>
      <c r="BD46" s="1165"/>
      <c r="BE46" s="1165"/>
      <c r="BF46" s="1165"/>
      <c r="BG46" s="1165"/>
      <c r="BH46" s="1165"/>
      <c r="BI46" s="1165"/>
      <c r="BJ46" s="1165"/>
      <c r="BK46" s="1165"/>
      <c r="BL46" s="1165"/>
      <c r="BM46" s="1165"/>
      <c r="BN46" s="1165"/>
      <c r="BO46" s="1165"/>
      <c r="BP46" s="1165"/>
      <c r="BQ46" s="1165"/>
      <c r="BR46" s="1165"/>
      <c r="BS46" s="1165"/>
      <c r="BT46" s="1165"/>
      <c r="BU46" s="1165"/>
      <c r="BV46" s="1165"/>
      <c r="BW46" s="1165"/>
      <c r="BX46" s="1165"/>
      <c r="BY46" s="1165"/>
      <c r="BZ46" s="1165"/>
      <c r="CA46" s="1165"/>
      <c r="CB46" s="1165"/>
      <c r="CC46" s="1165"/>
      <c r="CD46" s="1165"/>
      <c r="CE46" s="1165"/>
      <c r="CF46" s="1165"/>
      <c r="CG46" s="1165"/>
      <c r="CH46" s="1165"/>
      <c r="CI46" s="1165"/>
      <c r="CJ46" s="1165"/>
      <c r="CK46" s="1165"/>
      <c r="CL46" s="1165"/>
      <c r="CM46" s="1165"/>
      <c r="CN46" s="1165"/>
      <c r="CO46" s="1165"/>
      <c r="CP46" s="1165"/>
      <c r="CQ46" s="1165"/>
      <c r="CR46" s="1165"/>
      <c r="CS46" s="1165"/>
      <c r="CT46" s="1165"/>
      <c r="CU46" s="1165"/>
      <c r="CV46" s="1165"/>
      <c r="CW46" s="1165"/>
      <c r="CX46" s="1106"/>
      <c r="CY46" s="1106"/>
      <c r="CZ46" s="1106"/>
      <c r="DA46" s="1107"/>
      <c r="DB46" s="1104"/>
    </row>
    <row r="47" spans="2:106" ht="11.25" customHeight="1">
      <c r="B47" s="1105"/>
      <c r="C47" s="1165"/>
      <c r="D47" s="1165"/>
      <c r="E47" s="1165"/>
      <c r="F47" s="1165"/>
      <c r="G47" s="1165"/>
      <c r="H47" s="1165"/>
      <c r="I47" s="1165"/>
      <c r="J47" s="1165"/>
      <c r="K47" s="1165"/>
      <c r="L47" s="1165"/>
      <c r="M47" s="1165"/>
      <c r="N47" s="1165"/>
      <c r="O47" s="1165"/>
      <c r="P47" s="1165"/>
      <c r="Q47" s="1165"/>
      <c r="R47" s="1165"/>
      <c r="S47" s="1165"/>
      <c r="T47" s="1165"/>
      <c r="U47" s="1165"/>
      <c r="V47" s="1165"/>
      <c r="W47" s="1165"/>
      <c r="X47" s="1165"/>
      <c r="Y47" s="1165"/>
      <c r="Z47" s="1165"/>
      <c r="AA47" s="1165"/>
      <c r="AB47" s="1165"/>
      <c r="AC47" s="1165"/>
      <c r="AD47" s="1165"/>
      <c r="AE47" s="1165"/>
      <c r="AF47" s="1165"/>
      <c r="AG47" s="1165"/>
      <c r="AH47" s="1165"/>
      <c r="AI47" s="1165"/>
      <c r="AJ47" s="1165"/>
      <c r="AK47" s="1165"/>
      <c r="AL47" s="1165"/>
      <c r="AM47" s="1165"/>
      <c r="AN47" s="1165"/>
      <c r="AO47" s="1165"/>
      <c r="AP47" s="1165"/>
      <c r="AQ47" s="1165"/>
      <c r="AR47" s="1165"/>
      <c r="AS47" s="1165"/>
      <c r="AT47" s="1165"/>
      <c r="AU47" s="1165"/>
      <c r="AV47" s="1165"/>
      <c r="AW47" s="1165"/>
      <c r="AX47" s="1165"/>
      <c r="AY47" s="1165"/>
      <c r="AZ47" s="1165"/>
      <c r="BA47" s="1165"/>
      <c r="BB47" s="1165"/>
      <c r="BC47" s="1165"/>
      <c r="BD47" s="1165"/>
      <c r="BE47" s="1165"/>
      <c r="BF47" s="1165"/>
      <c r="BG47" s="1165"/>
      <c r="BH47" s="1165"/>
      <c r="BI47" s="1165"/>
      <c r="BJ47" s="1165"/>
      <c r="BK47" s="1165"/>
      <c r="BL47" s="1165"/>
      <c r="BM47" s="1165"/>
      <c r="BN47" s="1165"/>
      <c r="BO47" s="1165"/>
      <c r="BP47" s="1165"/>
      <c r="BQ47" s="1165"/>
      <c r="BR47" s="1165"/>
      <c r="BS47" s="1165"/>
      <c r="BT47" s="1165"/>
      <c r="BU47" s="1165"/>
      <c r="BV47" s="1165"/>
      <c r="BW47" s="1165"/>
      <c r="BX47" s="1165"/>
      <c r="BY47" s="1165"/>
      <c r="BZ47" s="1165"/>
      <c r="CA47" s="1165"/>
      <c r="CB47" s="1165"/>
      <c r="CC47" s="1165"/>
      <c r="CD47" s="1165"/>
      <c r="CE47" s="1165"/>
      <c r="CF47" s="1165"/>
      <c r="CG47" s="1165"/>
      <c r="CH47" s="1165"/>
      <c r="CI47" s="1165"/>
      <c r="CJ47" s="1165"/>
      <c r="CK47" s="1165"/>
      <c r="CL47" s="1165"/>
      <c r="CM47" s="1165"/>
      <c r="CN47" s="1165"/>
      <c r="CO47" s="1165"/>
      <c r="CP47" s="1165"/>
      <c r="CQ47" s="1165"/>
      <c r="CR47" s="1165"/>
      <c r="CS47" s="1165"/>
      <c r="CT47" s="1165"/>
      <c r="CU47" s="1165"/>
      <c r="CV47" s="1165"/>
      <c r="CW47" s="1165"/>
      <c r="CX47" s="1106"/>
      <c r="CY47" s="1106"/>
      <c r="CZ47" s="1106"/>
      <c r="DA47" s="1107"/>
      <c r="DB47" s="1104"/>
    </row>
    <row r="48" spans="2:106" ht="11.25" customHeight="1">
      <c r="B48" s="1105"/>
      <c r="C48" s="1165"/>
      <c r="D48" s="1165"/>
      <c r="E48" s="1165"/>
      <c r="F48" s="1165"/>
      <c r="G48" s="1165" t="s">
        <v>899</v>
      </c>
      <c r="H48" s="1165"/>
      <c r="I48" s="1165"/>
      <c r="J48" s="1165"/>
      <c r="K48" s="1165"/>
      <c r="L48" s="1165"/>
      <c r="M48" s="1165"/>
      <c r="N48" s="1165" t="s">
        <v>217</v>
      </c>
      <c r="O48" s="1165"/>
      <c r="P48" s="1536">
        <f>기계경비!$AA$4</f>
        <v>59025</v>
      </c>
      <c r="Q48" s="1536"/>
      <c r="R48" s="1536"/>
      <c r="S48" s="1536"/>
      <c r="T48" s="1536"/>
      <c r="U48" s="1536"/>
      <c r="V48" s="1536"/>
      <c r="W48" s="1536"/>
      <c r="X48" s="1165"/>
      <c r="Y48" s="1165" t="s">
        <v>1021</v>
      </c>
      <c r="Z48" s="1165"/>
      <c r="AA48" s="1165"/>
      <c r="AB48" s="1165" t="str">
        <f>TEXT(BL45,"#,##0.#######")</f>
        <v>24.33</v>
      </c>
      <c r="AC48" s="1165"/>
      <c r="AD48" s="1165"/>
      <c r="AE48" s="1165"/>
      <c r="AF48" s="1165"/>
      <c r="AG48" s="1165"/>
      <c r="AH48" s="1165"/>
      <c r="AI48" s="1165"/>
      <c r="AJ48" s="1165" t="s">
        <v>975</v>
      </c>
      <c r="AK48" s="1165"/>
      <c r="AL48" s="1165" t="str">
        <f>TEXT(0.9,"#,##0.#######")</f>
        <v>0.9</v>
      </c>
      <c r="AM48" s="1165"/>
      <c r="AN48" s="1165"/>
      <c r="AO48" s="1165"/>
      <c r="AP48" s="1165" t="s">
        <v>227</v>
      </c>
      <c r="AQ48" s="1165"/>
      <c r="AR48" s="1539" t="str">
        <f>TEXT(TRUNC(P48/BL45*AL48,1),"#,##0.#")</f>
        <v>2,183.4</v>
      </c>
      <c r="AS48" s="1539"/>
      <c r="AT48" s="1539"/>
      <c r="AU48" s="1539"/>
      <c r="AV48" s="1539"/>
      <c r="AW48" s="1539"/>
      <c r="AX48" s="1539"/>
      <c r="AY48" s="1165"/>
      <c r="AZ48" s="1165"/>
      <c r="BA48" s="1165"/>
      <c r="BB48" s="1165"/>
      <c r="BC48" s="1165"/>
      <c r="BD48" s="1165"/>
      <c r="BE48" s="1165"/>
      <c r="BF48" s="1165"/>
      <c r="BG48" s="1165"/>
      <c r="BH48" s="1165"/>
      <c r="BI48" s="1165"/>
      <c r="BJ48" s="1165"/>
      <c r="BK48" s="1165"/>
      <c r="BL48" s="1165"/>
      <c r="BM48" s="1165"/>
      <c r="BN48" s="1165"/>
      <c r="BO48" s="1165"/>
      <c r="BP48" s="1165"/>
      <c r="BQ48" s="1165"/>
      <c r="BR48" s="1165"/>
      <c r="BS48" s="1165"/>
      <c r="BT48" s="1165"/>
      <c r="BU48" s="1165"/>
      <c r="BV48" s="1165"/>
      <c r="BW48" s="1165"/>
      <c r="BX48" s="1165"/>
      <c r="BY48" s="1165"/>
      <c r="BZ48" s="1165"/>
      <c r="CA48" s="1165"/>
      <c r="CB48" s="1165"/>
      <c r="CC48" s="1165"/>
      <c r="CD48" s="1165"/>
      <c r="CE48" s="1165"/>
      <c r="CF48" s="1165"/>
      <c r="CG48" s="1165"/>
      <c r="CH48" s="1165"/>
      <c r="CI48" s="1165"/>
      <c r="CJ48" s="1165"/>
      <c r="CK48" s="1165"/>
      <c r="CL48" s="1165"/>
      <c r="CM48" s="1165"/>
      <c r="CN48" s="1165"/>
      <c r="CO48" s="1165"/>
      <c r="CP48" s="1165"/>
      <c r="CQ48" s="1165"/>
      <c r="CR48" s="1165"/>
      <c r="CS48" s="1165"/>
      <c r="CT48" s="1165"/>
      <c r="CU48" s="1165"/>
      <c r="CV48" s="1165"/>
      <c r="CW48" s="1165"/>
      <c r="CX48" s="1106"/>
      <c r="CY48" s="1106"/>
      <c r="CZ48" s="1106"/>
      <c r="DA48" s="1107"/>
      <c r="DB48" s="1104"/>
    </row>
    <row r="49" spans="2:106" ht="11.25" customHeight="1">
      <c r="B49" s="1105"/>
      <c r="C49" s="1165"/>
      <c r="D49" s="1165"/>
      <c r="E49" s="1165"/>
      <c r="F49" s="1165"/>
      <c r="G49" s="1165" t="s">
        <v>892</v>
      </c>
      <c r="H49" s="1165"/>
      <c r="I49" s="1165"/>
      <c r="J49" s="1165"/>
      <c r="K49" s="1165"/>
      <c r="L49" s="1165"/>
      <c r="M49" s="1165"/>
      <c r="N49" s="1165" t="s">
        <v>217</v>
      </c>
      <c r="O49" s="1165"/>
      <c r="P49" s="1536" t="e">
        <f>기계경비!$AB$4</f>
        <v>#REF!</v>
      </c>
      <c r="Q49" s="1536"/>
      <c r="R49" s="1536"/>
      <c r="S49" s="1536"/>
      <c r="T49" s="1536"/>
      <c r="U49" s="1536"/>
      <c r="V49" s="1536"/>
      <c r="W49" s="1536"/>
      <c r="X49" s="1165"/>
      <c r="Y49" s="1165" t="s">
        <v>1021</v>
      </c>
      <c r="Z49" s="1165"/>
      <c r="AA49" s="1165"/>
      <c r="AB49" s="1165" t="str">
        <f>TEXT(BL45,"#,##0.#######")</f>
        <v>24.33</v>
      </c>
      <c r="AC49" s="1165"/>
      <c r="AD49" s="1165"/>
      <c r="AE49" s="1165"/>
      <c r="AF49" s="1165"/>
      <c r="AG49" s="1165"/>
      <c r="AH49" s="1165"/>
      <c r="AI49" s="1165"/>
      <c r="AJ49" s="1165" t="s">
        <v>975</v>
      </c>
      <c r="AK49" s="1165"/>
      <c r="AL49" s="1165" t="str">
        <f>TEXT(0.9,"#,##0.#######")</f>
        <v>0.9</v>
      </c>
      <c r="AM49" s="1165"/>
      <c r="AN49" s="1165"/>
      <c r="AO49" s="1165"/>
      <c r="AP49" s="1165" t="s">
        <v>227</v>
      </c>
      <c r="AQ49" s="1165"/>
      <c r="AR49" s="1539" t="e">
        <f>TEXT(TRUNC(P49/BL45*AL49,1),"#,##0.#")</f>
        <v>#REF!</v>
      </c>
      <c r="AS49" s="1539"/>
      <c r="AT49" s="1539"/>
      <c r="AU49" s="1539"/>
      <c r="AV49" s="1539"/>
      <c r="AW49" s="1539"/>
      <c r="AX49" s="1539"/>
      <c r="AY49" s="1165"/>
      <c r="AZ49" s="1165"/>
      <c r="BA49" s="1165"/>
      <c r="BB49" s="1165"/>
      <c r="BC49" s="1165"/>
      <c r="BD49" s="1165"/>
      <c r="BE49" s="1165"/>
      <c r="BF49" s="1165"/>
      <c r="BG49" s="1165"/>
      <c r="BH49" s="1165"/>
      <c r="BI49" s="1165"/>
      <c r="BJ49" s="1165"/>
      <c r="BK49" s="1165"/>
      <c r="BL49" s="1165"/>
      <c r="BM49" s="1165"/>
      <c r="BN49" s="1165"/>
      <c r="BO49" s="1165"/>
      <c r="BP49" s="1165"/>
      <c r="BQ49" s="1165"/>
      <c r="BR49" s="1165"/>
      <c r="BS49" s="1165"/>
      <c r="BT49" s="1165"/>
      <c r="BU49" s="1165"/>
      <c r="BV49" s="1165"/>
      <c r="BW49" s="1165"/>
      <c r="BX49" s="1165"/>
      <c r="BY49" s="1165"/>
      <c r="BZ49" s="1165"/>
      <c r="CA49" s="1165"/>
      <c r="CB49" s="1165"/>
      <c r="CC49" s="1165"/>
      <c r="CD49" s="1165"/>
      <c r="CE49" s="1165"/>
      <c r="CF49" s="1165"/>
      <c r="CG49" s="1165"/>
      <c r="CH49" s="1165"/>
      <c r="CI49" s="1165"/>
      <c r="CJ49" s="1165"/>
      <c r="CK49" s="1165"/>
      <c r="CL49" s="1165"/>
      <c r="CM49" s="1165"/>
      <c r="CN49" s="1165"/>
      <c r="CO49" s="1165"/>
      <c r="CP49" s="1165"/>
      <c r="CQ49" s="1165"/>
      <c r="CR49" s="1165"/>
      <c r="CS49" s="1165"/>
      <c r="CT49" s="1165"/>
      <c r="CU49" s="1165"/>
      <c r="CV49" s="1165"/>
      <c r="CW49" s="1165"/>
      <c r="CX49" s="1106"/>
      <c r="CY49" s="1106"/>
      <c r="CZ49" s="1106"/>
      <c r="DA49" s="1107"/>
      <c r="DB49" s="1104"/>
    </row>
    <row r="50" spans="2:106" ht="11.25" customHeight="1">
      <c r="B50" s="1105"/>
      <c r="C50" s="1165"/>
      <c r="D50" s="1165"/>
      <c r="E50" s="1165"/>
      <c r="F50" s="1165"/>
      <c r="G50" s="1165" t="s">
        <v>1022</v>
      </c>
      <c r="H50" s="1165"/>
      <c r="I50" s="1165"/>
      <c r="J50" s="1165"/>
      <c r="K50" s="1165" t="s">
        <v>1023</v>
      </c>
      <c r="L50" s="1165"/>
      <c r="M50" s="1165"/>
      <c r="N50" s="1165" t="s">
        <v>217</v>
      </c>
      <c r="O50" s="1165"/>
      <c r="P50" s="1536">
        <f>기계경비!$AC$4</f>
        <v>13873</v>
      </c>
      <c r="Q50" s="1536"/>
      <c r="R50" s="1536"/>
      <c r="S50" s="1536"/>
      <c r="T50" s="1536"/>
      <c r="U50" s="1536"/>
      <c r="V50" s="1536"/>
      <c r="W50" s="1536"/>
      <c r="X50" s="1165"/>
      <c r="Y50" s="1165" t="s">
        <v>1021</v>
      </c>
      <c r="Z50" s="1165"/>
      <c r="AA50" s="1165"/>
      <c r="AB50" s="1165" t="str">
        <f>TEXT(BL45,"#,##0.#######")</f>
        <v>24.33</v>
      </c>
      <c r="AC50" s="1165"/>
      <c r="AD50" s="1165"/>
      <c r="AE50" s="1165"/>
      <c r="AF50" s="1165"/>
      <c r="AG50" s="1165"/>
      <c r="AH50" s="1165"/>
      <c r="AI50" s="1165"/>
      <c r="AJ50" s="1165" t="s">
        <v>975</v>
      </c>
      <c r="AK50" s="1165"/>
      <c r="AL50" s="1165" t="str">
        <f>TEXT(0.9,"#,##0.#######")</f>
        <v>0.9</v>
      </c>
      <c r="AM50" s="1165"/>
      <c r="AN50" s="1165"/>
      <c r="AO50" s="1165"/>
      <c r="AP50" s="1165" t="s">
        <v>227</v>
      </c>
      <c r="AQ50" s="1165"/>
      <c r="AR50" s="1539" t="str">
        <f>TEXT(TRUNC(P50/BL45*AL50,1),"#,##0.#")</f>
        <v>513.1</v>
      </c>
      <c r="AS50" s="1539"/>
      <c r="AT50" s="1539"/>
      <c r="AU50" s="1539"/>
      <c r="AV50" s="1539"/>
      <c r="AW50" s="1539"/>
      <c r="AX50" s="1539"/>
      <c r="AY50" s="1165"/>
      <c r="AZ50" s="1165"/>
      <c r="BA50" s="1165"/>
      <c r="BB50" s="1165"/>
      <c r="BC50" s="1165"/>
      <c r="BD50" s="1165"/>
      <c r="BE50" s="1165"/>
      <c r="BF50" s="1165"/>
      <c r="BG50" s="1165"/>
      <c r="BH50" s="1165"/>
      <c r="BI50" s="1165"/>
      <c r="BJ50" s="1165"/>
      <c r="BK50" s="1165"/>
      <c r="BL50" s="1165"/>
      <c r="BM50" s="1165"/>
      <c r="BN50" s="1165"/>
      <c r="BO50" s="1165"/>
      <c r="BP50" s="1165"/>
      <c r="BQ50" s="1165"/>
      <c r="BR50" s="1165"/>
      <c r="BS50" s="1165"/>
      <c r="BT50" s="1165"/>
      <c r="BU50" s="1165"/>
      <c r="BV50" s="1165"/>
      <c r="BW50" s="1165"/>
      <c r="BX50" s="1165"/>
      <c r="BY50" s="1165"/>
      <c r="BZ50" s="1165"/>
      <c r="CA50" s="1165"/>
      <c r="CB50" s="1165"/>
      <c r="CC50" s="1165"/>
      <c r="CD50" s="1165"/>
      <c r="CE50" s="1165"/>
      <c r="CF50" s="1165"/>
      <c r="CG50" s="1165"/>
      <c r="CH50" s="1165"/>
      <c r="CI50" s="1165"/>
      <c r="CJ50" s="1165"/>
      <c r="CK50" s="1165"/>
      <c r="CL50" s="1165"/>
      <c r="CM50" s="1165"/>
      <c r="CN50" s="1165"/>
      <c r="CO50" s="1165"/>
      <c r="CP50" s="1165"/>
      <c r="CQ50" s="1165"/>
      <c r="CR50" s="1165"/>
      <c r="CS50" s="1165"/>
      <c r="CT50" s="1165"/>
      <c r="CU50" s="1165"/>
      <c r="CV50" s="1165"/>
      <c r="CW50" s="1165"/>
      <c r="CX50" s="1106"/>
      <c r="CY50" s="1106"/>
      <c r="CZ50" s="1106"/>
      <c r="DA50" s="1107"/>
      <c r="DB50" s="1104"/>
    </row>
    <row r="51" spans="2:106" ht="11.25" customHeight="1">
      <c r="B51" s="1105"/>
      <c r="C51" s="1165"/>
      <c r="D51" s="1165"/>
      <c r="E51" s="1165"/>
      <c r="F51" s="1165"/>
      <c r="G51" s="1165" t="s">
        <v>1024</v>
      </c>
      <c r="H51" s="1165"/>
      <c r="I51" s="1165"/>
      <c r="J51" s="1165"/>
      <c r="K51" s="1165" t="s">
        <v>179</v>
      </c>
      <c r="L51" s="1165"/>
      <c r="M51" s="1165"/>
      <c r="N51" s="1165" t="s">
        <v>217</v>
      </c>
      <c r="O51" s="1165"/>
      <c r="P51" s="1165"/>
      <c r="Q51" s="1165"/>
      <c r="R51" s="1165"/>
      <c r="S51" s="1165"/>
      <c r="T51" s="1165"/>
      <c r="U51" s="1165"/>
      <c r="V51" s="1165"/>
      <c r="W51" s="1165"/>
      <c r="X51" s="1165"/>
      <c r="Y51" s="1165"/>
      <c r="Z51" s="1165"/>
      <c r="AA51" s="1165"/>
      <c r="AB51" s="1165"/>
      <c r="AC51" s="1165"/>
      <c r="AD51" s="1165"/>
      <c r="AE51" s="1165"/>
      <c r="AF51" s="1165"/>
      <c r="AG51" s="1165"/>
      <c r="AH51" s="1165"/>
      <c r="AI51" s="1165"/>
      <c r="AJ51" s="1165"/>
      <c r="AK51" s="1165"/>
      <c r="AL51" s="1165"/>
      <c r="AM51" s="1165"/>
      <c r="AN51" s="1165" t="e">
        <f>TEXT(AR48+AR49+AR50,"#,##0.#######")</f>
        <v>#REF!</v>
      </c>
      <c r="AO51" s="1165"/>
      <c r="AP51" s="1165"/>
      <c r="AQ51" s="1165"/>
      <c r="AR51" s="1165"/>
      <c r="AS51" s="1165"/>
      <c r="AT51" s="1165"/>
      <c r="AU51" s="1165"/>
      <c r="AV51" s="1165"/>
      <c r="AW51" s="1165"/>
      <c r="AX51" s="1165"/>
      <c r="AY51" s="1165"/>
      <c r="AZ51" s="1165"/>
      <c r="BA51" s="1165"/>
      <c r="BB51" s="1165"/>
      <c r="BC51" s="1165"/>
      <c r="BD51" s="1165"/>
      <c r="BE51" s="1165"/>
      <c r="BF51" s="1165"/>
      <c r="BG51" s="1165"/>
      <c r="BH51" s="1165"/>
      <c r="BI51" s="1165"/>
      <c r="BJ51" s="1165"/>
      <c r="BK51" s="1165"/>
      <c r="BL51" s="1165"/>
      <c r="BM51" s="1165"/>
      <c r="BN51" s="1165"/>
      <c r="BO51" s="1165"/>
      <c r="BP51" s="1165"/>
      <c r="BQ51" s="1165"/>
      <c r="BR51" s="1165"/>
      <c r="BS51" s="1165"/>
      <c r="BT51" s="1165"/>
      <c r="BU51" s="1165"/>
      <c r="BV51" s="1165"/>
      <c r="BW51" s="1165"/>
      <c r="BX51" s="1165"/>
      <c r="BY51" s="1165"/>
      <c r="BZ51" s="1165"/>
      <c r="CA51" s="1165"/>
      <c r="CB51" s="1165"/>
      <c r="CC51" s="1165"/>
      <c r="CD51" s="1165"/>
      <c r="CE51" s="1165"/>
      <c r="CF51" s="1165"/>
      <c r="CG51" s="1165"/>
      <c r="CH51" s="1165"/>
      <c r="CI51" s="1165"/>
      <c r="CJ51" s="1165"/>
      <c r="CK51" s="1165"/>
      <c r="CL51" s="1165"/>
      <c r="CM51" s="1165"/>
      <c r="CN51" s="1165"/>
      <c r="CO51" s="1165"/>
      <c r="CP51" s="1165"/>
      <c r="CQ51" s="1165"/>
      <c r="CR51" s="1165"/>
      <c r="CS51" s="1165"/>
      <c r="CT51" s="1165"/>
      <c r="CU51" s="1165"/>
      <c r="CV51" s="1165"/>
      <c r="CW51" s="1165"/>
      <c r="CX51" s="1106" t="e">
        <f>CY51+CZ51+DA51</f>
        <v>#REF!</v>
      </c>
      <c r="CY51" s="1106" t="str">
        <f>TEXT(AR48,"#,###.0")</f>
        <v>2,183.4</v>
      </c>
      <c r="CZ51" s="1106" t="e">
        <f>TEXT(AR49,"#,###.0")</f>
        <v>#REF!</v>
      </c>
      <c r="DA51" s="1107" t="str">
        <f>TEXT(AR50,"#,###.0")</f>
        <v>513.1</v>
      </c>
      <c r="DB51" s="1104"/>
    </row>
    <row r="52" spans="2:106" ht="11.25" customHeight="1">
      <c r="B52" s="1105"/>
      <c r="C52" s="1165"/>
      <c r="D52" s="1165"/>
      <c r="E52" s="1165"/>
      <c r="F52" s="1165"/>
      <c r="G52" s="1165"/>
      <c r="H52" s="1165"/>
      <c r="I52" s="1165"/>
      <c r="J52" s="1165"/>
      <c r="K52" s="1165"/>
      <c r="L52" s="1165"/>
      <c r="M52" s="1165"/>
      <c r="N52" s="1165"/>
      <c r="O52" s="1165"/>
      <c r="P52" s="1165"/>
      <c r="Q52" s="1165"/>
      <c r="R52" s="1165"/>
      <c r="S52" s="1165"/>
      <c r="T52" s="1165"/>
      <c r="U52" s="1165"/>
      <c r="V52" s="1165"/>
      <c r="W52" s="1165"/>
      <c r="X52" s="1165"/>
      <c r="Y52" s="1165"/>
      <c r="Z52" s="1165"/>
      <c r="AA52" s="1165"/>
      <c r="AB52" s="1165"/>
      <c r="AC52" s="1165"/>
      <c r="AD52" s="1165"/>
      <c r="AE52" s="1165"/>
      <c r="AF52" s="1165"/>
      <c r="AG52" s="1165"/>
      <c r="AH52" s="1165"/>
      <c r="AI52" s="1165"/>
      <c r="AJ52" s="1165"/>
      <c r="AK52" s="1165"/>
      <c r="AL52" s="1165"/>
      <c r="AM52" s="1165"/>
      <c r="AN52" s="1165"/>
      <c r="AO52" s="1165"/>
      <c r="AP52" s="1165"/>
      <c r="AQ52" s="1165"/>
      <c r="AR52" s="1165"/>
      <c r="AS52" s="1165"/>
      <c r="AT52" s="1165"/>
      <c r="AU52" s="1165"/>
      <c r="AV52" s="1165"/>
      <c r="AW52" s="1165"/>
      <c r="AX52" s="1165"/>
      <c r="AY52" s="1165"/>
      <c r="AZ52" s="1165"/>
      <c r="BA52" s="1165"/>
      <c r="BB52" s="1165"/>
      <c r="BC52" s="1165"/>
      <c r="BD52" s="1165"/>
      <c r="BE52" s="1165"/>
      <c r="BF52" s="1165"/>
      <c r="BG52" s="1165"/>
      <c r="BH52" s="1165"/>
      <c r="BI52" s="1165"/>
      <c r="BJ52" s="1165"/>
      <c r="BK52" s="1165"/>
      <c r="BL52" s="1165"/>
      <c r="BM52" s="1165"/>
      <c r="BN52" s="1165"/>
      <c r="BO52" s="1165"/>
      <c r="BP52" s="1165"/>
      <c r="BQ52" s="1165"/>
      <c r="BR52" s="1165"/>
      <c r="BS52" s="1165"/>
      <c r="BT52" s="1165"/>
      <c r="BU52" s="1165"/>
      <c r="BV52" s="1165"/>
      <c r="BW52" s="1165"/>
      <c r="BX52" s="1165"/>
      <c r="BY52" s="1165"/>
      <c r="BZ52" s="1165"/>
      <c r="CA52" s="1165"/>
      <c r="CB52" s="1165"/>
      <c r="CC52" s="1165"/>
      <c r="CD52" s="1165"/>
      <c r="CE52" s="1165"/>
      <c r="CF52" s="1165"/>
      <c r="CG52" s="1165"/>
      <c r="CH52" s="1165"/>
      <c r="CI52" s="1165"/>
      <c r="CJ52" s="1165"/>
      <c r="CK52" s="1165"/>
      <c r="CL52" s="1165"/>
      <c r="CM52" s="1165"/>
      <c r="CN52" s="1165"/>
      <c r="CO52" s="1165"/>
      <c r="CP52" s="1165"/>
      <c r="CQ52" s="1165"/>
      <c r="CR52" s="1165"/>
      <c r="CS52" s="1165"/>
      <c r="CT52" s="1165"/>
      <c r="CU52" s="1165"/>
      <c r="CV52" s="1165"/>
      <c r="CW52" s="1165"/>
      <c r="CX52" s="1106"/>
      <c r="CY52" s="1106"/>
      <c r="CZ52" s="1106"/>
      <c r="DA52" s="1107"/>
      <c r="DB52" s="1104"/>
    </row>
    <row r="53" spans="2:106" ht="11.25" customHeight="1">
      <c r="B53" s="1105"/>
      <c r="C53" s="1165"/>
      <c r="D53" s="1165" t="s">
        <v>1025</v>
      </c>
      <c r="E53" s="1165"/>
      <c r="F53" s="1165"/>
      <c r="G53" s="1165" t="s">
        <v>181</v>
      </c>
      <c r="H53" s="1165"/>
      <c r="I53" s="1165"/>
      <c r="J53" s="1165" t="s">
        <v>1026</v>
      </c>
      <c r="K53" s="1165"/>
      <c r="L53" s="1165"/>
      <c r="M53" s="1165" t="s">
        <v>263</v>
      </c>
      <c r="N53" s="1165" t="s">
        <v>1027</v>
      </c>
      <c r="O53" s="1165"/>
      <c r="P53" s="1165" t="s">
        <v>954</v>
      </c>
      <c r="Q53" s="1165" t="s">
        <v>264</v>
      </c>
      <c r="R53" s="1165"/>
      <c r="S53" s="1165"/>
      <c r="T53" s="1165"/>
      <c r="U53" s="1165"/>
      <c r="V53" s="1165"/>
      <c r="W53" s="1165"/>
      <c r="X53" s="1165"/>
      <c r="Y53" s="1165"/>
      <c r="Z53" s="1165"/>
      <c r="AA53" s="1165"/>
      <c r="AB53" s="1165"/>
      <c r="AC53" s="1165"/>
      <c r="AD53" s="1165"/>
      <c r="AE53" s="1165"/>
      <c r="AF53" s="1165"/>
      <c r="AG53" s="1165"/>
      <c r="AH53" s="1165"/>
      <c r="AI53" s="1165"/>
      <c r="AJ53" s="1165"/>
      <c r="AK53" s="1165"/>
      <c r="AL53" s="1165"/>
      <c r="AM53" s="1165"/>
      <c r="AN53" s="1165"/>
      <c r="AO53" s="1165"/>
      <c r="AP53" s="1165"/>
      <c r="AQ53" s="1165"/>
      <c r="AR53" s="1165"/>
      <c r="AS53" s="1165"/>
      <c r="AT53" s="1165"/>
      <c r="AU53" s="1165"/>
      <c r="AV53" s="1165"/>
      <c r="AW53" s="1165"/>
      <c r="AX53" s="1165"/>
      <c r="AY53" s="1165"/>
      <c r="AZ53" s="1165"/>
      <c r="BA53" s="1165"/>
      <c r="BB53" s="1165"/>
      <c r="BC53" s="1165"/>
      <c r="BD53" s="1165"/>
      <c r="BE53" s="1165"/>
      <c r="BF53" s="1165"/>
      <c r="BG53" s="1165"/>
      <c r="BH53" s="1165"/>
      <c r="BI53" s="1165"/>
      <c r="BJ53" s="1165"/>
      <c r="BK53" s="1165"/>
      <c r="BL53" s="1165"/>
      <c r="BM53" s="1165"/>
      <c r="BN53" s="1165"/>
      <c r="BO53" s="1165"/>
      <c r="BP53" s="1165"/>
      <c r="BQ53" s="1165"/>
      <c r="BR53" s="1165"/>
      <c r="BS53" s="1165"/>
      <c r="BT53" s="1165"/>
      <c r="BU53" s="1165"/>
      <c r="BV53" s="1165"/>
      <c r="BW53" s="1165"/>
      <c r="BX53" s="1165"/>
      <c r="BY53" s="1165"/>
      <c r="BZ53" s="1165"/>
      <c r="CA53" s="1165"/>
      <c r="CB53" s="1165"/>
      <c r="CC53" s="1165"/>
      <c r="CD53" s="1165"/>
      <c r="CE53" s="1165"/>
      <c r="CF53" s="1165"/>
      <c r="CG53" s="1165"/>
      <c r="CH53" s="1165"/>
      <c r="CI53" s="1165"/>
      <c r="CJ53" s="1165"/>
      <c r="CK53" s="1165"/>
      <c r="CL53" s="1165"/>
      <c r="CM53" s="1165"/>
      <c r="CN53" s="1165"/>
      <c r="CO53" s="1165"/>
      <c r="CP53" s="1165"/>
      <c r="CQ53" s="1165"/>
      <c r="CR53" s="1165"/>
      <c r="CS53" s="1165"/>
      <c r="CT53" s="1165"/>
      <c r="CU53" s="1165"/>
      <c r="CV53" s="1165"/>
      <c r="CW53" s="1165"/>
      <c r="CX53" s="1106"/>
      <c r="CY53" s="1106"/>
      <c r="CZ53" s="1106"/>
      <c r="DA53" s="1107"/>
      <c r="DB53" s="1104"/>
    </row>
    <row r="54" spans="2:106" ht="11.25" customHeight="1">
      <c r="B54" s="1105"/>
      <c r="C54" s="1165"/>
      <c r="D54" s="1165"/>
      <c r="E54" s="1165"/>
      <c r="F54" s="1165"/>
      <c r="G54" s="1165"/>
      <c r="H54" s="1165"/>
      <c r="I54" s="1165"/>
      <c r="J54" s="1165"/>
      <c r="K54" s="1165"/>
      <c r="L54" s="1165"/>
      <c r="M54" s="1165"/>
      <c r="N54" s="1165"/>
      <c r="O54" s="1165"/>
      <c r="P54" s="1165"/>
      <c r="Q54" s="1165"/>
      <c r="R54" s="1165"/>
      <c r="S54" s="1165"/>
      <c r="T54" s="1165"/>
      <c r="U54" s="1165"/>
      <c r="V54" s="1165"/>
      <c r="W54" s="1165"/>
      <c r="X54" s="1165"/>
      <c r="Y54" s="1165"/>
      <c r="Z54" s="1165"/>
      <c r="AA54" s="1165"/>
      <c r="AB54" s="1165"/>
      <c r="AC54" s="1165"/>
      <c r="AD54" s="1165"/>
      <c r="AE54" s="1165"/>
      <c r="AF54" s="1165"/>
      <c r="AG54" s="1165"/>
      <c r="AH54" s="1165"/>
      <c r="AI54" s="1165"/>
      <c r="AJ54" s="1165"/>
      <c r="AK54" s="1165"/>
      <c r="AL54" s="1165"/>
      <c r="AM54" s="1165"/>
      <c r="AN54" s="1165"/>
      <c r="AO54" s="1165"/>
      <c r="AP54" s="1165"/>
      <c r="AQ54" s="1165"/>
      <c r="AR54" s="1165"/>
      <c r="AS54" s="1165"/>
      <c r="AT54" s="1165"/>
      <c r="AU54" s="1165"/>
      <c r="AV54" s="1165"/>
      <c r="AW54" s="1165"/>
      <c r="AX54" s="1165"/>
      <c r="AY54" s="1165"/>
      <c r="AZ54" s="1165"/>
      <c r="BA54" s="1165"/>
      <c r="BB54" s="1165"/>
      <c r="BC54" s="1165"/>
      <c r="BD54" s="1165"/>
      <c r="BE54" s="1165"/>
      <c r="BF54" s="1165"/>
      <c r="BG54" s="1165"/>
      <c r="BH54" s="1165"/>
      <c r="BI54" s="1165"/>
      <c r="BJ54" s="1165"/>
      <c r="BK54" s="1165"/>
      <c r="BL54" s="1165"/>
      <c r="BM54" s="1165"/>
      <c r="BN54" s="1165"/>
      <c r="BO54" s="1165"/>
      <c r="BP54" s="1165"/>
      <c r="BQ54" s="1165"/>
      <c r="BR54" s="1165"/>
      <c r="BS54" s="1165"/>
      <c r="BT54" s="1165"/>
      <c r="BU54" s="1165"/>
      <c r="BV54" s="1165"/>
      <c r="BW54" s="1165"/>
      <c r="BX54" s="1165"/>
      <c r="BY54" s="1165"/>
      <c r="BZ54" s="1165"/>
      <c r="CA54" s="1165"/>
      <c r="CB54" s="1165"/>
      <c r="CC54" s="1165"/>
      <c r="CD54" s="1165"/>
      <c r="CE54" s="1165"/>
      <c r="CF54" s="1165"/>
      <c r="CG54" s="1165"/>
      <c r="CH54" s="1165"/>
      <c r="CI54" s="1165"/>
      <c r="CJ54" s="1165"/>
      <c r="CK54" s="1165"/>
      <c r="CL54" s="1165"/>
      <c r="CM54" s="1165"/>
      <c r="CN54" s="1165"/>
      <c r="CO54" s="1165"/>
      <c r="CP54" s="1165"/>
      <c r="CQ54" s="1165"/>
      <c r="CR54" s="1165"/>
      <c r="CS54" s="1165"/>
      <c r="CT54" s="1165"/>
      <c r="CU54" s="1165"/>
      <c r="CV54" s="1165"/>
      <c r="CW54" s="1165"/>
      <c r="CX54" s="1106"/>
      <c r="CY54" s="1106"/>
      <c r="CZ54" s="1106"/>
      <c r="DA54" s="1107"/>
      <c r="DB54" s="1104"/>
    </row>
    <row r="55" spans="2:106" ht="11.25" customHeight="1">
      <c r="B55" s="1105"/>
      <c r="C55" s="1165"/>
      <c r="D55" s="1165"/>
      <c r="E55" s="1165"/>
      <c r="F55" s="1165"/>
      <c r="G55" s="1165" t="s">
        <v>182</v>
      </c>
      <c r="H55" s="1165"/>
      <c r="I55" s="1165"/>
      <c r="J55" s="1165"/>
      <c r="K55" s="1165"/>
      <c r="L55" s="1165"/>
      <c r="M55" s="1165"/>
      <c r="N55" s="1165"/>
      <c r="O55" s="1165"/>
      <c r="P55" s="1165"/>
      <c r="Q55" s="1165"/>
      <c r="R55" s="1165" t="s">
        <v>217</v>
      </c>
      <c r="S55" s="1165"/>
      <c r="T55" s="1536">
        <f>VLOOKUP($G55,인건비!A:B,2,FALSE)</f>
        <v>172698</v>
      </c>
      <c r="U55" s="1536"/>
      <c r="V55" s="1536"/>
      <c r="W55" s="1536"/>
      <c r="X55" s="1536"/>
      <c r="Y55" s="1536"/>
      <c r="Z55" s="1536"/>
      <c r="AA55" s="1536"/>
      <c r="AB55" s="1165"/>
      <c r="AC55" s="1165"/>
      <c r="AD55" s="1165" t="s">
        <v>975</v>
      </c>
      <c r="AE55" s="1165"/>
      <c r="AF55" s="1165"/>
      <c r="AG55" s="1165" t="str">
        <f>TEXT(0.1,"#,##0.#######")</f>
        <v>0.1</v>
      </c>
      <c r="AH55" s="1165"/>
      <c r="AI55" s="1165"/>
      <c r="AJ55" s="1165" t="s">
        <v>181</v>
      </c>
      <c r="AK55" s="1165"/>
      <c r="AL55" s="1165"/>
      <c r="AM55" s="1165" t="s">
        <v>975</v>
      </c>
      <c r="AN55" s="1165"/>
      <c r="AO55" s="1165"/>
      <c r="AP55" s="1165" t="str">
        <f>TEXT(0.1,"#,##0.#######")</f>
        <v>0.1</v>
      </c>
      <c r="AQ55" s="1165"/>
      <c r="AR55" s="1165"/>
      <c r="AS55" s="1165"/>
      <c r="AT55" s="1165" t="s">
        <v>227</v>
      </c>
      <c r="AU55" s="1165"/>
      <c r="AV55" s="1165" t="str">
        <f>TEXT(TRUNC(T55*AG55*AP55,1),"#,##0.#")</f>
        <v>1,726.9</v>
      </c>
      <c r="AW55" s="1165"/>
      <c r="AX55" s="1165"/>
      <c r="AY55" s="1165"/>
      <c r="AZ55" s="1165"/>
      <c r="BA55" s="1165"/>
      <c r="BB55" s="1165"/>
      <c r="BC55" s="1165"/>
      <c r="BD55" s="1165"/>
      <c r="BE55" s="1165"/>
      <c r="BF55" s="1165"/>
      <c r="BG55" s="1165"/>
      <c r="BH55" s="1165"/>
      <c r="BI55" s="1165"/>
      <c r="BJ55" s="1165"/>
      <c r="BK55" s="1165"/>
      <c r="BL55" s="1165"/>
      <c r="BM55" s="1165"/>
      <c r="BN55" s="1165"/>
      <c r="BO55" s="1165"/>
      <c r="BP55" s="1165"/>
      <c r="BQ55" s="1165"/>
      <c r="BR55" s="1165"/>
      <c r="BS55" s="1165"/>
      <c r="BT55" s="1165"/>
      <c r="BU55" s="1165"/>
      <c r="BV55" s="1165"/>
      <c r="BW55" s="1165"/>
      <c r="BX55" s="1165"/>
      <c r="BY55" s="1165"/>
      <c r="BZ55" s="1165"/>
      <c r="CA55" s="1165"/>
      <c r="CB55" s="1165"/>
      <c r="CC55" s="1165"/>
      <c r="CD55" s="1165"/>
      <c r="CE55" s="1165"/>
      <c r="CF55" s="1165"/>
      <c r="CG55" s="1165"/>
      <c r="CH55" s="1165"/>
      <c r="CI55" s="1165"/>
      <c r="CJ55" s="1165"/>
      <c r="CK55" s="1165"/>
      <c r="CL55" s="1165"/>
      <c r="CM55" s="1165"/>
      <c r="CN55" s="1165"/>
      <c r="CO55" s="1165"/>
      <c r="CP55" s="1165"/>
      <c r="CQ55" s="1165"/>
      <c r="CR55" s="1165"/>
      <c r="CS55" s="1165"/>
      <c r="CT55" s="1165"/>
      <c r="CU55" s="1165"/>
      <c r="CV55" s="1165"/>
      <c r="CW55" s="1165"/>
      <c r="CX55" s="1106">
        <f>CY55+CZ55+DA55</f>
        <v>1726.9</v>
      </c>
      <c r="CY55" s="1106" t="str">
        <f>AV55</f>
        <v>1,726.9</v>
      </c>
      <c r="CZ55" s="1106"/>
      <c r="DA55" s="1107"/>
      <c r="DB55" s="1104"/>
    </row>
    <row r="56" spans="2:106" ht="11.25" customHeight="1">
      <c r="B56" s="1105"/>
      <c r="C56" s="1165"/>
      <c r="D56" s="1165"/>
      <c r="E56" s="1165"/>
      <c r="F56" s="1165"/>
      <c r="G56" s="1165"/>
      <c r="H56" s="1165"/>
      <c r="I56" s="1165"/>
      <c r="J56" s="1165"/>
      <c r="K56" s="1165"/>
      <c r="L56" s="1165"/>
      <c r="M56" s="1165"/>
      <c r="N56" s="1165"/>
      <c r="O56" s="1165"/>
      <c r="P56" s="1165"/>
      <c r="Q56" s="1165"/>
      <c r="R56" s="1165"/>
      <c r="S56" s="1165"/>
      <c r="T56" s="1165"/>
      <c r="U56" s="1165"/>
      <c r="V56" s="1165"/>
      <c r="W56" s="1165"/>
      <c r="X56" s="1165"/>
      <c r="Y56" s="1165"/>
      <c r="Z56" s="1165"/>
      <c r="AA56" s="1165"/>
      <c r="AB56" s="1165"/>
      <c r="AC56" s="1165"/>
      <c r="AD56" s="1165"/>
      <c r="AE56" s="1165"/>
      <c r="AF56" s="1165"/>
      <c r="AG56" s="1165"/>
      <c r="AH56" s="1165"/>
      <c r="AI56" s="1165"/>
      <c r="AJ56" s="1165"/>
      <c r="AK56" s="1165"/>
      <c r="AL56" s="1165"/>
      <c r="AM56" s="1165"/>
      <c r="AN56" s="1165"/>
      <c r="AO56" s="1165"/>
      <c r="AP56" s="1165"/>
      <c r="AQ56" s="1165"/>
      <c r="AR56" s="1165"/>
      <c r="AS56" s="1165"/>
      <c r="AT56" s="1165"/>
      <c r="AU56" s="1165"/>
      <c r="AV56" s="1165"/>
      <c r="AW56" s="1165"/>
      <c r="AX56" s="1165"/>
      <c r="AY56" s="1165"/>
      <c r="AZ56" s="1165"/>
      <c r="BA56" s="1165"/>
      <c r="BB56" s="1165"/>
      <c r="BC56" s="1165"/>
      <c r="BD56" s="1165"/>
      <c r="BE56" s="1165"/>
      <c r="BF56" s="1165"/>
      <c r="BG56" s="1165"/>
      <c r="BH56" s="1165"/>
      <c r="BI56" s="1165"/>
      <c r="BJ56" s="1165"/>
      <c r="BK56" s="1165"/>
      <c r="BL56" s="1165"/>
      <c r="BM56" s="1165"/>
      <c r="BN56" s="1165"/>
      <c r="BO56" s="1165"/>
      <c r="BP56" s="1165"/>
      <c r="BQ56" s="1165"/>
      <c r="BR56" s="1165"/>
      <c r="BS56" s="1165"/>
      <c r="BT56" s="1165"/>
      <c r="BU56" s="1165"/>
      <c r="BV56" s="1165"/>
      <c r="BW56" s="1165"/>
      <c r="BX56" s="1165"/>
      <c r="BY56" s="1165"/>
      <c r="BZ56" s="1165"/>
      <c r="CA56" s="1165"/>
      <c r="CB56" s="1165"/>
      <c r="CC56" s="1165"/>
      <c r="CD56" s="1165"/>
      <c r="CE56" s="1165"/>
      <c r="CF56" s="1165"/>
      <c r="CG56" s="1165"/>
      <c r="CH56" s="1165"/>
      <c r="CI56" s="1165"/>
      <c r="CJ56" s="1165"/>
      <c r="CK56" s="1165"/>
      <c r="CL56" s="1165"/>
      <c r="CM56" s="1165"/>
      <c r="CN56" s="1165"/>
      <c r="CO56" s="1165"/>
      <c r="CP56" s="1165"/>
      <c r="CQ56" s="1165"/>
      <c r="CR56" s="1165"/>
      <c r="CS56" s="1165"/>
      <c r="CT56" s="1165"/>
      <c r="CU56" s="1165"/>
      <c r="CV56" s="1165"/>
      <c r="CW56" s="1165"/>
      <c r="CX56" s="1106"/>
      <c r="CY56" s="1106"/>
      <c r="CZ56" s="1106"/>
      <c r="DA56" s="1107"/>
      <c r="DB56" s="1104"/>
    </row>
    <row r="57" spans="2:106" ht="11.25" customHeight="1">
      <c r="B57" s="1105"/>
      <c r="C57" s="1165"/>
      <c r="D57" s="1165" t="s">
        <v>1034</v>
      </c>
      <c r="E57" s="1165"/>
      <c r="F57" s="1165"/>
      <c r="G57" s="1165" t="s">
        <v>1035</v>
      </c>
      <c r="H57" s="1165"/>
      <c r="I57" s="1165"/>
      <c r="J57" s="1165"/>
      <c r="K57" s="1165" t="s">
        <v>179</v>
      </c>
      <c r="L57" s="1165"/>
      <c r="M57" s="1165"/>
      <c r="N57" s="1165"/>
      <c r="O57" s="1165"/>
      <c r="P57" s="1165"/>
      <c r="Q57" s="1165"/>
      <c r="R57" s="1165"/>
      <c r="S57" s="1165"/>
      <c r="T57" s="1165"/>
      <c r="U57" s="1165"/>
      <c r="V57" s="1165"/>
      <c r="W57" s="1165"/>
      <c r="X57" s="1165"/>
      <c r="Y57" s="1165"/>
      <c r="Z57" s="1165"/>
      <c r="AA57" s="1165"/>
      <c r="AB57" s="1165"/>
      <c r="AC57" s="1165"/>
      <c r="AD57" s="1165"/>
      <c r="AE57" s="1165"/>
      <c r="AF57" s="1165"/>
      <c r="AG57" s="1165"/>
      <c r="AH57" s="1165"/>
      <c r="AI57" s="1165"/>
      <c r="AJ57" s="1165"/>
      <c r="AK57" s="1165"/>
      <c r="AL57" s="1165"/>
      <c r="AM57" s="1165"/>
      <c r="AN57" s="1165"/>
      <c r="AO57" s="1165"/>
      <c r="AP57" s="1165"/>
      <c r="AQ57" s="1165"/>
      <c r="AR57" s="1165"/>
      <c r="AS57" s="1165"/>
      <c r="AT57" s="1165"/>
      <c r="AU57" s="1165"/>
      <c r="AV57" s="1165"/>
      <c r="AW57" s="1165"/>
      <c r="AX57" s="1165"/>
      <c r="AY57" s="1165"/>
      <c r="AZ57" s="1165"/>
      <c r="BA57" s="1165"/>
      <c r="BB57" s="1165"/>
      <c r="BC57" s="1165"/>
      <c r="BD57" s="1165"/>
      <c r="BE57" s="1165"/>
      <c r="BF57" s="1165"/>
      <c r="BG57" s="1165"/>
      <c r="BH57" s="1165"/>
      <c r="BI57" s="1165"/>
      <c r="BJ57" s="1165"/>
      <c r="BK57" s="1165"/>
      <c r="BL57" s="1165"/>
      <c r="BM57" s="1165"/>
      <c r="BN57" s="1165"/>
      <c r="BO57" s="1165"/>
      <c r="BP57" s="1165"/>
      <c r="BQ57" s="1165"/>
      <c r="BR57" s="1165"/>
      <c r="BS57" s="1165"/>
      <c r="BT57" s="1165"/>
      <c r="BU57" s="1165"/>
      <c r="BV57" s="1165"/>
      <c r="BW57" s="1165"/>
      <c r="BX57" s="1165"/>
      <c r="BY57" s="1165"/>
      <c r="BZ57" s="1165"/>
      <c r="CA57" s="1165"/>
      <c r="CB57" s="1165"/>
      <c r="CC57" s="1165"/>
      <c r="CD57" s="1165"/>
      <c r="CE57" s="1165"/>
      <c r="CF57" s="1165"/>
      <c r="CG57" s="1165"/>
      <c r="CH57" s="1165"/>
      <c r="CI57" s="1165"/>
      <c r="CJ57" s="1165"/>
      <c r="CK57" s="1165"/>
      <c r="CL57" s="1165"/>
      <c r="CM57" s="1165"/>
      <c r="CN57" s="1165"/>
      <c r="CO57" s="1165"/>
      <c r="CP57" s="1165"/>
      <c r="CQ57" s="1165"/>
      <c r="CR57" s="1165"/>
      <c r="CS57" s="1165"/>
      <c r="CT57" s="1165"/>
      <c r="CU57" s="1165"/>
      <c r="CV57" s="1165"/>
      <c r="CW57" s="1165"/>
      <c r="CX57" s="1106"/>
      <c r="CY57" s="1106"/>
      <c r="CZ57" s="1106"/>
      <c r="DA57" s="1107"/>
      <c r="DB57" s="1104"/>
    </row>
    <row r="58" spans="2:106" ht="11.25" customHeight="1">
      <c r="B58" s="1105"/>
      <c r="C58" s="1165"/>
      <c r="D58" s="1165"/>
      <c r="E58" s="1165"/>
      <c r="F58" s="1165"/>
      <c r="G58" s="1165"/>
      <c r="H58" s="1165"/>
      <c r="I58" s="1165"/>
      <c r="J58" s="1165"/>
      <c r="K58" s="1165"/>
      <c r="L58" s="1165"/>
      <c r="M58" s="1165"/>
      <c r="N58" s="1165"/>
      <c r="O58" s="1165"/>
      <c r="P58" s="1165"/>
      <c r="Q58" s="1165"/>
      <c r="R58" s="1165"/>
      <c r="S58" s="1165"/>
      <c r="T58" s="1165"/>
      <c r="U58" s="1165"/>
      <c r="V58" s="1165"/>
      <c r="W58" s="1165"/>
      <c r="X58" s="1165"/>
      <c r="Y58" s="1165"/>
      <c r="Z58" s="1165"/>
      <c r="AA58" s="1165"/>
      <c r="AB58" s="1165"/>
      <c r="AC58" s="1165"/>
      <c r="AD58" s="1165"/>
      <c r="AE58" s="1165"/>
      <c r="AF58" s="1165"/>
      <c r="AG58" s="1165"/>
      <c r="AH58" s="1165"/>
      <c r="AI58" s="1165"/>
      <c r="AJ58" s="1165"/>
      <c r="AK58" s="1165"/>
      <c r="AL58" s="1165"/>
      <c r="AM58" s="1165"/>
      <c r="AN58" s="1165"/>
      <c r="AO58" s="1165"/>
      <c r="AP58" s="1165"/>
      <c r="AQ58" s="1165"/>
      <c r="AR58" s="1165"/>
      <c r="AS58" s="1165"/>
      <c r="AT58" s="1165"/>
      <c r="AU58" s="1165"/>
      <c r="AV58" s="1165"/>
      <c r="AW58" s="1165"/>
      <c r="AX58" s="1165"/>
      <c r="AY58" s="1165"/>
      <c r="AZ58" s="1165"/>
      <c r="BA58" s="1165"/>
      <c r="BB58" s="1165"/>
      <c r="BC58" s="1165"/>
      <c r="BD58" s="1165"/>
      <c r="BE58" s="1165"/>
      <c r="BF58" s="1165"/>
      <c r="BG58" s="1165"/>
      <c r="BH58" s="1165"/>
      <c r="BI58" s="1165"/>
      <c r="BJ58" s="1165"/>
      <c r="BK58" s="1165"/>
      <c r="BL58" s="1165"/>
      <c r="BM58" s="1165"/>
      <c r="BN58" s="1165"/>
      <c r="BO58" s="1165"/>
      <c r="BP58" s="1165"/>
      <c r="BQ58" s="1165"/>
      <c r="BR58" s="1165"/>
      <c r="BS58" s="1165"/>
      <c r="BT58" s="1165"/>
      <c r="BU58" s="1165"/>
      <c r="BV58" s="1165"/>
      <c r="BW58" s="1165"/>
      <c r="BX58" s="1165"/>
      <c r="BY58" s="1165"/>
      <c r="BZ58" s="1165"/>
      <c r="CA58" s="1165"/>
      <c r="CB58" s="1165"/>
      <c r="CC58" s="1165"/>
      <c r="CD58" s="1165"/>
      <c r="CE58" s="1165"/>
      <c r="CF58" s="1165"/>
      <c r="CG58" s="1165"/>
      <c r="CH58" s="1165"/>
      <c r="CI58" s="1165"/>
      <c r="CJ58" s="1165"/>
      <c r="CK58" s="1165"/>
      <c r="CL58" s="1165"/>
      <c r="CM58" s="1165"/>
      <c r="CN58" s="1165"/>
      <c r="CO58" s="1165"/>
      <c r="CP58" s="1165"/>
      <c r="CQ58" s="1165"/>
      <c r="CR58" s="1165"/>
      <c r="CS58" s="1165"/>
      <c r="CT58" s="1165"/>
      <c r="CU58" s="1165"/>
      <c r="CV58" s="1165"/>
      <c r="CW58" s="1165"/>
      <c r="CX58" s="1106"/>
      <c r="CY58" s="1106"/>
      <c r="CZ58" s="1106"/>
      <c r="DA58" s="1107"/>
      <c r="DB58" s="1104"/>
    </row>
    <row r="59" spans="2:106" ht="11.25" customHeight="1">
      <c r="B59" s="1105"/>
      <c r="C59" s="1165"/>
      <c r="D59" s="1165"/>
      <c r="E59" s="1165"/>
      <c r="F59" s="1165"/>
      <c r="G59" s="1165"/>
      <c r="H59" s="1165" t="s">
        <v>899</v>
      </c>
      <c r="I59" s="1165"/>
      <c r="J59" s="1165"/>
      <c r="K59" s="1165"/>
      <c r="L59" s="1165"/>
      <c r="M59" s="1165"/>
      <c r="N59" s="1165"/>
      <c r="O59" s="1165" t="s">
        <v>217</v>
      </c>
      <c r="P59" s="1165"/>
      <c r="Q59" s="1165" t="str">
        <f>TEXT(CY51,"#,###.##")</f>
        <v>2,183.4</v>
      </c>
      <c r="R59" s="1165"/>
      <c r="S59" s="1165"/>
      <c r="T59" s="1165"/>
      <c r="U59" s="1165"/>
      <c r="V59" s="1165"/>
      <c r="W59" s="1165"/>
      <c r="X59" s="1165"/>
      <c r="Y59" s="1165" t="s">
        <v>209</v>
      </c>
      <c r="Z59" s="1165"/>
      <c r="AA59" s="1165" t="str">
        <f>TEXT(CY55,"#,###.##")</f>
        <v>1,726.9</v>
      </c>
      <c r="AB59" s="1165"/>
      <c r="AC59" s="1165"/>
      <c r="AD59" s="1165"/>
      <c r="AE59" s="1165"/>
      <c r="AF59" s="1165"/>
      <c r="AG59" s="1165"/>
      <c r="AH59" s="1165"/>
      <c r="AI59" s="1165" t="s">
        <v>227</v>
      </c>
      <c r="AJ59" s="1165"/>
      <c r="AK59" s="1165"/>
      <c r="AL59" s="1165" t="str">
        <f>TEXT(TRUNC(CY51+CY55,0),"#,##0")</f>
        <v>3,910</v>
      </c>
      <c r="AM59" s="1165"/>
      <c r="AN59" s="1165"/>
      <c r="AO59" s="1165"/>
      <c r="AP59" s="1165"/>
      <c r="AQ59" s="1165"/>
      <c r="AR59" s="1165"/>
      <c r="AS59" s="1165"/>
      <c r="AT59" s="1165"/>
      <c r="AU59" s="1165"/>
      <c r="AV59" s="1165"/>
      <c r="AW59" s="1165"/>
      <c r="AX59" s="1165"/>
      <c r="AY59" s="1165"/>
      <c r="AZ59" s="1165"/>
      <c r="BA59" s="1165"/>
      <c r="BB59" s="1165"/>
      <c r="BC59" s="1165"/>
      <c r="BD59" s="1165"/>
      <c r="BE59" s="1165"/>
      <c r="BF59" s="1165"/>
      <c r="BG59" s="1165"/>
      <c r="BH59" s="1165"/>
      <c r="BI59" s="1165"/>
      <c r="BJ59" s="1165"/>
      <c r="BK59" s="1165"/>
      <c r="BL59" s="1165"/>
      <c r="BM59" s="1165"/>
      <c r="BN59" s="1165"/>
      <c r="BO59" s="1165"/>
      <c r="BP59" s="1165"/>
      <c r="BQ59" s="1165"/>
      <c r="BR59" s="1165"/>
      <c r="BS59" s="1165"/>
      <c r="BT59" s="1165"/>
      <c r="BU59" s="1165"/>
      <c r="BV59" s="1165"/>
      <c r="BW59" s="1165"/>
      <c r="BX59" s="1165"/>
      <c r="BY59" s="1165"/>
      <c r="BZ59" s="1165"/>
      <c r="CA59" s="1165"/>
      <c r="CB59" s="1165"/>
      <c r="CC59" s="1165"/>
      <c r="CD59" s="1165"/>
      <c r="CE59" s="1165"/>
      <c r="CF59" s="1165"/>
      <c r="CG59" s="1165"/>
      <c r="CH59" s="1165"/>
      <c r="CI59" s="1165"/>
      <c r="CJ59" s="1165"/>
      <c r="CK59" s="1165"/>
      <c r="CL59" s="1165"/>
      <c r="CM59" s="1165"/>
      <c r="CN59" s="1165"/>
      <c r="CO59" s="1165"/>
      <c r="CP59" s="1165"/>
      <c r="CQ59" s="1165"/>
      <c r="CR59" s="1165"/>
      <c r="CS59" s="1165"/>
      <c r="CT59" s="1165"/>
      <c r="CU59" s="1165"/>
      <c r="CV59" s="1165"/>
      <c r="CW59" s="1165"/>
      <c r="CX59" s="1106"/>
      <c r="CY59" s="1106"/>
      <c r="CZ59" s="1106"/>
      <c r="DA59" s="1107"/>
      <c r="DB59" s="1104"/>
    </row>
    <row r="60" spans="2:106" ht="11.25" customHeight="1">
      <c r="B60" s="1105"/>
      <c r="C60" s="1165"/>
      <c r="D60" s="1165"/>
      <c r="E60" s="1165"/>
      <c r="F60" s="1165"/>
      <c r="G60" s="1165"/>
      <c r="H60" s="1165" t="s">
        <v>892</v>
      </c>
      <c r="I60" s="1165"/>
      <c r="J60" s="1165"/>
      <c r="K60" s="1165"/>
      <c r="L60" s="1165"/>
      <c r="M60" s="1165"/>
      <c r="N60" s="1165"/>
      <c r="O60" s="1165" t="s">
        <v>217</v>
      </c>
      <c r="P60" s="1165"/>
      <c r="Q60" s="1165" t="e">
        <f>TEXT(TRUNC(CZ51,0),"#,##0")</f>
        <v>#REF!</v>
      </c>
      <c r="R60" s="1165"/>
      <c r="S60" s="1165"/>
      <c r="T60" s="1165"/>
      <c r="U60" s="1165"/>
      <c r="V60" s="1165"/>
      <c r="W60" s="1165"/>
      <c r="X60" s="1165"/>
      <c r="Y60" s="1165"/>
      <c r="Z60" s="1165"/>
      <c r="AA60" s="1165"/>
      <c r="AB60" s="1165"/>
      <c r="AC60" s="1165"/>
      <c r="AD60" s="1165"/>
      <c r="AE60" s="1165"/>
      <c r="AF60" s="1165"/>
      <c r="AG60" s="1165"/>
      <c r="AH60" s="1165"/>
      <c r="AI60" s="1165"/>
      <c r="AJ60" s="1165"/>
      <c r="AK60" s="1165"/>
      <c r="AL60" s="1165"/>
      <c r="AM60" s="1165"/>
      <c r="AN60" s="1165"/>
      <c r="AO60" s="1165"/>
      <c r="AP60" s="1165"/>
      <c r="AQ60" s="1165"/>
      <c r="AR60" s="1165"/>
      <c r="AS60" s="1165"/>
      <c r="AT60" s="1165"/>
      <c r="AU60" s="1165"/>
      <c r="AV60" s="1165"/>
      <c r="AW60" s="1165"/>
      <c r="AX60" s="1165"/>
      <c r="AY60" s="1165"/>
      <c r="AZ60" s="1165"/>
      <c r="BA60" s="1165"/>
      <c r="BB60" s="1165"/>
      <c r="BC60" s="1165"/>
      <c r="BD60" s="1165"/>
      <c r="BE60" s="1165"/>
      <c r="BF60" s="1165"/>
      <c r="BG60" s="1165"/>
      <c r="BH60" s="1165"/>
      <c r="BI60" s="1165"/>
      <c r="BJ60" s="1165"/>
      <c r="BK60" s="1165"/>
      <c r="BL60" s="1165"/>
      <c r="BM60" s="1165"/>
      <c r="BN60" s="1165"/>
      <c r="BO60" s="1165"/>
      <c r="BP60" s="1165"/>
      <c r="BQ60" s="1165"/>
      <c r="BR60" s="1165"/>
      <c r="BS60" s="1165"/>
      <c r="BT60" s="1165"/>
      <c r="BU60" s="1165"/>
      <c r="BV60" s="1165"/>
      <c r="BW60" s="1165"/>
      <c r="BX60" s="1165"/>
      <c r="BY60" s="1165"/>
      <c r="BZ60" s="1165"/>
      <c r="CA60" s="1165"/>
      <c r="CB60" s="1165"/>
      <c r="CC60" s="1165"/>
      <c r="CD60" s="1165"/>
      <c r="CE60" s="1165"/>
      <c r="CF60" s="1165"/>
      <c r="CG60" s="1165"/>
      <c r="CH60" s="1165"/>
      <c r="CI60" s="1165"/>
      <c r="CJ60" s="1165"/>
      <c r="CK60" s="1165"/>
      <c r="CL60" s="1165"/>
      <c r="CM60" s="1165"/>
      <c r="CN60" s="1165"/>
      <c r="CO60" s="1165"/>
      <c r="CP60" s="1165"/>
      <c r="CQ60" s="1165"/>
      <c r="CR60" s="1165"/>
      <c r="CS60" s="1165"/>
      <c r="CT60" s="1165"/>
      <c r="CU60" s="1165"/>
      <c r="CV60" s="1165"/>
      <c r="CW60" s="1165"/>
      <c r="CX60" s="1106"/>
      <c r="CY60" s="1106"/>
      <c r="CZ60" s="1106"/>
      <c r="DA60" s="1107"/>
      <c r="DB60" s="1104"/>
    </row>
    <row r="61" spans="2:106" ht="11.25" customHeight="1">
      <c r="B61" s="1105"/>
      <c r="C61" s="1165"/>
      <c r="D61" s="1165"/>
      <c r="E61" s="1165"/>
      <c r="F61" s="1165"/>
      <c r="G61" s="1165"/>
      <c r="H61" s="1165" t="s">
        <v>1022</v>
      </c>
      <c r="I61" s="1165"/>
      <c r="J61" s="1165"/>
      <c r="K61" s="1165"/>
      <c r="L61" s="1165" t="s">
        <v>1023</v>
      </c>
      <c r="M61" s="1165"/>
      <c r="N61" s="1165"/>
      <c r="O61" s="1165" t="s">
        <v>217</v>
      </c>
      <c r="P61" s="1165"/>
      <c r="Q61" s="1165" t="str">
        <f>TEXT(TRUNC(DA51,0),"#,##0")</f>
        <v>513</v>
      </c>
      <c r="R61" s="1165"/>
      <c r="S61" s="1165"/>
      <c r="T61" s="1165"/>
      <c r="U61" s="1165"/>
      <c r="V61" s="1165"/>
      <c r="W61" s="1165"/>
      <c r="X61" s="1165"/>
      <c r="Y61" s="1165"/>
      <c r="Z61" s="1165"/>
      <c r="AA61" s="1165"/>
      <c r="AB61" s="1165"/>
      <c r="AC61" s="1165"/>
      <c r="AD61" s="1165"/>
      <c r="AE61" s="1165"/>
      <c r="AF61" s="1165"/>
      <c r="AG61" s="1165"/>
      <c r="AH61" s="1165"/>
      <c r="AI61" s="1165"/>
      <c r="AJ61" s="1165"/>
      <c r="AK61" s="1165"/>
      <c r="AL61" s="1165"/>
      <c r="AM61" s="1165"/>
      <c r="AN61" s="1165"/>
      <c r="AO61" s="1165"/>
      <c r="AP61" s="1165"/>
      <c r="AQ61" s="1165"/>
      <c r="AR61" s="1165"/>
      <c r="AS61" s="1165"/>
      <c r="AT61" s="1165"/>
      <c r="AU61" s="1165"/>
      <c r="AV61" s="1165"/>
      <c r="AW61" s="1165"/>
      <c r="AX61" s="1165"/>
      <c r="AY61" s="1165"/>
      <c r="AZ61" s="1165"/>
      <c r="BA61" s="1165"/>
      <c r="BB61" s="1165"/>
      <c r="BC61" s="1165"/>
      <c r="BD61" s="1165"/>
      <c r="BE61" s="1165"/>
      <c r="BF61" s="1165"/>
      <c r="BG61" s="1165"/>
      <c r="BH61" s="1165"/>
      <c r="BI61" s="1165"/>
      <c r="BJ61" s="1165"/>
      <c r="BK61" s="1165"/>
      <c r="BL61" s="1165"/>
      <c r="BM61" s="1165"/>
      <c r="BN61" s="1165"/>
      <c r="BO61" s="1165"/>
      <c r="BP61" s="1165"/>
      <c r="BQ61" s="1165"/>
      <c r="BR61" s="1165"/>
      <c r="BS61" s="1165"/>
      <c r="BT61" s="1165"/>
      <c r="BU61" s="1165"/>
      <c r="BV61" s="1165"/>
      <c r="BW61" s="1165"/>
      <c r="BX61" s="1165"/>
      <c r="BY61" s="1165"/>
      <c r="BZ61" s="1165"/>
      <c r="CA61" s="1165"/>
      <c r="CB61" s="1165"/>
      <c r="CC61" s="1165"/>
      <c r="CD61" s="1165"/>
      <c r="CE61" s="1165"/>
      <c r="CF61" s="1165"/>
      <c r="CG61" s="1165"/>
      <c r="CH61" s="1165"/>
      <c r="CI61" s="1165"/>
      <c r="CJ61" s="1165"/>
      <c r="CK61" s="1165"/>
      <c r="CL61" s="1165"/>
      <c r="CM61" s="1165"/>
      <c r="CN61" s="1165"/>
      <c r="CO61" s="1165"/>
      <c r="CP61" s="1165"/>
      <c r="CQ61" s="1165"/>
      <c r="CR61" s="1165"/>
      <c r="CS61" s="1165"/>
      <c r="CT61" s="1165"/>
      <c r="CU61" s="1165"/>
      <c r="CV61" s="1165"/>
      <c r="CW61" s="1165"/>
      <c r="CX61" s="1106"/>
      <c r="CY61" s="1106"/>
      <c r="CZ61" s="1106"/>
      <c r="DA61" s="1107"/>
      <c r="DB61" s="1104"/>
    </row>
    <row r="62" spans="2:106" ht="11.25" customHeight="1">
      <c r="B62" s="1105"/>
      <c r="C62" s="1165"/>
      <c r="D62" s="1165"/>
      <c r="E62" s="1165"/>
      <c r="F62" s="1165"/>
      <c r="G62" s="1165"/>
      <c r="H62" s="1165"/>
      <c r="I62" s="1165"/>
      <c r="J62" s="1165" t="s">
        <v>179</v>
      </c>
      <c r="K62" s="1165"/>
      <c r="L62" s="1165"/>
      <c r="M62" s="1165"/>
      <c r="N62" s="1165"/>
      <c r="O62" s="1165" t="s">
        <v>217</v>
      </c>
      <c r="P62" s="1165"/>
      <c r="Q62" s="1165"/>
      <c r="R62" s="1165" t="e">
        <f>TEXT(AL59+Q60+Q61,"#,##0")</f>
        <v>#REF!</v>
      </c>
      <c r="S62" s="1165"/>
      <c r="T62" s="1165"/>
      <c r="U62" s="1165"/>
      <c r="V62" s="1165"/>
      <c r="W62" s="1165"/>
      <c r="X62" s="1165"/>
      <c r="Y62" s="1165"/>
      <c r="Z62" s="1165"/>
      <c r="AA62" s="1165"/>
      <c r="AB62" s="1165"/>
      <c r="AC62" s="1165"/>
      <c r="AD62" s="1165"/>
      <c r="AE62" s="1165"/>
      <c r="AF62" s="1165"/>
      <c r="AG62" s="1165"/>
      <c r="AH62" s="1165"/>
      <c r="AI62" s="1165"/>
      <c r="AJ62" s="1165"/>
      <c r="AK62" s="1165"/>
      <c r="AL62" s="1165"/>
      <c r="AM62" s="1165"/>
      <c r="AN62" s="1165"/>
      <c r="AO62" s="1165"/>
      <c r="AP62" s="1165"/>
      <c r="AQ62" s="1165"/>
      <c r="AR62" s="1165"/>
      <c r="AS62" s="1165"/>
      <c r="AT62" s="1165"/>
      <c r="AU62" s="1165"/>
      <c r="AV62" s="1165"/>
      <c r="AW62" s="1165"/>
      <c r="AX62" s="1165"/>
      <c r="AY62" s="1165"/>
      <c r="AZ62" s="1165"/>
      <c r="BA62" s="1165"/>
      <c r="BB62" s="1165"/>
      <c r="BC62" s="1165"/>
      <c r="BD62" s="1165"/>
      <c r="BE62" s="1165"/>
      <c r="BF62" s="1165"/>
      <c r="BG62" s="1165"/>
      <c r="BH62" s="1165"/>
      <c r="BI62" s="1165"/>
      <c r="BJ62" s="1165"/>
      <c r="BK62" s="1165"/>
      <c r="BL62" s="1165"/>
      <c r="BM62" s="1165"/>
      <c r="BN62" s="1165"/>
      <c r="BO62" s="1165"/>
      <c r="BP62" s="1165"/>
      <c r="BQ62" s="1165"/>
      <c r="BR62" s="1165"/>
      <c r="BS62" s="1165"/>
      <c r="BT62" s="1165"/>
      <c r="BU62" s="1165"/>
      <c r="BV62" s="1165"/>
      <c r="BW62" s="1165"/>
      <c r="BX62" s="1165"/>
      <c r="BY62" s="1165"/>
      <c r="BZ62" s="1165"/>
      <c r="CA62" s="1165"/>
      <c r="CB62" s="1165"/>
      <c r="CC62" s="1165"/>
      <c r="CD62" s="1165"/>
      <c r="CE62" s="1165"/>
      <c r="CF62" s="1165"/>
      <c r="CG62" s="1165"/>
      <c r="CH62" s="1165"/>
      <c r="CI62" s="1165"/>
      <c r="CJ62" s="1165"/>
      <c r="CK62" s="1165"/>
      <c r="CL62" s="1165"/>
      <c r="CM62" s="1165"/>
      <c r="CN62" s="1165"/>
      <c r="CO62" s="1165"/>
      <c r="CP62" s="1165"/>
      <c r="CQ62" s="1165"/>
      <c r="CR62" s="1165"/>
      <c r="CS62" s="1165"/>
      <c r="CT62" s="1165"/>
      <c r="CU62" s="1165"/>
      <c r="CV62" s="1165"/>
      <c r="CW62" s="1165"/>
      <c r="CX62" s="1108" t="e">
        <f>CY62+CZ62+DA62</f>
        <v>#REF!</v>
      </c>
      <c r="CY62" s="1106" t="str">
        <f>TEXT(AL59,"#,##0")</f>
        <v>3,910</v>
      </c>
      <c r="CZ62" s="1106" t="e">
        <f>TEXT(Q60,"#,##0")</f>
        <v>#REF!</v>
      </c>
      <c r="DA62" s="1107" t="str">
        <f>TEXT(Q61,"#,##0")</f>
        <v>513</v>
      </c>
      <c r="DB62" s="1104"/>
    </row>
    <row r="63" spans="2:106" ht="11.25" customHeight="1">
      <c r="B63" s="1105"/>
      <c r="C63" s="1165"/>
      <c r="D63" s="1165"/>
      <c r="E63" s="1165"/>
      <c r="F63" s="1165"/>
      <c r="G63" s="1165"/>
      <c r="H63" s="1165"/>
      <c r="I63" s="1165"/>
      <c r="J63" s="1165"/>
      <c r="K63" s="1165"/>
      <c r="L63" s="1165"/>
      <c r="M63" s="1165"/>
      <c r="N63" s="1165"/>
      <c r="O63" s="1165"/>
      <c r="P63" s="1165"/>
      <c r="Q63" s="1165"/>
      <c r="R63" s="1165"/>
      <c r="S63" s="1165"/>
      <c r="T63" s="1165"/>
      <c r="U63" s="1165"/>
      <c r="V63" s="1165"/>
      <c r="W63" s="1165"/>
      <c r="X63" s="1165"/>
      <c r="Y63" s="1165"/>
      <c r="Z63" s="1165"/>
      <c r="AA63" s="1165"/>
      <c r="AB63" s="1165"/>
      <c r="AC63" s="1165"/>
      <c r="AD63" s="1165"/>
      <c r="AE63" s="1165"/>
      <c r="AF63" s="1165"/>
      <c r="AG63" s="1165"/>
      <c r="AH63" s="1165"/>
      <c r="AI63" s="1165"/>
      <c r="AJ63" s="1165"/>
      <c r="AK63" s="1165"/>
      <c r="AL63" s="1165"/>
      <c r="AM63" s="1165"/>
      <c r="AN63" s="1165"/>
      <c r="AO63" s="1165"/>
      <c r="AP63" s="1165"/>
      <c r="AQ63" s="1165"/>
      <c r="AR63" s="1165"/>
      <c r="AS63" s="1165"/>
      <c r="AT63" s="1165"/>
      <c r="AU63" s="1165"/>
      <c r="AV63" s="1165"/>
      <c r="AW63" s="1165"/>
      <c r="AX63" s="1165"/>
      <c r="AY63" s="1165"/>
      <c r="AZ63" s="1165"/>
      <c r="BA63" s="1165"/>
      <c r="BB63" s="1165"/>
      <c r="BC63" s="1165"/>
      <c r="BD63" s="1165"/>
      <c r="BE63" s="1165"/>
      <c r="BF63" s="1165"/>
      <c r="BG63" s="1165"/>
      <c r="BH63" s="1165"/>
      <c r="BI63" s="1165"/>
      <c r="BJ63" s="1165"/>
      <c r="BK63" s="1165"/>
      <c r="BL63" s="1165"/>
      <c r="BM63" s="1165"/>
      <c r="BN63" s="1165"/>
      <c r="BO63" s="1165"/>
      <c r="BP63" s="1165"/>
      <c r="BQ63" s="1165"/>
      <c r="BR63" s="1165"/>
      <c r="BS63" s="1165"/>
      <c r="BT63" s="1165"/>
      <c r="BU63" s="1165"/>
      <c r="BV63" s="1165"/>
      <c r="BW63" s="1165"/>
      <c r="BX63" s="1165"/>
      <c r="BY63" s="1165"/>
      <c r="BZ63" s="1165"/>
      <c r="CA63" s="1165"/>
      <c r="CB63" s="1165"/>
      <c r="CC63" s="1165"/>
      <c r="CD63" s="1165"/>
      <c r="CE63" s="1165"/>
      <c r="CF63" s="1165"/>
      <c r="CG63" s="1165"/>
      <c r="CH63" s="1165"/>
      <c r="CI63" s="1165"/>
      <c r="CJ63" s="1165"/>
      <c r="CK63" s="1165"/>
      <c r="CL63" s="1165"/>
      <c r="CM63" s="1165"/>
      <c r="CN63" s="1165"/>
      <c r="CO63" s="1165"/>
      <c r="CP63" s="1165"/>
      <c r="CQ63" s="1165"/>
      <c r="CR63" s="1165"/>
      <c r="CS63" s="1165"/>
      <c r="CT63" s="1165"/>
      <c r="CU63" s="1165"/>
      <c r="CV63" s="1165"/>
      <c r="CW63" s="1165"/>
      <c r="CX63" s="1106"/>
      <c r="CY63" s="1106"/>
      <c r="CZ63" s="1106"/>
      <c r="DA63" s="1107"/>
      <c r="DB63" s="1104"/>
    </row>
    <row r="64" spans="2:106" ht="11.25" customHeight="1">
      <c r="B64" s="1101" t="s">
        <v>1037</v>
      </c>
      <c r="C64" s="1165"/>
      <c r="D64" s="1165"/>
      <c r="E64" s="1165"/>
      <c r="F64" s="1165"/>
      <c r="G64" s="1165"/>
      <c r="H64" s="1165"/>
      <c r="I64" s="1165"/>
      <c r="J64" s="1165"/>
      <c r="K64" s="1165"/>
      <c r="L64" s="1165"/>
      <c r="M64" s="1165"/>
      <c r="N64" s="1165"/>
      <c r="O64" s="1165"/>
      <c r="P64" s="1165"/>
      <c r="Q64" s="1165"/>
      <c r="R64" s="1165"/>
      <c r="S64" s="1165"/>
      <c r="T64" s="1165"/>
      <c r="U64" s="1165"/>
      <c r="V64" s="1165"/>
      <c r="W64" s="1165"/>
      <c r="X64" s="1165"/>
      <c r="Y64" s="1165"/>
      <c r="Z64" s="1165"/>
      <c r="AA64" s="1165"/>
      <c r="AB64" s="1165"/>
      <c r="AC64" s="1165"/>
      <c r="AD64" s="1165"/>
      <c r="AE64" s="1165"/>
      <c r="AF64" s="1165"/>
      <c r="AG64" s="1165"/>
      <c r="AH64" s="1165"/>
      <c r="AI64" s="1165"/>
      <c r="AJ64" s="1165"/>
      <c r="AK64" s="1165"/>
      <c r="AL64" s="1165"/>
      <c r="AM64" s="1165"/>
      <c r="AN64" s="1165"/>
      <c r="AO64" s="1165"/>
      <c r="AP64" s="1165"/>
      <c r="AQ64" s="1165"/>
      <c r="AR64" s="1165"/>
      <c r="AS64" s="1165"/>
      <c r="AT64" s="1165"/>
      <c r="AU64" s="1165"/>
      <c r="AV64" s="1165"/>
      <c r="AW64" s="1165"/>
      <c r="AX64" s="1165"/>
      <c r="AY64" s="1165"/>
      <c r="AZ64" s="1165"/>
      <c r="BA64" s="1165"/>
      <c r="BB64" s="1165"/>
      <c r="BC64" s="1165"/>
      <c r="BD64" s="1165"/>
      <c r="BE64" s="1165"/>
      <c r="BF64" s="1165"/>
      <c r="BG64" s="1165"/>
      <c r="BH64" s="1165"/>
      <c r="BI64" s="1165"/>
      <c r="BJ64" s="1165"/>
      <c r="BK64" s="1165"/>
      <c r="BL64" s="1165"/>
      <c r="BM64" s="1165"/>
      <c r="BN64" s="1165"/>
      <c r="BO64" s="1165"/>
      <c r="BP64" s="1165"/>
      <c r="BQ64" s="1165"/>
      <c r="BR64" s="1165"/>
      <c r="BS64" s="1165"/>
      <c r="BT64" s="1165"/>
      <c r="BU64" s="1165"/>
      <c r="BV64" s="1165"/>
      <c r="BW64" s="1165"/>
      <c r="BX64" s="1165"/>
      <c r="BY64" s="1165"/>
      <c r="BZ64" s="1165"/>
      <c r="CA64" s="1165"/>
      <c r="CB64" s="1165"/>
      <c r="CC64" s="1165"/>
      <c r="CD64" s="1165"/>
      <c r="CE64" s="1165"/>
      <c r="CF64" s="1165"/>
      <c r="CG64" s="1165"/>
      <c r="CH64" s="1165"/>
      <c r="CI64" s="1165"/>
      <c r="CJ64" s="1165"/>
      <c r="CK64" s="1165"/>
      <c r="CL64" s="1165"/>
      <c r="CM64" s="1165"/>
      <c r="CN64" s="1165"/>
      <c r="CO64" s="1165"/>
      <c r="CP64" s="1165"/>
      <c r="CQ64" s="1165"/>
      <c r="CR64" s="1165"/>
      <c r="CS64" s="1165"/>
      <c r="CT64" s="1165"/>
      <c r="CU64" s="1165"/>
      <c r="CV64" s="1165"/>
      <c r="CW64" s="1165"/>
      <c r="CX64" s="1102" t="e">
        <f>CX90</f>
        <v>#REF!</v>
      </c>
      <c r="CY64" s="1102" t="str">
        <f>CY90</f>
        <v>5,623</v>
      </c>
      <c r="CZ64" s="1102" t="e">
        <f>CZ90</f>
        <v>#REF!</v>
      </c>
      <c r="DA64" s="1103" t="str">
        <f>DA90</f>
        <v>509</v>
      </c>
      <c r="DB64" s="1104"/>
    </row>
    <row r="65" spans="2:106" ht="11.25" customHeight="1">
      <c r="B65" s="1105"/>
      <c r="C65" s="1165"/>
      <c r="D65" s="1165"/>
      <c r="E65" s="1165"/>
      <c r="F65" s="1165"/>
      <c r="G65" s="1165"/>
      <c r="H65" s="1165"/>
      <c r="I65" s="1165"/>
      <c r="J65" s="1165"/>
      <c r="K65" s="1165"/>
      <c r="L65" s="1165"/>
      <c r="M65" s="1165"/>
      <c r="N65" s="1165"/>
      <c r="O65" s="1165"/>
      <c r="P65" s="1165"/>
      <c r="Q65" s="1165"/>
      <c r="R65" s="1165"/>
      <c r="S65" s="1165"/>
      <c r="T65" s="1165"/>
      <c r="U65" s="1165"/>
      <c r="V65" s="1165"/>
      <c r="W65" s="1165"/>
      <c r="X65" s="1165"/>
      <c r="Y65" s="1165"/>
      <c r="Z65" s="1165"/>
      <c r="AA65" s="1165"/>
      <c r="AB65" s="1165"/>
      <c r="AC65" s="1165"/>
      <c r="AD65" s="1165"/>
      <c r="AE65" s="1165"/>
      <c r="AF65" s="1165"/>
      <c r="AG65" s="1165"/>
      <c r="AH65" s="1165"/>
      <c r="AI65" s="1165"/>
      <c r="AJ65" s="1165"/>
      <c r="AK65" s="1165"/>
      <c r="AL65" s="1165"/>
      <c r="AM65" s="1165"/>
      <c r="AN65" s="1165"/>
      <c r="AO65" s="1165"/>
      <c r="AP65" s="1165"/>
      <c r="AQ65" s="1165"/>
      <c r="AR65" s="1165"/>
      <c r="AS65" s="1165"/>
      <c r="AT65" s="1165"/>
      <c r="AU65" s="1165"/>
      <c r="AV65" s="1165"/>
      <c r="AW65" s="1165"/>
      <c r="AX65" s="1165"/>
      <c r="AY65" s="1165"/>
      <c r="AZ65" s="1165"/>
      <c r="BA65" s="1165"/>
      <c r="BB65" s="1165"/>
      <c r="BC65" s="1165"/>
      <c r="BD65" s="1165"/>
      <c r="BE65" s="1165"/>
      <c r="BF65" s="1165"/>
      <c r="BG65" s="1165"/>
      <c r="BH65" s="1165"/>
      <c r="BI65" s="1165"/>
      <c r="BJ65" s="1165"/>
      <c r="BK65" s="1165"/>
      <c r="BL65" s="1165"/>
      <c r="BM65" s="1165"/>
      <c r="BN65" s="1165"/>
      <c r="BO65" s="1165"/>
      <c r="BP65" s="1165"/>
      <c r="BQ65" s="1165"/>
      <c r="BR65" s="1165"/>
      <c r="BS65" s="1165"/>
      <c r="BT65" s="1165"/>
      <c r="BU65" s="1165"/>
      <c r="BV65" s="1165"/>
      <c r="BW65" s="1165"/>
      <c r="BX65" s="1165"/>
      <c r="BY65" s="1165"/>
      <c r="BZ65" s="1165"/>
      <c r="CA65" s="1165"/>
      <c r="CB65" s="1165"/>
      <c r="CC65" s="1165"/>
      <c r="CD65" s="1165"/>
      <c r="CE65" s="1165"/>
      <c r="CF65" s="1165"/>
      <c r="CG65" s="1165"/>
      <c r="CH65" s="1165"/>
      <c r="CI65" s="1165"/>
      <c r="CJ65" s="1165"/>
      <c r="CK65" s="1165"/>
      <c r="CL65" s="1165"/>
      <c r="CM65" s="1165"/>
      <c r="CN65" s="1165"/>
      <c r="CO65" s="1165"/>
      <c r="CP65" s="1165"/>
      <c r="CQ65" s="1165"/>
      <c r="CR65" s="1165"/>
      <c r="CS65" s="1165"/>
      <c r="CT65" s="1165"/>
      <c r="CU65" s="1165"/>
      <c r="CV65" s="1165"/>
      <c r="CW65" s="1165"/>
      <c r="CX65" s="1106"/>
      <c r="CY65" s="1106"/>
      <c r="CZ65" s="1106"/>
      <c r="DA65" s="1107"/>
      <c r="DB65" s="1104"/>
    </row>
    <row r="66" spans="2:106" ht="11.25" customHeight="1">
      <c r="B66" s="1105"/>
      <c r="C66" s="1165"/>
      <c r="D66" s="1165" t="s">
        <v>1006</v>
      </c>
      <c r="E66" s="1165"/>
      <c r="F66" s="1165"/>
      <c r="G66" s="1165" t="s">
        <v>181</v>
      </c>
      <c r="H66" s="1165"/>
      <c r="I66" s="1165"/>
      <c r="J66" s="1165" t="s">
        <v>1026</v>
      </c>
      <c r="K66" s="1165"/>
      <c r="L66" s="1165" t="s">
        <v>263</v>
      </c>
      <c r="M66" s="1165" t="s">
        <v>1027</v>
      </c>
      <c r="N66" s="1165"/>
      <c r="O66" s="1165" t="s">
        <v>954</v>
      </c>
      <c r="P66" s="1165" t="s">
        <v>264</v>
      </c>
      <c r="Q66" s="1165"/>
      <c r="R66" s="1165" t="s">
        <v>1038</v>
      </c>
      <c r="S66" s="1165"/>
      <c r="T66" s="1165"/>
      <c r="U66" s="1165"/>
      <c r="V66" s="1165"/>
      <c r="W66" s="1165"/>
      <c r="X66" s="1165"/>
      <c r="Y66" s="1165"/>
      <c r="Z66" s="1165"/>
      <c r="AA66" s="1165"/>
      <c r="AB66" s="1165"/>
      <c r="AC66" s="1165"/>
      <c r="AD66" s="1165"/>
      <c r="AE66" s="1165"/>
      <c r="AF66" s="1165"/>
      <c r="AG66" s="1165"/>
      <c r="AH66" s="1165"/>
      <c r="AI66" s="1165"/>
      <c r="AJ66" s="1165"/>
      <c r="AK66" s="1165"/>
      <c r="AL66" s="1165"/>
      <c r="AM66" s="1165"/>
      <c r="AN66" s="1165"/>
      <c r="AO66" s="1165"/>
      <c r="AP66" s="1165"/>
      <c r="AQ66" s="1165"/>
      <c r="AR66" s="1165"/>
      <c r="AS66" s="1165"/>
      <c r="AT66" s="1165"/>
      <c r="AU66" s="1165"/>
      <c r="AV66" s="1165"/>
      <c r="AW66" s="1165"/>
      <c r="AX66" s="1165"/>
      <c r="AY66" s="1165"/>
      <c r="AZ66" s="1165"/>
      <c r="BA66" s="1165"/>
      <c r="BB66" s="1165"/>
      <c r="BC66" s="1165"/>
      <c r="BD66" s="1165"/>
      <c r="BE66" s="1165"/>
      <c r="BF66" s="1165"/>
      <c r="BG66" s="1165"/>
      <c r="BH66" s="1165"/>
      <c r="BI66" s="1165"/>
      <c r="BJ66" s="1165"/>
      <c r="BK66" s="1165"/>
      <c r="BL66" s="1165"/>
      <c r="BM66" s="1165"/>
      <c r="BN66" s="1165"/>
      <c r="BO66" s="1165"/>
      <c r="BP66" s="1165"/>
      <c r="BQ66" s="1165"/>
      <c r="BR66" s="1165"/>
      <c r="BS66" s="1165"/>
      <c r="BT66" s="1165"/>
      <c r="BU66" s="1165"/>
      <c r="BV66" s="1165"/>
      <c r="BW66" s="1165"/>
      <c r="BX66" s="1165"/>
      <c r="BY66" s="1165"/>
      <c r="BZ66" s="1165"/>
      <c r="CA66" s="1165"/>
      <c r="CB66" s="1165"/>
      <c r="CC66" s="1165"/>
      <c r="CD66" s="1165"/>
      <c r="CE66" s="1165"/>
      <c r="CF66" s="1165"/>
      <c r="CG66" s="1165"/>
      <c r="CH66" s="1165"/>
      <c r="CI66" s="1165"/>
      <c r="CJ66" s="1165"/>
      <c r="CK66" s="1165"/>
      <c r="CL66" s="1165"/>
      <c r="CM66" s="1165"/>
      <c r="CN66" s="1165"/>
      <c r="CO66" s="1165"/>
      <c r="CP66" s="1165"/>
      <c r="CQ66" s="1165"/>
      <c r="CR66" s="1165"/>
      <c r="CS66" s="1165"/>
      <c r="CT66" s="1165"/>
      <c r="CU66" s="1165"/>
      <c r="CV66" s="1165"/>
      <c r="CW66" s="1165"/>
      <c r="CX66" s="1106"/>
      <c r="CY66" s="1106"/>
      <c r="CZ66" s="1106"/>
      <c r="DA66" s="1107"/>
      <c r="DB66" s="1104"/>
    </row>
    <row r="67" spans="2:106" ht="11.25" customHeight="1">
      <c r="B67" s="1105"/>
      <c r="C67" s="1165"/>
      <c r="D67" s="1165"/>
      <c r="E67" s="1165"/>
      <c r="F67" s="1165"/>
      <c r="G67" s="1165"/>
      <c r="H67" s="1165"/>
      <c r="I67" s="1165"/>
      <c r="J67" s="1165"/>
      <c r="K67" s="1165"/>
      <c r="L67" s="1165"/>
      <c r="M67" s="1165"/>
      <c r="N67" s="1165"/>
      <c r="O67" s="1165"/>
      <c r="P67" s="1165"/>
      <c r="Q67" s="1165"/>
      <c r="R67" s="1165"/>
      <c r="S67" s="1165"/>
      <c r="T67" s="1165"/>
      <c r="U67" s="1165"/>
      <c r="V67" s="1165"/>
      <c r="W67" s="1165"/>
      <c r="X67" s="1165"/>
      <c r="Y67" s="1165"/>
      <c r="Z67" s="1165"/>
      <c r="AA67" s="1165"/>
      <c r="AB67" s="1165"/>
      <c r="AC67" s="1165"/>
      <c r="AD67" s="1165"/>
      <c r="AE67" s="1165"/>
      <c r="AF67" s="1165"/>
      <c r="AG67" s="1165"/>
      <c r="AH67" s="1165"/>
      <c r="AI67" s="1165"/>
      <c r="AJ67" s="1165"/>
      <c r="AK67" s="1165"/>
      <c r="AL67" s="1165"/>
      <c r="AM67" s="1165"/>
      <c r="AN67" s="1165"/>
      <c r="AO67" s="1165"/>
      <c r="AP67" s="1165"/>
      <c r="AQ67" s="1165"/>
      <c r="AR67" s="1165"/>
      <c r="AS67" s="1165"/>
      <c r="AT67" s="1165"/>
      <c r="AU67" s="1165"/>
      <c r="AV67" s="1165"/>
      <c r="AW67" s="1165"/>
      <c r="AX67" s="1165"/>
      <c r="AY67" s="1165"/>
      <c r="AZ67" s="1165"/>
      <c r="BA67" s="1165"/>
      <c r="BB67" s="1165"/>
      <c r="BC67" s="1165"/>
      <c r="BD67" s="1165"/>
      <c r="BE67" s="1165"/>
      <c r="BF67" s="1165"/>
      <c r="BG67" s="1165"/>
      <c r="BH67" s="1165"/>
      <c r="BI67" s="1165"/>
      <c r="BJ67" s="1165"/>
      <c r="BK67" s="1165"/>
      <c r="BL67" s="1165"/>
      <c r="BM67" s="1165"/>
      <c r="BN67" s="1165"/>
      <c r="BO67" s="1165"/>
      <c r="BP67" s="1165"/>
      <c r="BQ67" s="1165"/>
      <c r="BR67" s="1165"/>
      <c r="BS67" s="1165"/>
      <c r="BT67" s="1165"/>
      <c r="BU67" s="1165"/>
      <c r="BV67" s="1165"/>
      <c r="BW67" s="1165"/>
      <c r="BX67" s="1165"/>
      <c r="BY67" s="1165"/>
      <c r="BZ67" s="1165"/>
      <c r="CA67" s="1165"/>
      <c r="CB67" s="1165"/>
      <c r="CC67" s="1165"/>
      <c r="CD67" s="1165"/>
      <c r="CE67" s="1165"/>
      <c r="CF67" s="1165"/>
      <c r="CG67" s="1165"/>
      <c r="CH67" s="1165"/>
      <c r="CI67" s="1165"/>
      <c r="CJ67" s="1165"/>
      <c r="CK67" s="1165"/>
      <c r="CL67" s="1165"/>
      <c r="CM67" s="1165"/>
      <c r="CN67" s="1165"/>
      <c r="CO67" s="1165"/>
      <c r="CP67" s="1165"/>
      <c r="CQ67" s="1165"/>
      <c r="CR67" s="1165"/>
      <c r="CS67" s="1165"/>
      <c r="CT67" s="1165"/>
      <c r="CU67" s="1165"/>
      <c r="CV67" s="1165"/>
      <c r="CW67" s="1165"/>
      <c r="CX67" s="1106"/>
      <c r="CY67" s="1106"/>
      <c r="CZ67" s="1106"/>
      <c r="DA67" s="1107"/>
      <c r="DB67" s="1104"/>
    </row>
    <row r="68" spans="2:106" ht="11.25" customHeight="1">
      <c r="B68" s="1105"/>
      <c r="C68" s="1165"/>
      <c r="D68" s="1165"/>
      <c r="E68" s="1165"/>
      <c r="F68" s="1165"/>
      <c r="G68" s="1165" t="s">
        <v>182</v>
      </c>
      <c r="H68" s="1165"/>
      <c r="I68" s="1165"/>
      <c r="J68" s="1165"/>
      <c r="K68" s="1165"/>
      <c r="L68" s="1165"/>
      <c r="M68" s="1165"/>
      <c r="N68" s="1165"/>
      <c r="O68" s="1165"/>
      <c r="P68" s="1165"/>
      <c r="Q68" s="1165"/>
      <c r="R68" s="1165" t="s">
        <v>217</v>
      </c>
      <c r="S68" s="1165"/>
      <c r="T68" s="1536">
        <f>VLOOKUP($G68,인건비!A:B,2,FALSE)</f>
        <v>172698</v>
      </c>
      <c r="U68" s="1536"/>
      <c r="V68" s="1536"/>
      <c r="W68" s="1536"/>
      <c r="X68" s="1536"/>
      <c r="Y68" s="1536"/>
      <c r="Z68" s="1536"/>
      <c r="AA68" s="1536"/>
      <c r="AB68" s="1165"/>
      <c r="AC68" s="1165"/>
      <c r="AD68" s="1165" t="s">
        <v>975</v>
      </c>
      <c r="AE68" s="1165"/>
      <c r="AF68" s="1165"/>
      <c r="AG68" s="1165" t="str">
        <f>TEXT(0.2,"#,##0.#######")</f>
        <v>0.2</v>
      </c>
      <c r="AH68" s="1165"/>
      <c r="AI68" s="1165"/>
      <c r="AJ68" s="1165" t="s">
        <v>181</v>
      </c>
      <c r="AK68" s="1165"/>
      <c r="AL68" s="1165"/>
      <c r="AM68" s="1165" t="s">
        <v>975</v>
      </c>
      <c r="AN68" s="1165"/>
      <c r="AO68" s="1165" t="str">
        <f>TEXT(0.1,"#,##0.#######")</f>
        <v>0.1</v>
      </c>
      <c r="AP68" s="1165"/>
      <c r="AQ68" s="1165"/>
      <c r="AR68" s="1165"/>
      <c r="AS68" s="1165" t="s">
        <v>227</v>
      </c>
      <c r="AT68" s="1165"/>
      <c r="AU68" s="1165" t="str">
        <f>TEXT(TRUNC(T68*AG68*AO68,1),"#,##0.#")</f>
        <v>3,453.9</v>
      </c>
      <c r="AV68" s="1165"/>
      <c r="AW68" s="1165"/>
      <c r="AX68" s="1165"/>
      <c r="AY68" s="1165"/>
      <c r="AZ68" s="1165"/>
      <c r="BA68" s="1165"/>
      <c r="BB68" s="1165"/>
      <c r="BC68" s="1165"/>
      <c r="BD68" s="1165"/>
      <c r="BE68" s="1165"/>
      <c r="BF68" s="1165"/>
      <c r="BG68" s="1165"/>
      <c r="BH68" s="1165"/>
      <c r="BI68" s="1165"/>
      <c r="BJ68" s="1165"/>
      <c r="BK68" s="1165"/>
      <c r="BL68" s="1165"/>
      <c r="BM68" s="1165"/>
      <c r="BN68" s="1165"/>
      <c r="BO68" s="1165"/>
      <c r="BP68" s="1165"/>
      <c r="BQ68" s="1165"/>
      <c r="BR68" s="1165"/>
      <c r="BS68" s="1165"/>
      <c r="BT68" s="1165"/>
      <c r="BU68" s="1165"/>
      <c r="BV68" s="1165"/>
      <c r="BW68" s="1165"/>
      <c r="BX68" s="1165"/>
      <c r="BY68" s="1165"/>
      <c r="BZ68" s="1165"/>
      <c r="CA68" s="1165"/>
      <c r="CB68" s="1165"/>
      <c r="CC68" s="1165"/>
      <c r="CD68" s="1165"/>
      <c r="CE68" s="1165"/>
      <c r="CF68" s="1165"/>
      <c r="CG68" s="1165"/>
      <c r="CH68" s="1165"/>
      <c r="CI68" s="1165"/>
      <c r="CJ68" s="1165"/>
      <c r="CK68" s="1165"/>
      <c r="CL68" s="1165"/>
      <c r="CM68" s="1165"/>
      <c r="CN68" s="1165"/>
      <c r="CO68" s="1165"/>
      <c r="CP68" s="1165"/>
      <c r="CQ68" s="1165"/>
      <c r="CR68" s="1165"/>
      <c r="CS68" s="1165"/>
      <c r="CT68" s="1165"/>
      <c r="CU68" s="1165"/>
      <c r="CV68" s="1165"/>
      <c r="CW68" s="1165"/>
      <c r="CX68" s="1106">
        <f>CY68+CZ68+DA68</f>
        <v>3453.9</v>
      </c>
      <c r="CY68" s="1106" t="str">
        <f>AU68</f>
        <v>3,453.9</v>
      </c>
      <c r="CZ68" s="1106"/>
      <c r="DA68" s="1107"/>
      <c r="DB68" s="1104"/>
    </row>
    <row r="69" spans="2:106" ht="11.25" customHeight="1">
      <c r="B69" s="1105"/>
      <c r="C69" s="1165"/>
      <c r="D69" s="1165"/>
      <c r="E69" s="1165"/>
      <c r="F69" s="1165"/>
      <c r="G69" s="1165"/>
      <c r="H69" s="1165"/>
      <c r="I69" s="1165"/>
      <c r="J69" s="1165"/>
      <c r="K69" s="1165"/>
      <c r="L69" s="1165"/>
      <c r="M69" s="1165"/>
      <c r="N69" s="1165"/>
      <c r="O69" s="1165"/>
      <c r="P69" s="1165"/>
      <c r="Q69" s="1165"/>
      <c r="R69" s="1165"/>
      <c r="S69" s="1165"/>
      <c r="T69" s="1165"/>
      <c r="U69" s="1165"/>
      <c r="V69" s="1165"/>
      <c r="W69" s="1165"/>
      <c r="X69" s="1165"/>
      <c r="Y69" s="1165"/>
      <c r="Z69" s="1165"/>
      <c r="AA69" s="1165"/>
      <c r="AB69" s="1165"/>
      <c r="AC69" s="1165"/>
      <c r="AD69" s="1165"/>
      <c r="AE69" s="1165"/>
      <c r="AF69" s="1165"/>
      <c r="AG69" s="1165"/>
      <c r="AH69" s="1165"/>
      <c r="AI69" s="1165"/>
      <c r="AJ69" s="1165"/>
      <c r="AK69" s="1165"/>
      <c r="AL69" s="1165"/>
      <c r="AM69" s="1165"/>
      <c r="AN69" s="1165"/>
      <c r="AO69" s="1165"/>
      <c r="AP69" s="1165"/>
      <c r="AQ69" s="1165"/>
      <c r="AR69" s="1165"/>
      <c r="AS69" s="1165"/>
      <c r="AT69" s="1165"/>
      <c r="AU69" s="1165"/>
      <c r="AV69" s="1165"/>
      <c r="AW69" s="1165"/>
      <c r="AX69" s="1165"/>
      <c r="AY69" s="1165"/>
      <c r="AZ69" s="1165"/>
      <c r="BA69" s="1165"/>
      <c r="BB69" s="1165"/>
      <c r="BC69" s="1165"/>
      <c r="BD69" s="1165"/>
      <c r="BE69" s="1165"/>
      <c r="BF69" s="1165"/>
      <c r="BG69" s="1165"/>
      <c r="BH69" s="1165"/>
      <c r="BI69" s="1165"/>
      <c r="BJ69" s="1165"/>
      <c r="BK69" s="1165"/>
      <c r="BL69" s="1165"/>
      <c r="BM69" s="1165"/>
      <c r="BN69" s="1165"/>
      <c r="BO69" s="1165"/>
      <c r="BP69" s="1165"/>
      <c r="BQ69" s="1165"/>
      <c r="BR69" s="1165"/>
      <c r="BS69" s="1165"/>
      <c r="BT69" s="1165"/>
      <c r="BU69" s="1165"/>
      <c r="BV69" s="1165"/>
      <c r="BW69" s="1165"/>
      <c r="BX69" s="1165"/>
      <c r="BY69" s="1165"/>
      <c r="BZ69" s="1165"/>
      <c r="CA69" s="1165"/>
      <c r="CB69" s="1165"/>
      <c r="CC69" s="1165"/>
      <c r="CD69" s="1165"/>
      <c r="CE69" s="1165"/>
      <c r="CF69" s="1165"/>
      <c r="CG69" s="1165"/>
      <c r="CH69" s="1165"/>
      <c r="CI69" s="1165"/>
      <c r="CJ69" s="1165"/>
      <c r="CK69" s="1165"/>
      <c r="CL69" s="1165"/>
      <c r="CM69" s="1165"/>
      <c r="CN69" s="1165"/>
      <c r="CO69" s="1165"/>
      <c r="CP69" s="1165"/>
      <c r="CQ69" s="1165"/>
      <c r="CR69" s="1165"/>
      <c r="CS69" s="1165"/>
      <c r="CT69" s="1165"/>
      <c r="CU69" s="1165"/>
      <c r="CV69" s="1165"/>
      <c r="CW69" s="1165"/>
      <c r="CX69" s="1106"/>
      <c r="CY69" s="1106"/>
      <c r="CZ69" s="1106"/>
      <c r="DA69" s="1107"/>
      <c r="DB69" s="1104"/>
    </row>
    <row r="70" spans="2:106" ht="11.25" customHeight="1">
      <c r="B70" s="1105"/>
      <c r="C70" s="1165"/>
      <c r="D70" s="1165" t="s">
        <v>1025</v>
      </c>
      <c r="E70" s="1165"/>
      <c r="F70" s="1165"/>
      <c r="G70" s="1165" t="s">
        <v>1007</v>
      </c>
      <c r="H70" s="1165"/>
      <c r="I70" s="1165"/>
      <c r="J70" s="1165" t="s">
        <v>179</v>
      </c>
      <c r="K70" s="1165"/>
      <c r="L70" s="1165" t="s">
        <v>263</v>
      </c>
      <c r="M70" s="1165" t="s">
        <v>1008</v>
      </c>
      <c r="N70" s="1165"/>
      <c r="O70" s="1165" t="s">
        <v>954</v>
      </c>
      <c r="P70" s="1165" t="s">
        <v>264</v>
      </c>
      <c r="Q70" s="1165"/>
      <c r="R70" s="1165" t="s">
        <v>217</v>
      </c>
      <c r="S70" s="1165"/>
      <c r="T70" s="1165" t="s">
        <v>1009</v>
      </c>
      <c r="U70" s="1165"/>
      <c r="V70" s="1165"/>
      <c r="W70" s="1165"/>
      <c r="X70" s="1165"/>
      <c r="Y70" s="1165"/>
      <c r="Z70" s="1165"/>
      <c r="AA70" s="1165"/>
      <c r="AB70" s="1165"/>
      <c r="AC70" s="1165"/>
      <c r="AD70" s="1165"/>
      <c r="AE70" s="1165"/>
      <c r="AF70" s="1165"/>
      <c r="AG70" s="1165"/>
      <c r="AH70" s="1165"/>
      <c r="AI70" s="1165"/>
      <c r="AJ70" s="1165"/>
      <c r="AK70" s="1165"/>
      <c r="AL70" s="1165"/>
      <c r="AM70" s="1165" t="s">
        <v>1010</v>
      </c>
      <c r="AN70" s="1165"/>
      <c r="AO70" s="1165"/>
      <c r="AP70" s="1165"/>
      <c r="AQ70" s="1165"/>
      <c r="AR70" s="1165"/>
      <c r="AS70" s="1165"/>
      <c r="AT70" s="1165"/>
      <c r="AU70" s="1165"/>
      <c r="AV70" s="1165"/>
      <c r="AW70" s="1165"/>
      <c r="AX70" s="1165"/>
      <c r="AY70" s="1165"/>
      <c r="AZ70" s="1165"/>
      <c r="BA70" s="1165"/>
      <c r="BB70" s="1165"/>
      <c r="BC70" s="1165"/>
      <c r="BD70" s="1165"/>
      <c r="BE70" s="1165"/>
      <c r="BF70" s="1165"/>
      <c r="BG70" s="1165"/>
      <c r="BH70" s="1165"/>
      <c r="BI70" s="1165"/>
      <c r="BJ70" s="1165"/>
      <c r="BK70" s="1165"/>
      <c r="BL70" s="1165"/>
      <c r="BM70" s="1165"/>
      <c r="BN70" s="1165"/>
      <c r="BO70" s="1165"/>
      <c r="BP70" s="1165"/>
      <c r="BQ70" s="1165"/>
      <c r="BR70" s="1165"/>
      <c r="BS70" s="1165"/>
      <c r="BT70" s="1165"/>
      <c r="BU70" s="1165"/>
      <c r="BV70" s="1165"/>
      <c r="BW70" s="1165"/>
      <c r="BX70" s="1165"/>
      <c r="BY70" s="1165"/>
      <c r="BZ70" s="1165"/>
      <c r="CA70" s="1165"/>
      <c r="CB70" s="1165"/>
      <c r="CC70" s="1165"/>
      <c r="CD70" s="1165"/>
      <c r="CE70" s="1165"/>
      <c r="CF70" s="1165"/>
      <c r="CG70" s="1165"/>
      <c r="CH70" s="1165"/>
      <c r="CI70" s="1165"/>
      <c r="CJ70" s="1165"/>
      <c r="CK70" s="1165"/>
      <c r="CL70" s="1165"/>
      <c r="CM70" s="1165"/>
      <c r="CN70" s="1165"/>
      <c r="CO70" s="1165"/>
      <c r="CP70" s="1165"/>
      <c r="CQ70" s="1165"/>
      <c r="CR70" s="1165"/>
      <c r="CS70" s="1165"/>
      <c r="CT70" s="1165"/>
      <c r="CU70" s="1165"/>
      <c r="CV70" s="1165"/>
      <c r="CW70" s="1165"/>
      <c r="CX70" s="1106"/>
      <c r="CY70" s="1106"/>
      <c r="CZ70" s="1106"/>
      <c r="DA70" s="1107"/>
      <c r="DB70" s="1104"/>
    </row>
    <row r="71" spans="2:106" ht="11.25" customHeight="1">
      <c r="B71" s="1105"/>
      <c r="C71" s="1165"/>
      <c r="D71" s="1165"/>
      <c r="E71" s="1165"/>
      <c r="F71" s="1165"/>
      <c r="G71" s="1165"/>
      <c r="H71" s="1165"/>
      <c r="I71" s="1165"/>
      <c r="J71" s="1165"/>
      <c r="K71" s="1165"/>
      <c r="L71" s="1165"/>
      <c r="M71" s="1165"/>
      <c r="N71" s="1165"/>
      <c r="O71" s="1165"/>
      <c r="P71" s="1165"/>
      <c r="Q71" s="1165"/>
      <c r="R71" s="1165"/>
      <c r="S71" s="1165"/>
      <c r="T71" s="1165"/>
      <c r="U71" s="1165"/>
      <c r="V71" s="1165"/>
      <c r="W71" s="1165"/>
      <c r="X71" s="1165"/>
      <c r="Y71" s="1165"/>
      <c r="Z71" s="1165"/>
      <c r="AA71" s="1165"/>
      <c r="AB71" s="1165"/>
      <c r="AC71" s="1165"/>
      <c r="AD71" s="1165"/>
      <c r="AE71" s="1165"/>
      <c r="AF71" s="1165"/>
      <c r="AG71" s="1165"/>
      <c r="AH71" s="1165"/>
      <c r="AI71" s="1165"/>
      <c r="AJ71" s="1165"/>
      <c r="AK71" s="1165"/>
      <c r="AL71" s="1165"/>
      <c r="AM71" s="1165"/>
      <c r="AN71" s="1165"/>
      <c r="AO71" s="1165"/>
      <c r="AP71" s="1165"/>
      <c r="AQ71" s="1165"/>
      <c r="AR71" s="1165"/>
      <c r="AS71" s="1165"/>
      <c r="AT71" s="1165"/>
      <c r="AU71" s="1165"/>
      <c r="AV71" s="1165"/>
      <c r="AW71" s="1165"/>
      <c r="AX71" s="1165"/>
      <c r="AY71" s="1165"/>
      <c r="AZ71" s="1165"/>
      <c r="BA71" s="1165"/>
      <c r="BB71" s="1165"/>
      <c r="BC71" s="1165"/>
      <c r="BD71" s="1165"/>
      <c r="BE71" s="1165"/>
      <c r="BF71" s="1165"/>
      <c r="BG71" s="1165"/>
      <c r="BH71" s="1165"/>
      <c r="BI71" s="1165"/>
      <c r="BJ71" s="1165"/>
      <c r="BK71" s="1165"/>
      <c r="BL71" s="1165"/>
      <c r="BM71" s="1165"/>
      <c r="BN71" s="1165"/>
      <c r="BO71" s="1165"/>
      <c r="BP71" s="1165"/>
      <c r="BQ71" s="1165"/>
      <c r="BR71" s="1165"/>
      <c r="BS71" s="1165"/>
      <c r="BT71" s="1165"/>
      <c r="BU71" s="1165"/>
      <c r="BV71" s="1165"/>
      <c r="BW71" s="1165"/>
      <c r="BX71" s="1165"/>
      <c r="BY71" s="1165"/>
      <c r="BZ71" s="1165"/>
      <c r="CA71" s="1165"/>
      <c r="CB71" s="1165"/>
      <c r="CC71" s="1165"/>
      <c r="CD71" s="1165"/>
      <c r="CE71" s="1165"/>
      <c r="CF71" s="1165"/>
      <c r="CG71" s="1165"/>
      <c r="CH71" s="1165"/>
      <c r="CI71" s="1165"/>
      <c r="CJ71" s="1165"/>
      <c r="CK71" s="1165"/>
      <c r="CL71" s="1165"/>
      <c r="CM71" s="1165"/>
      <c r="CN71" s="1165"/>
      <c r="CO71" s="1165"/>
      <c r="CP71" s="1165"/>
      <c r="CQ71" s="1165"/>
      <c r="CR71" s="1165"/>
      <c r="CS71" s="1165"/>
      <c r="CT71" s="1165"/>
      <c r="CU71" s="1165"/>
      <c r="CV71" s="1165"/>
      <c r="CW71" s="1165"/>
      <c r="CX71" s="1106"/>
      <c r="CY71" s="1106"/>
      <c r="CZ71" s="1106"/>
      <c r="DA71" s="1107"/>
      <c r="DB71" s="1104"/>
    </row>
    <row r="72" spans="2:106" ht="11.25" customHeight="1">
      <c r="B72" s="1105"/>
      <c r="C72" s="1165"/>
      <c r="D72" s="1165"/>
      <c r="E72" s="1165"/>
      <c r="F72" s="1165"/>
      <c r="G72" s="1165" t="s">
        <v>1011</v>
      </c>
      <c r="H72" s="1165"/>
      <c r="I72" s="1165" t="s">
        <v>227</v>
      </c>
      <c r="J72" s="1165"/>
      <c r="K72" s="1165" t="str">
        <f>TEXT(0.2,"#,##0.#######")</f>
        <v>0.2</v>
      </c>
      <c r="L72" s="1165"/>
      <c r="M72" s="1165"/>
      <c r="N72" s="1165" t="s">
        <v>178</v>
      </c>
      <c r="O72" s="1165"/>
      <c r="P72" s="1165"/>
      <c r="Q72" s="1165"/>
      <c r="R72" s="1165"/>
      <c r="S72" s="1165"/>
      <c r="T72" s="1165"/>
      <c r="U72" s="1165"/>
      <c r="V72" s="1165" t="s">
        <v>1012</v>
      </c>
      <c r="W72" s="1165"/>
      <c r="X72" s="1165" t="s">
        <v>227</v>
      </c>
      <c r="Y72" s="1165"/>
      <c r="Z72" s="1165" t="str">
        <f>TEXT(1,"#,##0.#######")</f>
        <v>1.</v>
      </c>
      <c r="AA72" s="1165"/>
      <c r="AB72" s="1165" t="s">
        <v>249</v>
      </c>
      <c r="AC72" s="1165"/>
      <c r="AD72" s="1165" t="str">
        <f>TEXT(1.24,"#,##0.#######")</f>
        <v>1.24</v>
      </c>
      <c r="AE72" s="1165"/>
      <c r="AF72" s="1165"/>
      <c r="AG72" s="1165"/>
      <c r="AH72" s="1165"/>
      <c r="AI72" s="1165" t="s">
        <v>227</v>
      </c>
      <c r="AJ72" s="1165"/>
      <c r="AK72" s="1165" t="str">
        <f>TEXT(ROUND(Z72/AD72,2),"#,##0.#######")</f>
        <v>0.81</v>
      </c>
      <c r="AL72" s="1165"/>
      <c r="AM72" s="1165"/>
      <c r="AN72" s="1165"/>
      <c r="AO72" s="1165"/>
      <c r="AP72" s="1165"/>
      <c r="AQ72" s="1165"/>
      <c r="AR72" s="1165"/>
      <c r="AS72" s="1165"/>
      <c r="AT72" s="1165"/>
      <c r="AU72" s="1165"/>
      <c r="AV72" s="1165" t="s">
        <v>1013</v>
      </c>
      <c r="AW72" s="1165"/>
      <c r="AX72" s="1165" t="s">
        <v>227</v>
      </c>
      <c r="AY72" s="1165"/>
      <c r="AZ72" s="1165" t="str">
        <f>TEXT(0.9,"#,##0.#######")</f>
        <v>0.9</v>
      </c>
      <c r="BA72" s="1165"/>
      <c r="BB72" s="1165"/>
      <c r="BC72" s="1165"/>
      <c r="BD72" s="1165"/>
      <c r="BE72" s="1165"/>
      <c r="BF72" s="1165"/>
      <c r="BG72" s="1165"/>
      <c r="BH72" s="1165"/>
      <c r="BI72" s="1165"/>
      <c r="BJ72" s="1165"/>
      <c r="BK72" s="1165"/>
      <c r="BL72" s="1165"/>
      <c r="BM72" s="1165"/>
      <c r="BN72" s="1165"/>
      <c r="BO72" s="1165"/>
      <c r="BP72" s="1165"/>
      <c r="BQ72" s="1165"/>
      <c r="BR72" s="1165"/>
      <c r="BS72" s="1165"/>
      <c r="BT72" s="1165"/>
      <c r="BU72" s="1165"/>
      <c r="BV72" s="1165"/>
      <c r="BW72" s="1165"/>
      <c r="BX72" s="1165"/>
      <c r="BY72" s="1165"/>
      <c r="BZ72" s="1165"/>
      <c r="CA72" s="1165"/>
      <c r="CB72" s="1165"/>
      <c r="CC72" s="1165"/>
      <c r="CD72" s="1165"/>
      <c r="CE72" s="1165"/>
      <c r="CF72" s="1165"/>
      <c r="CG72" s="1165"/>
      <c r="CH72" s="1165"/>
      <c r="CI72" s="1165"/>
      <c r="CJ72" s="1165"/>
      <c r="CK72" s="1165"/>
      <c r="CL72" s="1165"/>
      <c r="CM72" s="1165"/>
      <c r="CN72" s="1165"/>
      <c r="CO72" s="1165"/>
      <c r="CP72" s="1165"/>
      <c r="CQ72" s="1165"/>
      <c r="CR72" s="1165"/>
      <c r="CS72" s="1165"/>
      <c r="CT72" s="1165"/>
      <c r="CU72" s="1165"/>
      <c r="CV72" s="1165"/>
      <c r="CW72" s="1165"/>
      <c r="CX72" s="1106"/>
      <c r="CY72" s="1106"/>
      <c r="CZ72" s="1106"/>
      <c r="DA72" s="1107"/>
      <c r="DB72" s="1104"/>
    </row>
    <row r="73" spans="2:106" ht="11.25" customHeight="1">
      <c r="B73" s="1105"/>
      <c r="C73" s="1165"/>
      <c r="D73" s="1165"/>
      <c r="E73" s="1165"/>
      <c r="F73" s="1165"/>
      <c r="G73" s="1165"/>
      <c r="H73" s="1165"/>
      <c r="I73" s="1165"/>
      <c r="J73" s="1165"/>
      <c r="K73" s="1165"/>
      <c r="L73" s="1165"/>
      <c r="M73" s="1165"/>
      <c r="N73" s="1165"/>
      <c r="O73" s="1165"/>
      <c r="P73" s="1165"/>
      <c r="Q73" s="1165"/>
      <c r="R73" s="1165"/>
      <c r="S73" s="1165"/>
      <c r="T73" s="1165"/>
      <c r="U73" s="1165"/>
      <c r="V73" s="1165"/>
      <c r="W73" s="1165"/>
      <c r="X73" s="1165"/>
      <c r="Y73" s="1165"/>
      <c r="Z73" s="1165"/>
      <c r="AA73" s="1165"/>
      <c r="AB73" s="1165"/>
      <c r="AC73" s="1165"/>
      <c r="AD73" s="1165"/>
      <c r="AE73" s="1165"/>
      <c r="AF73" s="1165"/>
      <c r="AG73" s="1165"/>
      <c r="AH73" s="1165"/>
      <c r="AI73" s="1165"/>
      <c r="AJ73" s="1165"/>
      <c r="AK73" s="1165"/>
      <c r="AL73" s="1165"/>
      <c r="AM73" s="1165"/>
      <c r="AN73" s="1165"/>
      <c r="AO73" s="1165"/>
      <c r="AP73" s="1165"/>
      <c r="AQ73" s="1165"/>
      <c r="AR73" s="1165"/>
      <c r="AS73" s="1165"/>
      <c r="AT73" s="1165"/>
      <c r="AU73" s="1165"/>
      <c r="AV73" s="1165"/>
      <c r="AW73" s="1165"/>
      <c r="AX73" s="1165"/>
      <c r="AY73" s="1165"/>
      <c r="AZ73" s="1165"/>
      <c r="BA73" s="1165"/>
      <c r="BB73" s="1165"/>
      <c r="BC73" s="1165"/>
      <c r="BD73" s="1165"/>
      <c r="BE73" s="1165"/>
      <c r="BF73" s="1165"/>
      <c r="BG73" s="1165"/>
      <c r="BH73" s="1165"/>
      <c r="BI73" s="1165"/>
      <c r="BJ73" s="1165"/>
      <c r="BK73" s="1165"/>
      <c r="BL73" s="1165"/>
      <c r="BM73" s="1165"/>
      <c r="BN73" s="1165"/>
      <c r="BO73" s="1165"/>
      <c r="BP73" s="1165"/>
      <c r="BQ73" s="1165"/>
      <c r="BR73" s="1165"/>
      <c r="BS73" s="1165"/>
      <c r="BT73" s="1165"/>
      <c r="BU73" s="1165"/>
      <c r="BV73" s="1165"/>
      <c r="BW73" s="1165"/>
      <c r="BX73" s="1165"/>
      <c r="BY73" s="1165"/>
      <c r="BZ73" s="1165"/>
      <c r="CA73" s="1165"/>
      <c r="CB73" s="1165"/>
      <c r="CC73" s="1165"/>
      <c r="CD73" s="1165"/>
      <c r="CE73" s="1165"/>
      <c r="CF73" s="1165"/>
      <c r="CG73" s="1165"/>
      <c r="CH73" s="1165"/>
      <c r="CI73" s="1165"/>
      <c r="CJ73" s="1165"/>
      <c r="CK73" s="1165"/>
      <c r="CL73" s="1165"/>
      <c r="CM73" s="1165"/>
      <c r="CN73" s="1165"/>
      <c r="CO73" s="1165"/>
      <c r="CP73" s="1165"/>
      <c r="CQ73" s="1165"/>
      <c r="CR73" s="1165"/>
      <c r="CS73" s="1165"/>
      <c r="CT73" s="1165"/>
      <c r="CU73" s="1165"/>
      <c r="CV73" s="1165"/>
      <c r="CW73" s="1165"/>
      <c r="CX73" s="1106"/>
      <c r="CY73" s="1106"/>
      <c r="CZ73" s="1106"/>
      <c r="DA73" s="1107"/>
      <c r="DB73" s="1104"/>
    </row>
    <row r="74" spans="2:106" ht="11.25" customHeight="1">
      <c r="B74" s="1105"/>
      <c r="C74" s="1165"/>
      <c r="D74" s="1165"/>
      <c r="E74" s="1165"/>
      <c r="F74" s="1165"/>
      <c r="G74" s="1165" t="s">
        <v>1014</v>
      </c>
      <c r="H74" s="1165"/>
      <c r="I74" s="1165" t="s">
        <v>227</v>
      </c>
      <c r="J74" s="1165"/>
      <c r="K74" s="1165" t="s">
        <v>263</v>
      </c>
      <c r="L74" s="1165" t="str">
        <f>TEXT(0.75,"#,##0.#######")</f>
        <v>0.75</v>
      </c>
      <c r="M74" s="1165"/>
      <c r="N74" s="1165"/>
      <c r="O74" s="1165"/>
      <c r="P74" s="1165" t="s">
        <v>209</v>
      </c>
      <c r="Q74" s="1165" t="str">
        <f>TEXT(0.65,"#,##0.#######")</f>
        <v>0.65</v>
      </c>
      <c r="R74" s="1165"/>
      <c r="S74" s="1165"/>
      <c r="T74" s="1165"/>
      <c r="U74" s="1165" t="s">
        <v>264</v>
      </c>
      <c r="V74" s="1165" t="s">
        <v>249</v>
      </c>
      <c r="W74" s="1165" t="str">
        <f>TEXT(2,"#,##0.#######")</f>
        <v>2.</v>
      </c>
      <c r="X74" s="1165"/>
      <c r="Y74" s="1165" t="s">
        <v>227</v>
      </c>
      <c r="Z74" s="1165"/>
      <c r="AA74" s="1165" t="str">
        <f>TEXT(ROUND((L74+Q74)/W74,2),"#,##0.#######")</f>
        <v>0.7</v>
      </c>
      <c r="AB74" s="1165"/>
      <c r="AC74" s="1165"/>
      <c r="AD74" s="1165"/>
      <c r="AE74" s="1165"/>
      <c r="AF74" s="1165"/>
      <c r="AG74" s="1165"/>
      <c r="AH74" s="1165"/>
      <c r="AI74" s="1165"/>
      <c r="AJ74" s="1165"/>
      <c r="AK74" s="1165" t="s">
        <v>1015</v>
      </c>
      <c r="AL74" s="1165"/>
      <c r="AM74" s="1165"/>
      <c r="AN74" s="1165" t="s">
        <v>227</v>
      </c>
      <c r="AO74" s="1165"/>
      <c r="AP74" s="1165" t="str">
        <f>TEXT(15,"#,##0.#######")</f>
        <v>15.</v>
      </c>
      <c r="AQ74" s="1165"/>
      <c r="AR74" s="1165" t="s">
        <v>1016</v>
      </c>
      <c r="AS74" s="1165"/>
      <c r="AT74" s="1165"/>
      <c r="AU74" s="1165"/>
      <c r="AV74" s="1165" t="s">
        <v>263</v>
      </c>
      <c r="AW74" s="1165" t="s">
        <v>1008</v>
      </c>
      <c r="AX74" s="1165"/>
      <c r="AY74" s="1165" t="s">
        <v>1018</v>
      </c>
      <c r="AZ74" s="1165"/>
      <c r="BA74" s="1165" t="s">
        <v>264</v>
      </c>
      <c r="BB74" s="1165"/>
      <c r="BC74" s="1165"/>
      <c r="BD74" s="1165"/>
      <c r="BE74" s="1165"/>
      <c r="BF74" s="1165"/>
      <c r="BG74" s="1165"/>
      <c r="BH74" s="1165"/>
      <c r="BI74" s="1165"/>
      <c r="BJ74" s="1165"/>
      <c r="BK74" s="1165"/>
      <c r="BL74" s="1165"/>
      <c r="BM74" s="1165"/>
      <c r="BN74" s="1165"/>
      <c r="BO74" s="1165"/>
      <c r="BP74" s="1165"/>
      <c r="BQ74" s="1165"/>
      <c r="BR74" s="1165"/>
      <c r="BS74" s="1165"/>
      <c r="BT74" s="1165"/>
      <c r="BU74" s="1165"/>
      <c r="BV74" s="1165"/>
      <c r="BW74" s="1165"/>
      <c r="BX74" s="1165"/>
      <c r="BY74" s="1165"/>
      <c r="BZ74" s="1165"/>
      <c r="CA74" s="1165"/>
      <c r="CB74" s="1165"/>
      <c r="CC74" s="1165"/>
      <c r="CD74" s="1165"/>
      <c r="CE74" s="1165"/>
      <c r="CF74" s="1165"/>
      <c r="CG74" s="1165"/>
      <c r="CH74" s="1165"/>
      <c r="CI74" s="1165"/>
      <c r="CJ74" s="1165"/>
      <c r="CK74" s="1165"/>
      <c r="CL74" s="1165"/>
      <c r="CM74" s="1165"/>
      <c r="CN74" s="1165"/>
      <c r="CO74" s="1165"/>
      <c r="CP74" s="1165"/>
      <c r="CQ74" s="1165"/>
      <c r="CR74" s="1165"/>
      <c r="CS74" s="1165"/>
      <c r="CT74" s="1165"/>
      <c r="CU74" s="1165"/>
      <c r="CV74" s="1165"/>
      <c r="CW74" s="1165"/>
      <c r="CX74" s="1106"/>
      <c r="CY74" s="1106"/>
      <c r="CZ74" s="1106"/>
      <c r="DA74" s="1107"/>
      <c r="DB74" s="1104"/>
    </row>
    <row r="75" spans="2:106" ht="11.25" customHeight="1">
      <c r="B75" s="1105"/>
      <c r="C75" s="1165"/>
      <c r="D75" s="1165"/>
      <c r="E75" s="1165"/>
      <c r="F75" s="1165"/>
      <c r="G75" s="1165"/>
      <c r="H75" s="1165"/>
      <c r="I75" s="1165"/>
      <c r="J75" s="1165"/>
      <c r="K75" s="1165"/>
      <c r="L75" s="1165"/>
      <c r="M75" s="1165"/>
      <c r="N75" s="1165"/>
      <c r="O75" s="1165"/>
      <c r="P75" s="1165"/>
      <c r="Q75" s="1165"/>
      <c r="R75" s="1165"/>
      <c r="S75" s="1165"/>
      <c r="T75" s="1165"/>
      <c r="U75" s="1165"/>
      <c r="V75" s="1165"/>
      <c r="W75" s="1165"/>
      <c r="X75" s="1165"/>
      <c r="Y75" s="1165"/>
      <c r="Z75" s="1165"/>
      <c r="AA75" s="1165"/>
      <c r="AB75" s="1165"/>
      <c r="AC75" s="1165"/>
      <c r="AD75" s="1165"/>
      <c r="AE75" s="1165"/>
      <c r="AF75" s="1165"/>
      <c r="AG75" s="1165"/>
      <c r="AH75" s="1165"/>
      <c r="AI75" s="1165"/>
      <c r="AJ75" s="1165"/>
      <c r="AK75" s="1165"/>
      <c r="AL75" s="1165"/>
      <c r="AM75" s="1165"/>
      <c r="AN75" s="1165"/>
      <c r="AO75" s="1165"/>
      <c r="AP75" s="1165"/>
      <c r="AQ75" s="1165"/>
      <c r="AR75" s="1165"/>
      <c r="AS75" s="1165"/>
      <c r="AT75" s="1165"/>
      <c r="AU75" s="1165"/>
      <c r="AV75" s="1165"/>
      <c r="AW75" s="1165"/>
      <c r="AX75" s="1165"/>
      <c r="AY75" s="1165"/>
      <c r="AZ75" s="1165"/>
      <c r="BA75" s="1165"/>
      <c r="BB75" s="1165"/>
      <c r="BC75" s="1165"/>
      <c r="BD75" s="1165"/>
      <c r="BE75" s="1165"/>
      <c r="BF75" s="1165"/>
      <c r="BG75" s="1165"/>
      <c r="BH75" s="1165"/>
      <c r="BI75" s="1165"/>
      <c r="BJ75" s="1165"/>
      <c r="BK75" s="1165"/>
      <c r="BL75" s="1165"/>
      <c r="BM75" s="1165"/>
      <c r="BN75" s="1165"/>
      <c r="BO75" s="1165"/>
      <c r="BP75" s="1165"/>
      <c r="BQ75" s="1165"/>
      <c r="BR75" s="1165"/>
      <c r="BS75" s="1165"/>
      <c r="BT75" s="1165"/>
      <c r="BU75" s="1165"/>
      <c r="BV75" s="1165"/>
      <c r="BW75" s="1165"/>
      <c r="BX75" s="1165"/>
      <c r="BY75" s="1165"/>
      <c r="BZ75" s="1165"/>
      <c r="CA75" s="1165"/>
      <c r="CB75" s="1165"/>
      <c r="CC75" s="1165"/>
      <c r="CD75" s="1165"/>
      <c r="CE75" s="1165"/>
      <c r="CF75" s="1165"/>
      <c r="CG75" s="1165"/>
      <c r="CH75" s="1165"/>
      <c r="CI75" s="1165"/>
      <c r="CJ75" s="1165"/>
      <c r="CK75" s="1165"/>
      <c r="CL75" s="1165"/>
      <c r="CM75" s="1165"/>
      <c r="CN75" s="1165"/>
      <c r="CO75" s="1165"/>
      <c r="CP75" s="1165"/>
      <c r="CQ75" s="1165"/>
      <c r="CR75" s="1165"/>
      <c r="CS75" s="1165"/>
      <c r="CT75" s="1165"/>
      <c r="CU75" s="1165"/>
      <c r="CV75" s="1165"/>
      <c r="CW75" s="1165"/>
      <c r="CX75" s="1106"/>
      <c r="CY75" s="1106"/>
      <c r="CZ75" s="1106"/>
      <c r="DA75" s="1107"/>
      <c r="DB75" s="1104"/>
    </row>
    <row r="76" spans="2:106" ht="11.25" customHeight="1">
      <c r="B76" s="1105"/>
      <c r="C76" s="1165"/>
      <c r="D76" s="1165"/>
      <c r="E76" s="1165"/>
      <c r="F76" s="1165"/>
      <c r="G76" s="1165"/>
      <c r="H76" s="1165"/>
      <c r="I76" s="1165"/>
      <c r="J76" s="1165"/>
      <c r="K76" s="1165"/>
      <c r="L76" s="1165" t="str">
        <f>TEXT(3600,"#,##0.#######")</f>
        <v>3,600.</v>
      </c>
      <c r="M76" s="1165"/>
      <c r="N76" s="1165"/>
      <c r="O76" s="1165"/>
      <c r="P76" s="1165"/>
      <c r="Q76" s="1165" t="s">
        <v>975</v>
      </c>
      <c r="R76" s="1165"/>
      <c r="S76" s="1165" t="s">
        <v>1011</v>
      </c>
      <c r="T76" s="1165" t="s">
        <v>975</v>
      </c>
      <c r="U76" s="1165"/>
      <c r="V76" s="1165" t="s">
        <v>1013</v>
      </c>
      <c r="W76" s="1165" t="s">
        <v>975</v>
      </c>
      <c r="X76" s="1165"/>
      <c r="Y76" s="1165" t="s">
        <v>1012</v>
      </c>
      <c r="Z76" s="1165" t="s">
        <v>975</v>
      </c>
      <c r="AA76" s="1165"/>
      <c r="AB76" s="1165" t="s">
        <v>1014</v>
      </c>
      <c r="AC76" s="1165"/>
      <c r="AD76" s="1165"/>
      <c r="AE76" s="1165"/>
      <c r="AF76" s="1165"/>
      <c r="AG76" s="1165"/>
      <c r="AH76" s="1165"/>
      <c r="AI76" s="1165" t="str">
        <f>TEXT(L76,"#,##0.#######")</f>
        <v>3,600.</v>
      </c>
      <c r="AJ76" s="1165"/>
      <c r="AK76" s="1165"/>
      <c r="AL76" s="1165"/>
      <c r="AM76" s="1165"/>
      <c r="AN76" s="1165" t="s">
        <v>975</v>
      </c>
      <c r="AO76" s="1165"/>
      <c r="AP76" s="1165" t="str">
        <f>TEXT(K72,"#,##0.#######")</f>
        <v>0.2</v>
      </c>
      <c r="AQ76" s="1165"/>
      <c r="AR76" s="1165"/>
      <c r="AS76" s="1165" t="s">
        <v>975</v>
      </c>
      <c r="AT76" s="1165"/>
      <c r="AU76" s="1165" t="str">
        <f>TEXT(AZ72,"#,##0.#######")</f>
        <v>0.9</v>
      </c>
      <c r="AV76" s="1165"/>
      <c r="AW76" s="1165"/>
      <c r="AX76" s="1165" t="s">
        <v>975</v>
      </c>
      <c r="AY76" s="1165"/>
      <c r="AZ76" s="1165" t="str">
        <f>TEXT(AK72,"#,##0.#######")</f>
        <v>0.81</v>
      </c>
      <c r="BA76" s="1165"/>
      <c r="BB76" s="1165"/>
      <c r="BC76" s="1165"/>
      <c r="BD76" s="1165" t="s">
        <v>975</v>
      </c>
      <c r="BE76" s="1165"/>
      <c r="BF76" s="1165" t="str">
        <f>TEXT(AA74,"#,##0.#######")</f>
        <v>0.7</v>
      </c>
      <c r="BG76" s="1165"/>
      <c r="BH76" s="1165"/>
      <c r="BI76" s="1165"/>
      <c r="BJ76" s="1165"/>
      <c r="BK76" s="1165"/>
      <c r="BL76" s="1165"/>
      <c r="BM76" s="1165"/>
      <c r="BN76" s="1165"/>
      <c r="BO76" s="1165"/>
      <c r="BP76" s="1165"/>
      <c r="BQ76" s="1165"/>
      <c r="BR76" s="1165"/>
      <c r="BS76" s="1165"/>
      <c r="BT76" s="1165"/>
      <c r="BU76" s="1165"/>
      <c r="BV76" s="1165"/>
      <c r="BW76" s="1165"/>
      <c r="BX76" s="1165"/>
      <c r="BY76" s="1165"/>
      <c r="BZ76" s="1165"/>
      <c r="CA76" s="1165"/>
      <c r="CB76" s="1165"/>
      <c r="CC76" s="1165"/>
      <c r="CD76" s="1165"/>
      <c r="CE76" s="1165"/>
      <c r="CF76" s="1165"/>
      <c r="CG76" s="1165"/>
      <c r="CH76" s="1165"/>
      <c r="CI76" s="1165"/>
      <c r="CJ76" s="1165"/>
      <c r="CK76" s="1165"/>
      <c r="CL76" s="1165"/>
      <c r="CM76" s="1165"/>
      <c r="CN76" s="1165"/>
      <c r="CO76" s="1165"/>
      <c r="CP76" s="1165"/>
      <c r="CQ76" s="1165"/>
      <c r="CR76" s="1165"/>
      <c r="CS76" s="1165"/>
      <c r="CT76" s="1165"/>
      <c r="CU76" s="1165"/>
      <c r="CV76" s="1165"/>
      <c r="CW76" s="1165"/>
      <c r="CX76" s="1106"/>
      <c r="CY76" s="1106"/>
      <c r="CZ76" s="1106"/>
      <c r="DA76" s="1107"/>
      <c r="DB76" s="1104"/>
    </row>
    <row r="77" spans="2:106" ht="11.25" customHeight="1">
      <c r="B77" s="1105"/>
      <c r="C77" s="1165"/>
      <c r="D77" s="1165"/>
      <c r="E77" s="1165"/>
      <c r="F77" s="1165"/>
      <c r="G77" s="1165" t="s">
        <v>1019</v>
      </c>
      <c r="H77" s="1165"/>
      <c r="I77" s="1165" t="s">
        <v>227</v>
      </c>
      <c r="J77" s="1165"/>
      <c r="K77" s="1165" t="s">
        <v>1020</v>
      </c>
      <c r="L77" s="1165"/>
      <c r="M77" s="1165" t="s">
        <v>1020</v>
      </c>
      <c r="N77" s="1165"/>
      <c r="O77" s="1165" t="s">
        <v>1020</v>
      </c>
      <c r="P77" s="1165"/>
      <c r="Q77" s="1165" t="s">
        <v>1020</v>
      </c>
      <c r="R77" s="1165"/>
      <c r="S77" s="1165" t="s">
        <v>1020</v>
      </c>
      <c r="T77" s="1165"/>
      <c r="U77" s="1165" t="s">
        <v>1020</v>
      </c>
      <c r="V77" s="1165"/>
      <c r="W77" s="1165" t="s">
        <v>1020</v>
      </c>
      <c r="X77" s="1165"/>
      <c r="Y77" s="1165" t="s">
        <v>1020</v>
      </c>
      <c r="Z77" s="1165"/>
      <c r="AA77" s="1165" t="s">
        <v>1020</v>
      </c>
      <c r="AB77" s="1165"/>
      <c r="AC77" s="1165" t="s">
        <v>1020</v>
      </c>
      <c r="AD77" s="1165"/>
      <c r="AE77" s="1165"/>
      <c r="AF77" s="1165" t="s">
        <v>227</v>
      </c>
      <c r="AG77" s="1165"/>
      <c r="AH77" s="1165" t="s">
        <v>1020</v>
      </c>
      <c r="AI77" s="1165"/>
      <c r="AJ77" s="1165" t="s">
        <v>1020</v>
      </c>
      <c r="AK77" s="1165"/>
      <c r="AL77" s="1165" t="s">
        <v>1020</v>
      </c>
      <c r="AM77" s="1165"/>
      <c r="AN77" s="1165" t="s">
        <v>1020</v>
      </c>
      <c r="AO77" s="1165"/>
      <c r="AP77" s="1165" t="s">
        <v>1020</v>
      </c>
      <c r="AQ77" s="1165"/>
      <c r="AR77" s="1165" t="s">
        <v>1020</v>
      </c>
      <c r="AS77" s="1165"/>
      <c r="AT77" s="1165" t="s">
        <v>1020</v>
      </c>
      <c r="AU77" s="1165"/>
      <c r="AV77" s="1165" t="s">
        <v>1020</v>
      </c>
      <c r="AW77" s="1165"/>
      <c r="AX77" s="1165" t="s">
        <v>1020</v>
      </c>
      <c r="AY77" s="1165"/>
      <c r="AZ77" s="1165" t="s">
        <v>1020</v>
      </c>
      <c r="BA77" s="1165"/>
      <c r="BB77" s="1165" t="s">
        <v>1020</v>
      </c>
      <c r="BC77" s="1165"/>
      <c r="BD77" s="1165" t="s">
        <v>1020</v>
      </c>
      <c r="BE77" s="1165"/>
      <c r="BF77" s="1165" t="s">
        <v>1020</v>
      </c>
      <c r="BG77" s="1165"/>
      <c r="BH77" s="1165" t="s">
        <v>1020</v>
      </c>
      <c r="BI77" s="1165"/>
      <c r="BJ77" s="1165" t="s">
        <v>227</v>
      </c>
      <c r="BK77" s="1165"/>
      <c r="BL77" s="1165" t="str">
        <f>TEXT(ROUND((3600*K72*AZ72*AK72*AA74)/(AP74),2),"#,##0.#######")</f>
        <v>24.49</v>
      </c>
      <c r="BM77" s="1165"/>
      <c r="BN77" s="1165"/>
      <c r="BO77" s="1165"/>
      <c r="BP77" s="1165"/>
      <c r="BQ77" s="1165"/>
      <c r="BR77" s="1165"/>
      <c r="BS77" s="1165"/>
      <c r="BT77" s="1165" t="s">
        <v>178</v>
      </c>
      <c r="BU77" s="1165"/>
      <c r="BV77" s="1165" t="s">
        <v>249</v>
      </c>
      <c r="BW77" s="1165" t="s">
        <v>352</v>
      </c>
      <c r="BX77" s="1165"/>
      <c r="BY77" s="1165"/>
      <c r="BZ77" s="1165"/>
      <c r="CA77" s="1165"/>
      <c r="CB77" s="1165"/>
      <c r="CC77" s="1165"/>
      <c r="CD77" s="1165"/>
      <c r="CE77" s="1165"/>
      <c r="CF77" s="1165"/>
      <c r="CG77" s="1165"/>
      <c r="CH77" s="1165"/>
      <c r="CI77" s="1165"/>
      <c r="CJ77" s="1165"/>
      <c r="CK77" s="1165"/>
      <c r="CL77" s="1165"/>
      <c r="CM77" s="1165"/>
      <c r="CN77" s="1165"/>
      <c r="CO77" s="1165"/>
      <c r="CP77" s="1165"/>
      <c r="CQ77" s="1165"/>
      <c r="CR77" s="1165"/>
      <c r="CS77" s="1165"/>
      <c r="CT77" s="1165"/>
      <c r="CU77" s="1165"/>
      <c r="CV77" s="1165"/>
      <c r="CW77" s="1165"/>
      <c r="CX77" s="1106"/>
      <c r="CY77" s="1106"/>
      <c r="CZ77" s="1106"/>
      <c r="DA77" s="1107"/>
      <c r="DB77" s="1104"/>
    </row>
    <row r="78" spans="2:106" ht="11.25" customHeight="1">
      <c r="B78" s="1105"/>
      <c r="C78" s="1165"/>
      <c r="D78" s="1165"/>
      <c r="E78" s="1165"/>
      <c r="F78" s="1165"/>
      <c r="G78" s="1165"/>
      <c r="H78" s="1165"/>
      <c r="I78" s="1165"/>
      <c r="J78" s="1165"/>
      <c r="K78" s="1165"/>
      <c r="L78" s="1165"/>
      <c r="M78" s="1165"/>
      <c r="N78" s="1165"/>
      <c r="O78" s="1165"/>
      <c r="P78" s="1165"/>
      <c r="Q78" s="1165"/>
      <c r="R78" s="1165"/>
      <c r="S78" s="1165"/>
      <c r="T78" s="1165"/>
      <c r="U78" s="1165"/>
      <c r="V78" s="1165"/>
      <c r="W78" s="1165" t="s">
        <v>1015</v>
      </c>
      <c r="X78" s="1165"/>
      <c r="Y78" s="1165"/>
      <c r="Z78" s="1165"/>
      <c r="AA78" s="1165"/>
      <c r="AB78" s="1165"/>
      <c r="AC78" s="1165"/>
      <c r="AD78" s="1165"/>
      <c r="AE78" s="1165"/>
      <c r="AF78" s="1165"/>
      <c r="AG78" s="1165"/>
      <c r="AH78" s="1165"/>
      <c r="AI78" s="1165"/>
      <c r="AJ78" s="1165"/>
      <c r="AK78" s="1165"/>
      <c r="AL78" s="1165"/>
      <c r="AM78" s="1165"/>
      <c r="AN78" s="1165"/>
      <c r="AO78" s="1165"/>
      <c r="AP78" s="1165"/>
      <c r="AQ78" s="1165"/>
      <c r="AR78" s="1165"/>
      <c r="AS78" s="1165"/>
      <c r="AT78" s="1165"/>
      <c r="AU78" s="1165" t="str">
        <f>TEXT(AP74,"#,##0.#######")</f>
        <v>15.</v>
      </c>
      <c r="AV78" s="1165"/>
      <c r="AW78" s="1165"/>
      <c r="AX78" s="1165"/>
      <c r="AY78" s="1165"/>
      <c r="AZ78" s="1165"/>
      <c r="BA78" s="1165"/>
      <c r="BB78" s="1165"/>
      <c r="BC78" s="1165"/>
      <c r="BD78" s="1165"/>
      <c r="BE78" s="1165"/>
      <c r="BF78" s="1165"/>
      <c r="BG78" s="1165"/>
      <c r="BH78" s="1165"/>
      <c r="BI78" s="1165"/>
      <c r="BJ78" s="1165"/>
      <c r="BK78" s="1165"/>
      <c r="BL78" s="1165"/>
      <c r="BM78" s="1165"/>
      <c r="BN78" s="1165"/>
      <c r="BO78" s="1165"/>
      <c r="BP78" s="1165"/>
      <c r="BQ78" s="1165"/>
      <c r="BR78" s="1165"/>
      <c r="BS78" s="1165"/>
      <c r="BT78" s="1165"/>
      <c r="BU78" s="1165"/>
      <c r="BV78" s="1165"/>
      <c r="BW78" s="1165"/>
      <c r="BX78" s="1165"/>
      <c r="BY78" s="1165"/>
      <c r="BZ78" s="1165"/>
      <c r="CA78" s="1165"/>
      <c r="CB78" s="1165"/>
      <c r="CC78" s="1165"/>
      <c r="CD78" s="1165"/>
      <c r="CE78" s="1165"/>
      <c r="CF78" s="1165"/>
      <c r="CG78" s="1165"/>
      <c r="CH78" s="1165"/>
      <c r="CI78" s="1165"/>
      <c r="CJ78" s="1165"/>
      <c r="CK78" s="1165"/>
      <c r="CL78" s="1165"/>
      <c r="CM78" s="1165"/>
      <c r="CN78" s="1165"/>
      <c r="CO78" s="1165"/>
      <c r="CP78" s="1165"/>
      <c r="CQ78" s="1165"/>
      <c r="CR78" s="1165"/>
      <c r="CS78" s="1165"/>
      <c r="CT78" s="1165"/>
      <c r="CU78" s="1165"/>
      <c r="CV78" s="1165"/>
      <c r="CW78" s="1165"/>
      <c r="CX78" s="1106"/>
      <c r="CY78" s="1106"/>
      <c r="CZ78" s="1106"/>
      <c r="DA78" s="1107"/>
      <c r="DB78" s="1104"/>
    </row>
    <row r="79" spans="2:106" ht="11.25" customHeight="1">
      <c r="B79" s="1105"/>
      <c r="C79" s="1165"/>
      <c r="D79" s="1165"/>
      <c r="E79" s="1165"/>
      <c r="F79" s="1165"/>
      <c r="G79" s="1165"/>
      <c r="H79" s="1165"/>
      <c r="I79" s="1165"/>
      <c r="J79" s="1165"/>
      <c r="K79" s="1165"/>
      <c r="L79" s="1165"/>
      <c r="M79" s="1165"/>
      <c r="N79" s="1165"/>
      <c r="O79" s="1165"/>
      <c r="P79" s="1165"/>
      <c r="Q79" s="1165"/>
      <c r="R79" s="1165"/>
      <c r="S79" s="1165"/>
      <c r="T79" s="1165"/>
      <c r="U79" s="1165"/>
      <c r="V79" s="1165"/>
      <c r="W79" s="1165"/>
      <c r="X79" s="1165"/>
      <c r="Y79" s="1165"/>
      <c r="Z79" s="1165"/>
      <c r="AA79" s="1165"/>
      <c r="AB79" s="1165"/>
      <c r="AC79" s="1165"/>
      <c r="AD79" s="1165"/>
      <c r="AE79" s="1165"/>
      <c r="AF79" s="1165"/>
      <c r="AG79" s="1165"/>
      <c r="AH79" s="1165"/>
      <c r="AI79" s="1165"/>
      <c r="AJ79" s="1165"/>
      <c r="AK79" s="1165"/>
      <c r="AL79" s="1165"/>
      <c r="AM79" s="1165"/>
      <c r="AN79" s="1165"/>
      <c r="AO79" s="1165"/>
      <c r="AP79" s="1165"/>
      <c r="AQ79" s="1165"/>
      <c r="AR79" s="1165"/>
      <c r="AS79" s="1165"/>
      <c r="AT79" s="1165"/>
      <c r="AU79" s="1165"/>
      <c r="AV79" s="1165"/>
      <c r="AW79" s="1165"/>
      <c r="AX79" s="1165"/>
      <c r="AY79" s="1165"/>
      <c r="AZ79" s="1165"/>
      <c r="BA79" s="1165"/>
      <c r="BB79" s="1165"/>
      <c r="BC79" s="1165"/>
      <c r="BD79" s="1165"/>
      <c r="BE79" s="1165"/>
      <c r="BF79" s="1165"/>
      <c r="BG79" s="1165"/>
      <c r="BH79" s="1165"/>
      <c r="BI79" s="1165"/>
      <c r="BJ79" s="1165"/>
      <c r="BK79" s="1165"/>
      <c r="BL79" s="1165"/>
      <c r="BM79" s="1165"/>
      <c r="BN79" s="1165"/>
      <c r="BO79" s="1165"/>
      <c r="BP79" s="1165"/>
      <c r="BQ79" s="1165"/>
      <c r="BR79" s="1165"/>
      <c r="BS79" s="1165"/>
      <c r="BT79" s="1165"/>
      <c r="BU79" s="1165"/>
      <c r="BV79" s="1165"/>
      <c r="BW79" s="1165"/>
      <c r="BX79" s="1165"/>
      <c r="BY79" s="1165"/>
      <c r="BZ79" s="1165"/>
      <c r="CA79" s="1165"/>
      <c r="CB79" s="1165"/>
      <c r="CC79" s="1165"/>
      <c r="CD79" s="1165"/>
      <c r="CE79" s="1165"/>
      <c r="CF79" s="1165"/>
      <c r="CG79" s="1165"/>
      <c r="CH79" s="1165"/>
      <c r="CI79" s="1165"/>
      <c r="CJ79" s="1165"/>
      <c r="CK79" s="1165"/>
      <c r="CL79" s="1165"/>
      <c r="CM79" s="1165"/>
      <c r="CN79" s="1165"/>
      <c r="CO79" s="1165"/>
      <c r="CP79" s="1165"/>
      <c r="CQ79" s="1165"/>
      <c r="CR79" s="1165"/>
      <c r="CS79" s="1165"/>
      <c r="CT79" s="1165"/>
      <c r="CU79" s="1165"/>
      <c r="CV79" s="1165"/>
      <c r="CW79" s="1165"/>
      <c r="CX79" s="1106"/>
      <c r="CY79" s="1106"/>
      <c r="CZ79" s="1106"/>
      <c r="DA79" s="1107"/>
      <c r="DB79" s="1104"/>
    </row>
    <row r="80" spans="2:106" ht="11.25" customHeight="1">
      <c r="B80" s="1105"/>
      <c r="C80" s="1165"/>
      <c r="D80" s="1165"/>
      <c r="E80" s="1165"/>
      <c r="F80" s="1165"/>
      <c r="G80" s="1165" t="s">
        <v>899</v>
      </c>
      <c r="H80" s="1165"/>
      <c r="I80" s="1165"/>
      <c r="J80" s="1165"/>
      <c r="K80" s="1165"/>
      <c r="L80" s="1165"/>
      <c r="M80" s="1165"/>
      <c r="N80" s="1165" t="s">
        <v>217</v>
      </c>
      <c r="O80" s="1165"/>
      <c r="P80" s="1536">
        <f>기계경비!$AA$4</f>
        <v>59025</v>
      </c>
      <c r="Q80" s="1536"/>
      <c r="R80" s="1536"/>
      <c r="S80" s="1536"/>
      <c r="T80" s="1536"/>
      <c r="U80" s="1536"/>
      <c r="V80" s="1536"/>
      <c r="W80" s="1536"/>
      <c r="X80" s="1165"/>
      <c r="Y80" s="1165" t="s">
        <v>1021</v>
      </c>
      <c r="Z80" s="1165"/>
      <c r="AA80" s="1165"/>
      <c r="AB80" s="1165" t="str">
        <f>TEXT(BL77,"#,##0.#######")</f>
        <v>24.49</v>
      </c>
      <c r="AC80" s="1165"/>
      <c r="AD80" s="1165"/>
      <c r="AE80" s="1165"/>
      <c r="AF80" s="1165"/>
      <c r="AG80" s="1165"/>
      <c r="AH80" s="1165"/>
      <c r="AI80" s="1165"/>
      <c r="AJ80" s="1165" t="s">
        <v>975</v>
      </c>
      <c r="AK80" s="1165"/>
      <c r="AL80" s="1165" t="str">
        <f>TEXT(0.9,"#,##0.#######")</f>
        <v>0.9</v>
      </c>
      <c r="AM80" s="1165"/>
      <c r="AN80" s="1165"/>
      <c r="AO80" s="1165"/>
      <c r="AP80" s="1165" t="s">
        <v>227</v>
      </c>
      <c r="AQ80" s="1165"/>
      <c r="AR80" s="1539" t="str">
        <f>TEXT(TRUNC(P80/BL77*AL80,1),"#,##0.#")</f>
        <v>2,169.1</v>
      </c>
      <c r="AS80" s="1539"/>
      <c r="AT80" s="1539"/>
      <c r="AU80" s="1539"/>
      <c r="AV80" s="1539"/>
      <c r="AW80" s="1539"/>
      <c r="AX80" s="1539"/>
      <c r="AY80" s="1165"/>
      <c r="AZ80" s="1165"/>
      <c r="BA80" s="1165"/>
      <c r="BB80" s="1165"/>
      <c r="BC80" s="1165"/>
      <c r="BD80" s="1165"/>
      <c r="BE80" s="1165"/>
      <c r="BF80" s="1165"/>
      <c r="BG80" s="1165"/>
      <c r="BH80" s="1165"/>
      <c r="BI80" s="1165"/>
      <c r="BJ80" s="1165"/>
      <c r="BK80" s="1165"/>
      <c r="BL80" s="1165"/>
      <c r="BM80" s="1165"/>
      <c r="BN80" s="1165"/>
      <c r="BO80" s="1165"/>
      <c r="BP80" s="1165"/>
      <c r="BQ80" s="1165"/>
      <c r="BR80" s="1165"/>
      <c r="BS80" s="1165"/>
      <c r="BT80" s="1165"/>
      <c r="BU80" s="1165"/>
      <c r="BV80" s="1165"/>
      <c r="BW80" s="1165"/>
      <c r="BX80" s="1165"/>
      <c r="BY80" s="1165"/>
      <c r="BZ80" s="1165"/>
      <c r="CA80" s="1165"/>
      <c r="CB80" s="1165"/>
      <c r="CC80" s="1165"/>
      <c r="CD80" s="1165"/>
      <c r="CE80" s="1165"/>
      <c r="CF80" s="1165"/>
      <c r="CG80" s="1165"/>
      <c r="CH80" s="1165"/>
      <c r="CI80" s="1165"/>
      <c r="CJ80" s="1165"/>
      <c r="CK80" s="1165"/>
      <c r="CL80" s="1165"/>
      <c r="CM80" s="1165"/>
      <c r="CN80" s="1165"/>
      <c r="CO80" s="1165"/>
      <c r="CP80" s="1165"/>
      <c r="CQ80" s="1165"/>
      <c r="CR80" s="1165"/>
      <c r="CS80" s="1165"/>
      <c r="CT80" s="1165"/>
      <c r="CU80" s="1165"/>
      <c r="CV80" s="1165"/>
      <c r="CW80" s="1165"/>
      <c r="CX80" s="1106"/>
      <c r="CY80" s="1106"/>
      <c r="CZ80" s="1106"/>
      <c r="DA80" s="1107"/>
      <c r="DB80" s="1104"/>
    </row>
    <row r="81" spans="2:106" ht="11.25" customHeight="1">
      <c r="B81" s="1105"/>
      <c r="C81" s="1165"/>
      <c r="D81" s="1165"/>
      <c r="E81" s="1165"/>
      <c r="F81" s="1165"/>
      <c r="G81" s="1165" t="s">
        <v>892</v>
      </c>
      <c r="H81" s="1165"/>
      <c r="I81" s="1165"/>
      <c r="J81" s="1165"/>
      <c r="K81" s="1165"/>
      <c r="L81" s="1165"/>
      <c r="M81" s="1165"/>
      <c r="N81" s="1165" t="s">
        <v>217</v>
      </c>
      <c r="O81" s="1165"/>
      <c r="P81" s="1536" t="e">
        <f>기계경비!$AB$4</f>
        <v>#REF!</v>
      </c>
      <c r="Q81" s="1536"/>
      <c r="R81" s="1536"/>
      <c r="S81" s="1536"/>
      <c r="T81" s="1536"/>
      <c r="U81" s="1536"/>
      <c r="V81" s="1536"/>
      <c r="W81" s="1536"/>
      <c r="X81" s="1165"/>
      <c r="Y81" s="1165" t="s">
        <v>1021</v>
      </c>
      <c r="Z81" s="1165"/>
      <c r="AA81" s="1165"/>
      <c r="AB81" s="1165" t="str">
        <f>TEXT(BL77,"#,##0.#######")</f>
        <v>24.49</v>
      </c>
      <c r="AC81" s="1165"/>
      <c r="AD81" s="1165"/>
      <c r="AE81" s="1165"/>
      <c r="AF81" s="1165"/>
      <c r="AG81" s="1165"/>
      <c r="AH81" s="1165"/>
      <c r="AI81" s="1165"/>
      <c r="AJ81" s="1165" t="s">
        <v>975</v>
      </c>
      <c r="AK81" s="1165"/>
      <c r="AL81" s="1165" t="str">
        <f>TEXT(0.9,"#,##0.#######")</f>
        <v>0.9</v>
      </c>
      <c r="AM81" s="1165"/>
      <c r="AN81" s="1165"/>
      <c r="AO81" s="1165"/>
      <c r="AP81" s="1165" t="s">
        <v>227</v>
      </c>
      <c r="AQ81" s="1165"/>
      <c r="AR81" s="1539" t="e">
        <f>TEXT(TRUNC(P81/BL77*AL81,1),"#,##0.#")</f>
        <v>#REF!</v>
      </c>
      <c r="AS81" s="1539"/>
      <c r="AT81" s="1539"/>
      <c r="AU81" s="1539"/>
      <c r="AV81" s="1539"/>
      <c r="AW81" s="1539"/>
      <c r="AX81" s="1539"/>
      <c r="AY81" s="1165"/>
      <c r="AZ81" s="1165"/>
      <c r="BA81" s="1165"/>
      <c r="BB81" s="1165"/>
      <c r="BC81" s="1165"/>
      <c r="BD81" s="1165"/>
      <c r="BE81" s="1165"/>
      <c r="BF81" s="1165"/>
      <c r="BG81" s="1165"/>
      <c r="BH81" s="1165"/>
      <c r="BI81" s="1165"/>
      <c r="BJ81" s="1165"/>
      <c r="BK81" s="1165"/>
      <c r="BL81" s="1165"/>
      <c r="BM81" s="1165"/>
      <c r="BN81" s="1165"/>
      <c r="BO81" s="1165"/>
      <c r="BP81" s="1165"/>
      <c r="BQ81" s="1165"/>
      <c r="BR81" s="1165"/>
      <c r="BS81" s="1165"/>
      <c r="BT81" s="1165"/>
      <c r="BU81" s="1165"/>
      <c r="BV81" s="1165"/>
      <c r="BW81" s="1165"/>
      <c r="BX81" s="1165"/>
      <c r="BY81" s="1165"/>
      <c r="BZ81" s="1165"/>
      <c r="CA81" s="1165"/>
      <c r="CB81" s="1165"/>
      <c r="CC81" s="1165"/>
      <c r="CD81" s="1165"/>
      <c r="CE81" s="1165"/>
      <c r="CF81" s="1165"/>
      <c r="CG81" s="1165"/>
      <c r="CH81" s="1165"/>
      <c r="CI81" s="1165"/>
      <c r="CJ81" s="1165"/>
      <c r="CK81" s="1165"/>
      <c r="CL81" s="1165"/>
      <c r="CM81" s="1165"/>
      <c r="CN81" s="1165"/>
      <c r="CO81" s="1165"/>
      <c r="CP81" s="1165"/>
      <c r="CQ81" s="1165"/>
      <c r="CR81" s="1165"/>
      <c r="CS81" s="1165"/>
      <c r="CT81" s="1165"/>
      <c r="CU81" s="1165"/>
      <c r="CV81" s="1165"/>
      <c r="CW81" s="1165"/>
      <c r="CX81" s="1106"/>
      <c r="CY81" s="1106"/>
      <c r="CZ81" s="1106"/>
      <c r="DA81" s="1107"/>
      <c r="DB81" s="1104"/>
    </row>
    <row r="82" spans="2:106" ht="11.25" customHeight="1">
      <c r="B82" s="1105"/>
      <c r="C82" s="1165"/>
      <c r="D82" s="1165"/>
      <c r="E82" s="1165"/>
      <c r="F82" s="1165"/>
      <c r="G82" s="1165" t="s">
        <v>1022</v>
      </c>
      <c r="H82" s="1165"/>
      <c r="I82" s="1165"/>
      <c r="J82" s="1165"/>
      <c r="K82" s="1165" t="s">
        <v>1023</v>
      </c>
      <c r="L82" s="1165"/>
      <c r="M82" s="1165"/>
      <c r="N82" s="1165" t="s">
        <v>217</v>
      </c>
      <c r="O82" s="1165"/>
      <c r="P82" s="1536">
        <f>기계경비!$AC$4</f>
        <v>13873</v>
      </c>
      <c r="Q82" s="1536"/>
      <c r="R82" s="1536"/>
      <c r="S82" s="1536"/>
      <c r="T82" s="1536"/>
      <c r="U82" s="1536"/>
      <c r="V82" s="1536"/>
      <c r="W82" s="1536"/>
      <c r="X82" s="1165"/>
      <c r="Y82" s="1165" t="s">
        <v>1021</v>
      </c>
      <c r="Z82" s="1165"/>
      <c r="AA82" s="1165"/>
      <c r="AB82" s="1165" t="str">
        <f>TEXT(BL77,"#,##0.#######")</f>
        <v>24.49</v>
      </c>
      <c r="AC82" s="1165"/>
      <c r="AD82" s="1165"/>
      <c r="AE82" s="1165"/>
      <c r="AF82" s="1165"/>
      <c r="AG82" s="1165"/>
      <c r="AH82" s="1165"/>
      <c r="AI82" s="1165"/>
      <c r="AJ82" s="1165" t="s">
        <v>975</v>
      </c>
      <c r="AK82" s="1165"/>
      <c r="AL82" s="1165" t="str">
        <f>TEXT(0.9,"#,##0.#######")</f>
        <v>0.9</v>
      </c>
      <c r="AM82" s="1165"/>
      <c r="AN82" s="1165"/>
      <c r="AO82" s="1165"/>
      <c r="AP82" s="1165" t="s">
        <v>227</v>
      </c>
      <c r="AQ82" s="1165"/>
      <c r="AR82" s="1539" t="str">
        <f>TEXT(TRUNC(P82/BL77*AL82,1),"#,##0.#")</f>
        <v>509.8</v>
      </c>
      <c r="AS82" s="1539"/>
      <c r="AT82" s="1539"/>
      <c r="AU82" s="1539"/>
      <c r="AV82" s="1539"/>
      <c r="AW82" s="1539"/>
      <c r="AX82" s="1539"/>
      <c r="AY82" s="1165"/>
      <c r="AZ82" s="1165"/>
      <c r="BA82" s="1165"/>
      <c r="BB82" s="1165"/>
      <c r="BC82" s="1165"/>
      <c r="BD82" s="1165"/>
      <c r="BE82" s="1165"/>
      <c r="BF82" s="1165"/>
      <c r="BG82" s="1165"/>
      <c r="BH82" s="1165"/>
      <c r="BI82" s="1165"/>
      <c r="BJ82" s="1165"/>
      <c r="BK82" s="1165"/>
      <c r="BL82" s="1165"/>
      <c r="BM82" s="1165"/>
      <c r="BN82" s="1165"/>
      <c r="BO82" s="1165"/>
      <c r="BP82" s="1165"/>
      <c r="BQ82" s="1165"/>
      <c r="BR82" s="1165"/>
      <c r="BS82" s="1165"/>
      <c r="BT82" s="1165"/>
      <c r="BU82" s="1165"/>
      <c r="BV82" s="1165"/>
      <c r="BW82" s="1165"/>
      <c r="BX82" s="1165"/>
      <c r="BY82" s="1165"/>
      <c r="BZ82" s="1165"/>
      <c r="CA82" s="1165"/>
      <c r="CB82" s="1165"/>
      <c r="CC82" s="1165"/>
      <c r="CD82" s="1165"/>
      <c r="CE82" s="1165"/>
      <c r="CF82" s="1165"/>
      <c r="CG82" s="1165"/>
      <c r="CH82" s="1165"/>
      <c r="CI82" s="1165"/>
      <c r="CJ82" s="1165"/>
      <c r="CK82" s="1165"/>
      <c r="CL82" s="1165"/>
      <c r="CM82" s="1165"/>
      <c r="CN82" s="1165"/>
      <c r="CO82" s="1165"/>
      <c r="CP82" s="1165"/>
      <c r="CQ82" s="1165"/>
      <c r="CR82" s="1165"/>
      <c r="CS82" s="1165"/>
      <c r="CT82" s="1165"/>
      <c r="CU82" s="1165"/>
      <c r="CV82" s="1165"/>
      <c r="CW82" s="1165"/>
      <c r="CX82" s="1106"/>
      <c r="CY82" s="1106"/>
      <c r="CZ82" s="1106"/>
      <c r="DA82" s="1107"/>
      <c r="DB82" s="1104"/>
    </row>
    <row r="83" spans="2:106" ht="11.25" customHeight="1">
      <c r="B83" s="1105"/>
      <c r="C83" s="1165"/>
      <c r="D83" s="1165"/>
      <c r="E83" s="1165"/>
      <c r="F83" s="1165"/>
      <c r="G83" s="1165" t="s">
        <v>1024</v>
      </c>
      <c r="H83" s="1165"/>
      <c r="I83" s="1165"/>
      <c r="J83" s="1165"/>
      <c r="K83" s="1165" t="s">
        <v>179</v>
      </c>
      <c r="L83" s="1165"/>
      <c r="M83" s="1165"/>
      <c r="N83" s="1165" t="s">
        <v>217</v>
      </c>
      <c r="O83" s="1165"/>
      <c r="P83" s="1165"/>
      <c r="Q83" s="1165"/>
      <c r="R83" s="1165"/>
      <c r="S83" s="1165"/>
      <c r="T83" s="1165"/>
      <c r="U83" s="1165"/>
      <c r="V83" s="1165"/>
      <c r="W83" s="1165"/>
      <c r="X83" s="1165"/>
      <c r="Y83" s="1165"/>
      <c r="Z83" s="1165"/>
      <c r="AA83" s="1165"/>
      <c r="AB83" s="1165"/>
      <c r="AC83" s="1165"/>
      <c r="AD83" s="1165"/>
      <c r="AE83" s="1165"/>
      <c r="AF83" s="1165"/>
      <c r="AG83" s="1165"/>
      <c r="AH83" s="1165"/>
      <c r="AI83" s="1165"/>
      <c r="AJ83" s="1165"/>
      <c r="AK83" s="1165"/>
      <c r="AL83" s="1165"/>
      <c r="AM83" s="1165"/>
      <c r="AN83" s="1165" t="e">
        <f>TEXT(AR80+AR81+AR82,"#,##0.#######")</f>
        <v>#REF!</v>
      </c>
      <c r="AO83" s="1165"/>
      <c r="AP83" s="1165"/>
      <c r="AQ83" s="1165"/>
      <c r="AR83" s="1165"/>
      <c r="AS83" s="1165"/>
      <c r="AT83" s="1165"/>
      <c r="AU83" s="1165"/>
      <c r="AV83" s="1165"/>
      <c r="AW83" s="1165"/>
      <c r="AX83" s="1165"/>
      <c r="AY83" s="1165"/>
      <c r="AZ83" s="1165"/>
      <c r="BA83" s="1165"/>
      <c r="BB83" s="1165"/>
      <c r="BC83" s="1165"/>
      <c r="BD83" s="1165"/>
      <c r="BE83" s="1165"/>
      <c r="BF83" s="1165"/>
      <c r="BG83" s="1165"/>
      <c r="BH83" s="1165"/>
      <c r="BI83" s="1165"/>
      <c r="BJ83" s="1165"/>
      <c r="BK83" s="1165"/>
      <c r="BL83" s="1165"/>
      <c r="BM83" s="1165"/>
      <c r="BN83" s="1165"/>
      <c r="BO83" s="1165"/>
      <c r="BP83" s="1165"/>
      <c r="BQ83" s="1165"/>
      <c r="BR83" s="1165"/>
      <c r="BS83" s="1165"/>
      <c r="BT83" s="1165"/>
      <c r="BU83" s="1165"/>
      <c r="BV83" s="1165"/>
      <c r="BW83" s="1165"/>
      <c r="BX83" s="1165"/>
      <c r="BY83" s="1165"/>
      <c r="BZ83" s="1165"/>
      <c r="CA83" s="1165"/>
      <c r="CB83" s="1165"/>
      <c r="CC83" s="1165"/>
      <c r="CD83" s="1165"/>
      <c r="CE83" s="1165"/>
      <c r="CF83" s="1165"/>
      <c r="CG83" s="1165"/>
      <c r="CH83" s="1165"/>
      <c r="CI83" s="1165"/>
      <c r="CJ83" s="1165"/>
      <c r="CK83" s="1165"/>
      <c r="CL83" s="1165"/>
      <c r="CM83" s="1165"/>
      <c r="CN83" s="1165"/>
      <c r="CO83" s="1165"/>
      <c r="CP83" s="1165"/>
      <c r="CQ83" s="1165"/>
      <c r="CR83" s="1165"/>
      <c r="CS83" s="1165"/>
      <c r="CT83" s="1165"/>
      <c r="CU83" s="1165"/>
      <c r="CV83" s="1165"/>
      <c r="CW83" s="1165"/>
      <c r="CX83" s="1106" t="e">
        <f>CY83+CZ83+DA83</f>
        <v>#REF!</v>
      </c>
      <c r="CY83" s="1106" t="str">
        <f>TEXT(AR80,"#,###.0")</f>
        <v>2,169.1</v>
      </c>
      <c r="CZ83" s="1106" t="e">
        <f>TEXT(AR81,"#,###.0")</f>
        <v>#REF!</v>
      </c>
      <c r="DA83" s="1107" t="str">
        <f>TEXT(AR82,"#,###.0")</f>
        <v>509.8</v>
      </c>
      <c r="DB83" s="1104"/>
    </row>
    <row r="84" spans="2:106" ht="11.25" customHeight="1">
      <c r="B84" s="1105"/>
      <c r="C84" s="1165"/>
      <c r="D84" s="1165"/>
      <c r="E84" s="1165"/>
      <c r="F84" s="1165"/>
      <c r="G84" s="1165"/>
      <c r="H84" s="1165"/>
      <c r="I84" s="1165"/>
      <c r="J84" s="1165"/>
      <c r="K84" s="1165"/>
      <c r="L84" s="1165"/>
      <c r="M84" s="1165"/>
      <c r="N84" s="1165"/>
      <c r="O84" s="1165"/>
      <c r="P84" s="1165"/>
      <c r="Q84" s="1165"/>
      <c r="R84" s="1165"/>
      <c r="S84" s="1165"/>
      <c r="T84" s="1165"/>
      <c r="U84" s="1165"/>
      <c r="V84" s="1165"/>
      <c r="W84" s="1165"/>
      <c r="X84" s="1165"/>
      <c r="Y84" s="1165"/>
      <c r="Z84" s="1165"/>
      <c r="AA84" s="1165"/>
      <c r="AB84" s="1165"/>
      <c r="AC84" s="1165"/>
      <c r="AD84" s="1165"/>
      <c r="AE84" s="1165"/>
      <c r="AF84" s="1165"/>
      <c r="AG84" s="1165"/>
      <c r="AH84" s="1165"/>
      <c r="AI84" s="1165"/>
      <c r="AJ84" s="1165"/>
      <c r="AK84" s="1165"/>
      <c r="AL84" s="1165"/>
      <c r="AM84" s="1165"/>
      <c r="AN84" s="1165"/>
      <c r="AO84" s="1165"/>
      <c r="AP84" s="1165"/>
      <c r="AQ84" s="1165"/>
      <c r="AR84" s="1165"/>
      <c r="AS84" s="1165"/>
      <c r="AT84" s="1165"/>
      <c r="AU84" s="1165"/>
      <c r="AV84" s="1165"/>
      <c r="AW84" s="1165"/>
      <c r="AX84" s="1165"/>
      <c r="AY84" s="1165"/>
      <c r="AZ84" s="1165"/>
      <c r="BA84" s="1165"/>
      <c r="BB84" s="1165"/>
      <c r="BC84" s="1165"/>
      <c r="BD84" s="1165"/>
      <c r="BE84" s="1165"/>
      <c r="BF84" s="1165"/>
      <c r="BG84" s="1165"/>
      <c r="BH84" s="1165"/>
      <c r="BI84" s="1165"/>
      <c r="BJ84" s="1165"/>
      <c r="BK84" s="1165"/>
      <c r="BL84" s="1165"/>
      <c r="BM84" s="1165"/>
      <c r="BN84" s="1165"/>
      <c r="BO84" s="1165"/>
      <c r="BP84" s="1165"/>
      <c r="BQ84" s="1165"/>
      <c r="BR84" s="1165"/>
      <c r="BS84" s="1165"/>
      <c r="BT84" s="1165"/>
      <c r="BU84" s="1165"/>
      <c r="BV84" s="1165"/>
      <c r="BW84" s="1165"/>
      <c r="BX84" s="1165"/>
      <c r="BY84" s="1165"/>
      <c r="BZ84" s="1165"/>
      <c r="CA84" s="1165"/>
      <c r="CB84" s="1165"/>
      <c r="CC84" s="1165"/>
      <c r="CD84" s="1165"/>
      <c r="CE84" s="1165"/>
      <c r="CF84" s="1165"/>
      <c r="CG84" s="1165"/>
      <c r="CH84" s="1165"/>
      <c r="CI84" s="1165"/>
      <c r="CJ84" s="1165"/>
      <c r="CK84" s="1165"/>
      <c r="CL84" s="1165"/>
      <c r="CM84" s="1165"/>
      <c r="CN84" s="1165"/>
      <c r="CO84" s="1165"/>
      <c r="CP84" s="1165"/>
      <c r="CQ84" s="1165"/>
      <c r="CR84" s="1165"/>
      <c r="CS84" s="1165"/>
      <c r="CT84" s="1165"/>
      <c r="CU84" s="1165"/>
      <c r="CV84" s="1165"/>
      <c r="CW84" s="1165"/>
      <c r="CX84" s="1106"/>
      <c r="CY84" s="1106"/>
      <c r="CZ84" s="1106"/>
      <c r="DA84" s="1107"/>
      <c r="DB84" s="1104"/>
    </row>
    <row r="85" spans="2:106" ht="11.25" customHeight="1">
      <c r="B85" s="1105"/>
      <c r="C85" s="1165"/>
      <c r="D85" s="1165" t="s">
        <v>1034</v>
      </c>
      <c r="E85" s="1165"/>
      <c r="F85" s="1165"/>
      <c r="G85" s="1165" t="s">
        <v>1035</v>
      </c>
      <c r="H85" s="1165"/>
      <c r="I85" s="1165"/>
      <c r="J85" s="1165"/>
      <c r="K85" s="1165" t="s">
        <v>179</v>
      </c>
      <c r="L85" s="1165"/>
      <c r="M85" s="1165"/>
      <c r="N85" s="1165"/>
      <c r="O85" s="1165"/>
      <c r="P85" s="1165"/>
      <c r="Q85" s="1165"/>
      <c r="R85" s="1165"/>
      <c r="S85" s="1165"/>
      <c r="T85" s="1165"/>
      <c r="U85" s="1165"/>
      <c r="V85" s="1165"/>
      <c r="W85" s="1165"/>
      <c r="X85" s="1165"/>
      <c r="Y85" s="1165"/>
      <c r="Z85" s="1165"/>
      <c r="AA85" s="1165"/>
      <c r="AB85" s="1165"/>
      <c r="AC85" s="1165"/>
      <c r="AD85" s="1165"/>
      <c r="AE85" s="1165"/>
      <c r="AF85" s="1165"/>
      <c r="AG85" s="1165"/>
      <c r="AH85" s="1165"/>
      <c r="AI85" s="1165"/>
      <c r="AJ85" s="1165"/>
      <c r="AK85" s="1165"/>
      <c r="AL85" s="1165"/>
      <c r="AM85" s="1165"/>
      <c r="AN85" s="1165"/>
      <c r="AO85" s="1165"/>
      <c r="AP85" s="1165"/>
      <c r="AQ85" s="1165"/>
      <c r="AR85" s="1165"/>
      <c r="AS85" s="1165"/>
      <c r="AT85" s="1165"/>
      <c r="AU85" s="1165"/>
      <c r="AV85" s="1165"/>
      <c r="AW85" s="1165"/>
      <c r="AX85" s="1165"/>
      <c r="AY85" s="1165"/>
      <c r="AZ85" s="1165"/>
      <c r="BA85" s="1165"/>
      <c r="BB85" s="1165"/>
      <c r="BC85" s="1165"/>
      <c r="BD85" s="1165"/>
      <c r="BE85" s="1165"/>
      <c r="BF85" s="1165"/>
      <c r="BG85" s="1165"/>
      <c r="BH85" s="1165"/>
      <c r="BI85" s="1165"/>
      <c r="BJ85" s="1165"/>
      <c r="BK85" s="1165"/>
      <c r="BL85" s="1165"/>
      <c r="BM85" s="1165"/>
      <c r="BN85" s="1165"/>
      <c r="BO85" s="1165"/>
      <c r="BP85" s="1165"/>
      <c r="BQ85" s="1165"/>
      <c r="BR85" s="1165"/>
      <c r="BS85" s="1165"/>
      <c r="BT85" s="1165"/>
      <c r="BU85" s="1165"/>
      <c r="BV85" s="1165"/>
      <c r="BW85" s="1165"/>
      <c r="BX85" s="1165"/>
      <c r="BY85" s="1165"/>
      <c r="BZ85" s="1165"/>
      <c r="CA85" s="1165"/>
      <c r="CB85" s="1165"/>
      <c r="CC85" s="1165"/>
      <c r="CD85" s="1165"/>
      <c r="CE85" s="1165"/>
      <c r="CF85" s="1165"/>
      <c r="CG85" s="1165"/>
      <c r="CH85" s="1165"/>
      <c r="CI85" s="1165"/>
      <c r="CJ85" s="1165"/>
      <c r="CK85" s="1165"/>
      <c r="CL85" s="1165"/>
      <c r="CM85" s="1165"/>
      <c r="CN85" s="1165"/>
      <c r="CO85" s="1165"/>
      <c r="CP85" s="1165"/>
      <c r="CQ85" s="1165"/>
      <c r="CR85" s="1165"/>
      <c r="CS85" s="1165"/>
      <c r="CT85" s="1165"/>
      <c r="CU85" s="1165"/>
      <c r="CV85" s="1165"/>
      <c r="CW85" s="1165"/>
      <c r="CX85" s="1106"/>
      <c r="CY85" s="1106"/>
      <c r="CZ85" s="1106"/>
      <c r="DA85" s="1107"/>
      <c r="DB85" s="1104"/>
    </row>
    <row r="86" spans="2:106" ht="11.25" customHeight="1">
      <c r="B86" s="1105"/>
      <c r="C86" s="1165"/>
      <c r="D86" s="1165"/>
      <c r="E86" s="1165"/>
      <c r="F86" s="1165"/>
      <c r="G86" s="1165"/>
      <c r="H86" s="1165"/>
      <c r="I86" s="1165"/>
      <c r="J86" s="1165"/>
      <c r="K86" s="1165"/>
      <c r="L86" s="1165"/>
      <c r="M86" s="1165"/>
      <c r="N86" s="1165"/>
      <c r="O86" s="1165"/>
      <c r="P86" s="1165"/>
      <c r="Q86" s="1165"/>
      <c r="R86" s="1165"/>
      <c r="S86" s="1165"/>
      <c r="T86" s="1165"/>
      <c r="U86" s="1165"/>
      <c r="V86" s="1165"/>
      <c r="W86" s="1165"/>
      <c r="X86" s="1165"/>
      <c r="Y86" s="1165"/>
      <c r="Z86" s="1165"/>
      <c r="AA86" s="1165"/>
      <c r="AB86" s="1165"/>
      <c r="AC86" s="1165"/>
      <c r="AD86" s="1165"/>
      <c r="AE86" s="1165"/>
      <c r="AF86" s="1165"/>
      <c r="AG86" s="1165"/>
      <c r="AH86" s="1165"/>
      <c r="AI86" s="1165"/>
      <c r="AJ86" s="1165"/>
      <c r="AK86" s="1165"/>
      <c r="AL86" s="1165"/>
      <c r="AM86" s="1165"/>
      <c r="AN86" s="1165"/>
      <c r="AO86" s="1165"/>
      <c r="AP86" s="1165"/>
      <c r="AQ86" s="1165"/>
      <c r="AR86" s="1165"/>
      <c r="AS86" s="1165"/>
      <c r="AT86" s="1165"/>
      <c r="AU86" s="1165"/>
      <c r="AV86" s="1165"/>
      <c r="AW86" s="1165"/>
      <c r="AX86" s="1165"/>
      <c r="AY86" s="1165"/>
      <c r="AZ86" s="1165"/>
      <c r="BA86" s="1165"/>
      <c r="BB86" s="1165"/>
      <c r="BC86" s="1165"/>
      <c r="BD86" s="1165"/>
      <c r="BE86" s="1165"/>
      <c r="BF86" s="1165"/>
      <c r="BG86" s="1165"/>
      <c r="BH86" s="1165"/>
      <c r="BI86" s="1165"/>
      <c r="BJ86" s="1165"/>
      <c r="BK86" s="1165"/>
      <c r="BL86" s="1165"/>
      <c r="BM86" s="1165"/>
      <c r="BN86" s="1165"/>
      <c r="BO86" s="1165"/>
      <c r="BP86" s="1165"/>
      <c r="BQ86" s="1165"/>
      <c r="BR86" s="1165"/>
      <c r="BS86" s="1165"/>
      <c r="BT86" s="1165"/>
      <c r="BU86" s="1165"/>
      <c r="BV86" s="1165"/>
      <c r="BW86" s="1165"/>
      <c r="BX86" s="1165"/>
      <c r="BY86" s="1165"/>
      <c r="BZ86" s="1165"/>
      <c r="CA86" s="1165"/>
      <c r="CB86" s="1165"/>
      <c r="CC86" s="1165"/>
      <c r="CD86" s="1165"/>
      <c r="CE86" s="1165"/>
      <c r="CF86" s="1165"/>
      <c r="CG86" s="1165"/>
      <c r="CH86" s="1165"/>
      <c r="CI86" s="1165"/>
      <c r="CJ86" s="1165"/>
      <c r="CK86" s="1165"/>
      <c r="CL86" s="1165"/>
      <c r="CM86" s="1165"/>
      <c r="CN86" s="1165"/>
      <c r="CO86" s="1165"/>
      <c r="CP86" s="1165"/>
      <c r="CQ86" s="1165"/>
      <c r="CR86" s="1165"/>
      <c r="CS86" s="1165"/>
      <c r="CT86" s="1165"/>
      <c r="CU86" s="1165"/>
      <c r="CV86" s="1165"/>
      <c r="CW86" s="1165"/>
      <c r="CX86" s="1106"/>
      <c r="CY86" s="1106"/>
      <c r="CZ86" s="1106"/>
      <c r="DA86" s="1107"/>
      <c r="DB86" s="1104"/>
    </row>
    <row r="87" spans="2:106" ht="11.25" customHeight="1">
      <c r="B87" s="1105"/>
      <c r="C87" s="1165"/>
      <c r="D87" s="1165"/>
      <c r="E87" s="1165"/>
      <c r="F87" s="1165"/>
      <c r="G87" s="1165"/>
      <c r="H87" s="1165" t="s">
        <v>899</v>
      </c>
      <c r="I87" s="1165"/>
      <c r="J87" s="1165"/>
      <c r="K87" s="1165"/>
      <c r="L87" s="1165"/>
      <c r="M87" s="1165"/>
      <c r="N87" s="1165"/>
      <c r="O87" s="1165" t="s">
        <v>217</v>
      </c>
      <c r="P87" s="1165"/>
      <c r="Q87" s="1165" t="str">
        <f>TEXT(CY68,"#,###.##")</f>
        <v>3,453.9</v>
      </c>
      <c r="R87" s="1165"/>
      <c r="S87" s="1165"/>
      <c r="T87" s="1165"/>
      <c r="U87" s="1165"/>
      <c r="V87" s="1165"/>
      <c r="W87" s="1165"/>
      <c r="X87" s="1165"/>
      <c r="Y87" s="1165" t="s">
        <v>209</v>
      </c>
      <c r="Z87" s="1165"/>
      <c r="AA87" s="1165" t="str">
        <f>TEXT(CY83,"#,###.##")</f>
        <v>2,169.1</v>
      </c>
      <c r="AB87" s="1165"/>
      <c r="AC87" s="1165"/>
      <c r="AD87" s="1165"/>
      <c r="AE87" s="1165"/>
      <c r="AF87" s="1165"/>
      <c r="AG87" s="1165"/>
      <c r="AH87" s="1165"/>
      <c r="AI87" s="1165" t="s">
        <v>227</v>
      </c>
      <c r="AJ87" s="1165"/>
      <c r="AK87" s="1165"/>
      <c r="AL87" s="1165" t="str">
        <f>TEXT(TRUNC(CY68+CY83,0),"#,##0")</f>
        <v>5,623</v>
      </c>
      <c r="AM87" s="1165"/>
      <c r="AN87" s="1165"/>
      <c r="AO87" s="1165"/>
      <c r="AP87" s="1165"/>
      <c r="AQ87" s="1165"/>
      <c r="AR87" s="1165"/>
      <c r="AS87" s="1165"/>
      <c r="AT87" s="1165"/>
      <c r="AU87" s="1165"/>
      <c r="AV87" s="1165"/>
      <c r="AW87" s="1165"/>
      <c r="AX87" s="1165"/>
      <c r="AY87" s="1165"/>
      <c r="AZ87" s="1165"/>
      <c r="BA87" s="1165"/>
      <c r="BB87" s="1165"/>
      <c r="BC87" s="1165"/>
      <c r="BD87" s="1165"/>
      <c r="BE87" s="1165"/>
      <c r="BF87" s="1165"/>
      <c r="BG87" s="1165"/>
      <c r="BH87" s="1165"/>
      <c r="BI87" s="1165"/>
      <c r="BJ87" s="1165"/>
      <c r="BK87" s="1165"/>
      <c r="BL87" s="1165"/>
      <c r="BM87" s="1165"/>
      <c r="BN87" s="1165"/>
      <c r="BO87" s="1165"/>
      <c r="BP87" s="1165"/>
      <c r="BQ87" s="1165"/>
      <c r="BR87" s="1165"/>
      <c r="BS87" s="1165"/>
      <c r="BT87" s="1165"/>
      <c r="BU87" s="1165"/>
      <c r="BV87" s="1165"/>
      <c r="BW87" s="1165"/>
      <c r="BX87" s="1165"/>
      <c r="BY87" s="1165"/>
      <c r="BZ87" s="1165"/>
      <c r="CA87" s="1165"/>
      <c r="CB87" s="1165"/>
      <c r="CC87" s="1165"/>
      <c r="CD87" s="1165"/>
      <c r="CE87" s="1165"/>
      <c r="CF87" s="1165"/>
      <c r="CG87" s="1165"/>
      <c r="CH87" s="1165"/>
      <c r="CI87" s="1165"/>
      <c r="CJ87" s="1165"/>
      <c r="CK87" s="1165"/>
      <c r="CL87" s="1165"/>
      <c r="CM87" s="1165"/>
      <c r="CN87" s="1165"/>
      <c r="CO87" s="1165"/>
      <c r="CP87" s="1165"/>
      <c r="CQ87" s="1165"/>
      <c r="CR87" s="1165"/>
      <c r="CS87" s="1165"/>
      <c r="CT87" s="1165"/>
      <c r="CU87" s="1165"/>
      <c r="CV87" s="1165"/>
      <c r="CW87" s="1165"/>
      <c r="CX87" s="1106"/>
      <c r="CY87" s="1106"/>
      <c r="CZ87" s="1106"/>
      <c r="DA87" s="1107"/>
      <c r="DB87" s="1104"/>
    </row>
    <row r="88" spans="2:106" ht="11.25" customHeight="1">
      <c r="B88" s="1105"/>
      <c r="C88" s="1165"/>
      <c r="D88" s="1165"/>
      <c r="E88" s="1165"/>
      <c r="F88" s="1165"/>
      <c r="G88" s="1165"/>
      <c r="H88" s="1165" t="s">
        <v>892</v>
      </c>
      <c r="I88" s="1165"/>
      <c r="J88" s="1165"/>
      <c r="K88" s="1165"/>
      <c r="L88" s="1165"/>
      <c r="M88" s="1165"/>
      <c r="N88" s="1165"/>
      <c r="O88" s="1165" t="s">
        <v>217</v>
      </c>
      <c r="P88" s="1165"/>
      <c r="Q88" s="1165" t="e">
        <f>TEXT(TRUNC(CZ83,0),"#,##0")</f>
        <v>#REF!</v>
      </c>
      <c r="R88" s="1165"/>
      <c r="S88" s="1165"/>
      <c r="T88" s="1165"/>
      <c r="U88" s="1165"/>
      <c r="V88" s="1165"/>
      <c r="W88" s="1165"/>
      <c r="X88" s="1165"/>
      <c r="Y88" s="1165"/>
      <c r="Z88" s="1165"/>
      <c r="AA88" s="1165"/>
      <c r="AB88" s="1165"/>
      <c r="AC88" s="1165"/>
      <c r="AD88" s="1165"/>
      <c r="AE88" s="1165"/>
      <c r="AF88" s="1165"/>
      <c r="AG88" s="1165"/>
      <c r="AH88" s="1165"/>
      <c r="AI88" s="1165"/>
      <c r="AJ88" s="1165"/>
      <c r="AK88" s="1165"/>
      <c r="AL88" s="1165"/>
      <c r="AM88" s="1165"/>
      <c r="AN88" s="1165"/>
      <c r="AO88" s="1165"/>
      <c r="AP88" s="1165"/>
      <c r="AQ88" s="1165"/>
      <c r="AR88" s="1165"/>
      <c r="AS88" s="1165"/>
      <c r="AT88" s="1165"/>
      <c r="AU88" s="1165"/>
      <c r="AV88" s="1165"/>
      <c r="AW88" s="1165"/>
      <c r="AX88" s="1165"/>
      <c r="AY88" s="1165"/>
      <c r="AZ88" s="1165"/>
      <c r="BA88" s="1165"/>
      <c r="BB88" s="1165"/>
      <c r="BC88" s="1165"/>
      <c r="BD88" s="1165"/>
      <c r="BE88" s="1165"/>
      <c r="BF88" s="1165"/>
      <c r="BG88" s="1165"/>
      <c r="BH88" s="1165"/>
      <c r="BI88" s="1165"/>
      <c r="BJ88" s="1165"/>
      <c r="BK88" s="1165"/>
      <c r="BL88" s="1165"/>
      <c r="BM88" s="1165"/>
      <c r="BN88" s="1165"/>
      <c r="BO88" s="1165"/>
      <c r="BP88" s="1165"/>
      <c r="BQ88" s="1165"/>
      <c r="BR88" s="1165"/>
      <c r="BS88" s="1165"/>
      <c r="BT88" s="1165"/>
      <c r="BU88" s="1165"/>
      <c r="BV88" s="1165"/>
      <c r="BW88" s="1165"/>
      <c r="BX88" s="1165"/>
      <c r="BY88" s="1165"/>
      <c r="BZ88" s="1165"/>
      <c r="CA88" s="1165"/>
      <c r="CB88" s="1165"/>
      <c r="CC88" s="1165"/>
      <c r="CD88" s="1165"/>
      <c r="CE88" s="1165"/>
      <c r="CF88" s="1165"/>
      <c r="CG88" s="1165"/>
      <c r="CH88" s="1165"/>
      <c r="CI88" s="1165"/>
      <c r="CJ88" s="1165"/>
      <c r="CK88" s="1165"/>
      <c r="CL88" s="1165"/>
      <c r="CM88" s="1165"/>
      <c r="CN88" s="1165"/>
      <c r="CO88" s="1165"/>
      <c r="CP88" s="1165"/>
      <c r="CQ88" s="1165"/>
      <c r="CR88" s="1165"/>
      <c r="CS88" s="1165"/>
      <c r="CT88" s="1165"/>
      <c r="CU88" s="1165"/>
      <c r="CV88" s="1165"/>
      <c r="CW88" s="1165"/>
      <c r="CX88" s="1106"/>
      <c r="CY88" s="1106"/>
      <c r="CZ88" s="1106"/>
      <c r="DA88" s="1107"/>
      <c r="DB88" s="1104"/>
    </row>
    <row r="89" spans="2:106" ht="11.25" customHeight="1">
      <c r="B89" s="1105"/>
      <c r="C89" s="1165"/>
      <c r="D89" s="1165"/>
      <c r="E89" s="1165"/>
      <c r="F89" s="1165"/>
      <c r="G89" s="1165"/>
      <c r="H89" s="1165" t="s">
        <v>1022</v>
      </c>
      <c r="I89" s="1165"/>
      <c r="J89" s="1165"/>
      <c r="K89" s="1165"/>
      <c r="L89" s="1165" t="s">
        <v>1023</v>
      </c>
      <c r="M89" s="1165"/>
      <c r="N89" s="1165"/>
      <c r="O89" s="1165" t="s">
        <v>217</v>
      </c>
      <c r="P89" s="1165"/>
      <c r="Q89" s="1165" t="str">
        <f>TEXT(TRUNC(DA83,0),"#,##0")</f>
        <v>509</v>
      </c>
      <c r="R89" s="1165"/>
      <c r="S89" s="1165"/>
      <c r="T89" s="1165"/>
      <c r="U89" s="1165"/>
      <c r="V89" s="1165"/>
      <c r="W89" s="1165"/>
      <c r="X89" s="1165"/>
      <c r="Y89" s="1165"/>
      <c r="Z89" s="1165"/>
      <c r="AA89" s="1165"/>
      <c r="AB89" s="1165"/>
      <c r="AC89" s="1165"/>
      <c r="AD89" s="1165"/>
      <c r="AE89" s="1165"/>
      <c r="AF89" s="1165"/>
      <c r="AG89" s="1165"/>
      <c r="AH89" s="1165"/>
      <c r="AI89" s="1165"/>
      <c r="AJ89" s="1165"/>
      <c r="AK89" s="1165"/>
      <c r="AL89" s="1165"/>
      <c r="AM89" s="1165"/>
      <c r="AN89" s="1165"/>
      <c r="AO89" s="1165"/>
      <c r="AP89" s="1165"/>
      <c r="AQ89" s="1165"/>
      <c r="AR89" s="1165"/>
      <c r="AS89" s="1165"/>
      <c r="AT89" s="1165"/>
      <c r="AU89" s="1165"/>
      <c r="AV89" s="1165"/>
      <c r="AW89" s="1165"/>
      <c r="AX89" s="1165"/>
      <c r="AY89" s="1165"/>
      <c r="AZ89" s="1165"/>
      <c r="BA89" s="1165"/>
      <c r="BB89" s="1165"/>
      <c r="BC89" s="1165"/>
      <c r="BD89" s="1165"/>
      <c r="BE89" s="1165"/>
      <c r="BF89" s="1165"/>
      <c r="BG89" s="1165"/>
      <c r="BH89" s="1165"/>
      <c r="BI89" s="1165"/>
      <c r="BJ89" s="1165"/>
      <c r="BK89" s="1165"/>
      <c r="BL89" s="1165"/>
      <c r="BM89" s="1165"/>
      <c r="BN89" s="1165"/>
      <c r="BO89" s="1165"/>
      <c r="BP89" s="1165"/>
      <c r="BQ89" s="1165"/>
      <c r="BR89" s="1165"/>
      <c r="BS89" s="1165"/>
      <c r="BT89" s="1165"/>
      <c r="BU89" s="1165"/>
      <c r="BV89" s="1165"/>
      <c r="BW89" s="1165"/>
      <c r="BX89" s="1165"/>
      <c r="BY89" s="1165"/>
      <c r="BZ89" s="1165"/>
      <c r="CA89" s="1165"/>
      <c r="CB89" s="1165"/>
      <c r="CC89" s="1165"/>
      <c r="CD89" s="1165"/>
      <c r="CE89" s="1165"/>
      <c r="CF89" s="1165"/>
      <c r="CG89" s="1165"/>
      <c r="CH89" s="1165"/>
      <c r="CI89" s="1165"/>
      <c r="CJ89" s="1165"/>
      <c r="CK89" s="1165"/>
      <c r="CL89" s="1165"/>
      <c r="CM89" s="1165"/>
      <c r="CN89" s="1165"/>
      <c r="CO89" s="1165"/>
      <c r="CP89" s="1165"/>
      <c r="CQ89" s="1165"/>
      <c r="CR89" s="1165"/>
      <c r="CS89" s="1165"/>
      <c r="CT89" s="1165"/>
      <c r="CU89" s="1165"/>
      <c r="CV89" s="1165"/>
      <c r="CW89" s="1165"/>
      <c r="CX89" s="1106"/>
      <c r="CY89" s="1106"/>
      <c r="CZ89" s="1106"/>
      <c r="DA89" s="1107"/>
      <c r="DB89" s="1104"/>
    </row>
    <row r="90" spans="2:106" ht="11.25" customHeight="1">
      <c r="B90" s="1105"/>
      <c r="C90" s="1165"/>
      <c r="D90" s="1165"/>
      <c r="E90" s="1165"/>
      <c r="F90" s="1165"/>
      <c r="G90" s="1165"/>
      <c r="H90" s="1165"/>
      <c r="I90" s="1165"/>
      <c r="J90" s="1165" t="s">
        <v>179</v>
      </c>
      <c r="K90" s="1165"/>
      <c r="L90" s="1165"/>
      <c r="M90" s="1165"/>
      <c r="N90" s="1165"/>
      <c r="O90" s="1165" t="s">
        <v>217</v>
      </c>
      <c r="P90" s="1165"/>
      <c r="Q90" s="1165"/>
      <c r="R90" s="1165" t="e">
        <f>TEXT(AL87+Q88+Q89,"#,##0")</f>
        <v>#REF!</v>
      </c>
      <c r="S90" s="1165"/>
      <c r="T90" s="1165"/>
      <c r="U90" s="1165"/>
      <c r="V90" s="1165"/>
      <c r="W90" s="1165"/>
      <c r="X90" s="1165"/>
      <c r="Y90" s="1165"/>
      <c r="Z90" s="1165"/>
      <c r="AA90" s="1165"/>
      <c r="AB90" s="1165"/>
      <c r="AC90" s="1165"/>
      <c r="AD90" s="1165"/>
      <c r="AE90" s="1165"/>
      <c r="AF90" s="1165"/>
      <c r="AG90" s="1165"/>
      <c r="AH90" s="1165"/>
      <c r="AI90" s="1165"/>
      <c r="AJ90" s="1165"/>
      <c r="AK90" s="1165"/>
      <c r="AL90" s="1165"/>
      <c r="AM90" s="1165"/>
      <c r="AN90" s="1165"/>
      <c r="AO90" s="1165"/>
      <c r="AP90" s="1165"/>
      <c r="AQ90" s="1165"/>
      <c r="AR90" s="1165"/>
      <c r="AS90" s="1165"/>
      <c r="AT90" s="1165"/>
      <c r="AU90" s="1165"/>
      <c r="AV90" s="1165"/>
      <c r="AW90" s="1165"/>
      <c r="AX90" s="1165"/>
      <c r="AY90" s="1165"/>
      <c r="AZ90" s="1165"/>
      <c r="BA90" s="1165"/>
      <c r="BB90" s="1165"/>
      <c r="BC90" s="1165"/>
      <c r="BD90" s="1165"/>
      <c r="BE90" s="1165"/>
      <c r="BF90" s="1165"/>
      <c r="BG90" s="1165"/>
      <c r="BH90" s="1165"/>
      <c r="BI90" s="1165"/>
      <c r="BJ90" s="1165"/>
      <c r="BK90" s="1165"/>
      <c r="BL90" s="1165"/>
      <c r="BM90" s="1165"/>
      <c r="BN90" s="1165"/>
      <c r="BO90" s="1165"/>
      <c r="BP90" s="1165"/>
      <c r="BQ90" s="1165"/>
      <c r="BR90" s="1165"/>
      <c r="BS90" s="1165"/>
      <c r="BT90" s="1165"/>
      <c r="BU90" s="1165"/>
      <c r="BV90" s="1165"/>
      <c r="BW90" s="1165"/>
      <c r="BX90" s="1165"/>
      <c r="BY90" s="1165"/>
      <c r="BZ90" s="1165"/>
      <c r="CA90" s="1165"/>
      <c r="CB90" s="1165"/>
      <c r="CC90" s="1165"/>
      <c r="CD90" s="1165"/>
      <c r="CE90" s="1165"/>
      <c r="CF90" s="1165"/>
      <c r="CG90" s="1165"/>
      <c r="CH90" s="1165"/>
      <c r="CI90" s="1165"/>
      <c r="CJ90" s="1165"/>
      <c r="CK90" s="1165"/>
      <c r="CL90" s="1165"/>
      <c r="CM90" s="1165"/>
      <c r="CN90" s="1165"/>
      <c r="CO90" s="1165"/>
      <c r="CP90" s="1165"/>
      <c r="CQ90" s="1165"/>
      <c r="CR90" s="1165"/>
      <c r="CS90" s="1165"/>
      <c r="CT90" s="1165"/>
      <c r="CU90" s="1165"/>
      <c r="CV90" s="1165"/>
      <c r="CW90" s="1165"/>
      <c r="CX90" s="1108" t="e">
        <f>CY90+CZ90+DA90</f>
        <v>#REF!</v>
      </c>
      <c r="CY90" s="1106" t="str">
        <f>TEXT(AL87,"#,##0")</f>
        <v>5,623</v>
      </c>
      <c r="CZ90" s="1106" t="e">
        <f>TEXT(Q88,"#,##0")</f>
        <v>#REF!</v>
      </c>
      <c r="DA90" s="1107" t="str">
        <f>TEXT(Q89,"#,##0")</f>
        <v>509</v>
      </c>
      <c r="DB90" s="1104"/>
    </row>
    <row r="91" spans="2:106" ht="11.25" customHeight="1">
      <c r="B91" s="1105"/>
      <c r="C91" s="1165"/>
      <c r="D91" s="1165"/>
      <c r="E91" s="1165"/>
      <c r="F91" s="1165"/>
      <c r="G91" s="1165"/>
      <c r="H91" s="1165"/>
      <c r="I91" s="1165"/>
      <c r="J91" s="1165"/>
      <c r="K91" s="1165"/>
      <c r="L91" s="1165"/>
      <c r="M91" s="1165"/>
      <c r="N91" s="1165"/>
      <c r="O91" s="1165"/>
      <c r="P91" s="1165"/>
      <c r="Q91" s="1165"/>
      <c r="R91" s="1165"/>
      <c r="S91" s="1165"/>
      <c r="T91" s="1165"/>
      <c r="U91" s="1165"/>
      <c r="V91" s="1165"/>
      <c r="W91" s="1165"/>
      <c r="X91" s="1165"/>
      <c r="Y91" s="1165"/>
      <c r="Z91" s="1165"/>
      <c r="AA91" s="1165"/>
      <c r="AB91" s="1165"/>
      <c r="AC91" s="1165"/>
      <c r="AD91" s="1165"/>
      <c r="AE91" s="1165"/>
      <c r="AF91" s="1165"/>
      <c r="AG91" s="1165"/>
      <c r="AH91" s="1165"/>
      <c r="AI91" s="1165"/>
      <c r="AJ91" s="1165"/>
      <c r="AK91" s="1165"/>
      <c r="AL91" s="1165"/>
      <c r="AM91" s="1165"/>
      <c r="AN91" s="1165"/>
      <c r="AO91" s="1165"/>
      <c r="AP91" s="1165"/>
      <c r="AQ91" s="1165"/>
      <c r="AR91" s="1165"/>
      <c r="AS91" s="1165"/>
      <c r="AT91" s="1165"/>
      <c r="AU91" s="1165"/>
      <c r="AV91" s="1165"/>
      <c r="AW91" s="1165"/>
      <c r="AX91" s="1165"/>
      <c r="AY91" s="1165"/>
      <c r="AZ91" s="1165"/>
      <c r="BA91" s="1165"/>
      <c r="BB91" s="1165"/>
      <c r="BC91" s="1165"/>
      <c r="BD91" s="1165"/>
      <c r="BE91" s="1165"/>
      <c r="BF91" s="1165"/>
      <c r="BG91" s="1165"/>
      <c r="BH91" s="1165"/>
      <c r="BI91" s="1165"/>
      <c r="BJ91" s="1165"/>
      <c r="BK91" s="1165"/>
      <c r="BL91" s="1165"/>
      <c r="BM91" s="1165"/>
      <c r="BN91" s="1165"/>
      <c r="BO91" s="1165"/>
      <c r="BP91" s="1165"/>
      <c r="BQ91" s="1165"/>
      <c r="BR91" s="1165"/>
      <c r="BS91" s="1165"/>
      <c r="BT91" s="1165"/>
      <c r="BU91" s="1165"/>
      <c r="BV91" s="1165"/>
      <c r="BW91" s="1165"/>
      <c r="BX91" s="1165"/>
      <c r="BY91" s="1165"/>
      <c r="BZ91" s="1165"/>
      <c r="CA91" s="1165"/>
      <c r="CB91" s="1165"/>
      <c r="CC91" s="1165"/>
      <c r="CD91" s="1165"/>
      <c r="CE91" s="1165"/>
      <c r="CF91" s="1165"/>
      <c r="CG91" s="1165"/>
      <c r="CH91" s="1165"/>
      <c r="CI91" s="1165"/>
      <c r="CJ91" s="1165"/>
      <c r="CK91" s="1165"/>
      <c r="CL91" s="1165"/>
      <c r="CM91" s="1165"/>
      <c r="CN91" s="1165"/>
      <c r="CO91" s="1165"/>
      <c r="CP91" s="1165"/>
      <c r="CQ91" s="1165"/>
      <c r="CR91" s="1165"/>
      <c r="CS91" s="1165"/>
      <c r="CT91" s="1165"/>
      <c r="CU91" s="1165"/>
      <c r="CV91" s="1165"/>
      <c r="CW91" s="1165"/>
      <c r="CX91" s="1108"/>
      <c r="CY91" s="1106"/>
      <c r="CZ91" s="1106"/>
      <c r="DA91" s="1107"/>
      <c r="DB91" s="1104"/>
    </row>
    <row r="92" spans="2:106" ht="11.25" customHeight="1">
      <c r="B92" s="1105"/>
      <c r="C92" s="1165"/>
      <c r="D92" s="1165"/>
      <c r="E92" s="1165"/>
      <c r="F92" s="1165"/>
      <c r="G92" s="1165"/>
      <c r="H92" s="1165"/>
      <c r="I92" s="1165"/>
      <c r="J92" s="1165"/>
      <c r="K92" s="1165"/>
      <c r="L92" s="1165"/>
      <c r="M92" s="1165"/>
      <c r="N92" s="1165"/>
      <c r="O92" s="1165"/>
      <c r="P92" s="1165"/>
      <c r="Q92" s="1165"/>
      <c r="R92" s="1165"/>
      <c r="S92" s="1165"/>
      <c r="T92" s="1165"/>
      <c r="U92" s="1165"/>
      <c r="V92" s="1165"/>
      <c r="W92" s="1165"/>
      <c r="X92" s="1165"/>
      <c r="Y92" s="1165"/>
      <c r="Z92" s="1165"/>
      <c r="AA92" s="1165"/>
      <c r="AB92" s="1165"/>
      <c r="AC92" s="1165"/>
      <c r="AD92" s="1165"/>
      <c r="AE92" s="1165"/>
      <c r="AF92" s="1165"/>
      <c r="AG92" s="1165"/>
      <c r="AH92" s="1165"/>
      <c r="AI92" s="1165"/>
      <c r="AJ92" s="1165"/>
      <c r="AK92" s="1165"/>
      <c r="AL92" s="1165"/>
      <c r="AM92" s="1165"/>
      <c r="AN92" s="1165"/>
      <c r="AO92" s="1165"/>
      <c r="AP92" s="1165"/>
      <c r="AQ92" s="1165"/>
      <c r="AR92" s="1165"/>
      <c r="AS92" s="1165"/>
      <c r="AT92" s="1165"/>
      <c r="AU92" s="1165"/>
      <c r="AV92" s="1165"/>
      <c r="AW92" s="1165"/>
      <c r="AX92" s="1165"/>
      <c r="AY92" s="1165"/>
      <c r="AZ92" s="1165"/>
      <c r="BA92" s="1165"/>
      <c r="BB92" s="1165"/>
      <c r="BC92" s="1165"/>
      <c r="BD92" s="1165"/>
      <c r="BE92" s="1165"/>
      <c r="BF92" s="1165"/>
      <c r="BG92" s="1165"/>
      <c r="BH92" s="1165"/>
      <c r="BI92" s="1165"/>
      <c r="BJ92" s="1165"/>
      <c r="BK92" s="1165"/>
      <c r="BL92" s="1165"/>
      <c r="BM92" s="1165"/>
      <c r="BN92" s="1165"/>
      <c r="BO92" s="1165"/>
      <c r="BP92" s="1165"/>
      <c r="BQ92" s="1165"/>
      <c r="BR92" s="1165"/>
      <c r="BS92" s="1165"/>
      <c r="BT92" s="1165"/>
      <c r="BU92" s="1165"/>
      <c r="BV92" s="1165"/>
      <c r="BW92" s="1165"/>
      <c r="BX92" s="1165"/>
      <c r="BY92" s="1165"/>
      <c r="BZ92" s="1165"/>
      <c r="CA92" s="1165"/>
      <c r="CB92" s="1165"/>
      <c r="CC92" s="1165"/>
      <c r="CD92" s="1165"/>
      <c r="CE92" s="1165"/>
      <c r="CF92" s="1165"/>
      <c r="CG92" s="1165"/>
      <c r="CH92" s="1165"/>
      <c r="CI92" s="1165"/>
      <c r="CJ92" s="1165"/>
      <c r="CK92" s="1165"/>
      <c r="CL92" s="1165"/>
      <c r="CM92" s="1165"/>
      <c r="CN92" s="1165"/>
      <c r="CO92" s="1165"/>
      <c r="CP92" s="1165"/>
      <c r="CQ92" s="1165"/>
      <c r="CR92" s="1165"/>
      <c r="CS92" s="1165"/>
      <c r="CT92" s="1165"/>
      <c r="CU92" s="1165"/>
      <c r="CV92" s="1165"/>
      <c r="CW92" s="1165"/>
      <c r="CX92" s="1108"/>
      <c r="CY92" s="1106"/>
      <c r="CZ92" s="1106"/>
      <c r="DA92" s="1107"/>
      <c r="DB92" s="1104"/>
    </row>
    <row r="93" spans="2:106" ht="11.25" customHeight="1">
      <c r="B93" s="1105"/>
      <c r="C93" s="1165"/>
      <c r="D93" s="1165"/>
      <c r="E93" s="1165"/>
      <c r="F93" s="1165"/>
      <c r="G93" s="1165"/>
      <c r="H93" s="1165"/>
      <c r="I93" s="1165"/>
      <c r="J93" s="1165"/>
      <c r="K93" s="1165"/>
      <c r="L93" s="1165"/>
      <c r="M93" s="1165"/>
      <c r="N93" s="1165"/>
      <c r="O93" s="1165"/>
      <c r="P93" s="1165"/>
      <c r="Q93" s="1165"/>
      <c r="R93" s="1165"/>
      <c r="S93" s="1165"/>
      <c r="T93" s="1165"/>
      <c r="U93" s="1165"/>
      <c r="V93" s="1165"/>
      <c r="W93" s="1165"/>
      <c r="X93" s="1165"/>
      <c r="Y93" s="1165"/>
      <c r="Z93" s="1165"/>
      <c r="AA93" s="1165"/>
      <c r="AB93" s="1165"/>
      <c r="AC93" s="1165"/>
      <c r="AD93" s="1165"/>
      <c r="AE93" s="1165"/>
      <c r="AF93" s="1165"/>
      <c r="AG93" s="1165"/>
      <c r="AH93" s="1165"/>
      <c r="AI93" s="1165"/>
      <c r="AJ93" s="1165"/>
      <c r="AK93" s="1165"/>
      <c r="AL93" s="1165"/>
      <c r="AM93" s="1165"/>
      <c r="AN93" s="1165"/>
      <c r="AO93" s="1165"/>
      <c r="AP93" s="1165"/>
      <c r="AQ93" s="1165"/>
      <c r="AR93" s="1165"/>
      <c r="AS93" s="1165"/>
      <c r="AT93" s="1165"/>
      <c r="AU93" s="1165"/>
      <c r="AV93" s="1165"/>
      <c r="AW93" s="1165"/>
      <c r="AX93" s="1165"/>
      <c r="AY93" s="1165"/>
      <c r="AZ93" s="1165"/>
      <c r="BA93" s="1165"/>
      <c r="BB93" s="1165"/>
      <c r="BC93" s="1165"/>
      <c r="BD93" s="1165"/>
      <c r="BE93" s="1165"/>
      <c r="BF93" s="1165"/>
      <c r="BG93" s="1165"/>
      <c r="BH93" s="1165"/>
      <c r="BI93" s="1165"/>
      <c r="BJ93" s="1165"/>
      <c r="BK93" s="1165"/>
      <c r="BL93" s="1165"/>
      <c r="BM93" s="1165"/>
      <c r="BN93" s="1165"/>
      <c r="BO93" s="1165"/>
      <c r="BP93" s="1165"/>
      <c r="BQ93" s="1165"/>
      <c r="BR93" s="1165"/>
      <c r="BS93" s="1165"/>
      <c r="BT93" s="1165"/>
      <c r="BU93" s="1165"/>
      <c r="BV93" s="1165"/>
      <c r="BW93" s="1165"/>
      <c r="BX93" s="1165"/>
      <c r="BY93" s="1165"/>
      <c r="BZ93" s="1165"/>
      <c r="CA93" s="1165"/>
      <c r="CB93" s="1165"/>
      <c r="CC93" s="1165"/>
      <c r="CD93" s="1165"/>
      <c r="CE93" s="1165"/>
      <c r="CF93" s="1165"/>
      <c r="CG93" s="1165"/>
      <c r="CH93" s="1165"/>
      <c r="CI93" s="1165"/>
      <c r="CJ93" s="1165"/>
      <c r="CK93" s="1165"/>
      <c r="CL93" s="1165"/>
      <c r="CM93" s="1165"/>
      <c r="CN93" s="1165"/>
      <c r="CO93" s="1165"/>
      <c r="CP93" s="1165"/>
      <c r="CQ93" s="1165"/>
      <c r="CR93" s="1165"/>
      <c r="CS93" s="1165"/>
      <c r="CT93" s="1165"/>
      <c r="CU93" s="1165"/>
      <c r="CV93" s="1165"/>
      <c r="CW93" s="1165"/>
      <c r="CX93" s="1108"/>
      <c r="CY93" s="1106"/>
      <c r="CZ93" s="1106"/>
      <c r="DA93" s="1107"/>
      <c r="DB93" s="1104"/>
    </row>
    <row r="94" spans="2:106" ht="11.25" customHeight="1">
      <c r="B94" s="1109"/>
      <c r="C94" s="1184"/>
      <c r="D94" s="1184"/>
      <c r="E94" s="1184"/>
      <c r="F94" s="1184"/>
      <c r="G94" s="1184"/>
      <c r="H94" s="1184"/>
      <c r="I94" s="1184"/>
      <c r="J94" s="1184"/>
      <c r="K94" s="1184"/>
      <c r="L94" s="1184"/>
      <c r="M94" s="1184"/>
      <c r="N94" s="1184"/>
      <c r="O94" s="1184"/>
      <c r="P94" s="1184"/>
      <c r="Q94" s="1184"/>
      <c r="R94" s="1184"/>
      <c r="S94" s="1184"/>
      <c r="T94" s="1184"/>
      <c r="U94" s="1184"/>
      <c r="V94" s="1184"/>
      <c r="W94" s="1184"/>
      <c r="X94" s="1184"/>
      <c r="Y94" s="1184"/>
      <c r="Z94" s="1184"/>
      <c r="AA94" s="1184"/>
      <c r="AB94" s="1184"/>
      <c r="AC94" s="1184"/>
      <c r="AD94" s="1184"/>
      <c r="AE94" s="1184"/>
      <c r="AF94" s="1184"/>
      <c r="AG94" s="1184"/>
      <c r="AH94" s="1184"/>
      <c r="AI94" s="1184"/>
      <c r="AJ94" s="1184"/>
      <c r="AK94" s="1184"/>
      <c r="AL94" s="1184"/>
      <c r="AM94" s="1184"/>
      <c r="AN94" s="1184"/>
      <c r="AO94" s="1184"/>
      <c r="AP94" s="1184"/>
      <c r="AQ94" s="1184"/>
      <c r="AR94" s="1184"/>
      <c r="AS94" s="1184"/>
      <c r="AT94" s="1184"/>
      <c r="AU94" s="1184"/>
      <c r="AV94" s="1184"/>
      <c r="AW94" s="1184"/>
      <c r="AX94" s="1184"/>
      <c r="AY94" s="1184"/>
      <c r="AZ94" s="1184"/>
      <c r="BA94" s="1184"/>
      <c r="BB94" s="1184"/>
      <c r="BC94" s="1184"/>
      <c r="BD94" s="1184"/>
      <c r="BE94" s="1184"/>
      <c r="BF94" s="1184"/>
      <c r="BG94" s="1184"/>
      <c r="BH94" s="1184"/>
      <c r="BI94" s="1184"/>
      <c r="BJ94" s="1184"/>
      <c r="BK94" s="1184"/>
      <c r="BL94" s="1184"/>
      <c r="BM94" s="1184"/>
      <c r="BN94" s="1184"/>
      <c r="BO94" s="1184"/>
      <c r="BP94" s="1184"/>
      <c r="BQ94" s="1184"/>
      <c r="BR94" s="1184"/>
      <c r="BS94" s="1184"/>
      <c r="BT94" s="1184"/>
      <c r="BU94" s="1184"/>
      <c r="BV94" s="1184"/>
      <c r="BW94" s="1184"/>
      <c r="BX94" s="1184"/>
      <c r="BY94" s="1184"/>
      <c r="BZ94" s="1184"/>
      <c r="CA94" s="1184"/>
      <c r="CB94" s="1184"/>
      <c r="CC94" s="1184"/>
      <c r="CD94" s="1184"/>
      <c r="CE94" s="1184"/>
      <c r="CF94" s="1184"/>
      <c r="CG94" s="1184"/>
      <c r="CH94" s="1184"/>
      <c r="CI94" s="1184"/>
      <c r="CJ94" s="1184"/>
      <c r="CK94" s="1184"/>
      <c r="CL94" s="1184"/>
      <c r="CM94" s="1184"/>
      <c r="CN94" s="1184"/>
      <c r="CO94" s="1184"/>
      <c r="CP94" s="1184"/>
      <c r="CQ94" s="1184"/>
      <c r="CR94" s="1184"/>
      <c r="CS94" s="1184"/>
      <c r="CT94" s="1184"/>
      <c r="CU94" s="1184"/>
      <c r="CV94" s="1184"/>
      <c r="CW94" s="1184"/>
      <c r="CX94" s="1110"/>
      <c r="CY94" s="1110"/>
      <c r="CZ94" s="1110"/>
      <c r="DA94" s="1111"/>
      <c r="DB94" s="1104"/>
    </row>
    <row r="95" spans="2:106" ht="11.25" customHeight="1">
      <c r="B95" s="1185" t="s">
        <v>1039</v>
      </c>
      <c r="C95" s="1186"/>
      <c r="D95" s="1186"/>
      <c r="E95" s="1186"/>
      <c r="F95" s="1186"/>
      <c r="G95" s="1186"/>
      <c r="H95" s="1186"/>
      <c r="I95" s="1186"/>
      <c r="J95" s="1186"/>
      <c r="K95" s="1186"/>
      <c r="L95" s="1186"/>
      <c r="M95" s="1186"/>
      <c r="N95" s="1186"/>
      <c r="O95" s="1186"/>
      <c r="P95" s="1186"/>
      <c r="Q95" s="1186"/>
      <c r="R95" s="1186"/>
      <c r="S95" s="1186"/>
      <c r="T95" s="1186"/>
      <c r="U95" s="1186"/>
      <c r="V95" s="1186"/>
      <c r="W95" s="1186"/>
      <c r="X95" s="1186"/>
      <c r="Y95" s="1186"/>
      <c r="Z95" s="1186"/>
      <c r="AA95" s="1186"/>
      <c r="AB95" s="1186"/>
      <c r="AC95" s="1186"/>
      <c r="AD95" s="1186"/>
      <c r="AE95" s="1186"/>
      <c r="AF95" s="1186"/>
      <c r="AG95" s="1186"/>
      <c r="AH95" s="1186"/>
      <c r="AI95" s="1186"/>
      <c r="AJ95" s="1186"/>
      <c r="AK95" s="1186"/>
      <c r="AL95" s="1186"/>
      <c r="AM95" s="1186"/>
      <c r="AN95" s="1186"/>
      <c r="AO95" s="1186"/>
      <c r="AP95" s="1186"/>
      <c r="AQ95" s="1186"/>
      <c r="AR95" s="1186"/>
      <c r="AS95" s="1186"/>
      <c r="AT95" s="1186"/>
      <c r="AU95" s="1186"/>
      <c r="AV95" s="1186"/>
      <c r="AW95" s="1186"/>
      <c r="AX95" s="1186"/>
      <c r="AY95" s="1186"/>
      <c r="AZ95" s="1186"/>
      <c r="BA95" s="1186"/>
      <c r="BB95" s="1186"/>
      <c r="BC95" s="1186"/>
      <c r="BD95" s="1186"/>
      <c r="BE95" s="1186"/>
      <c r="BF95" s="1186"/>
      <c r="BG95" s="1186"/>
      <c r="BH95" s="1186"/>
      <c r="BI95" s="1186"/>
      <c r="BJ95" s="1186"/>
      <c r="BK95" s="1186"/>
      <c r="BL95" s="1186"/>
      <c r="BM95" s="1186"/>
      <c r="BN95" s="1186"/>
      <c r="BO95" s="1186"/>
      <c r="BP95" s="1186"/>
      <c r="BQ95" s="1186"/>
      <c r="BR95" s="1186"/>
      <c r="BS95" s="1186"/>
      <c r="BT95" s="1186"/>
      <c r="BU95" s="1186"/>
      <c r="BV95" s="1186"/>
      <c r="BW95" s="1186"/>
      <c r="BX95" s="1186"/>
      <c r="BY95" s="1186"/>
      <c r="BZ95" s="1186"/>
      <c r="CA95" s="1186"/>
      <c r="CB95" s="1186"/>
      <c r="CC95" s="1186"/>
      <c r="CD95" s="1186"/>
      <c r="CE95" s="1186"/>
      <c r="CF95" s="1186"/>
      <c r="CG95" s="1186"/>
      <c r="CH95" s="1186"/>
      <c r="CI95" s="1186"/>
      <c r="CJ95" s="1186"/>
      <c r="CK95" s="1186"/>
      <c r="CL95" s="1186"/>
      <c r="CM95" s="1186"/>
      <c r="CN95" s="1186"/>
      <c r="CO95" s="1186"/>
      <c r="CP95" s="1186"/>
      <c r="CQ95" s="1186"/>
      <c r="CR95" s="1186"/>
      <c r="CS95" s="1186"/>
      <c r="CT95" s="1186"/>
      <c r="CU95" s="1186"/>
      <c r="CV95" s="1186"/>
      <c r="CW95" s="1186"/>
      <c r="CX95" s="1187" t="e">
        <f>CX128</f>
        <v>#REF!</v>
      </c>
      <c r="CY95" s="1187" t="str">
        <f>CY128</f>
        <v>34,445</v>
      </c>
      <c r="CZ95" s="1187" t="e">
        <f>CZ128</f>
        <v>#REF!</v>
      </c>
      <c r="DA95" s="1188">
        <f>DA128</f>
        <v>0</v>
      </c>
      <c r="DB95" s="1104"/>
    </row>
    <row r="96" spans="2:106" ht="11.25" customHeight="1">
      <c r="B96" s="1105"/>
      <c r="C96" s="1165"/>
      <c r="D96" s="1165"/>
      <c r="E96" s="1165"/>
      <c r="F96" s="1165"/>
      <c r="G96" s="1165"/>
      <c r="H96" s="1165"/>
      <c r="I96" s="1165"/>
      <c r="J96" s="1165"/>
      <c r="K96" s="1165"/>
      <c r="L96" s="1165"/>
      <c r="M96" s="1165"/>
      <c r="N96" s="1165"/>
      <c r="O96" s="1165"/>
      <c r="P96" s="1165"/>
      <c r="Q96" s="1165"/>
      <c r="R96" s="1165"/>
      <c r="S96" s="1165"/>
      <c r="T96" s="1165"/>
      <c r="U96" s="1165"/>
      <c r="V96" s="1165"/>
      <c r="W96" s="1165"/>
      <c r="X96" s="1165"/>
      <c r="Y96" s="1165"/>
      <c r="Z96" s="1165"/>
      <c r="AA96" s="1165"/>
      <c r="AB96" s="1165"/>
      <c r="AC96" s="1165"/>
      <c r="AD96" s="1165"/>
      <c r="AE96" s="1165"/>
      <c r="AF96" s="1165"/>
      <c r="AG96" s="1165"/>
      <c r="AH96" s="1165"/>
      <c r="AI96" s="1165"/>
      <c r="AJ96" s="1165"/>
      <c r="AK96" s="1165"/>
      <c r="AL96" s="1165"/>
      <c r="AM96" s="1165"/>
      <c r="AN96" s="1165"/>
      <c r="AO96" s="1165"/>
      <c r="AP96" s="1165"/>
      <c r="AQ96" s="1165"/>
      <c r="AR96" s="1165"/>
      <c r="AS96" s="1165"/>
      <c r="AT96" s="1165"/>
      <c r="AU96" s="1165"/>
      <c r="AV96" s="1165"/>
      <c r="AW96" s="1165"/>
      <c r="AX96" s="1165"/>
      <c r="AY96" s="1165"/>
      <c r="AZ96" s="1165"/>
      <c r="BA96" s="1165"/>
      <c r="BB96" s="1165"/>
      <c r="BC96" s="1165"/>
      <c r="BD96" s="1165"/>
      <c r="BE96" s="1165"/>
      <c r="BF96" s="1165"/>
      <c r="BG96" s="1165"/>
      <c r="BH96" s="1165"/>
      <c r="BI96" s="1165"/>
      <c r="BJ96" s="1165"/>
      <c r="BK96" s="1165"/>
      <c r="BL96" s="1165"/>
      <c r="BM96" s="1165"/>
      <c r="BN96" s="1165"/>
      <c r="BO96" s="1165"/>
      <c r="BP96" s="1165"/>
      <c r="BQ96" s="1165"/>
      <c r="BR96" s="1165"/>
      <c r="BS96" s="1165"/>
      <c r="BT96" s="1165"/>
      <c r="BU96" s="1165"/>
      <c r="BV96" s="1165"/>
      <c r="BW96" s="1165"/>
      <c r="BX96" s="1165"/>
      <c r="BY96" s="1165"/>
      <c r="BZ96" s="1165"/>
      <c r="CA96" s="1165"/>
      <c r="CB96" s="1165"/>
      <c r="CC96" s="1165"/>
      <c r="CD96" s="1165"/>
      <c r="CE96" s="1165"/>
      <c r="CF96" s="1165"/>
      <c r="CG96" s="1165"/>
      <c r="CH96" s="1165"/>
      <c r="CI96" s="1165"/>
      <c r="CJ96" s="1165"/>
      <c r="CK96" s="1165"/>
      <c r="CL96" s="1165"/>
      <c r="CM96" s="1165"/>
      <c r="CN96" s="1165"/>
      <c r="CO96" s="1165"/>
      <c r="CP96" s="1165"/>
      <c r="CQ96" s="1165"/>
      <c r="CR96" s="1165"/>
      <c r="CS96" s="1165"/>
      <c r="CT96" s="1165"/>
      <c r="CU96" s="1165"/>
      <c r="CV96" s="1165"/>
      <c r="CW96" s="1165"/>
      <c r="CX96" s="1106"/>
      <c r="CY96" s="1106"/>
      <c r="CZ96" s="1106"/>
      <c r="DA96" s="1107"/>
      <c r="DB96" s="1104"/>
    </row>
    <row r="97" spans="2:106" ht="11.25" customHeight="1">
      <c r="B97" s="1105"/>
      <c r="C97" s="1165"/>
      <c r="D97" s="1165" t="s">
        <v>1040</v>
      </c>
      <c r="E97" s="1165"/>
      <c r="F97" s="1165"/>
      <c r="G97" s="1165"/>
      <c r="H97" s="1165"/>
      <c r="I97" s="1165"/>
      <c r="J97" s="1165"/>
      <c r="K97" s="1165"/>
      <c r="L97" s="1165"/>
      <c r="M97" s="1165"/>
      <c r="N97" s="1165"/>
      <c r="O97" s="1165"/>
      <c r="P97" s="1165"/>
      <c r="Q97" s="1165"/>
      <c r="R97" s="1165"/>
      <c r="S97" s="1165"/>
      <c r="T97" s="1165"/>
      <c r="U97" s="1165"/>
      <c r="V97" s="1165"/>
      <c r="W97" s="1165"/>
      <c r="X97" s="1165"/>
      <c r="Y97" s="1165"/>
      <c r="Z97" s="1165"/>
      <c r="AA97" s="1165"/>
      <c r="AB97" s="1165"/>
      <c r="AC97" s="1165"/>
      <c r="AD97" s="1165"/>
      <c r="AE97" s="1165"/>
      <c r="AF97" s="1165"/>
      <c r="AG97" s="1165"/>
      <c r="AH97" s="1165"/>
      <c r="AI97" s="1165"/>
      <c r="AJ97" s="1165"/>
      <c r="AK97" s="1165"/>
      <c r="AL97" s="1165"/>
      <c r="AM97" s="1165"/>
      <c r="AN97" s="1165"/>
      <c r="AO97" s="1165"/>
      <c r="AP97" s="1165"/>
      <c r="AQ97" s="1165"/>
      <c r="AR97" s="1165"/>
      <c r="AS97" s="1165"/>
      <c r="AT97" s="1165"/>
      <c r="AU97" s="1165"/>
      <c r="AV97" s="1165"/>
      <c r="AW97" s="1165"/>
      <c r="AX97" s="1165"/>
      <c r="AY97" s="1165"/>
      <c r="AZ97" s="1165"/>
      <c r="BA97" s="1165"/>
      <c r="BB97" s="1165"/>
      <c r="BC97" s="1165"/>
      <c r="BD97" s="1165"/>
      <c r="BE97" s="1165"/>
      <c r="BF97" s="1165"/>
      <c r="BG97" s="1165"/>
      <c r="BH97" s="1165"/>
      <c r="BI97" s="1165"/>
      <c r="BJ97" s="1165"/>
      <c r="BK97" s="1165"/>
      <c r="BL97" s="1165"/>
      <c r="BM97" s="1165"/>
      <c r="BN97" s="1165"/>
      <c r="BO97" s="1165"/>
      <c r="BP97" s="1165"/>
      <c r="BQ97" s="1165"/>
      <c r="BR97" s="1165"/>
      <c r="BS97" s="1165"/>
      <c r="BT97" s="1165"/>
      <c r="BU97" s="1165"/>
      <c r="BV97" s="1165"/>
      <c r="BW97" s="1165"/>
      <c r="BX97" s="1165"/>
      <c r="BY97" s="1165"/>
      <c r="BZ97" s="1165"/>
      <c r="CA97" s="1165"/>
      <c r="CB97" s="1165"/>
      <c r="CC97" s="1165"/>
      <c r="CD97" s="1165"/>
      <c r="CE97" s="1165"/>
      <c r="CF97" s="1165"/>
      <c r="CG97" s="1165"/>
      <c r="CH97" s="1165"/>
      <c r="CI97" s="1165"/>
      <c r="CJ97" s="1165"/>
      <c r="CK97" s="1165"/>
      <c r="CL97" s="1165"/>
      <c r="CM97" s="1165"/>
      <c r="CN97" s="1165"/>
      <c r="CO97" s="1165"/>
      <c r="CP97" s="1165"/>
      <c r="CQ97" s="1165"/>
      <c r="CR97" s="1165"/>
      <c r="CS97" s="1165"/>
      <c r="CT97" s="1165"/>
      <c r="CU97" s="1165"/>
      <c r="CV97" s="1165"/>
      <c r="CW97" s="1165"/>
      <c r="CX97" s="1106"/>
      <c r="CY97" s="1106"/>
      <c r="CZ97" s="1106"/>
      <c r="DA97" s="1107"/>
      <c r="DB97" s="1104"/>
    </row>
    <row r="98" spans="2:106" ht="11.25" customHeight="1">
      <c r="B98" s="1105"/>
      <c r="C98" s="1165"/>
      <c r="D98" s="1165"/>
      <c r="E98" s="1165"/>
      <c r="F98" s="1165"/>
      <c r="G98" s="1165"/>
      <c r="H98" s="1165"/>
      <c r="I98" s="1165"/>
      <c r="J98" s="1165"/>
      <c r="K98" s="1165"/>
      <c r="L98" s="1165"/>
      <c r="M98" s="1165"/>
      <c r="N98" s="1165"/>
      <c r="O98" s="1165"/>
      <c r="P98" s="1165"/>
      <c r="Q98" s="1165"/>
      <c r="R98" s="1165"/>
      <c r="S98" s="1165"/>
      <c r="T98" s="1165"/>
      <c r="U98" s="1165"/>
      <c r="V98" s="1165"/>
      <c r="W98" s="1165"/>
      <c r="X98" s="1165"/>
      <c r="Y98" s="1165"/>
      <c r="Z98" s="1165"/>
      <c r="AA98" s="1165"/>
      <c r="AB98" s="1165"/>
      <c r="AC98" s="1165"/>
      <c r="AD98" s="1165"/>
      <c r="AE98" s="1165"/>
      <c r="AF98" s="1165"/>
      <c r="AG98" s="1165"/>
      <c r="AH98" s="1165"/>
      <c r="AI98" s="1165"/>
      <c r="AJ98" s="1165"/>
      <c r="AK98" s="1165"/>
      <c r="AL98" s="1165"/>
      <c r="AM98" s="1165"/>
      <c r="AN98" s="1165"/>
      <c r="AO98" s="1165"/>
      <c r="AP98" s="1165"/>
      <c r="AQ98" s="1165"/>
      <c r="AR98" s="1165"/>
      <c r="AS98" s="1165"/>
      <c r="AT98" s="1165"/>
      <c r="AU98" s="1165"/>
      <c r="AV98" s="1165"/>
      <c r="AW98" s="1165"/>
      <c r="AX98" s="1165"/>
      <c r="AY98" s="1165"/>
      <c r="AZ98" s="1165"/>
      <c r="BA98" s="1165"/>
      <c r="BB98" s="1165"/>
      <c r="BC98" s="1165"/>
      <c r="BD98" s="1165"/>
      <c r="BE98" s="1165"/>
      <c r="BF98" s="1165"/>
      <c r="BG98" s="1165"/>
      <c r="BH98" s="1165"/>
      <c r="BI98" s="1165"/>
      <c r="BJ98" s="1165"/>
      <c r="BK98" s="1165"/>
      <c r="BL98" s="1165"/>
      <c r="BM98" s="1165"/>
      <c r="BN98" s="1165"/>
      <c r="BO98" s="1165"/>
      <c r="BP98" s="1165"/>
      <c r="BQ98" s="1165"/>
      <c r="BR98" s="1165"/>
      <c r="BS98" s="1165"/>
      <c r="BT98" s="1165"/>
      <c r="BU98" s="1165"/>
      <c r="BV98" s="1165"/>
      <c r="BW98" s="1165"/>
      <c r="BX98" s="1165"/>
      <c r="BY98" s="1165"/>
      <c r="BZ98" s="1165"/>
      <c r="CA98" s="1165"/>
      <c r="CB98" s="1165"/>
      <c r="CC98" s="1165"/>
      <c r="CD98" s="1165"/>
      <c r="CE98" s="1165"/>
      <c r="CF98" s="1165"/>
      <c r="CG98" s="1165"/>
      <c r="CH98" s="1165"/>
      <c r="CI98" s="1165"/>
      <c r="CJ98" s="1165"/>
      <c r="CK98" s="1165"/>
      <c r="CL98" s="1165"/>
      <c r="CM98" s="1165"/>
      <c r="CN98" s="1165"/>
      <c r="CO98" s="1165"/>
      <c r="CP98" s="1165"/>
      <c r="CQ98" s="1165"/>
      <c r="CR98" s="1165"/>
      <c r="CS98" s="1165"/>
      <c r="CT98" s="1165"/>
      <c r="CU98" s="1165"/>
      <c r="CV98" s="1165"/>
      <c r="CW98" s="1165"/>
      <c r="CX98" s="1106"/>
      <c r="CY98" s="1106"/>
      <c r="CZ98" s="1106"/>
      <c r="DA98" s="1107"/>
      <c r="DB98" s="1104"/>
    </row>
    <row r="99" spans="2:106" ht="11.25" customHeight="1">
      <c r="B99" s="1105"/>
      <c r="C99" s="1165"/>
      <c r="D99" s="1165" t="s">
        <v>1041</v>
      </c>
      <c r="E99" s="1165"/>
      <c r="F99" s="1165"/>
      <c r="G99" s="1165" t="s">
        <v>1042</v>
      </c>
      <c r="H99" s="1165"/>
      <c r="I99" s="1165"/>
      <c r="J99" s="1165"/>
      <c r="K99" s="1165"/>
      <c r="L99" s="1165"/>
      <c r="M99" s="1165"/>
      <c r="N99" s="1165"/>
      <c r="O99" s="1165"/>
      <c r="P99" s="1165" t="s">
        <v>1043</v>
      </c>
      <c r="Q99" s="1165" t="s">
        <v>1044</v>
      </c>
      <c r="R99" s="1165"/>
      <c r="S99" s="1165"/>
      <c r="T99" s="1165" t="s">
        <v>217</v>
      </c>
      <c r="U99" s="1165"/>
      <c r="V99" s="1165" t="s">
        <v>1045</v>
      </c>
      <c r="W99" s="1165"/>
      <c r="X99" s="1165"/>
      <c r="Y99" s="1165"/>
      <c r="Z99" s="1165"/>
      <c r="AA99" s="1165"/>
      <c r="AB99" s="1165"/>
      <c r="AC99" s="1165"/>
      <c r="AD99" s="1165"/>
      <c r="AE99" s="1165"/>
      <c r="AF99" s="1165"/>
      <c r="AG99" s="1165"/>
      <c r="AH99" s="1165"/>
      <c r="AI99" s="1165"/>
      <c r="AJ99" s="1165"/>
      <c r="AK99" s="1165"/>
      <c r="AL99" s="1165"/>
      <c r="AM99" s="1165"/>
      <c r="AN99" s="1165"/>
      <c r="AO99" s="1165"/>
      <c r="AP99" s="1165"/>
      <c r="AQ99" s="1165"/>
      <c r="AR99" s="1165"/>
      <c r="AS99" s="1165"/>
      <c r="AT99" s="1165"/>
      <c r="AU99" s="1165"/>
      <c r="AV99" s="1165"/>
      <c r="AW99" s="1165"/>
      <c r="AX99" s="1165"/>
      <c r="AY99" s="1165"/>
      <c r="AZ99" s="1165"/>
      <c r="BA99" s="1165"/>
      <c r="BB99" s="1165"/>
      <c r="BC99" s="1165"/>
      <c r="BD99" s="1165"/>
      <c r="BE99" s="1165"/>
      <c r="BF99" s="1165"/>
      <c r="BG99" s="1165"/>
      <c r="BH99" s="1165"/>
      <c r="BI99" s="1165"/>
      <c r="BJ99" s="1165"/>
      <c r="BK99" s="1165"/>
      <c r="BL99" s="1165"/>
      <c r="BM99" s="1165"/>
      <c r="BN99" s="1165"/>
      <c r="BO99" s="1165"/>
      <c r="BP99" s="1165"/>
      <c r="BQ99" s="1165"/>
      <c r="BR99" s="1165"/>
      <c r="BS99" s="1165"/>
      <c r="BT99" s="1165"/>
      <c r="BU99" s="1165"/>
      <c r="BV99" s="1165"/>
      <c r="BW99" s="1165"/>
      <c r="BX99" s="1165"/>
      <c r="BY99" s="1165"/>
      <c r="BZ99" s="1165"/>
      <c r="CA99" s="1165"/>
      <c r="CB99" s="1165"/>
      <c r="CC99" s="1165"/>
      <c r="CD99" s="1165"/>
      <c r="CE99" s="1165"/>
      <c r="CF99" s="1165"/>
      <c r="CG99" s="1165"/>
      <c r="CH99" s="1165"/>
      <c r="CI99" s="1165"/>
      <c r="CJ99" s="1165"/>
      <c r="CK99" s="1165"/>
      <c r="CL99" s="1165"/>
      <c r="CM99" s="1165"/>
      <c r="CN99" s="1165"/>
      <c r="CO99" s="1165"/>
      <c r="CP99" s="1165"/>
      <c r="CQ99" s="1165"/>
      <c r="CR99" s="1165"/>
      <c r="CS99" s="1165"/>
      <c r="CT99" s="1165"/>
      <c r="CU99" s="1165"/>
      <c r="CV99" s="1165"/>
      <c r="CW99" s="1165"/>
      <c r="CX99" s="1106"/>
      <c r="CY99" s="1106"/>
      <c r="CZ99" s="1106"/>
      <c r="DA99" s="1107"/>
      <c r="DB99" s="1104"/>
    </row>
    <row r="100" spans="2:106" ht="11.25" customHeight="1">
      <c r="B100" s="1105"/>
      <c r="C100" s="1165"/>
      <c r="D100" s="1165"/>
      <c r="E100" s="1165"/>
      <c r="F100" s="1165"/>
      <c r="G100" s="1165"/>
      <c r="H100" s="1165"/>
      <c r="I100" s="1165"/>
      <c r="J100" s="1165"/>
      <c r="K100" s="1165"/>
      <c r="L100" s="1165"/>
      <c r="M100" s="1165"/>
      <c r="N100" s="1165"/>
      <c r="O100" s="1165"/>
      <c r="P100" s="1165"/>
      <c r="Q100" s="1165"/>
      <c r="R100" s="1165"/>
      <c r="S100" s="1165"/>
      <c r="T100" s="1165"/>
      <c r="U100" s="1165"/>
      <c r="V100" s="1165"/>
      <c r="W100" s="1165"/>
      <c r="X100" s="1165"/>
      <c r="Y100" s="1165"/>
      <c r="Z100" s="1165"/>
      <c r="AA100" s="1165"/>
      <c r="AB100" s="1165"/>
      <c r="AC100" s="1165"/>
      <c r="AD100" s="1165"/>
      <c r="AE100" s="1165"/>
      <c r="AF100" s="1165"/>
      <c r="AG100" s="1165"/>
      <c r="AH100" s="1165"/>
      <c r="AI100" s="1165"/>
      <c r="AJ100" s="1165"/>
      <c r="AK100" s="1165"/>
      <c r="AL100" s="1165"/>
      <c r="AM100" s="1165"/>
      <c r="AN100" s="1165"/>
      <c r="AO100" s="1165"/>
      <c r="AP100" s="1165"/>
      <c r="AQ100" s="1165"/>
      <c r="AR100" s="1165"/>
      <c r="AS100" s="1165"/>
      <c r="AT100" s="1165"/>
      <c r="AU100" s="1165"/>
      <c r="AV100" s="1165"/>
      <c r="AW100" s="1165"/>
      <c r="AX100" s="1165"/>
      <c r="AY100" s="1165"/>
      <c r="AZ100" s="1165"/>
      <c r="BA100" s="1165"/>
      <c r="BB100" s="1165"/>
      <c r="BC100" s="1165"/>
      <c r="BD100" s="1165"/>
      <c r="BE100" s="1165"/>
      <c r="BF100" s="1165"/>
      <c r="BG100" s="1165"/>
      <c r="BH100" s="1165"/>
      <c r="BI100" s="1165"/>
      <c r="BJ100" s="1165"/>
      <c r="BK100" s="1165"/>
      <c r="BL100" s="1165"/>
      <c r="BM100" s="1165"/>
      <c r="BN100" s="1165"/>
      <c r="BO100" s="1165"/>
      <c r="BP100" s="1165"/>
      <c r="BQ100" s="1165"/>
      <c r="BR100" s="1165"/>
      <c r="BS100" s="1165"/>
      <c r="BT100" s="1165"/>
      <c r="BU100" s="1165"/>
      <c r="BV100" s="1165"/>
      <c r="BW100" s="1165"/>
      <c r="BX100" s="1165"/>
      <c r="BY100" s="1165"/>
      <c r="BZ100" s="1165"/>
      <c r="CA100" s="1165"/>
      <c r="CB100" s="1165"/>
      <c r="CC100" s="1165"/>
      <c r="CD100" s="1165"/>
      <c r="CE100" s="1165"/>
      <c r="CF100" s="1165"/>
      <c r="CG100" s="1165"/>
      <c r="CH100" s="1165"/>
      <c r="CI100" s="1165"/>
      <c r="CJ100" s="1165"/>
      <c r="CK100" s="1165"/>
      <c r="CL100" s="1165"/>
      <c r="CM100" s="1165"/>
      <c r="CN100" s="1165"/>
      <c r="CO100" s="1165"/>
      <c r="CP100" s="1165"/>
      <c r="CQ100" s="1165"/>
      <c r="CR100" s="1165"/>
      <c r="CS100" s="1165"/>
      <c r="CT100" s="1165"/>
      <c r="CU100" s="1165"/>
      <c r="CV100" s="1165"/>
      <c r="CW100" s="1165"/>
      <c r="CX100" s="1106"/>
      <c r="CY100" s="1106"/>
      <c r="CZ100" s="1106"/>
      <c r="DA100" s="1107"/>
      <c r="DB100" s="1104"/>
    </row>
    <row r="101" spans="2:106" ht="11.25" customHeight="1">
      <c r="B101" s="1105"/>
      <c r="C101" s="1165"/>
      <c r="D101" s="1165" t="s">
        <v>1006</v>
      </c>
      <c r="E101" s="1165"/>
      <c r="F101" s="1165"/>
      <c r="G101" s="1165" t="s">
        <v>892</v>
      </c>
      <c r="H101" s="1165"/>
      <c r="I101" s="1165"/>
      <c r="J101" s="1165"/>
      <c r="K101" s="1165"/>
      <c r="L101" s="1165"/>
      <c r="M101" s="1165"/>
      <c r="N101" s="1165"/>
      <c r="O101" s="1165"/>
      <c r="P101" s="1165"/>
      <c r="Q101" s="1165"/>
      <c r="R101" s="1165"/>
      <c r="S101" s="1165"/>
      <c r="T101" s="1165"/>
      <c r="U101" s="1165"/>
      <c r="V101" s="1165"/>
      <c r="W101" s="1165"/>
      <c r="X101" s="1165"/>
      <c r="Y101" s="1165"/>
      <c r="Z101" s="1165"/>
      <c r="AA101" s="1165"/>
      <c r="AB101" s="1165"/>
      <c r="AC101" s="1165"/>
      <c r="AD101" s="1165"/>
      <c r="AE101" s="1165"/>
      <c r="AF101" s="1165"/>
      <c r="AG101" s="1165"/>
      <c r="AH101" s="1165"/>
      <c r="AI101" s="1165"/>
      <c r="AJ101" s="1165"/>
      <c r="AK101" s="1165"/>
      <c r="AL101" s="1165"/>
      <c r="AM101" s="1165"/>
      <c r="AN101" s="1165"/>
      <c r="AO101" s="1165"/>
      <c r="AP101" s="1165"/>
      <c r="AQ101" s="1165"/>
      <c r="AR101" s="1165"/>
      <c r="AS101" s="1165"/>
      <c r="AT101" s="1165"/>
      <c r="AU101" s="1165"/>
      <c r="AV101" s="1165"/>
      <c r="AW101" s="1165"/>
      <c r="AX101" s="1165"/>
      <c r="AY101" s="1165"/>
      <c r="AZ101" s="1165"/>
      <c r="BA101" s="1165"/>
      <c r="BB101" s="1165"/>
      <c r="BC101" s="1165"/>
      <c r="BD101" s="1165"/>
      <c r="BE101" s="1165"/>
      <c r="BF101" s="1165"/>
      <c r="BG101" s="1165"/>
      <c r="BH101" s="1165"/>
      <c r="BI101" s="1165"/>
      <c r="BJ101" s="1165"/>
      <c r="BK101" s="1165"/>
      <c r="BL101" s="1165"/>
      <c r="BM101" s="1165"/>
      <c r="BN101" s="1165"/>
      <c r="BO101" s="1165"/>
      <c r="BP101" s="1165"/>
      <c r="BQ101" s="1165"/>
      <c r="BR101" s="1165"/>
      <c r="BS101" s="1165"/>
      <c r="BT101" s="1165"/>
      <c r="BU101" s="1165"/>
      <c r="BV101" s="1165"/>
      <c r="BW101" s="1165"/>
      <c r="BX101" s="1165"/>
      <c r="BY101" s="1165"/>
      <c r="BZ101" s="1165"/>
      <c r="CA101" s="1165"/>
      <c r="CB101" s="1165"/>
      <c r="CC101" s="1165"/>
      <c r="CD101" s="1165"/>
      <c r="CE101" s="1165"/>
      <c r="CF101" s="1165"/>
      <c r="CG101" s="1165"/>
      <c r="CH101" s="1165"/>
      <c r="CI101" s="1165"/>
      <c r="CJ101" s="1165"/>
      <c r="CK101" s="1165"/>
      <c r="CL101" s="1165"/>
      <c r="CM101" s="1165"/>
      <c r="CN101" s="1165"/>
      <c r="CO101" s="1165"/>
      <c r="CP101" s="1165"/>
      <c r="CQ101" s="1165"/>
      <c r="CR101" s="1165"/>
      <c r="CS101" s="1165"/>
      <c r="CT101" s="1165"/>
      <c r="CU101" s="1165"/>
      <c r="CV101" s="1165"/>
      <c r="CW101" s="1165"/>
      <c r="CX101" s="1106"/>
      <c r="CY101" s="1106"/>
      <c r="CZ101" s="1106"/>
      <c r="DA101" s="1107"/>
      <c r="DB101" s="1104"/>
    </row>
    <row r="102" spans="2:106" ht="11.25" customHeight="1">
      <c r="B102" s="1105"/>
      <c r="C102" s="1165"/>
      <c r="D102" s="1165"/>
      <c r="E102" s="1165"/>
      <c r="F102" s="1165"/>
      <c r="G102" s="1165"/>
      <c r="H102" s="1165"/>
      <c r="I102" s="1165"/>
      <c r="J102" s="1165"/>
      <c r="K102" s="1165"/>
      <c r="L102" s="1165"/>
      <c r="M102" s="1165"/>
      <c r="N102" s="1165"/>
      <c r="O102" s="1165"/>
      <c r="P102" s="1165"/>
      <c r="Q102" s="1165"/>
      <c r="R102" s="1165"/>
      <c r="S102" s="1165"/>
      <c r="T102" s="1165"/>
      <c r="U102" s="1165"/>
      <c r="V102" s="1165"/>
      <c r="W102" s="1165"/>
      <c r="X102" s="1165"/>
      <c r="Y102" s="1165"/>
      <c r="Z102" s="1165"/>
      <c r="AA102" s="1165"/>
      <c r="AB102" s="1165"/>
      <c r="AC102" s="1165"/>
      <c r="AD102" s="1165"/>
      <c r="AE102" s="1165"/>
      <c r="AF102" s="1165"/>
      <c r="AG102" s="1165"/>
      <c r="AH102" s="1165"/>
      <c r="AI102" s="1165"/>
      <c r="AJ102" s="1165"/>
      <c r="AK102" s="1165"/>
      <c r="AL102" s="1165"/>
      <c r="AM102" s="1165"/>
      <c r="AN102" s="1165"/>
      <c r="AO102" s="1165"/>
      <c r="AP102" s="1165"/>
      <c r="AQ102" s="1165"/>
      <c r="AR102" s="1165"/>
      <c r="AS102" s="1165"/>
      <c r="AT102" s="1165"/>
      <c r="AU102" s="1165"/>
      <c r="AV102" s="1165"/>
      <c r="AW102" s="1165"/>
      <c r="AX102" s="1165"/>
      <c r="AY102" s="1165"/>
      <c r="AZ102" s="1165"/>
      <c r="BA102" s="1165"/>
      <c r="BB102" s="1165"/>
      <c r="BC102" s="1165"/>
      <c r="BD102" s="1165"/>
      <c r="BE102" s="1165"/>
      <c r="BF102" s="1165"/>
      <c r="BG102" s="1165"/>
      <c r="BH102" s="1165"/>
      <c r="BI102" s="1165"/>
      <c r="BJ102" s="1165"/>
      <c r="BK102" s="1165"/>
      <c r="BL102" s="1165"/>
      <c r="BM102" s="1165"/>
      <c r="BN102" s="1165"/>
      <c r="BO102" s="1165"/>
      <c r="BP102" s="1165"/>
      <c r="BQ102" s="1165"/>
      <c r="BR102" s="1165"/>
      <c r="BS102" s="1165"/>
      <c r="BT102" s="1165"/>
      <c r="BU102" s="1165"/>
      <c r="BV102" s="1165"/>
      <c r="BW102" s="1165"/>
      <c r="BX102" s="1165"/>
      <c r="BY102" s="1165"/>
      <c r="BZ102" s="1165"/>
      <c r="CA102" s="1165"/>
      <c r="CB102" s="1165"/>
      <c r="CC102" s="1165"/>
      <c r="CD102" s="1165"/>
      <c r="CE102" s="1165"/>
      <c r="CF102" s="1165"/>
      <c r="CG102" s="1165"/>
      <c r="CH102" s="1165"/>
      <c r="CI102" s="1165"/>
      <c r="CJ102" s="1165"/>
      <c r="CK102" s="1165"/>
      <c r="CL102" s="1165"/>
      <c r="CM102" s="1165"/>
      <c r="CN102" s="1165"/>
      <c r="CO102" s="1165"/>
      <c r="CP102" s="1165"/>
      <c r="CQ102" s="1165"/>
      <c r="CR102" s="1165"/>
      <c r="CS102" s="1165"/>
      <c r="CT102" s="1165"/>
      <c r="CU102" s="1165"/>
      <c r="CV102" s="1165"/>
      <c r="CW102" s="1165"/>
      <c r="CX102" s="1106"/>
      <c r="CY102" s="1106"/>
      <c r="CZ102" s="1106"/>
      <c r="DA102" s="1107"/>
      <c r="DB102" s="1104"/>
    </row>
    <row r="103" spans="2:106" ht="11.25" customHeight="1">
      <c r="B103" s="1105"/>
      <c r="C103" s="1165"/>
      <c r="D103" s="1165"/>
      <c r="E103" s="1165"/>
      <c r="F103" s="1165"/>
      <c r="G103" s="1165" t="s">
        <v>1046</v>
      </c>
      <c r="H103" s="1165"/>
      <c r="I103" s="1165"/>
      <c r="J103" s="1165"/>
      <c r="K103" s="1165"/>
      <c r="L103" s="1165"/>
      <c r="M103" s="1165"/>
      <c r="N103" s="1165"/>
      <c r="O103" s="1165"/>
      <c r="P103" s="1165"/>
      <c r="Q103" s="1165"/>
      <c r="R103" s="1165"/>
      <c r="S103" s="1165"/>
      <c r="T103" s="1165"/>
      <c r="U103" s="1165"/>
      <c r="V103" s="1165"/>
      <c r="W103" s="1165"/>
      <c r="X103" s="1165" t="s">
        <v>1047</v>
      </c>
      <c r="Y103" s="1165"/>
      <c r="Z103" s="1165"/>
      <c r="AA103" s="1165"/>
      <c r="AB103" s="1165"/>
      <c r="AC103" s="1165"/>
      <c r="AD103" s="1165"/>
      <c r="AE103" s="1165"/>
      <c r="AF103" s="1165"/>
      <c r="AG103" s="1165"/>
      <c r="AH103" s="1165"/>
      <c r="AI103" s="1165"/>
      <c r="AJ103" s="1165"/>
      <c r="AK103" s="1165"/>
      <c r="AL103" s="1165"/>
      <c r="AM103" s="1165"/>
      <c r="AN103" s="1165"/>
      <c r="AO103" s="1165"/>
      <c r="AP103" s="1165"/>
      <c r="AQ103" s="1165"/>
      <c r="AR103" s="1165"/>
      <c r="AS103" s="1165"/>
      <c r="AT103" s="1536" t="e">
        <f>#REF!</f>
        <v>#REF!</v>
      </c>
      <c r="AU103" s="1536"/>
      <c r="AV103" s="1536"/>
      <c r="AW103" s="1536"/>
      <c r="AX103" s="1536"/>
      <c r="AY103" s="1536"/>
      <c r="AZ103" s="1536"/>
      <c r="BA103" s="1536"/>
      <c r="BB103" s="1165"/>
      <c r="BC103" s="1165" t="s">
        <v>975</v>
      </c>
      <c r="BD103" s="1165"/>
      <c r="BE103" s="1165" t="str">
        <f>TEXT(1.03,"#,##0.#######")</f>
        <v>1.03</v>
      </c>
      <c r="BF103" s="1165"/>
      <c r="BG103" s="1165"/>
      <c r="BH103" s="1165"/>
      <c r="BI103" s="1165" t="s">
        <v>783</v>
      </c>
      <c r="BJ103" s="1165"/>
      <c r="BK103" s="1165"/>
      <c r="BL103" s="1165" t="s">
        <v>975</v>
      </c>
      <c r="BM103" s="1165"/>
      <c r="BN103" s="1165"/>
      <c r="BO103" s="1165" t="str">
        <f>TEXT(32.7,"#,##0.#######")</f>
        <v>32.7</v>
      </c>
      <c r="BP103" s="1165"/>
      <c r="BQ103" s="1165"/>
      <c r="BR103" s="1165"/>
      <c r="BS103" s="1165" t="s">
        <v>954</v>
      </c>
      <c r="BT103" s="1165"/>
      <c r="BU103" s="1165" t="s">
        <v>227</v>
      </c>
      <c r="BV103" s="1165"/>
      <c r="BW103" s="1165" t="e">
        <f>TEXT(TRUNC(AT103*BE103*(BO103*(1/100)),1),"#,##0.#######")</f>
        <v>#REF!</v>
      </c>
      <c r="BX103" s="1165"/>
      <c r="BY103" s="1165"/>
      <c r="BZ103" s="1165"/>
      <c r="CA103" s="1165"/>
      <c r="CB103" s="1165"/>
      <c r="CC103" s="1165"/>
      <c r="CD103" s="1165"/>
      <c r="CE103" s="1165"/>
      <c r="CF103" s="1165"/>
      <c r="CG103" s="1165"/>
      <c r="CH103" s="1165"/>
      <c r="CI103" s="1165"/>
      <c r="CJ103" s="1165"/>
      <c r="CK103" s="1165"/>
      <c r="CL103" s="1165"/>
      <c r="CM103" s="1165"/>
      <c r="CN103" s="1165"/>
      <c r="CO103" s="1165"/>
      <c r="CP103" s="1165"/>
      <c r="CQ103" s="1165"/>
      <c r="CR103" s="1165"/>
      <c r="CS103" s="1165"/>
      <c r="CT103" s="1165"/>
      <c r="CU103" s="1165"/>
      <c r="CV103" s="1165"/>
      <c r="CW103" s="1165"/>
      <c r="CX103" s="1106"/>
      <c r="CY103" s="1106"/>
      <c r="CZ103" s="1106"/>
      <c r="DA103" s="1107"/>
      <c r="DB103" s="1104"/>
    </row>
    <row r="104" spans="2:106" ht="11.25" customHeight="1">
      <c r="B104" s="1105"/>
      <c r="C104" s="1165"/>
      <c r="D104" s="1165"/>
      <c r="E104" s="1165"/>
      <c r="F104" s="1165"/>
      <c r="G104" s="1165"/>
      <c r="H104" s="1165"/>
      <c r="I104" s="1165"/>
      <c r="J104" s="1165"/>
      <c r="K104" s="1165"/>
      <c r="L104" s="1165"/>
      <c r="M104" s="1165"/>
      <c r="N104" s="1165"/>
      <c r="O104" s="1165"/>
      <c r="P104" s="1165"/>
      <c r="Q104" s="1165"/>
      <c r="R104" s="1165"/>
      <c r="S104" s="1165"/>
      <c r="T104" s="1165"/>
      <c r="U104" s="1165"/>
      <c r="V104" s="1165"/>
      <c r="W104" s="1165"/>
      <c r="X104" s="1165"/>
      <c r="Y104" s="1165"/>
      <c r="Z104" s="1165"/>
      <c r="AA104" s="1165"/>
      <c r="AB104" s="1165"/>
      <c r="AC104" s="1165"/>
      <c r="AD104" s="1165"/>
      <c r="AE104" s="1165"/>
      <c r="AF104" s="1165"/>
      <c r="AG104" s="1165"/>
      <c r="AH104" s="1165"/>
      <c r="AI104" s="1165"/>
      <c r="AJ104" s="1165"/>
      <c r="AK104" s="1165"/>
      <c r="AL104" s="1165"/>
      <c r="AM104" s="1165"/>
      <c r="AN104" s="1165"/>
      <c r="AO104" s="1165"/>
      <c r="AP104" s="1165"/>
      <c r="AQ104" s="1165"/>
      <c r="AR104" s="1165"/>
      <c r="AS104" s="1165"/>
      <c r="AT104" s="1165"/>
      <c r="AU104" s="1165"/>
      <c r="AV104" s="1165"/>
      <c r="AW104" s="1165"/>
      <c r="AX104" s="1165"/>
      <c r="AY104" s="1165"/>
      <c r="AZ104" s="1165"/>
      <c r="BA104" s="1165"/>
      <c r="BB104" s="1165"/>
      <c r="BC104" s="1165"/>
      <c r="BD104" s="1165"/>
      <c r="BE104" s="1165"/>
      <c r="BF104" s="1165"/>
      <c r="BG104" s="1165"/>
      <c r="BH104" s="1165"/>
      <c r="BI104" s="1165"/>
      <c r="BJ104" s="1165"/>
      <c r="BK104" s="1165"/>
      <c r="BL104" s="1165"/>
      <c r="BM104" s="1165"/>
      <c r="BN104" s="1165"/>
      <c r="BO104" s="1165"/>
      <c r="BP104" s="1165"/>
      <c r="BQ104" s="1165"/>
      <c r="BR104" s="1165"/>
      <c r="BS104" s="1165"/>
      <c r="BT104" s="1165"/>
      <c r="BU104" s="1165"/>
      <c r="BV104" s="1165"/>
      <c r="BW104" s="1165"/>
      <c r="BX104" s="1165"/>
      <c r="BY104" s="1165"/>
      <c r="BZ104" s="1165"/>
      <c r="CA104" s="1165"/>
      <c r="CB104" s="1165"/>
      <c r="CC104" s="1165"/>
      <c r="CD104" s="1165"/>
      <c r="CE104" s="1165"/>
      <c r="CF104" s="1165"/>
      <c r="CG104" s="1165"/>
      <c r="CH104" s="1165"/>
      <c r="CI104" s="1165"/>
      <c r="CJ104" s="1165"/>
      <c r="CK104" s="1165"/>
      <c r="CL104" s="1165"/>
      <c r="CM104" s="1165"/>
      <c r="CN104" s="1165"/>
      <c r="CO104" s="1165"/>
      <c r="CP104" s="1165"/>
      <c r="CQ104" s="1165"/>
      <c r="CR104" s="1165"/>
      <c r="CS104" s="1165"/>
      <c r="CT104" s="1165"/>
      <c r="CU104" s="1165"/>
      <c r="CV104" s="1165"/>
      <c r="CW104" s="1165"/>
      <c r="CX104" s="1106"/>
      <c r="CY104" s="1106"/>
      <c r="CZ104" s="1106"/>
      <c r="DA104" s="1107"/>
      <c r="DB104" s="1104"/>
    </row>
    <row r="105" spans="2:106" ht="11.25" customHeight="1">
      <c r="B105" s="1105"/>
      <c r="C105" s="1165"/>
      <c r="D105" s="1165"/>
      <c r="E105" s="1165"/>
      <c r="F105" s="1165"/>
      <c r="G105" s="1165" t="s">
        <v>1048</v>
      </c>
      <c r="H105" s="1165"/>
      <c r="I105" s="1165"/>
      <c r="J105" s="1165"/>
      <c r="K105" s="1165"/>
      <c r="L105" s="1165"/>
      <c r="M105" s="1165"/>
      <c r="N105" s="1165"/>
      <c r="O105" s="1165"/>
      <c r="P105" s="1165"/>
      <c r="Q105" s="1165"/>
      <c r="R105" s="1165"/>
      <c r="S105" s="1165"/>
      <c r="T105" s="1165"/>
      <c r="U105" s="1165"/>
      <c r="V105" s="1165"/>
      <c r="W105" s="1165" t="s">
        <v>1049</v>
      </c>
      <c r="X105" s="1165"/>
      <c r="Y105" s="1165"/>
      <c r="Z105" s="1165"/>
      <c r="AA105" s="1165"/>
      <c r="AB105" s="1165"/>
      <c r="AC105" s="1165"/>
      <c r="AD105" s="1165"/>
      <c r="AE105" s="1165"/>
      <c r="AF105" s="1165"/>
      <c r="AG105" s="1165"/>
      <c r="AH105" s="1165"/>
      <c r="AI105" s="1165"/>
      <c r="AJ105" s="1165"/>
      <c r="AK105" s="1165"/>
      <c r="AL105" s="1165"/>
      <c r="AM105" s="1165"/>
      <c r="AN105" s="1165"/>
      <c r="AO105" s="1165"/>
      <c r="AP105" s="1536" t="e">
        <f>#REF!</f>
        <v>#REF!</v>
      </c>
      <c r="AQ105" s="1536"/>
      <c r="AR105" s="1536"/>
      <c r="AS105" s="1536"/>
      <c r="AT105" s="1536"/>
      <c r="AU105" s="1536"/>
      <c r="AV105" s="1536"/>
      <c r="AW105" s="1536"/>
      <c r="AX105" s="1536"/>
      <c r="AY105" s="1165"/>
      <c r="AZ105" s="1165" t="s">
        <v>975</v>
      </c>
      <c r="BA105" s="1165"/>
      <c r="BB105" s="1165"/>
      <c r="BC105" s="1165" t="str">
        <f>TEXT(0.038,"#,##0.#######")</f>
        <v>0.038</v>
      </c>
      <c r="BD105" s="1165"/>
      <c r="BE105" s="1165"/>
      <c r="BF105" s="1165"/>
      <c r="BG105" s="1165"/>
      <c r="BH105" s="1165" t="s">
        <v>178</v>
      </c>
      <c r="BI105" s="1165"/>
      <c r="BJ105" s="1165"/>
      <c r="BK105" s="1165" t="s">
        <v>975</v>
      </c>
      <c r="BL105" s="1165"/>
      <c r="BM105" s="1165"/>
      <c r="BN105" s="1165" t="str">
        <f>TEXT(32.7,"#,##0.#######")</f>
        <v>32.7</v>
      </c>
      <c r="BO105" s="1165"/>
      <c r="BP105" s="1165"/>
      <c r="BQ105" s="1165"/>
      <c r="BR105" s="1165" t="s">
        <v>954</v>
      </c>
      <c r="BS105" s="1165"/>
      <c r="BT105" s="1165" t="s">
        <v>227</v>
      </c>
      <c r="BU105" s="1165"/>
      <c r="BV105" s="1165" t="e">
        <f>TEXT(TRUNC(AP105*BC105*(BN105*(1/100)),1),"#,##0.#######")</f>
        <v>#REF!</v>
      </c>
      <c r="BW105" s="1165"/>
      <c r="BX105" s="1165"/>
      <c r="BY105" s="1165"/>
      <c r="BZ105" s="1165"/>
      <c r="CA105" s="1165"/>
      <c r="CB105" s="1165"/>
      <c r="CC105" s="1165"/>
      <c r="CD105" s="1165"/>
      <c r="CE105" s="1165"/>
      <c r="CF105" s="1165"/>
      <c r="CG105" s="1165"/>
      <c r="CH105" s="1165"/>
      <c r="CI105" s="1165"/>
      <c r="CJ105" s="1165"/>
      <c r="CK105" s="1165"/>
      <c r="CL105" s="1165"/>
      <c r="CM105" s="1165"/>
      <c r="CN105" s="1165"/>
      <c r="CO105" s="1165"/>
      <c r="CP105" s="1165"/>
      <c r="CQ105" s="1165"/>
      <c r="CR105" s="1165"/>
      <c r="CS105" s="1165"/>
      <c r="CT105" s="1165"/>
      <c r="CU105" s="1165"/>
      <c r="CV105" s="1165"/>
      <c r="CW105" s="1165"/>
      <c r="CX105" s="1106"/>
      <c r="CY105" s="1106"/>
      <c r="CZ105" s="1106"/>
      <c r="DA105" s="1107"/>
      <c r="DB105" s="1104"/>
    </row>
    <row r="106" spans="2:106" ht="11.25" customHeight="1">
      <c r="B106" s="1105"/>
      <c r="C106" s="1165"/>
      <c r="D106" s="1165"/>
      <c r="E106" s="1165"/>
      <c r="F106" s="1165"/>
      <c r="G106" s="1165"/>
      <c r="H106" s="1165"/>
      <c r="I106" s="1165"/>
      <c r="J106" s="1165"/>
      <c r="K106" s="1165"/>
      <c r="L106" s="1165"/>
      <c r="M106" s="1165"/>
      <c r="N106" s="1165"/>
      <c r="O106" s="1165"/>
      <c r="P106" s="1165"/>
      <c r="Q106" s="1165"/>
      <c r="R106" s="1165"/>
      <c r="S106" s="1165"/>
      <c r="T106" s="1165"/>
      <c r="U106" s="1165"/>
      <c r="V106" s="1165"/>
      <c r="W106" s="1165"/>
      <c r="X106" s="1165"/>
      <c r="Y106" s="1165"/>
      <c r="Z106" s="1165"/>
      <c r="AA106" s="1165"/>
      <c r="AB106" s="1165"/>
      <c r="AC106" s="1165"/>
      <c r="AD106" s="1165"/>
      <c r="AE106" s="1165"/>
      <c r="AF106" s="1165"/>
      <c r="AG106" s="1165"/>
      <c r="AH106" s="1165"/>
      <c r="AI106" s="1165"/>
      <c r="AJ106" s="1165"/>
      <c r="AK106" s="1165"/>
      <c r="AL106" s="1165"/>
      <c r="AM106" s="1165"/>
      <c r="AN106" s="1165"/>
      <c r="AO106" s="1165"/>
      <c r="AP106" s="1165"/>
      <c r="AQ106" s="1165"/>
      <c r="AR106" s="1165"/>
      <c r="AS106" s="1165"/>
      <c r="AT106" s="1165"/>
      <c r="AU106" s="1165"/>
      <c r="AV106" s="1165"/>
      <c r="AW106" s="1165"/>
      <c r="AX106" s="1165"/>
      <c r="AY106" s="1165"/>
      <c r="AZ106" s="1165"/>
      <c r="BA106" s="1165"/>
      <c r="BB106" s="1165"/>
      <c r="BC106" s="1165"/>
      <c r="BD106" s="1165"/>
      <c r="BE106" s="1165"/>
      <c r="BF106" s="1165"/>
      <c r="BG106" s="1165"/>
      <c r="BH106" s="1165"/>
      <c r="BI106" s="1165"/>
      <c r="BJ106" s="1165"/>
      <c r="BK106" s="1165"/>
      <c r="BL106" s="1165"/>
      <c r="BM106" s="1165"/>
      <c r="BN106" s="1165"/>
      <c r="BO106" s="1165"/>
      <c r="BP106" s="1165"/>
      <c r="BQ106" s="1165"/>
      <c r="BR106" s="1165"/>
      <c r="BS106" s="1165"/>
      <c r="BT106" s="1165"/>
      <c r="BU106" s="1165"/>
      <c r="BV106" s="1165"/>
      <c r="BW106" s="1165"/>
      <c r="BX106" s="1165"/>
      <c r="BY106" s="1165"/>
      <c r="BZ106" s="1165"/>
      <c r="CA106" s="1165"/>
      <c r="CB106" s="1165"/>
      <c r="CC106" s="1165"/>
      <c r="CD106" s="1165"/>
      <c r="CE106" s="1165"/>
      <c r="CF106" s="1165"/>
      <c r="CG106" s="1165"/>
      <c r="CH106" s="1165"/>
      <c r="CI106" s="1165"/>
      <c r="CJ106" s="1165"/>
      <c r="CK106" s="1165"/>
      <c r="CL106" s="1165"/>
      <c r="CM106" s="1165"/>
      <c r="CN106" s="1165"/>
      <c r="CO106" s="1165"/>
      <c r="CP106" s="1165"/>
      <c r="CQ106" s="1165"/>
      <c r="CR106" s="1165"/>
      <c r="CS106" s="1165"/>
      <c r="CT106" s="1165"/>
      <c r="CU106" s="1165"/>
      <c r="CV106" s="1165"/>
      <c r="CW106" s="1165"/>
      <c r="CX106" s="1106"/>
      <c r="CY106" s="1106"/>
      <c r="CZ106" s="1106"/>
      <c r="DA106" s="1107"/>
      <c r="DB106" s="1104"/>
    </row>
    <row r="107" spans="2:106" ht="11.25" customHeight="1">
      <c r="B107" s="1105"/>
      <c r="C107" s="1165"/>
      <c r="D107" s="1165"/>
      <c r="E107" s="1165"/>
      <c r="F107" s="1165"/>
      <c r="G107" s="1165" t="s">
        <v>1050</v>
      </c>
      <c r="H107" s="1165"/>
      <c r="I107" s="1165"/>
      <c r="J107" s="1165"/>
      <c r="K107" s="1165"/>
      <c r="L107" s="1165"/>
      <c r="M107" s="1165"/>
      <c r="N107" s="1165"/>
      <c r="O107" s="1165"/>
      <c r="P107" s="1165"/>
      <c r="Q107" s="1165"/>
      <c r="R107" s="1165" t="s">
        <v>217</v>
      </c>
      <c r="S107" s="1165"/>
      <c r="T107" s="1165" t="e">
        <f>TEXT(TRUNC(BW103+BV105,1),"#,##0.#######")</f>
        <v>#REF!</v>
      </c>
      <c r="U107" s="1165"/>
      <c r="V107" s="1165"/>
      <c r="W107" s="1165"/>
      <c r="X107" s="1165"/>
      <c r="Y107" s="1165"/>
      <c r="Z107" s="1165"/>
      <c r="AA107" s="1165"/>
      <c r="AB107" s="1165"/>
      <c r="AC107" s="1165"/>
      <c r="AD107" s="1165"/>
      <c r="AE107" s="1165"/>
      <c r="AF107" s="1165"/>
      <c r="AG107" s="1165"/>
      <c r="AH107" s="1165"/>
      <c r="AI107" s="1165"/>
      <c r="AJ107" s="1165"/>
      <c r="AK107" s="1165"/>
      <c r="AL107" s="1165"/>
      <c r="AM107" s="1165"/>
      <c r="AN107" s="1165"/>
      <c r="AO107" s="1165"/>
      <c r="AP107" s="1165"/>
      <c r="AQ107" s="1165"/>
      <c r="AR107" s="1165"/>
      <c r="AS107" s="1165"/>
      <c r="AT107" s="1165"/>
      <c r="AU107" s="1165"/>
      <c r="AV107" s="1165"/>
      <c r="AW107" s="1165"/>
      <c r="AX107" s="1165"/>
      <c r="AY107" s="1165"/>
      <c r="AZ107" s="1165"/>
      <c r="BA107" s="1165"/>
      <c r="BB107" s="1165"/>
      <c r="BC107" s="1165"/>
      <c r="BD107" s="1165"/>
      <c r="BE107" s="1165"/>
      <c r="BF107" s="1165"/>
      <c r="BG107" s="1165"/>
      <c r="BH107" s="1165"/>
      <c r="BI107" s="1165"/>
      <c r="BJ107" s="1165"/>
      <c r="BK107" s="1165"/>
      <c r="BL107" s="1165"/>
      <c r="BM107" s="1165"/>
      <c r="BN107" s="1165"/>
      <c r="BO107" s="1165"/>
      <c r="BP107" s="1165"/>
      <c r="BQ107" s="1165"/>
      <c r="BR107" s="1165"/>
      <c r="BS107" s="1165"/>
      <c r="BT107" s="1165"/>
      <c r="BU107" s="1165"/>
      <c r="BV107" s="1165"/>
      <c r="BW107" s="1165"/>
      <c r="BX107" s="1165"/>
      <c r="BY107" s="1165"/>
      <c r="BZ107" s="1165"/>
      <c r="CA107" s="1165"/>
      <c r="CB107" s="1165"/>
      <c r="CC107" s="1165"/>
      <c r="CD107" s="1165"/>
      <c r="CE107" s="1165"/>
      <c r="CF107" s="1165"/>
      <c r="CG107" s="1165"/>
      <c r="CH107" s="1165"/>
      <c r="CI107" s="1165"/>
      <c r="CJ107" s="1165"/>
      <c r="CK107" s="1165"/>
      <c r="CL107" s="1165"/>
      <c r="CM107" s="1165"/>
      <c r="CN107" s="1165"/>
      <c r="CO107" s="1165"/>
      <c r="CP107" s="1165"/>
      <c r="CQ107" s="1165"/>
      <c r="CR107" s="1165"/>
      <c r="CS107" s="1165"/>
      <c r="CT107" s="1165"/>
      <c r="CU107" s="1165"/>
      <c r="CV107" s="1165"/>
      <c r="CW107" s="1165"/>
      <c r="CX107" s="1106"/>
      <c r="CY107" s="1106"/>
      <c r="CZ107" s="1106" t="e">
        <f>T107</f>
        <v>#REF!</v>
      </c>
      <c r="DA107" s="1107"/>
      <c r="DB107" s="1104"/>
    </row>
    <row r="108" spans="2:106" ht="11.25" customHeight="1">
      <c r="B108" s="1105"/>
      <c r="C108" s="1165"/>
      <c r="D108" s="1165"/>
      <c r="E108" s="1165"/>
      <c r="F108" s="1165"/>
      <c r="G108" s="1165"/>
      <c r="H108" s="1165"/>
      <c r="I108" s="1165"/>
      <c r="J108" s="1165"/>
      <c r="K108" s="1165"/>
      <c r="L108" s="1165"/>
      <c r="M108" s="1165"/>
      <c r="N108" s="1165"/>
      <c r="O108" s="1165"/>
      <c r="P108" s="1165"/>
      <c r="Q108" s="1165"/>
      <c r="R108" s="1165"/>
      <c r="S108" s="1165"/>
      <c r="T108" s="1165"/>
      <c r="U108" s="1165"/>
      <c r="V108" s="1165"/>
      <c r="W108" s="1165"/>
      <c r="X108" s="1165"/>
      <c r="Y108" s="1165"/>
      <c r="Z108" s="1165"/>
      <c r="AA108" s="1165"/>
      <c r="AB108" s="1165"/>
      <c r="AC108" s="1165"/>
      <c r="AD108" s="1165"/>
      <c r="AE108" s="1165"/>
      <c r="AF108" s="1165"/>
      <c r="AG108" s="1165"/>
      <c r="AH108" s="1165"/>
      <c r="AI108" s="1165"/>
      <c r="AJ108" s="1165"/>
      <c r="AK108" s="1165"/>
      <c r="AL108" s="1165"/>
      <c r="AM108" s="1165"/>
      <c r="AN108" s="1165"/>
      <c r="AO108" s="1165"/>
      <c r="AP108" s="1165"/>
      <c r="AQ108" s="1165"/>
      <c r="AR108" s="1165"/>
      <c r="AS108" s="1165"/>
      <c r="AT108" s="1165"/>
      <c r="AU108" s="1165"/>
      <c r="AV108" s="1165"/>
      <c r="AW108" s="1165"/>
      <c r="AX108" s="1165"/>
      <c r="AY108" s="1165"/>
      <c r="AZ108" s="1165"/>
      <c r="BA108" s="1165"/>
      <c r="BB108" s="1165"/>
      <c r="BC108" s="1165"/>
      <c r="BD108" s="1165"/>
      <c r="BE108" s="1165"/>
      <c r="BF108" s="1165"/>
      <c r="BG108" s="1165"/>
      <c r="BH108" s="1165"/>
      <c r="BI108" s="1165"/>
      <c r="BJ108" s="1165"/>
      <c r="BK108" s="1165"/>
      <c r="BL108" s="1165"/>
      <c r="BM108" s="1165"/>
      <c r="BN108" s="1165"/>
      <c r="BO108" s="1165"/>
      <c r="BP108" s="1165"/>
      <c r="BQ108" s="1165"/>
      <c r="BR108" s="1165"/>
      <c r="BS108" s="1165"/>
      <c r="BT108" s="1165"/>
      <c r="BU108" s="1165"/>
      <c r="BV108" s="1165"/>
      <c r="BW108" s="1165"/>
      <c r="BX108" s="1165"/>
      <c r="BY108" s="1165"/>
      <c r="BZ108" s="1165"/>
      <c r="CA108" s="1165"/>
      <c r="CB108" s="1165"/>
      <c r="CC108" s="1165"/>
      <c r="CD108" s="1165"/>
      <c r="CE108" s="1165"/>
      <c r="CF108" s="1165"/>
      <c r="CG108" s="1165"/>
      <c r="CH108" s="1165"/>
      <c r="CI108" s="1165"/>
      <c r="CJ108" s="1165"/>
      <c r="CK108" s="1165"/>
      <c r="CL108" s="1165"/>
      <c r="CM108" s="1165"/>
      <c r="CN108" s="1165"/>
      <c r="CO108" s="1165"/>
      <c r="CP108" s="1165"/>
      <c r="CQ108" s="1165"/>
      <c r="CR108" s="1165"/>
      <c r="CS108" s="1165"/>
      <c r="CT108" s="1165"/>
      <c r="CU108" s="1165"/>
      <c r="CV108" s="1165"/>
      <c r="CW108" s="1165"/>
      <c r="CX108" s="1106"/>
      <c r="CY108" s="1106"/>
      <c r="CZ108" s="1106"/>
      <c r="DA108" s="1107"/>
      <c r="DB108" s="1104"/>
    </row>
    <row r="109" spans="2:106" ht="11.25" customHeight="1">
      <c r="B109" s="1105"/>
      <c r="C109" s="1165"/>
      <c r="D109" s="1165"/>
      <c r="E109" s="1165"/>
      <c r="F109" s="1165"/>
      <c r="G109" s="1165" t="s">
        <v>1051</v>
      </c>
      <c r="H109" s="1165"/>
      <c r="I109" s="1165"/>
      <c r="J109" s="1165"/>
      <c r="K109" s="1165"/>
      <c r="L109" s="1165"/>
      <c r="M109" s="1165"/>
      <c r="N109" s="1165"/>
      <c r="O109" s="1165" t="s">
        <v>263</v>
      </c>
      <c r="P109" s="1165" t="s">
        <v>1052</v>
      </c>
      <c r="Q109" s="1165"/>
      <c r="R109" s="1165"/>
      <c r="S109" s="1165"/>
      <c r="T109" s="1165"/>
      <c r="U109" s="1165"/>
      <c r="V109" s="1165"/>
      <c r="W109" s="1165"/>
      <c r="X109" s="1165" t="s">
        <v>264</v>
      </c>
      <c r="Y109" s="1165"/>
      <c r="Z109" s="1165" t="s">
        <v>263</v>
      </c>
      <c r="AA109" s="1165" t="s">
        <v>1053</v>
      </c>
      <c r="AB109" s="1165"/>
      <c r="AC109" s="1165"/>
      <c r="AD109" s="1165"/>
      <c r="AE109" s="1165"/>
      <c r="AF109" s="1165"/>
      <c r="AG109" s="1165"/>
      <c r="AH109" s="1165"/>
      <c r="AI109" s="1165"/>
      <c r="AJ109" s="1165"/>
      <c r="AK109" s="1165"/>
      <c r="AL109" s="1165" t="s">
        <v>1054</v>
      </c>
      <c r="AM109" s="1165"/>
      <c r="AN109" s="1165" t="s">
        <v>954</v>
      </c>
      <c r="AO109" s="1165" t="s">
        <v>264</v>
      </c>
      <c r="AP109" s="1165"/>
      <c r="AQ109" s="1165"/>
      <c r="AR109" s="1165"/>
      <c r="AS109" s="1165"/>
      <c r="AT109" s="1165"/>
      <c r="AU109" s="1165"/>
      <c r="AV109" s="1165"/>
      <c r="AW109" s="1165"/>
      <c r="AX109" s="1165"/>
      <c r="AY109" s="1165"/>
      <c r="AZ109" s="1165"/>
      <c r="BA109" s="1165"/>
      <c r="BB109" s="1165"/>
      <c r="BC109" s="1165"/>
      <c r="BD109" s="1165"/>
      <c r="BE109" s="1165"/>
      <c r="BF109" s="1165"/>
      <c r="BG109" s="1165"/>
      <c r="BH109" s="1165"/>
      <c r="BI109" s="1165"/>
      <c r="BJ109" s="1165"/>
      <c r="BK109" s="1165"/>
      <c r="BL109" s="1165"/>
      <c r="BM109" s="1165"/>
      <c r="BN109" s="1165"/>
      <c r="BO109" s="1165"/>
      <c r="BP109" s="1165"/>
      <c r="BQ109" s="1165"/>
      <c r="BR109" s="1165"/>
      <c r="BS109" s="1165"/>
      <c r="BT109" s="1165"/>
      <c r="BU109" s="1165"/>
      <c r="BV109" s="1165"/>
      <c r="BW109" s="1165"/>
      <c r="BX109" s="1165"/>
      <c r="BY109" s="1165"/>
      <c r="BZ109" s="1165"/>
      <c r="CA109" s="1165"/>
      <c r="CB109" s="1165"/>
      <c r="CC109" s="1165"/>
      <c r="CD109" s="1165"/>
      <c r="CE109" s="1165"/>
      <c r="CF109" s="1165"/>
      <c r="CG109" s="1165"/>
      <c r="CH109" s="1165"/>
      <c r="CI109" s="1165"/>
      <c r="CJ109" s="1165"/>
      <c r="CK109" s="1165"/>
      <c r="CL109" s="1165"/>
      <c r="CM109" s="1165"/>
      <c r="CN109" s="1165"/>
      <c r="CO109" s="1165"/>
      <c r="CP109" s="1165"/>
      <c r="CQ109" s="1165"/>
      <c r="CR109" s="1165"/>
      <c r="CS109" s="1165"/>
      <c r="CT109" s="1165"/>
      <c r="CU109" s="1165"/>
      <c r="CV109" s="1165"/>
      <c r="CW109" s="1165"/>
      <c r="CX109" s="1106"/>
      <c r="CY109" s="1106"/>
      <c r="CZ109" s="1106"/>
      <c r="DA109" s="1107"/>
      <c r="DB109" s="1104"/>
    </row>
    <row r="110" spans="2:106" ht="11.25" customHeight="1">
      <c r="B110" s="1105"/>
      <c r="C110" s="1165"/>
      <c r="D110" s="1165"/>
      <c r="E110" s="1165"/>
      <c r="F110" s="1165"/>
      <c r="G110" s="1165" t="e">
        <f>T107</f>
        <v>#REF!</v>
      </c>
      <c r="H110" s="1165"/>
      <c r="I110" s="1165"/>
      <c r="J110" s="1165"/>
      <c r="K110" s="1165"/>
      <c r="L110" s="1165"/>
      <c r="M110" s="1165"/>
      <c r="N110" s="1165"/>
      <c r="O110" s="1165"/>
      <c r="P110" s="1165"/>
      <c r="Q110" s="1165"/>
      <c r="R110" s="1165" t="s">
        <v>975</v>
      </c>
      <c r="S110" s="1165"/>
      <c r="T110" s="1165"/>
      <c r="U110" s="1165" t="str">
        <f>TEXT(11,"#,##0.#######")</f>
        <v>11.</v>
      </c>
      <c r="V110" s="1165"/>
      <c r="W110" s="1165" t="s">
        <v>954</v>
      </c>
      <c r="X110" s="1165"/>
      <c r="Y110" s="1165" t="s">
        <v>227</v>
      </c>
      <c r="Z110" s="1165"/>
      <c r="AA110" s="1165" t="e">
        <f>TEXT(TRUNC(T107*(U110*(1/100)),1),"#,##0.#")</f>
        <v>#REF!</v>
      </c>
      <c r="AB110" s="1165"/>
      <c r="AC110" s="1165"/>
      <c r="AD110" s="1165"/>
      <c r="AE110" s="1165"/>
      <c r="AF110" s="1165"/>
      <c r="AG110" s="1165"/>
      <c r="AH110" s="1165"/>
      <c r="AI110" s="1165"/>
      <c r="AJ110" s="1165"/>
      <c r="AK110" s="1165"/>
      <c r="AL110" s="1165"/>
      <c r="AM110" s="1165"/>
      <c r="AN110" s="1165"/>
      <c r="AO110" s="1165"/>
      <c r="AP110" s="1165"/>
      <c r="AQ110" s="1165"/>
      <c r="AR110" s="1165"/>
      <c r="AS110" s="1165"/>
      <c r="AT110" s="1165"/>
      <c r="AU110" s="1165"/>
      <c r="AV110" s="1165"/>
      <c r="AW110" s="1165"/>
      <c r="AX110" s="1165"/>
      <c r="AY110" s="1165"/>
      <c r="AZ110" s="1165"/>
      <c r="BA110" s="1165"/>
      <c r="BB110" s="1165"/>
      <c r="BC110" s="1165"/>
      <c r="BD110" s="1165"/>
      <c r="BE110" s="1165"/>
      <c r="BF110" s="1165"/>
      <c r="BG110" s="1165"/>
      <c r="BH110" s="1165"/>
      <c r="BI110" s="1165"/>
      <c r="BJ110" s="1165"/>
      <c r="BK110" s="1165"/>
      <c r="BL110" s="1165"/>
      <c r="BM110" s="1165"/>
      <c r="BN110" s="1165"/>
      <c r="BO110" s="1165"/>
      <c r="BP110" s="1165"/>
      <c r="BQ110" s="1165"/>
      <c r="BR110" s="1165"/>
      <c r="BS110" s="1165"/>
      <c r="BT110" s="1165"/>
      <c r="BU110" s="1165"/>
      <c r="BV110" s="1165"/>
      <c r="BW110" s="1165"/>
      <c r="BX110" s="1165"/>
      <c r="BY110" s="1165"/>
      <c r="BZ110" s="1165"/>
      <c r="CA110" s="1165"/>
      <c r="CB110" s="1165"/>
      <c r="CC110" s="1165"/>
      <c r="CD110" s="1165"/>
      <c r="CE110" s="1165"/>
      <c r="CF110" s="1165"/>
      <c r="CG110" s="1165"/>
      <c r="CH110" s="1165"/>
      <c r="CI110" s="1165"/>
      <c r="CJ110" s="1165"/>
      <c r="CK110" s="1165"/>
      <c r="CL110" s="1165"/>
      <c r="CM110" s="1165"/>
      <c r="CN110" s="1165"/>
      <c r="CO110" s="1165"/>
      <c r="CP110" s="1165"/>
      <c r="CQ110" s="1165"/>
      <c r="CR110" s="1165"/>
      <c r="CS110" s="1165"/>
      <c r="CT110" s="1165"/>
      <c r="CU110" s="1165"/>
      <c r="CV110" s="1165"/>
      <c r="CW110" s="1165"/>
      <c r="CX110" s="1106" t="e">
        <f>CY110+CZ110+DA110</f>
        <v>#REF!</v>
      </c>
      <c r="CY110" s="1106"/>
      <c r="CZ110" s="1106" t="e">
        <f>AA110</f>
        <v>#REF!</v>
      </c>
      <c r="DA110" s="1107"/>
      <c r="DB110" s="1104"/>
    </row>
    <row r="111" spans="2:106" ht="11.25" customHeight="1">
      <c r="B111" s="1105"/>
      <c r="C111" s="1165"/>
      <c r="D111" s="1165"/>
      <c r="E111" s="1165"/>
      <c r="F111" s="1165"/>
      <c r="G111" s="1165"/>
      <c r="H111" s="1165"/>
      <c r="I111" s="1165"/>
      <c r="J111" s="1165"/>
      <c r="K111" s="1165"/>
      <c r="L111" s="1165"/>
      <c r="M111" s="1165"/>
      <c r="N111" s="1165"/>
      <c r="O111" s="1165"/>
      <c r="P111" s="1165"/>
      <c r="Q111" s="1165"/>
      <c r="R111" s="1165"/>
      <c r="S111" s="1165"/>
      <c r="T111" s="1165"/>
      <c r="U111" s="1165"/>
      <c r="V111" s="1165"/>
      <c r="W111" s="1165"/>
      <c r="X111" s="1165"/>
      <c r="Y111" s="1165"/>
      <c r="Z111" s="1165"/>
      <c r="AA111" s="1165"/>
      <c r="AB111" s="1165"/>
      <c r="AC111" s="1165"/>
      <c r="AD111" s="1165"/>
      <c r="AE111" s="1165"/>
      <c r="AF111" s="1165"/>
      <c r="AG111" s="1165"/>
      <c r="AH111" s="1165"/>
      <c r="AI111" s="1165"/>
      <c r="AJ111" s="1165"/>
      <c r="AK111" s="1165"/>
      <c r="AL111" s="1165"/>
      <c r="AM111" s="1165"/>
      <c r="AN111" s="1165"/>
      <c r="AO111" s="1165"/>
      <c r="AP111" s="1165"/>
      <c r="AQ111" s="1165"/>
      <c r="AR111" s="1165"/>
      <c r="AS111" s="1165"/>
      <c r="AT111" s="1165"/>
      <c r="AU111" s="1165"/>
      <c r="AV111" s="1165"/>
      <c r="AW111" s="1165"/>
      <c r="AX111" s="1165"/>
      <c r="AY111" s="1165"/>
      <c r="AZ111" s="1165"/>
      <c r="BA111" s="1165"/>
      <c r="BB111" s="1165"/>
      <c r="BC111" s="1165"/>
      <c r="BD111" s="1165"/>
      <c r="BE111" s="1165"/>
      <c r="BF111" s="1165"/>
      <c r="BG111" s="1165"/>
      <c r="BH111" s="1165"/>
      <c r="BI111" s="1165"/>
      <c r="BJ111" s="1165"/>
      <c r="BK111" s="1165"/>
      <c r="BL111" s="1165"/>
      <c r="BM111" s="1165"/>
      <c r="BN111" s="1165"/>
      <c r="BO111" s="1165"/>
      <c r="BP111" s="1165"/>
      <c r="BQ111" s="1165"/>
      <c r="BR111" s="1165"/>
      <c r="BS111" s="1165"/>
      <c r="BT111" s="1165"/>
      <c r="BU111" s="1165"/>
      <c r="BV111" s="1165"/>
      <c r="BW111" s="1165"/>
      <c r="BX111" s="1165"/>
      <c r="BY111" s="1165"/>
      <c r="BZ111" s="1165"/>
      <c r="CA111" s="1165"/>
      <c r="CB111" s="1165"/>
      <c r="CC111" s="1165"/>
      <c r="CD111" s="1165"/>
      <c r="CE111" s="1165"/>
      <c r="CF111" s="1165"/>
      <c r="CG111" s="1165"/>
      <c r="CH111" s="1165"/>
      <c r="CI111" s="1165"/>
      <c r="CJ111" s="1165"/>
      <c r="CK111" s="1165"/>
      <c r="CL111" s="1165"/>
      <c r="CM111" s="1165"/>
      <c r="CN111" s="1165"/>
      <c r="CO111" s="1165"/>
      <c r="CP111" s="1165"/>
      <c r="CQ111" s="1165"/>
      <c r="CR111" s="1165"/>
      <c r="CS111" s="1165"/>
      <c r="CT111" s="1165"/>
      <c r="CU111" s="1165"/>
      <c r="CV111" s="1165"/>
      <c r="CW111" s="1165"/>
      <c r="CX111" s="1106"/>
      <c r="CY111" s="1106"/>
      <c r="CZ111" s="1106"/>
      <c r="DA111" s="1107"/>
      <c r="DB111" s="1104"/>
    </row>
    <row r="112" spans="2:106" ht="11.25" customHeight="1">
      <c r="B112" s="1105"/>
      <c r="C112" s="1165"/>
      <c r="D112" s="1165" t="s">
        <v>1025</v>
      </c>
      <c r="E112" s="1165"/>
      <c r="F112" s="1165"/>
      <c r="G112" s="1165" t="s">
        <v>1055</v>
      </c>
      <c r="H112" s="1165"/>
      <c r="I112" s="1165"/>
      <c r="J112" s="1165"/>
      <c r="K112" s="1165"/>
      <c r="L112" s="1165"/>
      <c r="M112" s="1165"/>
      <c r="N112" s="1165" t="s">
        <v>263</v>
      </c>
      <c r="O112" s="1165" t="s">
        <v>1056</v>
      </c>
      <c r="P112" s="1165"/>
      <c r="Q112" s="1165" t="s">
        <v>1057</v>
      </c>
      <c r="R112" s="1165"/>
      <c r="S112" s="1165"/>
      <c r="T112" s="1165" t="s">
        <v>1058</v>
      </c>
      <c r="U112" s="1165"/>
      <c r="V112" s="1165"/>
      <c r="W112" s="1165"/>
      <c r="X112" s="1165"/>
      <c r="Y112" s="1165" t="s">
        <v>1059</v>
      </c>
      <c r="Z112" s="1165"/>
      <c r="AA112" s="1165"/>
      <c r="AB112" s="1165"/>
      <c r="AC112" s="1165" t="s">
        <v>264</v>
      </c>
      <c r="AD112" s="1165"/>
      <c r="AE112" s="1165"/>
      <c r="AF112" s="1165"/>
      <c r="AG112" s="1165"/>
      <c r="AH112" s="1165"/>
      <c r="AI112" s="1165"/>
      <c r="AJ112" s="1165"/>
      <c r="AK112" s="1165"/>
      <c r="AL112" s="1165"/>
      <c r="AM112" s="1165"/>
      <c r="AN112" s="1165"/>
      <c r="AO112" s="1165"/>
      <c r="AP112" s="1165"/>
      <c r="AQ112" s="1165"/>
      <c r="AR112" s="1165"/>
      <c r="AS112" s="1165"/>
      <c r="AT112" s="1165"/>
      <c r="AU112" s="1165"/>
      <c r="AV112" s="1165"/>
      <c r="AW112" s="1165"/>
      <c r="AX112" s="1165"/>
      <c r="AY112" s="1165"/>
      <c r="AZ112" s="1165"/>
      <c r="BA112" s="1165"/>
      <c r="BB112" s="1165"/>
      <c r="BC112" s="1165"/>
      <c r="BD112" s="1165"/>
      <c r="BE112" s="1165"/>
      <c r="BF112" s="1165"/>
      <c r="BG112" s="1165"/>
      <c r="BH112" s="1165"/>
      <c r="BI112" s="1165"/>
      <c r="BJ112" s="1165"/>
      <c r="BK112" s="1165"/>
      <c r="BL112" s="1165"/>
      <c r="BM112" s="1165"/>
      <c r="BN112" s="1165"/>
      <c r="BO112" s="1165"/>
      <c r="BP112" s="1165"/>
      <c r="BQ112" s="1165"/>
      <c r="BR112" s="1165"/>
      <c r="BS112" s="1165"/>
      <c r="BT112" s="1165"/>
      <c r="BU112" s="1165"/>
      <c r="BV112" s="1165"/>
      <c r="BW112" s="1165"/>
      <c r="BX112" s="1165"/>
      <c r="BY112" s="1165"/>
      <c r="BZ112" s="1165"/>
      <c r="CA112" s="1165"/>
      <c r="CB112" s="1165"/>
      <c r="CC112" s="1165"/>
      <c r="CD112" s="1165"/>
      <c r="CE112" s="1165"/>
      <c r="CF112" s="1165"/>
      <c r="CG112" s="1165"/>
      <c r="CH112" s="1165"/>
      <c r="CI112" s="1165"/>
      <c r="CJ112" s="1165"/>
      <c r="CK112" s="1165"/>
      <c r="CL112" s="1165"/>
      <c r="CM112" s="1165"/>
      <c r="CN112" s="1165"/>
      <c r="CO112" s="1165"/>
      <c r="CP112" s="1165"/>
      <c r="CQ112" s="1165"/>
      <c r="CR112" s="1165"/>
      <c r="CS112" s="1165"/>
      <c r="CT112" s="1165"/>
      <c r="CU112" s="1165"/>
      <c r="CV112" s="1165"/>
      <c r="CW112" s="1165"/>
      <c r="CX112" s="1106"/>
      <c r="CY112" s="1106"/>
      <c r="CZ112" s="1106"/>
      <c r="DA112" s="1107"/>
      <c r="DB112" s="1104"/>
    </row>
    <row r="113" spans="2:106" ht="11.25" customHeight="1">
      <c r="B113" s="1105"/>
      <c r="C113" s="1165"/>
      <c r="D113" s="1165"/>
      <c r="E113" s="1165"/>
      <c r="F113" s="1165"/>
      <c r="G113" s="1165"/>
      <c r="H113" s="1165"/>
      <c r="I113" s="1165"/>
      <c r="J113" s="1165"/>
      <c r="K113" s="1165"/>
      <c r="L113" s="1165"/>
      <c r="M113" s="1165"/>
      <c r="N113" s="1165"/>
      <c r="O113" s="1165"/>
      <c r="P113" s="1165"/>
      <c r="Q113" s="1165"/>
      <c r="R113" s="1165"/>
      <c r="S113" s="1165"/>
      <c r="T113" s="1165"/>
      <c r="U113" s="1165"/>
      <c r="V113" s="1165"/>
      <c r="W113" s="1165"/>
      <c r="X113" s="1165"/>
      <c r="Y113" s="1165"/>
      <c r="Z113" s="1165"/>
      <c r="AA113" s="1165"/>
      <c r="AB113" s="1165"/>
      <c r="AC113" s="1165"/>
      <c r="AD113" s="1165"/>
      <c r="AE113" s="1165"/>
      <c r="AF113" s="1165"/>
      <c r="AG113" s="1165"/>
      <c r="AH113" s="1165"/>
      <c r="AI113" s="1165"/>
      <c r="AJ113" s="1165"/>
      <c r="AK113" s="1165"/>
      <c r="AL113" s="1165"/>
      <c r="AM113" s="1165"/>
      <c r="AN113" s="1165"/>
      <c r="AO113" s="1165"/>
      <c r="AP113" s="1165"/>
      <c r="AQ113" s="1165"/>
      <c r="AR113" s="1165"/>
      <c r="AS113" s="1165"/>
      <c r="AT113" s="1165"/>
      <c r="AU113" s="1165"/>
      <c r="AV113" s="1165"/>
      <c r="AW113" s="1165"/>
      <c r="AX113" s="1165"/>
      <c r="AY113" s="1165"/>
      <c r="AZ113" s="1165"/>
      <c r="BA113" s="1165"/>
      <c r="BB113" s="1165"/>
      <c r="BC113" s="1165"/>
      <c r="BD113" s="1165"/>
      <c r="BE113" s="1165"/>
      <c r="BF113" s="1165"/>
      <c r="BG113" s="1165"/>
      <c r="BH113" s="1165"/>
      <c r="BI113" s="1165"/>
      <c r="BJ113" s="1165"/>
      <c r="BK113" s="1165"/>
      <c r="BL113" s="1165"/>
      <c r="BM113" s="1165"/>
      <c r="BN113" s="1165"/>
      <c r="BO113" s="1165"/>
      <c r="BP113" s="1165"/>
      <c r="BQ113" s="1165"/>
      <c r="BR113" s="1165"/>
      <c r="BS113" s="1165"/>
      <c r="BT113" s="1165"/>
      <c r="BU113" s="1165"/>
      <c r="BV113" s="1165"/>
      <c r="BW113" s="1165"/>
      <c r="BX113" s="1165"/>
      <c r="BY113" s="1165"/>
      <c r="BZ113" s="1165"/>
      <c r="CA113" s="1165"/>
      <c r="CB113" s="1165"/>
      <c r="CC113" s="1165"/>
      <c r="CD113" s="1165"/>
      <c r="CE113" s="1165"/>
      <c r="CF113" s="1165"/>
      <c r="CG113" s="1165"/>
      <c r="CH113" s="1165"/>
      <c r="CI113" s="1165"/>
      <c r="CJ113" s="1165"/>
      <c r="CK113" s="1165"/>
      <c r="CL113" s="1165"/>
      <c r="CM113" s="1165"/>
      <c r="CN113" s="1165"/>
      <c r="CO113" s="1165"/>
      <c r="CP113" s="1165"/>
      <c r="CQ113" s="1165"/>
      <c r="CR113" s="1165"/>
      <c r="CS113" s="1165"/>
      <c r="CT113" s="1165"/>
      <c r="CU113" s="1165"/>
      <c r="CV113" s="1165"/>
      <c r="CW113" s="1165"/>
      <c r="CX113" s="1106"/>
      <c r="CY113" s="1106"/>
      <c r="CZ113" s="1106"/>
      <c r="DA113" s="1107"/>
      <c r="DB113" s="1104"/>
    </row>
    <row r="114" spans="2:106" ht="11.25" customHeight="1">
      <c r="B114" s="1105"/>
      <c r="C114" s="1165"/>
      <c r="D114" s="1165"/>
      <c r="E114" s="1165"/>
      <c r="F114" s="1165"/>
      <c r="G114" s="1165" t="s">
        <v>183</v>
      </c>
      <c r="H114" s="1165"/>
      <c r="I114" s="1165"/>
      <c r="J114" s="1165"/>
      <c r="K114" s="1165"/>
      <c r="L114" s="1165"/>
      <c r="M114" s="1165"/>
      <c r="N114" s="1165"/>
      <c r="O114" s="1165"/>
      <c r="P114" s="1165"/>
      <c r="Q114" s="1165"/>
      <c r="R114" s="1165" t="s">
        <v>217</v>
      </c>
      <c r="S114" s="1165"/>
      <c r="T114" s="1536">
        <f>VLOOKUP($G114,인건비!A:B,2,FALSE)</f>
        <v>275379</v>
      </c>
      <c r="U114" s="1536"/>
      <c r="V114" s="1536"/>
      <c r="W114" s="1536"/>
      <c r="X114" s="1536"/>
      <c r="Y114" s="1536"/>
      <c r="Z114" s="1536"/>
      <c r="AA114" s="1536"/>
      <c r="AB114" s="1536"/>
      <c r="AC114" s="1165"/>
      <c r="AD114" s="1165" t="s">
        <v>975</v>
      </c>
      <c r="AE114" s="1165"/>
      <c r="AF114" s="1165"/>
      <c r="AG114" s="1165" t="str">
        <f>TEXT(5,"#,##0.#######")</f>
        <v>5.</v>
      </c>
      <c r="AH114" s="1165" t="s">
        <v>181</v>
      </c>
      <c r="AI114" s="1165"/>
      <c r="AJ114" s="1165"/>
      <c r="AK114" s="1165" t="s">
        <v>249</v>
      </c>
      <c r="AL114" s="1165"/>
      <c r="AM114" s="1165" t="str">
        <f>TEXT(50,"#,##0.#######")</f>
        <v>50.</v>
      </c>
      <c r="AN114" s="1165"/>
      <c r="AO114" s="1165" t="s">
        <v>783</v>
      </c>
      <c r="AP114" s="1165"/>
      <c r="AQ114" s="1165"/>
      <c r="AR114" s="1165" t="s">
        <v>227</v>
      </c>
      <c r="AS114" s="1165"/>
      <c r="AT114" s="1165" t="str">
        <f>TEXT(TRUNC(T114*AG114/AM114,1),"#,##0.#######")</f>
        <v>27,537.9</v>
      </c>
      <c r="AU114" s="1165"/>
      <c r="AV114" s="1165"/>
      <c r="AW114" s="1165"/>
      <c r="AX114" s="1165"/>
      <c r="AY114" s="1165"/>
      <c r="AZ114" s="1165"/>
      <c r="BA114" s="1165"/>
      <c r="BB114" s="1165"/>
      <c r="BC114" s="1165"/>
      <c r="BD114" s="1165"/>
      <c r="BE114" s="1165"/>
      <c r="BF114" s="1165"/>
      <c r="BG114" s="1165"/>
      <c r="BH114" s="1165"/>
      <c r="BI114" s="1165"/>
      <c r="BJ114" s="1165"/>
      <c r="BK114" s="1165"/>
      <c r="BL114" s="1165"/>
      <c r="BM114" s="1165"/>
      <c r="BN114" s="1165"/>
      <c r="BO114" s="1165"/>
      <c r="BP114" s="1165"/>
      <c r="BQ114" s="1165"/>
      <c r="BR114" s="1165"/>
      <c r="BS114" s="1165"/>
      <c r="BT114" s="1165"/>
      <c r="BU114" s="1165"/>
      <c r="BV114" s="1165"/>
      <c r="BW114" s="1165"/>
      <c r="BX114" s="1165"/>
      <c r="BY114" s="1165"/>
      <c r="BZ114" s="1165"/>
      <c r="CA114" s="1165"/>
      <c r="CB114" s="1165"/>
      <c r="CC114" s="1165"/>
      <c r="CD114" s="1165"/>
      <c r="CE114" s="1165"/>
      <c r="CF114" s="1165"/>
      <c r="CG114" s="1165"/>
      <c r="CH114" s="1165"/>
      <c r="CI114" s="1165"/>
      <c r="CJ114" s="1165"/>
      <c r="CK114" s="1165"/>
      <c r="CL114" s="1165"/>
      <c r="CM114" s="1165"/>
      <c r="CN114" s="1165"/>
      <c r="CO114" s="1165"/>
      <c r="CP114" s="1165"/>
      <c r="CQ114" s="1165"/>
      <c r="CR114" s="1165"/>
      <c r="CS114" s="1165"/>
      <c r="CT114" s="1165"/>
      <c r="CU114" s="1165"/>
      <c r="CV114" s="1165"/>
      <c r="CW114" s="1165"/>
      <c r="CX114" s="1106"/>
      <c r="CY114" s="1106"/>
      <c r="CZ114" s="1106"/>
      <c r="DA114" s="1107"/>
      <c r="DB114" s="1104"/>
    </row>
    <row r="115" spans="2:106" ht="11.25" customHeight="1">
      <c r="B115" s="1105"/>
      <c r="C115" s="1165"/>
      <c r="D115" s="1165"/>
      <c r="E115" s="1165"/>
      <c r="F115" s="1165"/>
      <c r="G115" s="1165"/>
      <c r="H115" s="1165"/>
      <c r="I115" s="1165"/>
      <c r="J115" s="1165"/>
      <c r="K115" s="1165"/>
      <c r="L115" s="1165"/>
      <c r="M115" s="1165"/>
      <c r="N115" s="1165"/>
      <c r="O115" s="1165"/>
      <c r="P115" s="1165"/>
      <c r="Q115" s="1165"/>
      <c r="R115" s="1165"/>
      <c r="S115" s="1165"/>
      <c r="T115" s="1165"/>
      <c r="U115" s="1165"/>
      <c r="V115" s="1165"/>
      <c r="W115" s="1165"/>
      <c r="X115" s="1165"/>
      <c r="Y115" s="1165"/>
      <c r="Z115" s="1165"/>
      <c r="AA115" s="1165"/>
      <c r="AB115" s="1165"/>
      <c r="AC115" s="1165"/>
      <c r="AD115" s="1165"/>
      <c r="AE115" s="1165"/>
      <c r="AF115" s="1165"/>
      <c r="AG115" s="1165"/>
      <c r="AH115" s="1165"/>
      <c r="AI115" s="1165"/>
      <c r="AJ115" s="1165"/>
      <c r="AK115" s="1165"/>
      <c r="AL115" s="1165"/>
      <c r="AM115" s="1165"/>
      <c r="AN115" s="1165"/>
      <c r="AO115" s="1165"/>
      <c r="AP115" s="1165"/>
      <c r="AQ115" s="1165"/>
      <c r="AR115" s="1165"/>
      <c r="AS115" s="1165"/>
      <c r="AT115" s="1165"/>
      <c r="AU115" s="1165"/>
      <c r="AV115" s="1165"/>
      <c r="AW115" s="1165"/>
      <c r="AX115" s="1165"/>
      <c r="AY115" s="1165"/>
      <c r="AZ115" s="1165"/>
      <c r="BA115" s="1165"/>
      <c r="BB115" s="1165"/>
      <c r="BC115" s="1165"/>
      <c r="BD115" s="1165"/>
      <c r="BE115" s="1165"/>
      <c r="BF115" s="1165"/>
      <c r="BG115" s="1165"/>
      <c r="BH115" s="1165"/>
      <c r="BI115" s="1165"/>
      <c r="BJ115" s="1165"/>
      <c r="BK115" s="1165"/>
      <c r="BL115" s="1165"/>
      <c r="BM115" s="1165"/>
      <c r="BN115" s="1165"/>
      <c r="BO115" s="1165"/>
      <c r="BP115" s="1165"/>
      <c r="BQ115" s="1165"/>
      <c r="BR115" s="1165"/>
      <c r="BS115" s="1165"/>
      <c r="BT115" s="1165"/>
      <c r="BU115" s="1165"/>
      <c r="BV115" s="1165"/>
      <c r="BW115" s="1165"/>
      <c r="BX115" s="1165"/>
      <c r="BY115" s="1165"/>
      <c r="BZ115" s="1165"/>
      <c r="CA115" s="1165"/>
      <c r="CB115" s="1165"/>
      <c r="CC115" s="1165"/>
      <c r="CD115" s="1165"/>
      <c r="CE115" s="1165"/>
      <c r="CF115" s="1165"/>
      <c r="CG115" s="1165"/>
      <c r="CH115" s="1165"/>
      <c r="CI115" s="1165"/>
      <c r="CJ115" s="1165"/>
      <c r="CK115" s="1165"/>
      <c r="CL115" s="1165"/>
      <c r="CM115" s="1165"/>
      <c r="CN115" s="1165"/>
      <c r="CO115" s="1165"/>
      <c r="CP115" s="1165"/>
      <c r="CQ115" s="1165"/>
      <c r="CR115" s="1165"/>
      <c r="CS115" s="1165"/>
      <c r="CT115" s="1165"/>
      <c r="CU115" s="1165"/>
      <c r="CV115" s="1165"/>
      <c r="CW115" s="1165"/>
      <c r="CX115" s="1106"/>
      <c r="CY115" s="1106"/>
      <c r="CZ115" s="1106"/>
      <c r="DA115" s="1107"/>
      <c r="DB115" s="1104"/>
    </row>
    <row r="116" spans="2:106" ht="11.25" customHeight="1">
      <c r="B116" s="1105"/>
      <c r="C116" s="1165"/>
      <c r="D116" s="1165"/>
      <c r="E116" s="1165"/>
      <c r="F116" s="1165"/>
      <c r="G116" s="1165" t="s">
        <v>182</v>
      </c>
      <c r="H116" s="1165"/>
      <c r="I116" s="1165"/>
      <c r="J116" s="1165"/>
      <c r="K116" s="1165"/>
      <c r="L116" s="1165"/>
      <c r="M116" s="1165"/>
      <c r="N116" s="1165"/>
      <c r="O116" s="1165"/>
      <c r="P116" s="1165"/>
      <c r="Q116" s="1165"/>
      <c r="R116" s="1165" t="s">
        <v>217</v>
      </c>
      <c r="S116" s="1165"/>
      <c r="T116" s="1536">
        <f>VLOOKUP($G116,인건비!A:B,2,FALSE)</f>
        <v>172698</v>
      </c>
      <c r="U116" s="1536"/>
      <c r="V116" s="1536"/>
      <c r="W116" s="1536"/>
      <c r="X116" s="1536"/>
      <c r="Y116" s="1536"/>
      <c r="Z116" s="1536"/>
      <c r="AA116" s="1536"/>
      <c r="AB116" s="1536"/>
      <c r="AC116" s="1165"/>
      <c r="AD116" s="1165" t="s">
        <v>975</v>
      </c>
      <c r="AE116" s="1165"/>
      <c r="AF116" s="1165"/>
      <c r="AG116" s="1165" t="str">
        <f>TEXT(2,"#,##0.#######")</f>
        <v>2.</v>
      </c>
      <c r="AH116" s="1165" t="s">
        <v>181</v>
      </c>
      <c r="AI116" s="1165"/>
      <c r="AJ116" s="1165"/>
      <c r="AK116" s="1165" t="s">
        <v>249</v>
      </c>
      <c r="AL116" s="1165"/>
      <c r="AM116" s="1165" t="str">
        <f>TEXT(50,"#,##0.#######")</f>
        <v>50.</v>
      </c>
      <c r="AN116" s="1165"/>
      <c r="AO116" s="1165" t="s">
        <v>783</v>
      </c>
      <c r="AP116" s="1165"/>
      <c r="AQ116" s="1165"/>
      <c r="AR116" s="1165" t="s">
        <v>227</v>
      </c>
      <c r="AS116" s="1165"/>
      <c r="AT116" s="1165" t="str">
        <f>TEXT(TRUNC(T116*AG116/AM116,1),"#,##0.#######")</f>
        <v>6,907.9</v>
      </c>
      <c r="AU116" s="1165"/>
      <c r="AV116" s="1165"/>
      <c r="AW116" s="1165"/>
      <c r="AX116" s="1165"/>
      <c r="AY116" s="1165"/>
      <c r="AZ116" s="1165"/>
      <c r="BA116" s="1165"/>
      <c r="BB116" s="1165"/>
      <c r="BC116" s="1165"/>
      <c r="BD116" s="1165"/>
      <c r="BE116" s="1165"/>
      <c r="BF116" s="1165"/>
      <c r="BG116" s="1165"/>
      <c r="BH116" s="1165"/>
      <c r="BI116" s="1165"/>
      <c r="BJ116" s="1165"/>
      <c r="BK116" s="1165"/>
      <c r="BL116" s="1165"/>
      <c r="BM116" s="1165"/>
      <c r="BN116" s="1165"/>
      <c r="BO116" s="1165"/>
      <c r="BP116" s="1165"/>
      <c r="BQ116" s="1165"/>
      <c r="BR116" s="1165"/>
      <c r="BS116" s="1165"/>
      <c r="BT116" s="1165"/>
      <c r="BU116" s="1165"/>
      <c r="BV116" s="1165"/>
      <c r="BW116" s="1165"/>
      <c r="BX116" s="1165"/>
      <c r="BY116" s="1165"/>
      <c r="BZ116" s="1165"/>
      <c r="CA116" s="1165"/>
      <c r="CB116" s="1165"/>
      <c r="CC116" s="1165"/>
      <c r="CD116" s="1165"/>
      <c r="CE116" s="1165"/>
      <c r="CF116" s="1165"/>
      <c r="CG116" s="1165"/>
      <c r="CH116" s="1165"/>
      <c r="CI116" s="1165"/>
      <c r="CJ116" s="1165"/>
      <c r="CK116" s="1165"/>
      <c r="CL116" s="1165"/>
      <c r="CM116" s="1165"/>
      <c r="CN116" s="1165"/>
      <c r="CO116" s="1165"/>
      <c r="CP116" s="1165"/>
      <c r="CQ116" s="1165"/>
      <c r="CR116" s="1165"/>
      <c r="CS116" s="1165"/>
      <c r="CT116" s="1165"/>
      <c r="CU116" s="1165"/>
      <c r="CV116" s="1165"/>
      <c r="CW116" s="1165"/>
      <c r="CX116" s="1106"/>
      <c r="CY116" s="1106"/>
      <c r="CZ116" s="1106"/>
      <c r="DA116" s="1107"/>
      <c r="DB116" s="1104"/>
    </row>
    <row r="117" spans="2:106" ht="11.25" customHeight="1">
      <c r="B117" s="1105"/>
      <c r="C117" s="1165"/>
      <c r="D117" s="1165"/>
      <c r="E117" s="1165"/>
      <c r="F117" s="1165"/>
      <c r="G117" s="1165"/>
      <c r="H117" s="1165"/>
      <c r="I117" s="1165"/>
      <c r="J117" s="1165"/>
      <c r="K117" s="1165"/>
      <c r="L117" s="1165"/>
      <c r="M117" s="1165"/>
      <c r="N117" s="1165"/>
      <c r="O117" s="1165"/>
      <c r="P117" s="1165"/>
      <c r="Q117" s="1165"/>
      <c r="R117" s="1165"/>
      <c r="S117" s="1165"/>
      <c r="T117" s="1165"/>
      <c r="U117" s="1165"/>
      <c r="V117" s="1165"/>
      <c r="W117" s="1165"/>
      <c r="X117" s="1165"/>
      <c r="Y117" s="1165"/>
      <c r="Z117" s="1165"/>
      <c r="AA117" s="1165"/>
      <c r="AB117" s="1165"/>
      <c r="AC117" s="1165"/>
      <c r="AD117" s="1165"/>
      <c r="AE117" s="1165"/>
      <c r="AF117" s="1165"/>
      <c r="AG117" s="1165"/>
      <c r="AH117" s="1165"/>
      <c r="AI117" s="1165"/>
      <c r="AJ117" s="1165"/>
      <c r="AK117" s="1165"/>
      <c r="AL117" s="1165"/>
      <c r="AM117" s="1165"/>
      <c r="AN117" s="1165"/>
      <c r="AO117" s="1165"/>
      <c r="AP117" s="1165"/>
      <c r="AQ117" s="1165"/>
      <c r="AR117" s="1165"/>
      <c r="AS117" s="1165"/>
      <c r="AT117" s="1165"/>
      <c r="AU117" s="1165"/>
      <c r="AV117" s="1165"/>
      <c r="AW117" s="1165"/>
      <c r="AX117" s="1165"/>
      <c r="AY117" s="1165"/>
      <c r="AZ117" s="1165"/>
      <c r="BA117" s="1165"/>
      <c r="BB117" s="1165"/>
      <c r="BC117" s="1165"/>
      <c r="BD117" s="1165"/>
      <c r="BE117" s="1165"/>
      <c r="BF117" s="1165"/>
      <c r="BG117" s="1165"/>
      <c r="BH117" s="1165"/>
      <c r="BI117" s="1165"/>
      <c r="BJ117" s="1165"/>
      <c r="BK117" s="1165"/>
      <c r="BL117" s="1165"/>
      <c r="BM117" s="1165"/>
      <c r="BN117" s="1165"/>
      <c r="BO117" s="1165"/>
      <c r="BP117" s="1165"/>
      <c r="BQ117" s="1165"/>
      <c r="BR117" s="1165"/>
      <c r="BS117" s="1165"/>
      <c r="BT117" s="1165"/>
      <c r="BU117" s="1165"/>
      <c r="BV117" s="1165"/>
      <c r="BW117" s="1165"/>
      <c r="BX117" s="1165"/>
      <c r="BY117" s="1165"/>
      <c r="BZ117" s="1165"/>
      <c r="CA117" s="1165"/>
      <c r="CB117" s="1165"/>
      <c r="CC117" s="1165"/>
      <c r="CD117" s="1165"/>
      <c r="CE117" s="1165"/>
      <c r="CF117" s="1165"/>
      <c r="CG117" s="1165"/>
      <c r="CH117" s="1165"/>
      <c r="CI117" s="1165"/>
      <c r="CJ117" s="1165"/>
      <c r="CK117" s="1165"/>
      <c r="CL117" s="1165"/>
      <c r="CM117" s="1165"/>
      <c r="CN117" s="1165"/>
      <c r="CO117" s="1165"/>
      <c r="CP117" s="1165"/>
      <c r="CQ117" s="1165"/>
      <c r="CR117" s="1165"/>
      <c r="CS117" s="1165"/>
      <c r="CT117" s="1165"/>
      <c r="CU117" s="1165"/>
      <c r="CV117" s="1165"/>
      <c r="CW117" s="1165"/>
      <c r="CX117" s="1106"/>
      <c r="CY117" s="1106"/>
      <c r="CZ117" s="1106"/>
      <c r="DA117" s="1107"/>
      <c r="DB117" s="1104"/>
    </row>
    <row r="118" spans="2:106" ht="11.25" customHeight="1">
      <c r="B118" s="1105"/>
      <c r="C118" s="1165"/>
      <c r="D118" s="1165"/>
      <c r="E118" s="1165"/>
      <c r="F118" s="1165"/>
      <c r="G118" s="1165" t="s">
        <v>1060</v>
      </c>
      <c r="H118" s="1165"/>
      <c r="I118" s="1165"/>
      <c r="J118" s="1165"/>
      <c r="K118" s="1165"/>
      <c r="L118" s="1165"/>
      <c r="M118" s="1165"/>
      <c r="N118" s="1165"/>
      <c r="O118" s="1165"/>
      <c r="P118" s="1165" t="s">
        <v>217</v>
      </c>
      <c r="Q118" s="1165"/>
      <c r="R118" s="1165"/>
      <c r="S118" s="1165" t="str">
        <f>TEXT(TRUNC(AT114+AT116,1),"#,##0.#######")</f>
        <v>34,445.8</v>
      </c>
      <c r="T118" s="1165"/>
      <c r="U118" s="1165"/>
      <c r="V118" s="1165"/>
      <c r="W118" s="1165"/>
      <c r="X118" s="1165"/>
      <c r="Y118" s="1165"/>
      <c r="Z118" s="1165"/>
      <c r="AA118" s="1165"/>
      <c r="AB118" s="1165"/>
      <c r="AC118" s="1165"/>
      <c r="AD118" s="1165"/>
      <c r="AE118" s="1165"/>
      <c r="AF118" s="1165"/>
      <c r="AG118" s="1165"/>
      <c r="AH118" s="1165"/>
      <c r="AI118" s="1165"/>
      <c r="AJ118" s="1165"/>
      <c r="AK118" s="1165"/>
      <c r="AL118" s="1165"/>
      <c r="AM118" s="1165"/>
      <c r="AN118" s="1165"/>
      <c r="AO118" s="1165"/>
      <c r="AP118" s="1165"/>
      <c r="AQ118" s="1165"/>
      <c r="AR118" s="1165"/>
      <c r="AS118" s="1165"/>
      <c r="AT118" s="1165"/>
      <c r="AU118" s="1165"/>
      <c r="AV118" s="1165"/>
      <c r="AW118" s="1165"/>
      <c r="AX118" s="1165"/>
      <c r="AY118" s="1165"/>
      <c r="AZ118" s="1165"/>
      <c r="BA118" s="1165"/>
      <c r="BB118" s="1165"/>
      <c r="BC118" s="1165"/>
      <c r="BD118" s="1165"/>
      <c r="BE118" s="1165"/>
      <c r="BF118" s="1165"/>
      <c r="BG118" s="1165"/>
      <c r="BH118" s="1165"/>
      <c r="BI118" s="1165"/>
      <c r="BJ118" s="1165"/>
      <c r="BK118" s="1165"/>
      <c r="BL118" s="1165"/>
      <c r="BM118" s="1165"/>
      <c r="BN118" s="1165"/>
      <c r="BO118" s="1165"/>
      <c r="BP118" s="1165"/>
      <c r="BQ118" s="1165"/>
      <c r="BR118" s="1165"/>
      <c r="BS118" s="1165"/>
      <c r="BT118" s="1165"/>
      <c r="BU118" s="1165"/>
      <c r="BV118" s="1165"/>
      <c r="BW118" s="1165"/>
      <c r="BX118" s="1165"/>
      <c r="BY118" s="1165"/>
      <c r="BZ118" s="1165"/>
      <c r="CA118" s="1165"/>
      <c r="CB118" s="1165"/>
      <c r="CC118" s="1165"/>
      <c r="CD118" s="1165"/>
      <c r="CE118" s="1165"/>
      <c r="CF118" s="1165"/>
      <c r="CG118" s="1165"/>
      <c r="CH118" s="1165"/>
      <c r="CI118" s="1165"/>
      <c r="CJ118" s="1165"/>
      <c r="CK118" s="1165"/>
      <c r="CL118" s="1165"/>
      <c r="CM118" s="1165"/>
      <c r="CN118" s="1165"/>
      <c r="CO118" s="1165"/>
      <c r="CP118" s="1165"/>
      <c r="CQ118" s="1165"/>
      <c r="CR118" s="1165"/>
      <c r="CS118" s="1165"/>
      <c r="CT118" s="1165"/>
      <c r="CU118" s="1165"/>
      <c r="CV118" s="1165"/>
      <c r="CW118" s="1165"/>
      <c r="CX118" s="1106"/>
      <c r="CY118" s="1106" t="str">
        <f>S118</f>
        <v>34,445.8</v>
      </c>
      <c r="CZ118" s="1106"/>
      <c r="DA118" s="1107"/>
      <c r="DB118" s="1104"/>
    </row>
    <row r="119" spans="2:106" ht="11.25" customHeight="1">
      <c r="B119" s="1105"/>
      <c r="C119" s="1165"/>
      <c r="D119" s="1165"/>
      <c r="E119" s="1165"/>
      <c r="F119" s="1165"/>
      <c r="G119" s="1165"/>
      <c r="H119" s="1165"/>
      <c r="I119" s="1165"/>
      <c r="J119" s="1165"/>
      <c r="K119" s="1165"/>
      <c r="L119" s="1165"/>
      <c r="M119" s="1165"/>
      <c r="N119" s="1165"/>
      <c r="O119" s="1165"/>
      <c r="P119" s="1165"/>
      <c r="Q119" s="1165"/>
      <c r="R119" s="1165"/>
      <c r="S119" s="1165"/>
      <c r="T119" s="1165"/>
      <c r="U119" s="1165"/>
      <c r="V119" s="1165"/>
      <c r="W119" s="1165"/>
      <c r="X119" s="1165"/>
      <c r="Y119" s="1165"/>
      <c r="Z119" s="1165"/>
      <c r="AA119" s="1165"/>
      <c r="AB119" s="1165"/>
      <c r="AC119" s="1165"/>
      <c r="AD119" s="1165"/>
      <c r="AE119" s="1165"/>
      <c r="AF119" s="1165"/>
      <c r="AG119" s="1165"/>
      <c r="AH119" s="1165"/>
      <c r="AI119" s="1165"/>
      <c r="AJ119" s="1165"/>
      <c r="AK119" s="1165"/>
      <c r="AL119" s="1165"/>
      <c r="AM119" s="1165"/>
      <c r="AN119" s="1165"/>
      <c r="AO119" s="1165"/>
      <c r="AP119" s="1165"/>
      <c r="AQ119" s="1165"/>
      <c r="AR119" s="1165"/>
      <c r="AS119" s="1165"/>
      <c r="AT119" s="1165"/>
      <c r="AU119" s="1165"/>
      <c r="AV119" s="1165"/>
      <c r="AW119" s="1165"/>
      <c r="AX119" s="1165"/>
      <c r="AY119" s="1165"/>
      <c r="AZ119" s="1165"/>
      <c r="BA119" s="1165"/>
      <c r="BB119" s="1165"/>
      <c r="BC119" s="1165"/>
      <c r="BD119" s="1165"/>
      <c r="BE119" s="1165"/>
      <c r="BF119" s="1165"/>
      <c r="BG119" s="1165"/>
      <c r="BH119" s="1165"/>
      <c r="BI119" s="1165"/>
      <c r="BJ119" s="1165"/>
      <c r="BK119" s="1165"/>
      <c r="BL119" s="1165"/>
      <c r="BM119" s="1165"/>
      <c r="BN119" s="1165"/>
      <c r="BO119" s="1165"/>
      <c r="BP119" s="1165"/>
      <c r="BQ119" s="1165"/>
      <c r="BR119" s="1165"/>
      <c r="BS119" s="1165"/>
      <c r="BT119" s="1165"/>
      <c r="BU119" s="1165"/>
      <c r="BV119" s="1165"/>
      <c r="BW119" s="1165"/>
      <c r="BX119" s="1165"/>
      <c r="BY119" s="1165"/>
      <c r="BZ119" s="1165"/>
      <c r="CA119" s="1165"/>
      <c r="CB119" s="1165"/>
      <c r="CC119" s="1165"/>
      <c r="CD119" s="1165"/>
      <c r="CE119" s="1165"/>
      <c r="CF119" s="1165"/>
      <c r="CG119" s="1165"/>
      <c r="CH119" s="1165"/>
      <c r="CI119" s="1165"/>
      <c r="CJ119" s="1165"/>
      <c r="CK119" s="1165"/>
      <c r="CL119" s="1165"/>
      <c r="CM119" s="1165"/>
      <c r="CN119" s="1165"/>
      <c r="CO119" s="1165"/>
      <c r="CP119" s="1165"/>
      <c r="CQ119" s="1165"/>
      <c r="CR119" s="1165"/>
      <c r="CS119" s="1165"/>
      <c r="CT119" s="1165"/>
      <c r="CU119" s="1165"/>
      <c r="CV119" s="1165"/>
      <c r="CW119" s="1165"/>
      <c r="CX119" s="1106"/>
      <c r="CY119" s="1106"/>
      <c r="CZ119" s="1106"/>
      <c r="DA119" s="1107"/>
      <c r="DB119" s="1104"/>
    </row>
    <row r="120" spans="2:106" ht="11.25" customHeight="1">
      <c r="B120" s="1105"/>
      <c r="C120" s="1165"/>
      <c r="D120" s="1165"/>
      <c r="E120" s="1165"/>
      <c r="F120" s="1165"/>
      <c r="G120" s="1165" t="s">
        <v>1061</v>
      </c>
      <c r="H120" s="1165"/>
      <c r="I120" s="1165"/>
      <c r="J120" s="1165"/>
      <c r="K120" s="1165"/>
      <c r="L120" s="1165"/>
      <c r="M120" s="1165"/>
      <c r="N120" s="1165"/>
      <c r="O120" s="1165"/>
      <c r="P120" s="1165" t="s">
        <v>1062</v>
      </c>
      <c r="Q120" s="1165"/>
      <c r="R120" s="1165"/>
      <c r="S120" s="1165" t="s">
        <v>1063</v>
      </c>
      <c r="T120" s="1165"/>
      <c r="U120" s="1165"/>
      <c r="V120" s="1165"/>
      <c r="W120" s="1165"/>
      <c r="X120" s="1165"/>
      <c r="Y120" s="1165"/>
      <c r="Z120" s="1165" t="s">
        <v>905</v>
      </c>
      <c r="AA120" s="1165"/>
      <c r="AB120" s="1165"/>
      <c r="AC120" s="1165"/>
      <c r="AD120" s="1165"/>
      <c r="AE120" s="1165"/>
      <c r="AF120" s="1165"/>
      <c r="AG120" s="1165"/>
      <c r="AH120" s="1165" t="s">
        <v>263</v>
      </c>
      <c r="AI120" s="1165" t="s">
        <v>1064</v>
      </c>
      <c r="AJ120" s="1165"/>
      <c r="AK120" s="1165"/>
      <c r="AL120" s="1165"/>
      <c r="AM120" s="1165"/>
      <c r="AN120" s="1165"/>
      <c r="AO120" s="1165"/>
      <c r="AP120" s="1165"/>
      <c r="AQ120" s="1165"/>
      <c r="AR120" s="1165" t="s">
        <v>992</v>
      </c>
      <c r="AS120" s="1165" t="s">
        <v>954</v>
      </c>
      <c r="AT120" s="1165" t="s">
        <v>264</v>
      </c>
      <c r="AU120" s="1165"/>
      <c r="AV120" s="1165"/>
      <c r="AW120" s="1165"/>
      <c r="AX120" s="1165"/>
      <c r="AY120" s="1165"/>
      <c r="AZ120" s="1165"/>
      <c r="BA120" s="1165"/>
      <c r="BB120" s="1165"/>
      <c r="BC120" s="1165"/>
      <c r="BD120" s="1165"/>
      <c r="BE120" s="1165"/>
      <c r="BF120" s="1165"/>
      <c r="BG120" s="1165"/>
      <c r="BH120" s="1165"/>
      <c r="BI120" s="1165"/>
      <c r="BJ120" s="1165"/>
      <c r="BK120" s="1165"/>
      <c r="BL120" s="1165"/>
      <c r="BM120" s="1165"/>
      <c r="BN120" s="1165"/>
      <c r="BO120" s="1165"/>
      <c r="BP120" s="1165"/>
      <c r="BQ120" s="1165"/>
      <c r="BR120" s="1165"/>
      <c r="BS120" s="1165"/>
      <c r="BT120" s="1165"/>
      <c r="BU120" s="1165"/>
      <c r="BV120" s="1165"/>
      <c r="BW120" s="1165"/>
      <c r="BX120" s="1165"/>
      <c r="BY120" s="1165"/>
      <c r="BZ120" s="1165"/>
      <c r="CA120" s="1165"/>
      <c r="CB120" s="1165"/>
      <c r="CC120" s="1165"/>
      <c r="CD120" s="1165"/>
      <c r="CE120" s="1165"/>
      <c r="CF120" s="1165"/>
      <c r="CG120" s="1165"/>
      <c r="CH120" s="1165"/>
      <c r="CI120" s="1165"/>
      <c r="CJ120" s="1165"/>
      <c r="CK120" s="1165"/>
      <c r="CL120" s="1165"/>
      <c r="CM120" s="1165"/>
      <c r="CN120" s="1165"/>
      <c r="CO120" s="1165"/>
      <c r="CP120" s="1165"/>
      <c r="CQ120" s="1165"/>
      <c r="CR120" s="1165"/>
      <c r="CS120" s="1165"/>
      <c r="CT120" s="1165"/>
      <c r="CU120" s="1165"/>
      <c r="CV120" s="1165"/>
      <c r="CW120" s="1165"/>
      <c r="CX120" s="1106"/>
      <c r="CY120" s="1106"/>
      <c r="CZ120" s="1106"/>
      <c r="DA120" s="1107"/>
      <c r="DB120" s="1104"/>
    </row>
    <row r="121" spans="2:106" ht="11.25" customHeight="1">
      <c r="B121" s="1105"/>
      <c r="C121" s="1165"/>
      <c r="D121" s="1165"/>
      <c r="E121" s="1165"/>
      <c r="F121" s="1165"/>
      <c r="G121" s="1165" t="str">
        <f>S118</f>
        <v>34,445.8</v>
      </c>
      <c r="H121" s="1165"/>
      <c r="I121" s="1165"/>
      <c r="J121" s="1165"/>
      <c r="K121" s="1165"/>
      <c r="L121" s="1165"/>
      <c r="M121" s="1165"/>
      <c r="N121" s="1165"/>
      <c r="O121" s="1165"/>
      <c r="P121" s="1165"/>
      <c r="Q121" s="1165"/>
      <c r="R121" s="1165" t="s">
        <v>975</v>
      </c>
      <c r="S121" s="1165"/>
      <c r="T121" s="1165"/>
      <c r="U121" s="1165" t="str">
        <f>TEXT(1,"#,##0.#######")</f>
        <v>1.</v>
      </c>
      <c r="V121" s="1165" t="s">
        <v>954</v>
      </c>
      <c r="W121" s="1165"/>
      <c r="X121" s="1165" t="s">
        <v>227</v>
      </c>
      <c r="Y121" s="1165"/>
      <c r="Z121" s="1165" t="str">
        <f>TEXT(TRUNC(S118*(U121*(1/100)),1),"#,##0.#")</f>
        <v>344.4</v>
      </c>
      <c r="AA121" s="1165"/>
      <c r="AB121" s="1165"/>
      <c r="AC121" s="1165"/>
      <c r="AD121" s="1165"/>
      <c r="AE121" s="1165"/>
      <c r="AF121" s="1165"/>
      <c r="AG121" s="1165"/>
      <c r="AH121" s="1165"/>
      <c r="AI121" s="1165"/>
      <c r="AJ121" s="1165"/>
      <c r="AK121" s="1165"/>
      <c r="AL121" s="1165"/>
      <c r="AM121" s="1165"/>
      <c r="AN121" s="1165"/>
      <c r="AO121" s="1165"/>
      <c r="AP121" s="1165"/>
      <c r="AQ121" s="1165"/>
      <c r="AR121" s="1165"/>
      <c r="AS121" s="1165"/>
      <c r="AT121" s="1165"/>
      <c r="AU121" s="1165"/>
      <c r="AV121" s="1165"/>
      <c r="AW121" s="1165"/>
      <c r="AX121" s="1165"/>
      <c r="AY121" s="1165"/>
      <c r="AZ121" s="1165"/>
      <c r="BA121" s="1165"/>
      <c r="BB121" s="1165"/>
      <c r="BC121" s="1165"/>
      <c r="BD121" s="1165"/>
      <c r="BE121" s="1165"/>
      <c r="BF121" s="1165"/>
      <c r="BG121" s="1165"/>
      <c r="BH121" s="1165"/>
      <c r="BI121" s="1165"/>
      <c r="BJ121" s="1165"/>
      <c r="BK121" s="1165"/>
      <c r="BL121" s="1165"/>
      <c r="BM121" s="1165"/>
      <c r="BN121" s="1165"/>
      <c r="BO121" s="1165"/>
      <c r="BP121" s="1165"/>
      <c r="BQ121" s="1165"/>
      <c r="BR121" s="1165"/>
      <c r="BS121" s="1165"/>
      <c r="BT121" s="1165"/>
      <c r="BU121" s="1165"/>
      <c r="BV121" s="1165"/>
      <c r="BW121" s="1165"/>
      <c r="BX121" s="1165"/>
      <c r="BY121" s="1165"/>
      <c r="BZ121" s="1165"/>
      <c r="CA121" s="1165"/>
      <c r="CB121" s="1165"/>
      <c r="CC121" s="1165"/>
      <c r="CD121" s="1165"/>
      <c r="CE121" s="1165"/>
      <c r="CF121" s="1165"/>
      <c r="CG121" s="1165"/>
      <c r="CH121" s="1165"/>
      <c r="CI121" s="1165"/>
      <c r="CJ121" s="1165"/>
      <c r="CK121" s="1165"/>
      <c r="CL121" s="1165"/>
      <c r="CM121" s="1165"/>
      <c r="CN121" s="1165"/>
      <c r="CO121" s="1165"/>
      <c r="CP121" s="1165"/>
      <c r="CQ121" s="1165"/>
      <c r="CR121" s="1165"/>
      <c r="CS121" s="1165"/>
      <c r="CT121" s="1165"/>
      <c r="CU121" s="1165"/>
      <c r="CV121" s="1165"/>
      <c r="CW121" s="1165"/>
      <c r="CX121" s="1106">
        <f>CY121+CZ121+DA121</f>
        <v>344.4</v>
      </c>
      <c r="CY121" s="1106"/>
      <c r="CZ121" s="1106" t="str">
        <f>Z121</f>
        <v>344.4</v>
      </c>
      <c r="DA121" s="1107"/>
      <c r="DB121" s="1104"/>
    </row>
    <row r="122" spans="2:106" ht="11.25" customHeight="1">
      <c r="B122" s="1105"/>
      <c r="C122" s="1165"/>
      <c r="D122" s="1165"/>
      <c r="E122" s="1165"/>
      <c r="F122" s="1165"/>
      <c r="G122" s="1165"/>
      <c r="H122" s="1165"/>
      <c r="I122" s="1165"/>
      <c r="J122" s="1165"/>
      <c r="K122" s="1165"/>
      <c r="L122" s="1165"/>
      <c r="M122" s="1165"/>
      <c r="N122" s="1165"/>
      <c r="O122" s="1165"/>
      <c r="P122" s="1165"/>
      <c r="Q122" s="1165"/>
      <c r="R122" s="1165"/>
      <c r="S122" s="1165"/>
      <c r="T122" s="1165"/>
      <c r="U122" s="1165"/>
      <c r="V122" s="1165"/>
      <c r="W122" s="1165"/>
      <c r="X122" s="1165"/>
      <c r="Y122" s="1165"/>
      <c r="Z122" s="1165"/>
      <c r="AA122" s="1165"/>
      <c r="AB122" s="1165"/>
      <c r="AC122" s="1165"/>
      <c r="AD122" s="1165"/>
      <c r="AE122" s="1165"/>
      <c r="AF122" s="1165"/>
      <c r="AG122" s="1165"/>
      <c r="AH122" s="1165"/>
      <c r="AI122" s="1165"/>
      <c r="AJ122" s="1165"/>
      <c r="AK122" s="1165"/>
      <c r="AL122" s="1165"/>
      <c r="AM122" s="1165"/>
      <c r="AN122" s="1165"/>
      <c r="AO122" s="1165"/>
      <c r="AP122" s="1165"/>
      <c r="AQ122" s="1165"/>
      <c r="AR122" s="1165"/>
      <c r="AS122" s="1165"/>
      <c r="AT122" s="1165"/>
      <c r="AU122" s="1165"/>
      <c r="AV122" s="1165"/>
      <c r="AW122" s="1165"/>
      <c r="AX122" s="1165"/>
      <c r="AY122" s="1165"/>
      <c r="AZ122" s="1165"/>
      <c r="BA122" s="1165"/>
      <c r="BB122" s="1165"/>
      <c r="BC122" s="1165"/>
      <c r="BD122" s="1165"/>
      <c r="BE122" s="1165"/>
      <c r="BF122" s="1165"/>
      <c r="BG122" s="1165"/>
      <c r="BH122" s="1165"/>
      <c r="BI122" s="1165"/>
      <c r="BJ122" s="1165"/>
      <c r="BK122" s="1165"/>
      <c r="BL122" s="1165"/>
      <c r="BM122" s="1165"/>
      <c r="BN122" s="1165"/>
      <c r="BO122" s="1165"/>
      <c r="BP122" s="1165"/>
      <c r="BQ122" s="1165"/>
      <c r="BR122" s="1165"/>
      <c r="BS122" s="1165"/>
      <c r="BT122" s="1165"/>
      <c r="BU122" s="1165"/>
      <c r="BV122" s="1165"/>
      <c r="BW122" s="1165"/>
      <c r="BX122" s="1165"/>
      <c r="BY122" s="1165"/>
      <c r="BZ122" s="1165"/>
      <c r="CA122" s="1165"/>
      <c r="CB122" s="1165"/>
      <c r="CC122" s="1165"/>
      <c r="CD122" s="1165"/>
      <c r="CE122" s="1165"/>
      <c r="CF122" s="1165"/>
      <c r="CG122" s="1165"/>
      <c r="CH122" s="1165"/>
      <c r="CI122" s="1165"/>
      <c r="CJ122" s="1165"/>
      <c r="CK122" s="1165"/>
      <c r="CL122" s="1165"/>
      <c r="CM122" s="1165"/>
      <c r="CN122" s="1165"/>
      <c r="CO122" s="1165"/>
      <c r="CP122" s="1165"/>
      <c r="CQ122" s="1165"/>
      <c r="CR122" s="1165"/>
      <c r="CS122" s="1165"/>
      <c r="CT122" s="1165"/>
      <c r="CU122" s="1165"/>
      <c r="CV122" s="1165"/>
      <c r="CW122" s="1165"/>
      <c r="CX122" s="1106"/>
      <c r="CY122" s="1106"/>
      <c r="CZ122" s="1106"/>
      <c r="DA122" s="1107"/>
      <c r="DB122" s="1104"/>
    </row>
    <row r="123" spans="2:106" ht="11.25" customHeight="1">
      <c r="B123" s="1105"/>
      <c r="C123" s="1165"/>
      <c r="D123" s="1165" t="s">
        <v>1034</v>
      </c>
      <c r="E123" s="1165"/>
      <c r="F123" s="1165"/>
      <c r="G123" s="1165" t="s">
        <v>1035</v>
      </c>
      <c r="H123" s="1165"/>
      <c r="I123" s="1165"/>
      <c r="J123" s="1165"/>
      <c r="K123" s="1165" t="s">
        <v>179</v>
      </c>
      <c r="L123" s="1165"/>
      <c r="M123" s="1165"/>
      <c r="N123" s="1165"/>
      <c r="O123" s="1165"/>
      <c r="P123" s="1165"/>
      <c r="Q123" s="1165"/>
      <c r="R123" s="1165"/>
      <c r="S123" s="1165"/>
      <c r="T123" s="1165"/>
      <c r="U123" s="1165"/>
      <c r="V123" s="1165"/>
      <c r="W123" s="1165"/>
      <c r="X123" s="1165"/>
      <c r="Y123" s="1165"/>
      <c r="Z123" s="1165"/>
      <c r="AA123" s="1165"/>
      <c r="AB123" s="1165"/>
      <c r="AC123" s="1165"/>
      <c r="AD123" s="1165"/>
      <c r="AE123" s="1165"/>
      <c r="AF123" s="1165"/>
      <c r="AG123" s="1165"/>
      <c r="AH123" s="1165"/>
      <c r="AI123" s="1165"/>
      <c r="AJ123" s="1165"/>
      <c r="AK123" s="1165"/>
      <c r="AL123" s="1165"/>
      <c r="AM123" s="1165"/>
      <c r="AN123" s="1165"/>
      <c r="AO123" s="1165"/>
      <c r="AP123" s="1165"/>
      <c r="AQ123" s="1165"/>
      <c r="AR123" s="1165"/>
      <c r="AS123" s="1165"/>
      <c r="AT123" s="1165"/>
      <c r="AU123" s="1165"/>
      <c r="AV123" s="1165"/>
      <c r="AW123" s="1165"/>
      <c r="AX123" s="1165"/>
      <c r="AY123" s="1165"/>
      <c r="AZ123" s="1165"/>
      <c r="BA123" s="1165"/>
      <c r="BB123" s="1165"/>
      <c r="BC123" s="1165"/>
      <c r="BD123" s="1165"/>
      <c r="BE123" s="1165"/>
      <c r="BF123" s="1165"/>
      <c r="BG123" s="1165"/>
      <c r="BH123" s="1165"/>
      <c r="BI123" s="1165"/>
      <c r="BJ123" s="1165"/>
      <c r="BK123" s="1165"/>
      <c r="BL123" s="1165"/>
      <c r="BM123" s="1165"/>
      <c r="BN123" s="1165"/>
      <c r="BO123" s="1165"/>
      <c r="BP123" s="1165"/>
      <c r="BQ123" s="1165"/>
      <c r="BR123" s="1165"/>
      <c r="BS123" s="1165"/>
      <c r="BT123" s="1165"/>
      <c r="BU123" s="1165"/>
      <c r="BV123" s="1165"/>
      <c r="BW123" s="1165"/>
      <c r="BX123" s="1165"/>
      <c r="BY123" s="1165"/>
      <c r="BZ123" s="1165"/>
      <c r="CA123" s="1165"/>
      <c r="CB123" s="1165"/>
      <c r="CC123" s="1165"/>
      <c r="CD123" s="1165"/>
      <c r="CE123" s="1165"/>
      <c r="CF123" s="1165"/>
      <c r="CG123" s="1165"/>
      <c r="CH123" s="1165"/>
      <c r="CI123" s="1165"/>
      <c r="CJ123" s="1165"/>
      <c r="CK123" s="1165"/>
      <c r="CL123" s="1165"/>
      <c r="CM123" s="1165"/>
      <c r="CN123" s="1165"/>
      <c r="CO123" s="1165"/>
      <c r="CP123" s="1165"/>
      <c r="CQ123" s="1165"/>
      <c r="CR123" s="1165"/>
      <c r="CS123" s="1165"/>
      <c r="CT123" s="1165"/>
      <c r="CU123" s="1165"/>
      <c r="CV123" s="1165"/>
      <c r="CW123" s="1165"/>
      <c r="CX123" s="1106"/>
      <c r="CY123" s="1106"/>
      <c r="CZ123" s="1106"/>
      <c r="DA123" s="1107"/>
      <c r="DB123" s="1104"/>
    </row>
    <row r="124" spans="2:106" ht="11.25" customHeight="1">
      <c r="B124" s="1105"/>
      <c r="C124" s="1165"/>
      <c r="D124" s="1165"/>
      <c r="E124" s="1165"/>
      <c r="F124" s="1165"/>
      <c r="G124" s="1165"/>
      <c r="H124" s="1165"/>
      <c r="I124" s="1165"/>
      <c r="J124" s="1165"/>
      <c r="K124" s="1165"/>
      <c r="L124" s="1165"/>
      <c r="M124" s="1165"/>
      <c r="N124" s="1165"/>
      <c r="O124" s="1165"/>
      <c r="P124" s="1165"/>
      <c r="Q124" s="1165"/>
      <c r="R124" s="1165"/>
      <c r="S124" s="1165"/>
      <c r="T124" s="1165"/>
      <c r="U124" s="1165"/>
      <c r="V124" s="1165"/>
      <c r="W124" s="1165"/>
      <c r="X124" s="1165"/>
      <c r="Y124" s="1165"/>
      <c r="Z124" s="1165"/>
      <c r="AA124" s="1165"/>
      <c r="AB124" s="1165"/>
      <c r="AC124" s="1165"/>
      <c r="AD124" s="1165"/>
      <c r="AE124" s="1165"/>
      <c r="AF124" s="1165"/>
      <c r="AG124" s="1165"/>
      <c r="AH124" s="1165"/>
      <c r="AI124" s="1165"/>
      <c r="AJ124" s="1165"/>
      <c r="AK124" s="1165"/>
      <c r="AL124" s="1165"/>
      <c r="AM124" s="1165"/>
      <c r="AN124" s="1165"/>
      <c r="AO124" s="1165"/>
      <c r="AP124" s="1165"/>
      <c r="AQ124" s="1165"/>
      <c r="AR124" s="1165"/>
      <c r="AS124" s="1165"/>
      <c r="AT124" s="1165"/>
      <c r="AU124" s="1165"/>
      <c r="AV124" s="1165"/>
      <c r="AW124" s="1165"/>
      <c r="AX124" s="1165"/>
      <c r="AY124" s="1165"/>
      <c r="AZ124" s="1165"/>
      <c r="BA124" s="1165"/>
      <c r="BB124" s="1165"/>
      <c r="BC124" s="1165"/>
      <c r="BD124" s="1165"/>
      <c r="BE124" s="1165"/>
      <c r="BF124" s="1165"/>
      <c r="BG124" s="1165"/>
      <c r="BH124" s="1165"/>
      <c r="BI124" s="1165"/>
      <c r="BJ124" s="1165"/>
      <c r="BK124" s="1165"/>
      <c r="BL124" s="1165"/>
      <c r="BM124" s="1165"/>
      <c r="BN124" s="1165"/>
      <c r="BO124" s="1165"/>
      <c r="BP124" s="1165"/>
      <c r="BQ124" s="1165"/>
      <c r="BR124" s="1165"/>
      <c r="BS124" s="1165"/>
      <c r="BT124" s="1165"/>
      <c r="BU124" s="1165"/>
      <c r="BV124" s="1165"/>
      <c r="BW124" s="1165"/>
      <c r="BX124" s="1165"/>
      <c r="BY124" s="1165"/>
      <c r="BZ124" s="1165"/>
      <c r="CA124" s="1165"/>
      <c r="CB124" s="1165"/>
      <c r="CC124" s="1165"/>
      <c r="CD124" s="1165"/>
      <c r="CE124" s="1165"/>
      <c r="CF124" s="1165"/>
      <c r="CG124" s="1165"/>
      <c r="CH124" s="1165"/>
      <c r="CI124" s="1165"/>
      <c r="CJ124" s="1165"/>
      <c r="CK124" s="1165"/>
      <c r="CL124" s="1165"/>
      <c r="CM124" s="1165"/>
      <c r="CN124" s="1165"/>
      <c r="CO124" s="1165"/>
      <c r="CP124" s="1165"/>
      <c r="CQ124" s="1165"/>
      <c r="CR124" s="1165"/>
      <c r="CS124" s="1165"/>
      <c r="CT124" s="1165"/>
      <c r="CU124" s="1165"/>
      <c r="CV124" s="1165"/>
      <c r="CW124" s="1165"/>
      <c r="CX124" s="1106"/>
      <c r="CY124" s="1106"/>
      <c r="CZ124" s="1106"/>
      <c r="DA124" s="1107"/>
      <c r="DB124" s="1104"/>
    </row>
    <row r="125" spans="2:106" ht="11.25" customHeight="1">
      <c r="B125" s="1105"/>
      <c r="C125" s="1165"/>
      <c r="D125" s="1165"/>
      <c r="E125" s="1165"/>
      <c r="F125" s="1165"/>
      <c r="G125" s="1165"/>
      <c r="H125" s="1165" t="s">
        <v>899</v>
      </c>
      <c r="I125" s="1165"/>
      <c r="J125" s="1165"/>
      <c r="K125" s="1165"/>
      <c r="L125" s="1165"/>
      <c r="M125" s="1165"/>
      <c r="N125" s="1165"/>
      <c r="O125" s="1165" t="s">
        <v>217</v>
      </c>
      <c r="P125" s="1165"/>
      <c r="Q125" s="1165" t="str">
        <f>TEXT(TRUNC(CY118,0),"#,##0")</f>
        <v>34,445</v>
      </c>
      <c r="R125" s="1165"/>
      <c r="S125" s="1165"/>
      <c r="T125" s="1165"/>
      <c r="U125" s="1165"/>
      <c r="V125" s="1165"/>
      <c r="W125" s="1165"/>
      <c r="X125" s="1165"/>
      <c r="Y125" s="1165"/>
      <c r="Z125" s="1165"/>
      <c r="AA125" s="1165"/>
      <c r="AB125" s="1165"/>
      <c r="AC125" s="1165"/>
      <c r="AD125" s="1165"/>
      <c r="AE125" s="1165"/>
      <c r="AF125" s="1165"/>
      <c r="AG125" s="1165"/>
      <c r="AH125" s="1165"/>
      <c r="AI125" s="1165"/>
      <c r="AJ125" s="1165"/>
      <c r="AK125" s="1165"/>
      <c r="AL125" s="1165"/>
      <c r="AM125" s="1165"/>
      <c r="AN125" s="1165"/>
      <c r="AO125" s="1165"/>
      <c r="AP125" s="1165"/>
      <c r="AQ125" s="1165"/>
      <c r="AR125" s="1165"/>
      <c r="AS125" s="1165"/>
      <c r="AT125" s="1165"/>
      <c r="AU125" s="1165"/>
      <c r="AV125" s="1165"/>
      <c r="AW125" s="1165"/>
      <c r="AX125" s="1165"/>
      <c r="AY125" s="1165"/>
      <c r="AZ125" s="1165"/>
      <c r="BA125" s="1165"/>
      <c r="BB125" s="1165"/>
      <c r="BC125" s="1165"/>
      <c r="BD125" s="1165"/>
      <c r="BE125" s="1165"/>
      <c r="BF125" s="1165"/>
      <c r="BG125" s="1165"/>
      <c r="BH125" s="1165"/>
      <c r="BI125" s="1165"/>
      <c r="BJ125" s="1165"/>
      <c r="BK125" s="1165"/>
      <c r="BL125" s="1165"/>
      <c r="BM125" s="1165"/>
      <c r="BN125" s="1165"/>
      <c r="BO125" s="1165"/>
      <c r="BP125" s="1165"/>
      <c r="BQ125" s="1165"/>
      <c r="BR125" s="1165"/>
      <c r="BS125" s="1165"/>
      <c r="BT125" s="1165"/>
      <c r="BU125" s="1165"/>
      <c r="BV125" s="1165"/>
      <c r="BW125" s="1165"/>
      <c r="BX125" s="1165"/>
      <c r="BY125" s="1165"/>
      <c r="BZ125" s="1165"/>
      <c r="CA125" s="1165"/>
      <c r="CB125" s="1165"/>
      <c r="CC125" s="1165"/>
      <c r="CD125" s="1165"/>
      <c r="CE125" s="1165"/>
      <c r="CF125" s="1165"/>
      <c r="CG125" s="1165"/>
      <c r="CH125" s="1165"/>
      <c r="CI125" s="1165"/>
      <c r="CJ125" s="1165"/>
      <c r="CK125" s="1165"/>
      <c r="CL125" s="1165"/>
      <c r="CM125" s="1165"/>
      <c r="CN125" s="1165"/>
      <c r="CO125" s="1165"/>
      <c r="CP125" s="1165"/>
      <c r="CQ125" s="1165"/>
      <c r="CR125" s="1165"/>
      <c r="CS125" s="1165"/>
      <c r="CT125" s="1165"/>
      <c r="CU125" s="1165"/>
      <c r="CV125" s="1165"/>
      <c r="CW125" s="1165"/>
      <c r="CX125" s="1106"/>
      <c r="CY125" s="1106"/>
      <c r="CZ125" s="1106"/>
      <c r="DA125" s="1107"/>
      <c r="DB125" s="1104"/>
    </row>
    <row r="126" spans="2:106" ht="11.25" customHeight="1">
      <c r="B126" s="1105"/>
      <c r="C126" s="1165"/>
      <c r="D126" s="1165"/>
      <c r="E126" s="1165"/>
      <c r="F126" s="1165"/>
      <c r="G126" s="1165"/>
      <c r="H126" s="1165" t="s">
        <v>892</v>
      </c>
      <c r="I126" s="1165"/>
      <c r="J126" s="1165"/>
      <c r="K126" s="1165"/>
      <c r="L126" s="1165"/>
      <c r="M126" s="1165"/>
      <c r="N126" s="1165"/>
      <c r="O126" s="1165" t="s">
        <v>217</v>
      </c>
      <c r="P126" s="1165"/>
      <c r="Q126" s="1165" t="e">
        <f>TEXT(CZ107,"#,###.##")</f>
        <v>#REF!</v>
      </c>
      <c r="R126" s="1165"/>
      <c r="S126" s="1165"/>
      <c r="T126" s="1165"/>
      <c r="U126" s="1165"/>
      <c r="V126" s="1165"/>
      <c r="W126" s="1165"/>
      <c r="X126" s="1165"/>
      <c r="Y126" s="1165"/>
      <c r="Z126" s="1165" t="s">
        <v>209</v>
      </c>
      <c r="AA126" s="1165"/>
      <c r="AB126" s="1165" t="e">
        <f>TEXT(CZ110,"#,###.##")</f>
        <v>#REF!</v>
      </c>
      <c r="AC126" s="1165"/>
      <c r="AD126" s="1165"/>
      <c r="AE126" s="1165"/>
      <c r="AF126" s="1165"/>
      <c r="AG126" s="1165"/>
      <c r="AH126" s="1165"/>
      <c r="AI126" s="1165"/>
      <c r="AJ126" s="1165" t="s">
        <v>209</v>
      </c>
      <c r="AK126" s="1165"/>
      <c r="AL126" s="1165" t="str">
        <f>TEXT(CZ121,"#,###.##")</f>
        <v>344.4</v>
      </c>
      <c r="AM126" s="1165"/>
      <c r="AN126" s="1165"/>
      <c r="AO126" s="1165"/>
      <c r="AP126" s="1165"/>
      <c r="AQ126" s="1165"/>
      <c r="AR126" s="1165" t="s">
        <v>227</v>
      </c>
      <c r="AS126" s="1165"/>
      <c r="AT126" s="1165"/>
      <c r="AU126" s="1165" t="e">
        <f>TEXT(TRUNC(CZ107+CZ110+CZ121,0),"#,##0")</f>
        <v>#REF!</v>
      </c>
      <c r="AV126" s="1165"/>
      <c r="AW126" s="1165"/>
      <c r="AX126" s="1165"/>
      <c r="AY126" s="1165"/>
      <c r="AZ126" s="1165"/>
      <c r="BA126" s="1165"/>
      <c r="BB126" s="1165"/>
      <c r="BC126" s="1165"/>
      <c r="BD126" s="1165"/>
      <c r="BE126" s="1165"/>
      <c r="BF126" s="1165"/>
      <c r="BG126" s="1165"/>
      <c r="BH126" s="1165"/>
      <c r="BI126" s="1165"/>
      <c r="BJ126" s="1165"/>
      <c r="BK126" s="1165"/>
      <c r="BL126" s="1165"/>
      <c r="BM126" s="1165"/>
      <c r="BN126" s="1165"/>
      <c r="BO126" s="1165"/>
      <c r="BP126" s="1165"/>
      <c r="BQ126" s="1165"/>
      <c r="BR126" s="1165"/>
      <c r="BS126" s="1165"/>
      <c r="BT126" s="1165"/>
      <c r="BU126" s="1165"/>
      <c r="BV126" s="1165"/>
      <c r="BW126" s="1165"/>
      <c r="BX126" s="1165"/>
      <c r="BY126" s="1165"/>
      <c r="BZ126" s="1165"/>
      <c r="CA126" s="1165"/>
      <c r="CB126" s="1165"/>
      <c r="CC126" s="1165"/>
      <c r="CD126" s="1165"/>
      <c r="CE126" s="1165"/>
      <c r="CF126" s="1165"/>
      <c r="CG126" s="1165"/>
      <c r="CH126" s="1165"/>
      <c r="CI126" s="1165"/>
      <c r="CJ126" s="1165"/>
      <c r="CK126" s="1165"/>
      <c r="CL126" s="1165"/>
      <c r="CM126" s="1165"/>
      <c r="CN126" s="1165"/>
      <c r="CO126" s="1165"/>
      <c r="CP126" s="1165"/>
      <c r="CQ126" s="1165"/>
      <c r="CR126" s="1165"/>
      <c r="CS126" s="1165"/>
      <c r="CT126" s="1165"/>
      <c r="CU126" s="1165"/>
      <c r="CV126" s="1165"/>
      <c r="CW126" s="1165"/>
      <c r="CX126" s="1106"/>
      <c r="CY126" s="1106"/>
      <c r="CZ126" s="1106"/>
      <c r="DA126" s="1107"/>
      <c r="DB126" s="1104"/>
    </row>
    <row r="127" spans="2:106" ht="11.25" customHeight="1">
      <c r="B127" s="1105"/>
      <c r="C127" s="1165"/>
      <c r="D127" s="1165"/>
      <c r="E127" s="1165"/>
      <c r="F127" s="1165"/>
      <c r="G127" s="1165"/>
      <c r="H127" s="1165" t="s">
        <v>1022</v>
      </c>
      <c r="I127" s="1165"/>
      <c r="J127" s="1165"/>
      <c r="K127" s="1165"/>
      <c r="L127" s="1165" t="s">
        <v>1023</v>
      </c>
      <c r="M127" s="1165"/>
      <c r="N127" s="1165"/>
      <c r="O127" s="1165" t="s">
        <v>217</v>
      </c>
      <c r="P127" s="1165"/>
      <c r="Q127" s="1165"/>
      <c r="R127" s="1165"/>
      <c r="S127" s="1165"/>
      <c r="T127" s="1165"/>
      <c r="U127" s="1165"/>
      <c r="V127" s="1165"/>
      <c r="W127" s="1165"/>
      <c r="X127" s="1165"/>
      <c r="Y127" s="1165"/>
      <c r="Z127" s="1165"/>
      <c r="AA127" s="1165"/>
      <c r="AB127" s="1165"/>
      <c r="AC127" s="1165"/>
      <c r="AD127" s="1165"/>
      <c r="AE127" s="1165"/>
      <c r="AF127" s="1165"/>
      <c r="AG127" s="1165"/>
      <c r="AH127" s="1165"/>
      <c r="AI127" s="1165"/>
      <c r="AJ127" s="1165"/>
      <c r="AK127" s="1165"/>
      <c r="AL127" s="1165"/>
      <c r="AM127" s="1165"/>
      <c r="AN127" s="1165"/>
      <c r="AO127" s="1165"/>
      <c r="AP127" s="1165"/>
      <c r="AQ127" s="1165"/>
      <c r="AR127" s="1165"/>
      <c r="AS127" s="1165"/>
      <c r="AT127" s="1165"/>
      <c r="AU127" s="1165"/>
      <c r="AV127" s="1165"/>
      <c r="AW127" s="1165"/>
      <c r="AX127" s="1165"/>
      <c r="AY127" s="1165"/>
      <c r="AZ127" s="1165"/>
      <c r="BA127" s="1165"/>
      <c r="BB127" s="1165"/>
      <c r="BC127" s="1165"/>
      <c r="BD127" s="1165"/>
      <c r="BE127" s="1165"/>
      <c r="BF127" s="1165"/>
      <c r="BG127" s="1165"/>
      <c r="BH127" s="1165"/>
      <c r="BI127" s="1165"/>
      <c r="BJ127" s="1165"/>
      <c r="BK127" s="1165"/>
      <c r="BL127" s="1165"/>
      <c r="BM127" s="1165"/>
      <c r="BN127" s="1165"/>
      <c r="BO127" s="1165"/>
      <c r="BP127" s="1165"/>
      <c r="BQ127" s="1165"/>
      <c r="BR127" s="1165"/>
      <c r="BS127" s="1165"/>
      <c r="BT127" s="1165"/>
      <c r="BU127" s="1165"/>
      <c r="BV127" s="1165"/>
      <c r="BW127" s="1165"/>
      <c r="BX127" s="1165"/>
      <c r="BY127" s="1165"/>
      <c r="BZ127" s="1165"/>
      <c r="CA127" s="1165"/>
      <c r="CB127" s="1165"/>
      <c r="CC127" s="1165"/>
      <c r="CD127" s="1165"/>
      <c r="CE127" s="1165"/>
      <c r="CF127" s="1165"/>
      <c r="CG127" s="1165"/>
      <c r="CH127" s="1165"/>
      <c r="CI127" s="1165"/>
      <c r="CJ127" s="1165"/>
      <c r="CK127" s="1165"/>
      <c r="CL127" s="1165"/>
      <c r="CM127" s="1165"/>
      <c r="CN127" s="1165"/>
      <c r="CO127" s="1165"/>
      <c r="CP127" s="1165"/>
      <c r="CQ127" s="1165"/>
      <c r="CR127" s="1165"/>
      <c r="CS127" s="1165"/>
      <c r="CT127" s="1165"/>
      <c r="CU127" s="1165"/>
      <c r="CV127" s="1165"/>
      <c r="CW127" s="1165"/>
      <c r="CX127" s="1106"/>
      <c r="CY127" s="1106"/>
      <c r="CZ127" s="1106"/>
      <c r="DA127" s="1107"/>
      <c r="DB127" s="1104"/>
    </row>
    <row r="128" spans="2:106" ht="11.25" customHeight="1">
      <c r="B128" s="1105"/>
      <c r="C128" s="1165"/>
      <c r="D128" s="1165"/>
      <c r="E128" s="1165"/>
      <c r="F128" s="1165"/>
      <c r="G128" s="1165"/>
      <c r="H128" s="1165"/>
      <c r="I128" s="1165"/>
      <c r="J128" s="1165" t="s">
        <v>179</v>
      </c>
      <c r="K128" s="1165"/>
      <c r="L128" s="1165"/>
      <c r="M128" s="1165"/>
      <c r="N128" s="1165"/>
      <c r="O128" s="1165" t="s">
        <v>217</v>
      </c>
      <c r="P128" s="1165"/>
      <c r="Q128" s="1165"/>
      <c r="R128" s="1165" t="e">
        <f>TEXT(Q125+AU126,"#,##0")</f>
        <v>#REF!</v>
      </c>
      <c r="S128" s="1165"/>
      <c r="T128" s="1165"/>
      <c r="U128" s="1165"/>
      <c r="V128" s="1165"/>
      <c r="W128" s="1165"/>
      <c r="X128" s="1165"/>
      <c r="Y128" s="1165"/>
      <c r="Z128" s="1165"/>
      <c r="AA128" s="1165"/>
      <c r="AB128" s="1165"/>
      <c r="AC128" s="1165"/>
      <c r="AD128" s="1165"/>
      <c r="AE128" s="1165"/>
      <c r="AF128" s="1165"/>
      <c r="AG128" s="1165"/>
      <c r="AH128" s="1165"/>
      <c r="AI128" s="1165"/>
      <c r="AJ128" s="1165"/>
      <c r="AK128" s="1165"/>
      <c r="AL128" s="1165"/>
      <c r="AM128" s="1165"/>
      <c r="AN128" s="1165"/>
      <c r="AO128" s="1165"/>
      <c r="AP128" s="1165"/>
      <c r="AQ128" s="1165"/>
      <c r="AR128" s="1165"/>
      <c r="AS128" s="1165"/>
      <c r="AT128" s="1165"/>
      <c r="AU128" s="1165"/>
      <c r="AV128" s="1165"/>
      <c r="AW128" s="1165"/>
      <c r="AX128" s="1165"/>
      <c r="AY128" s="1165"/>
      <c r="AZ128" s="1165"/>
      <c r="BA128" s="1165"/>
      <c r="BB128" s="1165"/>
      <c r="BC128" s="1165"/>
      <c r="BD128" s="1165"/>
      <c r="BE128" s="1165"/>
      <c r="BF128" s="1165"/>
      <c r="BG128" s="1165"/>
      <c r="BH128" s="1165"/>
      <c r="BI128" s="1165"/>
      <c r="BJ128" s="1165"/>
      <c r="BK128" s="1165"/>
      <c r="BL128" s="1165"/>
      <c r="BM128" s="1165"/>
      <c r="BN128" s="1165"/>
      <c r="BO128" s="1165"/>
      <c r="BP128" s="1165"/>
      <c r="BQ128" s="1165"/>
      <c r="BR128" s="1165"/>
      <c r="BS128" s="1165"/>
      <c r="BT128" s="1165"/>
      <c r="BU128" s="1165"/>
      <c r="BV128" s="1165"/>
      <c r="BW128" s="1165"/>
      <c r="BX128" s="1165"/>
      <c r="BY128" s="1165"/>
      <c r="BZ128" s="1165"/>
      <c r="CA128" s="1165"/>
      <c r="CB128" s="1165"/>
      <c r="CC128" s="1165"/>
      <c r="CD128" s="1165"/>
      <c r="CE128" s="1165"/>
      <c r="CF128" s="1165"/>
      <c r="CG128" s="1165"/>
      <c r="CH128" s="1165"/>
      <c r="CI128" s="1165"/>
      <c r="CJ128" s="1165"/>
      <c r="CK128" s="1165"/>
      <c r="CL128" s="1165"/>
      <c r="CM128" s="1165"/>
      <c r="CN128" s="1165"/>
      <c r="CO128" s="1165"/>
      <c r="CP128" s="1165"/>
      <c r="CQ128" s="1165"/>
      <c r="CR128" s="1165"/>
      <c r="CS128" s="1165"/>
      <c r="CT128" s="1165"/>
      <c r="CU128" s="1165"/>
      <c r="CV128" s="1165"/>
      <c r="CW128" s="1165"/>
      <c r="CX128" s="1108" t="e">
        <f>CY128+CZ128+DA128</f>
        <v>#REF!</v>
      </c>
      <c r="CY128" s="1106" t="str">
        <f>TEXT(Q125,"#,##0")</f>
        <v>34,445</v>
      </c>
      <c r="CZ128" s="1106" t="e">
        <f>TEXT(AU126,"#,##0")</f>
        <v>#REF!</v>
      </c>
      <c r="DA128" s="1107"/>
      <c r="DB128" s="1104"/>
    </row>
    <row r="129" spans="2:106" ht="11.25" customHeight="1">
      <c r="B129" s="1105"/>
      <c r="C129" s="1165"/>
      <c r="D129" s="1165"/>
      <c r="E129" s="1165"/>
      <c r="F129" s="1165"/>
      <c r="G129" s="1165"/>
      <c r="H129" s="1165"/>
      <c r="I129" s="1165"/>
      <c r="J129" s="1165"/>
      <c r="K129" s="1165"/>
      <c r="L129" s="1165"/>
      <c r="M129" s="1165"/>
      <c r="N129" s="1165"/>
      <c r="O129" s="1165"/>
      <c r="P129" s="1165"/>
      <c r="Q129" s="1165"/>
      <c r="R129" s="1165"/>
      <c r="S129" s="1165"/>
      <c r="T129" s="1165"/>
      <c r="U129" s="1165"/>
      <c r="V129" s="1165"/>
      <c r="W129" s="1165"/>
      <c r="X129" s="1165"/>
      <c r="Y129" s="1165"/>
      <c r="Z129" s="1165"/>
      <c r="AA129" s="1165"/>
      <c r="AB129" s="1165"/>
      <c r="AC129" s="1165"/>
      <c r="AD129" s="1165"/>
      <c r="AE129" s="1165"/>
      <c r="AF129" s="1165"/>
      <c r="AG129" s="1165"/>
      <c r="AH129" s="1165"/>
      <c r="AI129" s="1165"/>
      <c r="AJ129" s="1165"/>
      <c r="AK129" s="1165"/>
      <c r="AL129" s="1165"/>
      <c r="AM129" s="1165"/>
      <c r="AN129" s="1165"/>
      <c r="AO129" s="1165"/>
      <c r="AP129" s="1165"/>
      <c r="AQ129" s="1165"/>
      <c r="AR129" s="1165"/>
      <c r="AS129" s="1165"/>
      <c r="AT129" s="1165"/>
      <c r="AU129" s="1165"/>
      <c r="AV129" s="1165"/>
      <c r="AW129" s="1165"/>
      <c r="AX129" s="1165"/>
      <c r="AY129" s="1165"/>
      <c r="AZ129" s="1165"/>
      <c r="BA129" s="1165"/>
      <c r="BB129" s="1165"/>
      <c r="BC129" s="1165"/>
      <c r="BD129" s="1165"/>
      <c r="BE129" s="1165"/>
      <c r="BF129" s="1165"/>
      <c r="BG129" s="1165"/>
      <c r="BH129" s="1165"/>
      <c r="BI129" s="1165"/>
      <c r="BJ129" s="1165"/>
      <c r="BK129" s="1165"/>
      <c r="BL129" s="1165"/>
      <c r="BM129" s="1165"/>
      <c r="BN129" s="1165"/>
      <c r="BO129" s="1165"/>
      <c r="BP129" s="1165"/>
      <c r="BQ129" s="1165"/>
      <c r="BR129" s="1165"/>
      <c r="BS129" s="1165"/>
      <c r="BT129" s="1165"/>
      <c r="BU129" s="1165"/>
      <c r="BV129" s="1165"/>
      <c r="BW129" s="1165"/>
      <c r="BX129" s="1165"/>
      <c r="BY129" s="1165"/>
      <c r="BZ129" s="1165"/>
      <c r="CA129" s="1165"/>
      <c r="CB129" s="1165"/>
      <c r="CC129" s="1165"/>
      <c r="CD129" s="1165"/>
      <c r="CE129" s="1165"/>
      <c r="CF129" s="1165"/>
      <c r="CG129" s="1165"/>
      <c r="CH129" s="1165"/>
      <c r="CI129" s="1165"/>
      <c r="CJ129" s="1165"/>
      <c r="CK129" s="1165"/>
      <c r="CL129" s="1165"/>
      <c r="CM129" s="1165"/>
      <c r="CN129" s="1165"/>
      <c r="CO129" s="1165"/>
      <c r="CP129" s="1165"/>
      <c r="CQ129" s="1165"/>
      <c r="CR129" s="1165"/>
      <c r="CS129" s="1165"/>
      <c r="CT129" s="1165"/>
      <c r="CU129" s="1165"/>
      <c r="CV129" s="1165"/>
      <c r="CW129" s="1165"/>
      <c r="CX129" s="1106"/>
      <c r="CY129" s="1106"/>
      <c r="CZ129" s="1106"/>
      <c r="DA129" s="1107"/>
      <c r="DB129" s="1104"/>
    </row>
    <row r="130" spans="2:106" s="1152" customFormat="1" ht="11.25" customHeight="1">
      <c r="B130" s="1153" t="s">
        <v>1093</v>
      </c>
      <c r="C130" s="1183"/>
      <c r="D130" s="1183"/>
      <c r="E130" s="1183"/>
      <c r="F130" s="1183"/>
      <c r="G130" s="1183"/>
      <c r="H130" s="1183"/>
      <c r="I130" s="1183"/>
      <c r="J130" s="1183"/>
      <c r="K130" s="1183"/>
      <c r="L130" s="1183"/>
      <c r="M130" s="1183"/>
      <c r="N130" s="1183"/>
      <c r="O130" s="1183"/>
      <c r="P130" s="1183"/>
      <c r="Q130" s="1183"/>
      <c r="R130" s="1183"/>
      <c r="S130" s="1183"/>
      <c r="T130" s="1183"/>
      <c r="U130" s="1183"/>
      <c r="V130" s="1183"/>
      <c r="W130" s="1183"/>
      <c r="X130" s="1183"/>
      <c r="Y130" s="1183"/>
      <c r="Z130" s="1183"/>
      <c r="AA130" s="1183"/>
      <c r="AB130" s="1183"/>
      <c r="AC130" s="1183"/>
      <c r="AD130" s="1183"/>
      <c r="AE130" s="1183"/>
      <c r="AF130" s="1183"/>
      <c r="AG130" s="1183"/>
      <c r="AH130" s="1183"/>
      <c r="AI130" s="1183"/>
      <c r="AJ130" s="1183"/>
      <c r="AK130" s="1183"/>
      <c r="AL130" s="1183"/>
      <c r="AM130" s="1183"/>
      <c r="AN130" s="1183"/>
      <c r="AO130" s="1183"/>
      <c r="AP130" s="1183"/>
      <c r="AQ130" s="1183"/>
      <c r="AR130" s="1183"/>
      <c r="AS130" s="1183"/>
      <c r="AT130" s="1183"/>
      <c r="AU130" s="1183"/>
      <c r="AV130" s="1183"/>
      <c r="AW130" s="1183"/>
      <c r="AX130" s="1183"/>
      <c r="AY130" s="1183"/>
      <c r="AZ130" s="1183"/>
      <c r="BA130" s="1183"/>
      <c r="BB130" s="1183"/>
      <c r="BC130" s="1183"/>
      <c r="BD130" s="1183"/>
      <c r="BE130" s="1183"/>
      <c r="BF130" s="1183"/>
      <c r="BG130" s="1183"/>
      <c r="BH130" s="1183"/>
      <c r="BI130" s="1183"/>
      <c r="BJ130" s="1183"/>
      <c r="BK130" s="1183"/>
      <c r="BL130" s="1183"/>
      <c r="BM130" s="1183"/>
      <c r="BN130" s="1183"/>
      <c r="BO130" s="1183"/>
      <c r="BP130" s="1183"/>
      <c r="BQ130" s="1183"/>
      <c r="BR130" s="1183"/>
      <c r="BS130" s="1183"/>
      <c r="BT130" s="1183"/>
      <c r="BU130" s="1183"/>
      <c r="BV130" s="1183"/>
      <c r="BW130" s="1183"/>
      <c r="BX130" s="1183"/>
      <c r="BY130" s="1183"/>
      <c r="BZ130" s="1183"/>
      <c r="CA130" s="1183"/>
      <c r="CB130" s="1183"/>
      <c r="CC130" s="1183"/>
      <c r="CD130" s="1183"/>
      <c r="CE130" s="1183"/>
      <c r="CF130" s="1183"/>
      <c r="CG130" s="1183"/>
      <c r="CH130" s="1183"/>
      <c r="CI130" s="1183"/>
      <c r="CJ130" s="1183"/>
      <c r="CK130" s="1183"/>
      <c r="CL130" s="1183"/>
      <c r="CM130" s="1183"/>
      <c r="CN130" s="1183"/>
      <c r="CO130" s="1183"/>
      <c r="CP130" s="1183"/>
      <c r="CQ130" s="1183"/>
      <c r="CR130" s="1183"/>
      <c r="CS130" s="1183"/>
      <c r="CT130" s="1183"/>
      <c r="CU130" s="1183"/>
      <c r="CV130" s="1183"/>
      <c r="CW130" s="1183"/>
      <c r="CX130" s="1154" t="e">
        <f>CX160</f>
        <v>#REF!</v>
      </c>
      <c r="CY130" s="1154" t="str">
        <f>CY160</f>
        <v>3,597</v>
      </c>
      <c r="CZ130" s="1154" t="e">
        <f>CZ160</f>
        <v>#REF!</v>
      </c>
      <c r="DA130" s="1155" t="str">
        <f>DA160</f>
        <v>144</v>
      </c>
      <c r="DB130" s="1156"/>
    </row>
    <row r="131" spans="2:106" s="1152" customFormat="1" ht="11.25" customHeight="1">
      <c r="B131" s="1157"/>
      <c r="C131" s="1183"/>
      <c r="D131" s="1183"/>
      <c r="E131" s="1183"/>
      <c r="F131" s="1183"/>
      <c r="G131" s="1183"/>
      <c r="H131" s="1183"/>
      <c r="I131" s="1183"/>
      <c r="J131" s="1183"/>
      <c r="K131" s="1183"/>
      <c r="L131" s="1183"/>
      <c r="M131" s="1183"/>
      <c r="N131" s="1183"/>
      <c r="O131" s="1183"/>
      <c r="P131" s="1183"/>
      <c r="Q131" s="1183"/>
      <c r="R131" s="1183"/>
      <c r="S131" s="1183"/>
      <c r="T131" s="1183"/>
      <c r="U131" s="1183"/>
      <c r="V131" s="1183"/>
      <c r="W131" s="1183"/>
      <c r="X131" s="1183"/>
      <c r="Y131" s="1183"/>
      <c r="Z131" s="1183"/>
      <c r="AA131" s="1183"/>
      <c r="AB131" s="1183"/>
      <c r="AC131" s="1183"/>
      <c r="AD131" s="1183"/>
      <c r="AE131" s="1183"/>
      <c r="AF131" s="1183"/>
      <c r="AG131" s="1183"/>
      <c r="AH131" s="1183"/>
      <c r="AI131" s="1183"/>
      <c r="AJ131" s="1183"/>
      <c r="AK131" s="1183"/>
      <c r="AL131" s="1183"/>
      <c r="AM131" s="1183"/>
      <c r="AN131" s="1183"/>
      <c r="AO131" s="1183"/>
      <c r="AP131" s="1183"/>
      <c r="AQ131" s="1183"/>
      <c r="AR131" s="1183"/>
      <c r="AS131" s="1183"/>
      <c r="AT131" s="1183"/>
      <c r="AU131" s="1183"/>
      <c r="AV131" s="1183"/>
      <c r="AW131" s="1183"/>
      <c r="AX131" s="1183"/>
      <c r="AY131" s="1183"/>
      <c r="AZ131" s="1183"/>
      <c r="BA131" s="1183"/>
      <c r="BB131" s="1183"/>
      <c r="BC131" s="1183"/>
      <c r="BD131" s="1183"/>
      <c r="BE131" s="1183"/>
      <c r="BF131" s="1183"/>
      <c r="BG131" s="1183"/>
      <c r="BH131" s="1183"/>
      <c r="BI131" s="1183"/>
      <c r="BJ131" s="1183"/>
      <c r="BK131" s="1183"/>
      <c r="BL131" s="1183"/>
      <c r="BM131" s="1183"/>
      <c r="BN131" s="1183"/>
      <c r="BO131" s="1183"/>
      <c r="BP131" s="1183"/>
      <c r="BQ131" s="1183"/>
      <c r="BR131" s="1183"/>
      <c r="BS131" s="1183"/>
      <c r="BT131" s="1183"/>
      <c r="BU131" s="1183"/>
      <c r="BV131" s="1183"/>
      <c r="BW131" s="1183"/>
      <c r="BX131" s="1183"/>
      <c r="BY131" s="1183"/>
      <c r="BZ131" s="1183"/>
      <c r="CA131" s="1183"/>
      <c r="CB131" s="1183"/>
      <c r="CC131" s="1183"/>
      <c r="CD131" s="1183"/>
      <c r="CE131" s="1183"/>
      <c r="CF131" s="1183"/>
      <c r="CG131" s="1183"/>
      <c r="CH131" s="1183"/>
      <c r="CI131" s="1183"/>
      <c r="CJ131" s="1183"/>
      <c r="CK131" s="1183"/>
      <c r="CL131" s="1183"/>
      <c r="CM131" s="1183"/>
      <c r="CN131" s="1183"/>
      <c r="CO131" s="1183"/>
      <c r="CP131" s="1183"/>
      <c r="CQ131" s="1183"/>
      <c r="CR131" s="1183"/>
      <c r="CS131" s="1183"/>
      <c r="CT131" s="1183"/>
      <c r="CU131" s="1183"/>
      <c r="CV131" s="1183"/>
      <c r="CW131" s="1183"/>
      <c r="CX131" s="1158"/>
      <c r="CY131" s="1158"/>
      <c r="CZ131" s="1158"/>
      <c r="DA131" s="1159"/>
      <c r="DB131" s="1156"/>
    </row>
    <row r="132" spans="2:106" s="1152" customFormat="1" ht="11.25" customHeight="1">
      <c r="B132" s="1157"/>
      <c r="C132" s="1183"/>
      <c r="D132" s="1183"/>
      <c r="E132" s="1183" t="s">
        <v>1041</v>
      </c>
      <c r="F132" s="1183"/>
      <c r="G132" s="1183"/>
      <c r="H132" s="1183" t="s">
        <v>1094</v>
      </c>
      <c r="I132" s="1183" t="s">
        <v>214</v>
      </c>
      <c r="J132" s="1183" t="s">
        <v>1095</v>
      </c>
      <c r="K132" s="1183"/>
      <c r="L132" s="1183"/>
      <c r="M132" s="1183"/>
      <c r="N132" s="1183"/>
      <c r="O132" s="1183" t="s">
        <v>217</v>
      </c>
      <c r="P132" s="1183"/>
      <c r="Q132" s="1183" t="s">
        <v>1096</v>
      </c>
      <c r="R132" s="1183"/>
      <c r="S132" s="1183"/>
      <c r="T132" s="1183"/>
      <c r="U132" s="1183" t="s">
        <v>1097</v>
      </c>
      <c r="V132" s="1183"/>
      <c r="W132" s="1183"/>
      <c r="X132" s="1183"/>
      <c r="Y132" s="1183"/>
      <c r="Z132" s="1183"/>
      <c r="AA132" s="1183"/>
      <c r="AB132" s="1183"/>
      <c r="AC132" s="1183" t="s">
        <v>1098</v>
      </c>
      <c r="AD132" s="1183"/>
      <c r="AE132" s="1183"/>
      <c r="AF132" s="1183"/>
      <c r="AG132" s="1183"/>
      <c r="AH132" s="1183" t="s">
        <v>1099</v>
      </c>
      <c r="AI132" s="1183"/>
      <c r="AJ132" s="1183"/>
      <c r="AK132" s="1183" t="s">
        <v>1100</v>
      </c>
      <c r="AL132" s="1183"/>
      <c r="AM132" s="1183"/>
      <c r="AN132" s="1183"/>
      <c r="AO132" s="1183"/>
      <c r="AP132" s="1183"/>
      <c r="AQ132" s="1183"/>
      <c r="AR132" s="1183"/>
      <c r="AS132" s="1183"/>
      <c r="AT132" s="1183" t="s">
        <v>1062</v>
      </c>
      <c r="AU132" s="1183"/>
      <c r="AV132" s="1183"/>
      <c r="AW132" s="1183" t="s">
        <v>1101</v>
      </c>
      <c r="AX132" s="1183"/>
      <c r="AY132" s="1183"/>
      <c r="AZ132" s="1183"/>
      <c r="BA132" s="1183"/>
      <c r="BB132" s="1183"/>
      <c r="BC132" s="1183"/>
      <c r="BD132" s="1183" t="s">
        <v>1102</v>
      </c>
      <c r="BE132" s="1183"/>
      <c r="BF132" s="1183"/>
      <c r="BG132" s="1183"/>
      <c r="BH132" s="1183"/>
      <c r="BI132" s="1183"/>
      <c r="BJ132" s="1183"/>
      <c r="BK132" s="1183" t="s">
        <v>1103</v>
      </c>
      <c r="BL132" s="1183"/>
      <c r="BM132" s="1183"/>
      <c r="BN132" s="1183"/>
      <c r="BO132" s="1183"/>
      <c r="BP132" s="1183"/>
      <c r="BQ132" s="1183"/>
      <c r="BR132" s="1183"/>
      <c r="BS132" s="1183"/>
      <c r="BT132" s="1183"/>
      <c r="BU132" s="1183"/>
      <c r="BV132" s="1183"/>
      <c r="BW132" s="1183"/>
      <c r="BX132" s="1183"/>
      <c r="BY132" s="1183"/>
      <c r="BZ132" s="1183"/>
      <c r="CA132" s="1183"/>
      <c r="CB132" s="1183"/>
      <c r="CC132" s="1183"/>
      <c r="CD132" s="1183"/>
      <c r="CE132" s="1183"/>
      <c r="CF132" s="1183"/>
      <c r="CG132" s="1183"/>
      <c r="CH132" s="1183"/>
      <c r="CI132" s="1183"/>
      <c r="CJ132" s="1183"/>
      <c r="CK132" s="1183"/>
      <c r="CL132" s="1183"/>
      <c r="CM132" s="1183"/>
      <c r="CN132" s="1183"/>
      <c r="CO132" s="1183"/>
      <c r="CP132" s="1183"/>
      <c r="CQ132" s="1183"/>
      <c r="CR132" s="1183"/>
      <c r="CS132" s="1183"/>
      <c r="CT132" s="1183"/>
      <c r="CU132" s="1183"/>
      <c r="CV132" s="1183"/>
      <c r="CW132" s="1183"/>
      <c r="CX132" s="1158"/>
      <c r="CY132" s="1158"/>
      <c r="CZ132" s="1158"/>
      <c r="DA132" s="1159"/>
      <c r="DB132" s="1156"/>
    </row>
    <row r="133" spans="2:106" s="1152" customFormat="1" ht="11.25" customHeight="1">
      <c r="B133" s="1157"/>
      <c r="C133" s="1183"/>
      <c r="D133" s="1183"/>
      <c r="E133" s="1183"/>
      <c r="F133" s="1183"/>
      <c r="G133" s="1183"/>
      <c r="H133" s="1183"/>
      <c r="I133" s="1183"/>
      <c r="J133" s="1183"/>
      <c r="K133" s="1183"/>
      <c r="L133" s="1183"/>
      <c r="M133" s="1183"/>
      <c r="N133" s="1183"/>
      <c r="O133" s="1183"/>
      <c r="P133" s="1183"/>
      <c r="Q133" s="1183"/>
      <c r="R133" s="1183"/>
      <c r="S133" s="1183"/>
      <c r="T133" s="1183"/>
      <c r="U133" s="1183"/>
      <c r="V133" s="1183"/>
      <c r="W133" s="1183"/>
      <c r="X133" s="1183"/>
      <c r="Y133" s="1183"/>
      <c r="Z133" s="1183"/>
      <c r="AA133" s="1183"/>
      <c r="AB133" s="1183"/>
      <c r="AC133" s="1183"/>
      <c r="AD133" s="1183"/>
      <c r="AE133" s="1183"/>
      <c r="AF133" s="1183"/>
      <c r="AG133" s="1183"/>
      <c r="AH133" s="1183"/>
      <c r="AI133" s="1183"/>
      <c r="AJ133" s="1183"/>
      <c r="AK133" s="1183"/>
      <c r="AL133" s="1183"/>
      <c r="AM133" s="1183"/>
      <c r="AN133" s="1183"/>
      <c r="AO133" s="1183"/>
      <c r="AP133" s="1183"/>
      <c r="AQ133" s="1183"/>
      <c r="AR133" s="1183"/>
      <c r="AS133" s="1183"/>
      <c r="AT133" s="1183"/>
      <c r="AU133" s="1183"/>
      <c r="AV133" s="1183"/>
      <c r="AW133" s="1183"/>
      <c r="AX133" s="1183"/>
      <c r="AY133" s="1183"/>
      <c r="AZ133" s="1183"/>
      <c r="BA133" s="1183"/>
      <c r="BB133" s="1183"/>
      <c r="BC133" s="1183"/>
      <c r="BD133" s="1183"/>
      <c r="BE133" s="1183"/>
      <c r="BF133" s="1183"/>
      <c r="BG133" s="1183"/>
      <c r="BH133" s="1183"/>
      <c r="BI133" s="1183"/>
      <c r="BJ133" s="1183"/>
      <c r="BK133" s="1183"/>
      <c r="BL133" s="1183"/>
      <c r="BM133" s="1183"/>
      <c r="BN133" s="1183"/>
      <c r="BO133" s="1183"/>
      <c r="BP133" s="1183"/>
      <c r="BQ133" s="1183"/>
      <c r="BR133" s="1183"/>
      <c r="BS133" s="1183"/>
      <c r="BT133" s="1183"/>
      <c r="BU133" s="1183"/>
      <c r="BV133" s="1183"/>
      <c r="BW133" s="1183"/>
      <c r="BX133" s="1183"/>
      <c r="BY133" s="1183"/>
      <c r="BZ133" s="1183"/>
      <c r="CA133" s="1183"/>
      <c r="CB133" s="1183"/>
      <c r="CC133" s="1183"/>
      <c r="CD133" s="1183"/>
      <c r="CE133" s="1183"/>
      <c r="CF133" s="1183"/>
      <c r="CG133" s="1183"/>
      <c r="CH133" s="1183"/>
      <c r="CI133" s="1183"/>
      <c r="CJ133" s="1183"/>
      <c r="CK133" s="1183"/>
      <c r="CL133" s="1183"/>
      <c r="CM133" s="1183"/>
      <c r="CN133" s="1183"/>
      <c r="CO133" s="1183"/>
      <c r="CP133" s="1183"/>
      <c r="CQ133" s="1183"/>
      <c r="CR133" s="1183"/>
      <c r="CS133" s="1183"/>
      <c r="CT133" s="1183"/>
      <c r="CU133" s="1183"/>
      <c r="CV133" s="1183"/>
      <c r="CW133" s="1183"/>
      <c r="CX133" s="1158"/>
      <c r="CY133" s="1158"/>
      <c r="CZ133" s="1158"/>
      <c r="DA133" s="1159"/>
      <c r="DB133" s="1156"/>
    </row>
    <row r="134" spans="2:106" s="1152" customFormat="1" ht="11.25" customHeight="1">
      <c r="B134" s="1157"/>
      <c r="C134" s="1183"/>
      <c r="D134" s="1183"/>
      <c r="E134" s="1183" t="s">
        <v>1041</v>
      </c>
      <c r="F134" s="1183"/>
      <c r="G134" s="1183"/>
      <c r="H134" s="1183" t="s">
        <v>992</v>
      </c>
      <c r="I134" s="1183" t="s">
        <v>1104</v>
      </c>
      <c r="J134" s="1183"/>
      <c r="K134" s="1183"/>
      <c r="L134" s="1183" t="s">
        <v>1105</v>
      </c>
      <c r="M134" s="1183"/>
      <c r="N134" s="1183"/>
      <c r="O134" s="1183"/>
      <c r="P134" s="1183"/>
      <c r="Q134" s="1183"/>
      <c r="R134" s="1183"/>
      <c r="S134" s="1183" t="s">
        <v>217</v>
      </c>
      <c r="T134" s="1183"/>
      <c r="U134" s="1183" t="s">
        <v>1106</v>
      </c>
      <c r="V134" s="1183"/>
      <c r="W134" s="1183"/>
      <c r="X134" s="1183" t="s">
        <v>227</v>
      </c>
      <c r="Y134" s="1183"/>
      <c r="Z134" s="1183" t="str">
        <f>TEXT(360,"#,##0.#######")</f>
        <v>360.</v>
      </c>
      <c r="AA134" s="1183"/>
      <c r="AB134" s="1183"/>
      <c r="AC134" s="1183" t="s">
        <v>783</v>
      </c>
      <c r="AD134" s="1183"/>
      <c r="AE134" s="1183" t="s">
        <v>249</v>
      </c>
      <c r="AF134" s="1183" t="s">
        <v>1104</v>
      </c>
      <c r="AG134" s="1183"/>
      <c r="AH134" s="1183"/>
      <c r="AI134" s="1183"/>
      <c r="AJ134" s="1183"/>
      <c r="AK134" s="1183"/>
      <c r="AL134" s="1183"/>
      <c r="AM134" s="1183"/>
      <c r="AN134" s="1183"/>
      <c r="AO134" s="1183"/>
      <c r="AP134" s="1183"/>
      <c r="AQ134" s="1183"/>
      <c r="AR134" s="1183"/>
      <c r="AS134" s="1183"/>
      <c r="AT134" s="1183"/>
      <c r="AU134" s="1183"/>
      <c r="AV134" s="1183"/>
      <c r="AW134" s="1183"/>
      <c r="AX134" s="1183"/>
      <c r="AY134" s="1183"/>
      <c r="AZ134" s="1183"/>
      <c r="BA134" s="1183"/>
      <c r="BB134" s="1183"/>
      <c r="BC134" s="1183"/>
      <c r="BD134" s="1183"/>
      <c r="BE134" s="1183"/>
      <c r="BF134" s="1183"/>
      <c r="BG134" s="1183"/>
      <c r="BH134" s="1183"/>
      <c r="BI134" s="1183"/>
      <c r="BJ134" s="1183"/>
      <c r="BK134" s="1183"/>
      <c r="BL134" s="1183"/>
      <c r="BM134" s="1183"/>
      <c r="BN134" s="1183"/>
      <c r="BO134" s="1183"/>
      <c r="BP134" s="1183"/>
      <c r="BQ134" s="1183"/>
      <c r="BR134" s="1183"/>
      <c r="BS134" s="1183"/>
      <c r="BT134" s="1183"/>
      <c r="BU134" s="1183"/>
      <c r="BV134" s="1183"/>
      <c r="BW134" s="1183"/>
      <c r="BX134" s="1183"/>
      <c r="BY134" s="1183"/>
      <c r="BZ134" s="1183"/>
      <c r="CA134" s="1183"/>
      <c r="CB134" s="1183"/>
      <c r="CC134" s="1183"/>
      <c r="CD134" s="1183"/>
      <c r="CE134" s="1183"/>
      <c r="CF134" s="1183"/>
      <c r="CG134" s="1183"/>
      <c r="CH134" s="1183"/>
      <c r="CI134" s="1183"/>
      <c r="CJ134" s="1183"/>
      <c r="CK134" s="1183"/>
      <c r="CL134" s="1183"/>
      <c r="CM134" s="1183"/>
      <c r="CN134" s="1183"/>
      <c r="CO134" s="1183"/>
      <c r="CP134" s="1183"/>
      <c r="CQ134" s="1183"/>
      <c r="CR134" s="1183"/>
      <c r="CS134" s="1183"/>
      <c r="CT134" s="1183"/>
      <c r="CU134" s="1183"/>
      <c r="CV134" s="1183"/>
      <c r="CW134" s="1183"/>
      <c r="CX134" s="1158"/>
      <c r="CY134" s="1158"/>
      <c r="CZ134" s="1158"/>
      <c r="DA134" s="1159"/>
      <c r="DB134" s="1156"/>
    </row>
    <row r="135" spans="2:106" s="1152" customFormat="1" ht="11.25" customHeight="1">
      <c r="B135" s="1157"/>
      <c r="C135" s="1183"/>
      <c r="D135" s="1183"/>
      <c r="E135" s="1183"/>
      <c r="F135" s="1183"/>
      <c r="G135" s="1183"/>
      <c r="H135" s="1183"/>
      <c r="I135" s="1183"/>
      <c r="J135" s="1183"/>
      <c r="K135" s="1183"/>
      <c r="L135" s="1183"/>
      <c r="M135" s="1183"/>
      <c r="N135" s="1183"/>
      <c r="O135" s="1183"/>
      <c r="P135" s="1183"/>
      <c r="Q135" s="1183"/>
      <c r="R135" s="1183"/>
      <c r="S135" s="1183"/>
      <c r="T135" s="1183"/>
      <c r="U135" s="1183"/>
      <c r="V135" s="1183"/>
      <c r="W135" s="1183"/>
      <c r="X135" s="1183"/>
      <c r="Y135" s="1183"/>
      <c r="Z135" s="1183"/>
      <c r="AA135" s="1183"/>
      <c r="AB135" s="1183"/>
      <c r="AC135" s="1183"/>
      <c r="AD135" s="1183"/>
      <c r="AE135" s="1183"/>
      <c r="AF135" s="1183"/>
      <c r="AG135" s="1183"/>
      <c r="AH135" s="1183"/>
      <c r="AI135" s="1183"/>
      <c r="AJ135" s="1183"/>
      <c r="AK135" s="1183"/>
      <c r="AL135" s="1183"/>
      <c r="AM135" s="1183"/>
      <c r="AN135" s="1183"/>
      <c r="AO135" s="1183"/>
      <c r="AP135" s="1183"/>
      <c r="AQ135" s="1183"/>
      <c r="AR135" s="1183"/>
      <c r="AS135" s="1183"/>
      <c r="AT135" s="1183"/>
      <c r="AU135" s="1183"/>
      <c r="AV135" s="1183"/>
      <c r="AW135" s="1183"/>
      <c r="AX135" s="1183"/>
      <c r="AY135" s="1183"/>
      <c r="AZ135" s="1183"/>
      <c r="BA135" s="1183"/>
      <c r="BB135" s="1183"/>
      <c r="BC135" s="1183"/>
      <c r="BD135" s="1183"/>
      <c r="BE135" s="1183"/>
      <c r="BF135" s="1183"/>
      <c r="BG135" s="1183"/>
      <c r="BH135" s="1183"/>
      <c r="BI135" s="1183"/>
      <c r="BJ135" s="1183"/>
      <c r="BK135" s="1183"/>
      <c r="BL135" s="1183"/>
      <c r="BM135" s="1183"/>
      <c r="BN135" s="1183"/>
      <c r="BO135" s="1183"/>
      <c r="BP135" s="1183"/>
      <c r="BQ135" s="1183"/>
      <c r="BR135" s="1183"/>
      <c r="BS135" s="1183"/>
      <c r="BT135" s="1183"/>
      <c r="BU135" s="1183"/>
      <c r="BV135" s="1183"/>
      <c r="BW135" s="1183"/>
      <c r="BX135" s="1183"/>
      <c r="BY135" s="1183"/>
      <c r="BZ135" s="1183"/>
      <c r="CA135" s="1183"/>
      <c r="CB135" s="1183"/>
      <c r="CC135" s="1183"/>
      <c r="CD135" s="1183"/>
      <c r="CE135" s="1183"/>
      <c r="CF135" s="1183"/>
      <c r="CG135" s="1183"/>
      <c r="CH135" s="1183"/>
      <c r="CI135" s="1183"/>
      <c r="CJ135" s="1183"/>
      <c r="CK135" s="1183"/>
      <c r="CL135" s="1183"/>
      <c r="CM135" s="1183"/>
      <c r="CN135" s="1183"/>
      <c r="CO135" s="1183"/>
      <c r="CP135" s="1183"/>
      <c r="CQ135" s="1183"/>
      <c r="CR135" s="1183"/>
      <c r="CS135" s="1183"/>
      <c r="CT135" s="1183"/>
      <c r="CU135" s="1183"/>
      <c r="CV135" s="1183"/>
      <c r="CW135" s="1183"/>
      <c r="CX135" s="1158"/>
      <c r="CY135" s="1158"/>
      <c r="CZ135" s="1158"/>
      <c r="DA135" s="1159"/>
      <c r="DB135" s="1156"/>
    </row>
    <row r="136" spans="2:106" s="1152" customFormat="1" ht="11.25" customHeight="1">
      <c r="B136" s="1157"/>
      <c r="C136" s="1183"/>
      <c r="D136" s="1183"/>
      <c r="E136" s="1183"/>
      <c r="F136" s="1183"/>
      <c r="G136" s="1183"/>
      <c r="H136" s="1183" t="s">
        <v>1107</v>
      </c>
      <c r="I136" s="1183"/>
      <c r="J136" s="1183"/>
      <c r="K136" s="1183"/>
      <c r="L136" s="1183"/>
      <c r="M136" s="1183"/>
      <c r="N136" s="1183"/>
      <c r="O136" s="1183" t="s">
        <v>1105</v>
      </c>
      <c r="P136" s="1183"/>
      <c r="Q136" s="1183"/>
      <c r="R136" s="1183"/>
      <c r="S136" s="1183"/>
      <c r="T136" s="1183"/>
      <c r="U136" s="1183"/>
      <c r="V136" s="1183" t="s">
        <v>217</v>
      </c>
      <c r="W136" s="1183"/>
      <c r="X136" s="1183" t="s">
        <v>1019</v>
      </c>
      <c r="Y136" s="1183"/>
      <c r="Z136" s="1183" t="s">
        <v>227</v>
      </c>
      <c r="AA136" s="1183"/>
      <c r="AB136" s="1183" t="s">
        <v>1106</v>
      </c>
      <c r="AC136" s="1183"/>
      <c r="AD136" s="1183"/>
      <c r="AE136" s="1183" t="s">
        <v>1021</v>
      </c>
      <c r="AF136" s="1183"/>
      <c r="AG136" s="1183"/>
      <c r="AH136" s="1183" t="str">
        <f>TEXT(8,"#,##0.#######")</f>
        <v>8.</v>
      </c>
      <c r="AI136" s="1183" t="s">
        <v>352</v>
      </c>
      <c r="AJ136" s="1183"/>
      <c r="AK136" s="1183"/>
      <c r="AL136" s="1183" t="s">
        <v>227</v>
      </c>
      <c r="AM136" s="1183"/>
      <c r="AN136" s="1183" t="str">
        <f>TEXT(Z134,"#,##0.#######")</f>
        <v>360.</v>
      </c>
      <c r="AO136" s="1183"/>
      <c r="AP136" s="1183"/>
      <c r="AQ136" s="1183"/>
      <c r="AR136" s="1183" t="s">
        <v>1021</v>
      </c>
      <c r="AS136" s="1183"/>
      <c r="AT136" s="1183"/>
      <c r="AU136" s="1183" t="str">
        <f>TEXT(AH136,"#,##0.#######")</f>
        <v>8.</v>
      </c>
      <c r="AV136" s="1183"/>
      <c r="AW136" s="1183" t="s">
        <v>227</v>
      </c>
      <c r="AX136" s="1183"/>
      <c r="AY136" s="1183"/>
      <c r="AZ136" s="1183" t="str">
        <f>TEXT(ROUND(Z134/AH136,2),"#,##0.#######")</f>
        <v>45.</v>
      </c>
      <c r="BA136" s="1183"/>
      <c r="BB136" s="1183"/>
      <c r="BC136" s="1183"/>
      <c r="BD136" s="1183"/>
      <c r="BE136" s="1183" t="s">
        <v>783</v>
      </c>
      <c r="BF136" s="1183"/>
      <c r="BG136" s="1183" t="s">
        <v>249</v>
      </c>
      <c r="BH136" s="1183" t="s">
        <v>352</v>
      </c>
      <c r="BI136" s="1183"/>
      <c r="BJ136" s="1183"/>
      <c r="BK136" s="1183"/>
      <c r="BL136" s="1183"/>
      <c r="BM136" s="1183"/>
      <c r="BN136" s="1183"/>
      <c r="BO136" s="1183"/>
      <c r="BP136" s="1183"/>
      <c r="BQ136" s="1183"/>
      <c r="BR136" s="1183"/>
      <c r="BS136" s="1183"/>
      <c r="BT136" s="1183"/>
      <c r="BU136" s="1183"/>
      <c r="BV136" s="1183"/>
      <c r="BW136" s="1183"/>
      <c r="BX136" s="1183"/>
      <c r="BY136" s="1183"/>
      <c r="BZ136" s="1183"/>
      <c r="CA136" s="1183"/>
      <c r="CB136" s="1183"/>
      <c r="CC136" s="1183"/>
      <c r="CD136" s="1183"/>
      <c r="CE136" s="1183"/>
      <c r="CF136" s="1183"/>
      <c r="CG136" s="1183"/>
      <c r="CH136" s="1183"/>
      <c r="CI136" s="1183"/>
      <c r="CJ136" s="1183"/>
      <c r="CK136" s="1183"/>
      <c r="CL136" s="1183"/>
      <c r="CM136" s="1183"/>
      <c r="CN136" s="1183"/>
      <c r="CO136" s="1183"/>
      <c r="CP136" s="1183"/>
      <c r="CQ136" s="1183"/>
      <c r="CR136" s="1183"/>
      <c r="CS136" s="1183"/>
      <c r="CT136" s="1183"/>
      <c r="CU136" s="1183"/>
      <c r="CV136" s="1183"/>
      <c r="CW136" s="1183"/>
      <c r="CX136" s="1158"/>
      <c r="CY136" s="1158"/>
      <c r="CZ136" s="1158"/>
      <c r="DA136" s="1159"/>
      <c r="DB136" s="1156"/>
    </row>
    <row r="137" spans="2:106" s="1152" customFormat="1" ht="11.25" customHeight="1">
      <c r="B137" s="1157"/>
      <c r="C137" s="1183"/>
      <c r="D137" s="1183"/>
      <c r="E137" s="1183"/>
      <c r="F137" s="1183"/>
      <c r="G137" s="1183"/>
      <c r="H137" s="1183"/>
      <c r="I137" s="1183"/>
      <c r="J137" s="1183"/>
      <c r="K137" s="1183"/>
      <c r="L137" s="1183"/>
      <c r="M137" s="1183"/>
      <c r="N137" s="1183"/>
      <c r="O137" s="1183"/>
      <c r="P137" s="1183"/>
      <c r="Q137" s="1183"/>
      <c r="R137" s="1183"/>
      <c r="S137" s="1183"/>
      <c r="T137" s="1183"/>
      <c r="U137" s="1183"/>
      <c r="V137" s="1183"/>
      <c r="W137" s="1183"/>
      <c r="X137" s="1183"/>
      <c r="Y137" s="1183"/>
      <c r="Z137" s="1183"/>
      <c r="AA137" s="1183"/>
      <c r="AB137" s="1183"/>
      <c r="AC137" s="1183"/>
      <c r="AD137" s="1183"/>
      <c r="AE137" s="1183"/>
      <c r="AF137" s="1183"/>
      <c r="AG137" s="1183"/>
      <c r="AH137" s="1183"/>
      <c r="AI137" s="1183"/>
      <c r="AJ137" s="1183"/>
      <c r="AK137" s="1183"/>
      <c r="AL137" s="1183"/>
      <c r="AM137" s="1183"/>
      <c r="AN137" s="1183"/>
      <c r="AO137" s="1183"/>
      <c r="AP137" s="1183"/>
      <c r="AQ137" s="1183"/>
      <c r="AR137" s="1183"/>
      <c r="AS137" s="1183"/>
      <c r="AT137" s="1183"/>
      <c r="AU137" s="1183"/>
      <c r="AV137" s="1183"/>
      <c r="AW137" s="1183"/>
      <c r="AX137" s="1183"/>
      <c r="AY137" s="1183"/>
      <c r="AZ137" s="1183"/>
      <c r="BA137" s="1183"/>
      <c r="BB137" s="1183"/>
      <c r="BC137" s="1183"/>
      <c r="BD137" s="1183"/>
      <c r="BE137" s="1183"/>
      <c r="BF137" s="1183"/>
      <c r="BG137" s="1183"/>
      <c r="BH137" s="1183"/>
      <c r="BI137" s="1183"/>
      <c r="BJ137" s="1183"/>
      <c r="BK137" s="1183"/>
      <c r="BL137" s="1183"/>
      <c r="BM137" s="1183"/>
      <c r="BN137" s="1183"/>
      <c r="BO137" s="1183"/>
      <c r="BP137" s="1183"/>
      <c r="BQ137" s="1183"/>
      <c r="BR137" s="1183"/>
      <c r="BS137" s="1183"/>
      <c r="BT137" s="1183"/>
      <c r="BU137" s="1183"/>
      <c r="BV137" s="1183"/>
      <c r="BW137" s="1183"/>
      <c r="BX137" s="1183"/>
      <c r="BY137" s="1183"/>
      <c r="BZ137" s="1183"/>
      <c r="CA137" s="1183"/>
      <c r="CB137" s="1183"/>
      <c r="CC137" s="1183"/>
      <c r="CD137" s="1183"/>
      <c r="CE137" s="1183"/>
      <c r="CF137" s="1183"/>
      <c r="CG137" s="1183"/>
      <c r="CH137" s="1183"/>
      <c r="CI137" s="1183"/>
      <c r="CJ137" s="1183"/>
      <c r="CK137" s="1183"/>
      <c r="CL137" s="1183"/>
      <c r="CM137" s="1183"/>
      <c r="CN137" s="1183"/>
      <c r="CO137" s="1183"/>
      <c r="CP137" s="1183"/>
      <c r="CQ137" s="1183"/>
      <c r="CR137" s="1183"/>
      <c r="CS137" s="1183"/>
      <c r="CT137" s="1183"/>
      <c r="CU137" s="1183"/>
      <c r="CV137" s="1183"/>
      <c r="CW137" s="1183"/>
      <c r="CX137" s="1158"/>
      <c r="CY137" s="1158"/>
      <c r="CZ137" s="1158"/>
      <c r="DA137" s="1159"/>
      <c r="DB137" s="1156"/>
    </row>
    <row r="138" spans="2:106" s="1152" customFormat="1" ht="11.25" customHeight="1">
      <c r="B138" s="1157"/>
      <c r="C138" s="1183"/>
      <c r="D138" s="1183" t="s">
        <v>1006</v>
      </c>
      <c r="E138" s="1183"/>
      <c r="F138" s="1183"/>
      <c r="G138" s="1183" t="s">
        <v>1055</v>
      </c>
      <c r="H138" s="1183"/>
      <c r="I138" s="1183"/>
      <c r="J138" s="1183"/>
      <c r="K138" s="1183"/>
      <c r="L138" s="1183"/>
      <c r="M138" s="1183"/>
      <c r="N138" s="1183"/>
      <c r="O138" s="1183"/>
      <c r="P138" s="1183"/>
      <c r="Q138" s="1183"/>
      <c r="R138" s="1183"/>
      <c r="S138" s="1183"/>
      <c r="T138" s="1183"/>
      <c r="U138" s="1183"/>
      <c r="V138" s="1183"/>
      <c r="W138" s="1183"/>
      <c r="X138" s="1183"/>
      <c r="Y138" s="1183"/>
      <c r="Z138" s="1183"/>
      <c r="AA138" s="1183"/>
      <c r="AB138" s="1183"/>
      <c r="AC138" s="1183"/>
      <c r="AD138" s="1183"/>
      <c r="AE138" s="1183"/>
      <c r="AF138" s="1183"/>
      <c r="AG138" s="1183"/>
      <c r="AH138" s="1183"/>
      <c r="AI138" s="1183"/>
      <c r="AJ138" s="1183"/>
      <c r="AK138" s="1183"/>
      <c r="AL138" s="1183"/>
      <c r="AM138" s="1183"/>
      <c r="AN138" s="1183"/>
      <c r="AO138" s="1183"/>
      <c r="AP138" s="1183"/>
      <c r="AQ138" s="1183"/>
      <c r="AR138" s="1183"/>
      <c r="AS138" s="1183"/>
      <c r="AT138" s="1183"/>
      <c r="AU138" s="1183"/>
      <c r="AV138" s="1183"/>
      <c r="AW138" s="1183"/>
      <c r="AX138" s="1183"/>
      <c r="AY138" s="1183"/>
      <c r="AZ138" s="1183"/>
      <c r="BA138" s="1183"/>
      <c r="BB138" s="1183"/>
      <c r="BC138" s="1183"/>
      <c r="BD138" s="1183"/>
      <c r="BE138" s="1183"/>
      <c r="BF138" s="1183"/>
      <c r="BG138" s="1183"/>
      <c r="BH138" s="1183"/>
      <c r="BI138" s="1183"/>
      <c r="BJ138" s="1183"/>
      <c r="BK138" s="1183"/>
      <c r="BL138" s="1183"/>
      <c r="BM138" s="1183"/>
      <c r="BN138" s="1183"/>
      <c r="BO138" s="1183"/>
      <c r="BP138" s="1183"/>
      <c r="BQ138" s="1183"/>
      <c r="BR138" s="1183"/>
      <c r="BS138" s="1183"/>
      <c r="BT138" s="1183"/>
      <c r="BU138" s="1183"/>
      <c r="BV138" s="1183"/>
      <c r="BW138" s="1183"/>
      <c r="BX138" s="1183"/>
      <c r="BY138" s="1183"/>
      <c r="BZ138" s="1183"/>
      <c r="CA138" s="1183"/>
      <c r="CB138" s="1183"/>
      <c r="CC138" s="1183"/>
      <c r="CD138" s="1183"/>
      <c r="CE138" s="1183"/>
      <c r="CF138" s="1183"/>
      <c r="CG138" s="1183"/>
      <c r="CH138" s="1183"/>
      <c r="CI138" s="1183"/>
      <c r="CJ138" s="1183"/>
      <c r="CK138" s="1183"/>
      <c r="CL138" s="1183"/>
      <c r="CM138" s="1183"/>
      <c r="CN138" s="1183"/>
      <c r="CO138" s="1183"/>
      <c r="CP138" s="1183"/>
      <c r="CQ138" s="1183"/>
      <c r="CR138" s="1183"/>
      <c r="CS138" s="1183"/>
      <c r="CT138" s="1183"/>
      <c r="CU138" s="1183"/>
      <c r="CV138" s="1183"/>
      <c r="CW138" s="1183"/>
      <c r="CX138" s="1158"/>
      <c r="CY138" s="1158"/>
      <c r="CZ138" s="1158"/>
      <c r="DA138" s="1159"/>
      <c r="DB138" s="1156"/>
    </row>
    <row r="139" spans="2:106" s="1152" customFormat="1" ht="11.25" customHeight="1">
      <c r="B139" s="1157"/>
      <c r="C139" s="1183"/>
      <c r="D139" s="1183"/>
      <c r="E139" s="1183"/>
      <c r="F139" s="1183"/>
      <c r="G139" s="1183"/>
      <c r="H139" s="1183"/>
      <c r="I139" s="1183"/>
      <c r="J139" s="1183"/>
      <c r="K139" s="1183"/>
      <c r="L139" s="1183"/>
      <c r="M139" s="1183"/>
      <c r="N139" s="1183"/>
      <c r="O139" s="1183"/>
      <c r="P139" s="1183"/>
      <c r="Q139" s="1183"/>
      <c r="R139" s="1183"/>
      <c r="S139" s="1183"/>
      <c r="T139" s="1183"/>
      <c r="U139" s="1183"/>
      <c r="V139" s="1183"/>
      <c r="W139" s="1183"/>
      <c r="X139" s="1183"/>
      <c r="Y139" s="1183"/>
      <c r="Z139" s="1183"/>
      <c r="AA139" s="1183"/>
      <c r="AB139" s="1183"/>
      <c r="AC139" s="1183"/>
      <c r="AD139" s="1183"/>
      <c r="AE139" s="1183"/>
      <c r="AF139" s="1183"/>
      <c r="AG139" s="1183"/>
      <c r="AH139" s="1183"/>
      <c r="AI139" s="1183"/>
      <c r="AJ139" s="1183"/>
      <c r="AK139" s="1183"/>
      <c r="AL139" s="1183"/>
      <c r="AM139" s="1183"/>
      <c r="AN139" s="1183"/>
      <c r="AO139" s="1183"/>
      <c r="AP139" s="1183"/>
      <c r="AQ139" s="1183"/>
      <c r="AR139" s="1183"/>
      <c r="AS139" s="1183"/>
      <c r="AT139" s="1183"/>
      <c r="AU139" s="1183"/>
      <c r="AV139" s="1183"/>
      <c r="AW139" s="1183"/>
      <c r="AX139" s="1183"/>
      <c r="AY139" s="1183"/>
      <c r="AZ139" s="1183"/>
      <c r="BA139" s="1183"/>
      <c r="BB139" s="1183"/>
      <c r="BC139" s="1183"/>
      <c r="BD139" s="1183"/>
      <c r="BE139" s="1183"/>
      <c r="BF139" s="1183"/>
      <c r="BG139" s="1183"/>
      <c r="BH139" s="1183"/>
      <c r="BI139" s="1183"/>
      <c r="BJ139" s="1183"/>
      <c r="BK139" s="1183"/>
      <c r="BL139" s="1183"/>
      <c r="BM139" s="1183"/>
      <c r="BN139" s="1183"/>
      <c r="BO139" s="1183"/>
      <c r="BP139" s="1183"/>
      <c r="BQ139" s="1183"/>
      <c r="BR139" s="1183"/>
      <c r="BS139" s="1183"/>
      <c r="BT139" s="1183"/>
      <c r="BU139" s="1183"/>
      <c r="BV139" s="1183"/>
      <c r="BW139" s="1183"/>
      <c r="BX139" s="1183"/>
      <c r="BY139" s="1183"/>
      <c r="BZ139" s="1183"/>
      <c r="CA139" s="1183"/>
      <c r="CB139" s="1183"/>
      <c r="CC139" s="1183"/>
      <c r="CD139" s="1183"/>
      <c r="CE139" s="1183"/>
      <c r="CF139" s="1183"/>
      <c r="CG139" s="1183"/>
      <c r="CH139" s="1183"/>
      <c r="CI139" s="1183"/>
      <c r="CJ139" s="1183"/>
      <c r="CK139" s="1183"/>
      <c r="CL139" s="1183"/>
      <c r="CM139" s="1183"/>
      <c r="CN139" s="1183"/>
      <c r="CO139" s="1183"/>
      <c r="CP139" s="1183"/>
      <c r="CQ139" s="1183"/>
      <c r="CR139" s="1183"/>
      <c r="CS139" s="1183"/>
      <c r="CT139" s="1183"/>
      <c r="CU139" s="1183"/>
      <c r="CV139" s="1183"/>
      <c r="CW139" s="1183"/>
      <c r="CX139" s="1158"/>
      <c r="CY139" s="1158"/>
      <c r="CZ139" s="1158"/>
      <c r="DA139" s="1159"/>
      <c r="DB139" s="1156"/>
    </row>
    <row r="140" spans="2:106" s="1152" customFormat="1" ht="11.25" customHeight="1">
      <c r="B140" s="1157"/>
      <c r="C140" s="1183"/>
      <c r="D140" s="1183"/>
      <c r="E140" s="1183"/>
      <c r="F140" s="1183"/>
      <c r="G140" s="1183" t="s">
        <v>78</v>
      </c>
      <c r="H140" s="1183"/>
      <c r="I140" s="1183"/>
      <c r="J140" s="1183"/>
      <c r="K140" s="1183"/>
      <c r="L140" s="1183"/>
      <c r="M140" s="1183"/>
      <c r="N140" s="1183"/>
      <c r="O140" s="1183"/>
      <c r="P140" s="1183"/>
      <c r="Q140" s="1183"/>
      <c r="R140" s="1183" t="s">
        <v>217</v>
      </c>
      <c r="S140" s="1183"/>
      <c r="T140" s="1536">
        <f>VLOOKUP($G140,인건비!A:B,2,FALSE)</f>
        <v>274873</v>
      </c>
      <c r="U140" s="1536"/>
      <c r="V140" s="1536"/>
      <c r="W140" s="1536"/>
      <c r="X140" s="1536"/>
      <c r="Y140" s="1536"/>
      <c r="Z140" s="1536"/>
      <c r="AA140" s="1536"/>
      <c r="AB140" s="1536"/>
      <c r="AC140" s="1183"/>
      <c r="AD140" s="1183" t="s">
        <v>975</v>
      </c>
      <c r="AE140" s="1183"/>
      <c r="AF140" s="1183"/>
      <c r="AG140" s="1183" t="str">
        <f>TEXT(2,"#,##0.#######")</f>
        <v>2.</v>
      </c>
      <c r="AH140" s="1183"/>
      <c r="AI140" s="1183" t="s">
        <v>181</v>
      </c>
      <c r="AJ140" s="1183"/>
      <c r="AK140" s="1183"/>
      <c r="AL140" s="1183" t="s">
        <v>1021</v>
      </c>
      <c r="AM140" s="1183"/>
      <c r="AN140" s="1183"/>
      <c r="AO140" s="1183" t="s">
        <v>1106</v>
      </c>
      <c r="AP140" s="1183"/>
      <c r="AQ140" s="1183"/>
      <c r="AR140" s="1183" t="s">
        <v>227</v>
      </c>
      <c r="AS140" s="1183"/>
      <c r="AT140" s="1183" t="str">
        <f>TEXT(T140,"#,##0.#######")</f>
        <v>274,873.</v>
      </c>
      <c r="AU140" s="1183"/>
      <c r="AV140" s="1183"/>
      <c r="AW140" s="1183"/>
      <c r="AX140" s="1183"/>
      <c r="AY140" s="1183"/>
      <c r="AZ140" s="1183"/>
      <c r="BA140" s="1183"/>
      <c r="BB140" s="1183" t="s">
        <v>975</v>
      </c>
      <c r="BC140" s="1183"/>
      <c r="BD140" s="1183"/>
      <c r="BE140" s="1183" t="str">
        <f>TEXT(AG140,"#,##0.#######")</f>
        <v>2.</v>
      </c>
      <c r="BF140" s="1183"/>
      <c r="BG140" s="1183" t="s">
        <v>1021</v>
      </c>
      <c r="BH140" s="1183"/>
      <c r="BI140" s="1183"/>
      <c r="BJ140" s="1183" t="str">
        <f>TEXT(Z134,"#,##0.#######")</f>
        <v>360.</v>
      </c>
      <c r="BK140" s="1183"/>
      <c r="BL140" s="1183"/>
      <c r="BM140" s="1183"/>
      <c r="BN140" s="1183" t="s">
        <v>227</v>
      </c>
      <c r="BO140" s="1183"/>
      <c r="BP140" s="1183"/>
      <c r="BQ140" s="1183" t="str">
        <f>TEXT(TRUNC(T140*AG140/Z134,1),"#,##0.#######")</f>
        <v>1,527.</v>
      </c>
      <c r="BR140" s="1183"/>
      <c r="BS140" s="1183"/>
      <c r="BT140" s="1183"/>
      <c r="BU140" s="1183"/>
      <c r="BV140" s="1183"/>
      <c r="BW140" s="1183"/>
      <c r="BX140" s="1183"/>
      <c r="BY140" s="1183"/>
      <c r="BZ140" s="1183"/>
      <c r="CA140" s="1183"/>
      <c r="CB140" s="1183"/>
      <c r="CC140" s="1183"/>
      <c r="CD140" s="1183"/>
      <c r="CE140" s="1183"/>
      <c r="CF140" s="1183"/>
      <c r="CG140" s="1183"/>
      <c r="CH140" s="1183"/>
      <c r="CI140" s="1183"/>
      <c r="CJ140" s="1183"/>
      <c r="CK140" s="1183"/>
      <c r="CL140" s="1183"/>
      <c r="CM140" s="1183"/>
      <c r="CN140" s="1183"/>
      <c r="CO140" s="1183"/>
      <c r="CP140" s="1183"/>
      <c r="CQ140" s="1183"/>
      <c r="CR140" s="1183"/>
      <c r="CS140" s="1183"/>
      <c r="CT140" s="1183"/>
      <c r="CU140" s="1183"/>
      <c r="CV140" s="1183"/>
      <c r="CW140" s="1183"/>
      <c r="CX140" s="1158"/>
      <c r="CY140" s="1158"/>
      <c r="CZ140" s="1158"/>
      <c r="DA140" s="1159"/>
      <c r="DB140" s="1156"/>
    </row>
    <row r="141" spans="2:106" s="1152" customFormat="1" ht="11.25" customHeight="1">
      <c r="B141" s="1157"/>
      <c r="C141" s="1183"/>
      <c r="D141" s="1183"/>
      <c r="E141" s="1183"/>
      <c r="F141" s="1183"/>
      <c r="G141" s="1183"/>
      <c r="H141" s="1183"/>
      <c r="I141" s="1183"/>
      <c r="J141" s="1183"/>
      <c r="K141" s="1183"/>
      <c r="L141" s="1183"/>
      <c r="M141" s="1183"/>
      <c r="N141" s="1183"/>
      <c r="O141" s="1183"/>
      <c r="P141" s="1183"/>
      <c r="Q141" s="1183"/>
      <c r="R141" s="1183"/>
      <c r="S141" s="1183"/>
      <c r="T141" s="1183"/>
      <c r="U141" s="1183"/>
      <c r="V141" s="1183"/>
      <c r="W141" s="1183"/>
      <c r="X141" s="1183"/>
      <c r="Y141" s="1183"/>
      <c r="Z141" s="1183"/>
      <c r="AA141" s="1183"/>
      <c r="AB141" s="1183"/>
      <c r="AC141" s="1183"/>
      <c r="AD141" s="1183"/>
      <c r="AE141" s="1183"/>
      <c r="AF141" s="1183"/>
      <c r="AG141" s="1183"/>
      <c r="AH141" s="1183"/>
      <c r="AI141" s="1183"/>
      <c r="AJ141" s="1183"/>
      <c r="AK141" s="1183"/>
      <c r="AL141" s="1183"/>
      <c r="AM141" s="1183"/>
      <c r="AN141" s="1183"/>
      <c r="AO141" s="1183"/>
      <c r="AP141" s="1183"/>
      <c r="AQ141" s="1183"/>
      <c r="AR141" s="1183"/>
      <c r="AS141" s="1183"/>
      <c r="AT141" s="1183"/>
      <c r="AU141" s="1183"/>
      <c r="AV141" s="1183"/>
      <c r="AW141" s="1183"/>
      <c r="AX141" s="1183"/>
      <c r="AY141" s="1183"/>
      <c r="AZ141" s="1183"/>
      <c r="BA141" s="1183"/>
      <c r="BB141" s="1183"/>
      <c r="BC141" s="1183"/>
      <c r="BD141" s="1183"/>
      <c r="BE141" s="1183"/>
      <c r="BF141" s="1183"/>
      <c r="BG141" s="1183"/>
      <c r="BH141" s="1183"/>
      <c r="BI141" s="1183"/>
      <c r="BJ141" s="1183"/>
      <c r="BK141" s="1183"/>
      <c r="BL141" s="1183"/>
      <c r="BM141" s="1183"/>
      <c r="BN141" s="1183"/>
      <c r="BO141" s="1183"/>
      <c r="BP141" s="1183"/>
      <c r="BQ141" s="1183"/>
      <c r="BR141" s="1183"/>
      <c r="BS141" s="1183"/>
      <c r="BT141" s="1183"/>
      <c r="BU141" s="1183"/>
      <c r="BV141" s="1183"/>
      <c r="BW141" s="1183"/>
      <c r="BX141" s="1183"/>
      <c r="BY141" s="1183"/>
      <c r="BZ141" s="1183"/>
      <c r="CA141" s="1183"/>
      <c r="CB141" s="1183"/>
      <c r="CC141" s="1183"/>
      <c r="CD141" s="1183"/>
      <c r="CE141" s="1183"/>
      <c r="CF141" s="1183"/>
      <c r="CG141" s="1183"/>
      <c r="CH141" s="1183"/>
      <c r="CI141" s="1183"/>
      <c r="CJ141" s="1183"/>
      <c r="CK141" s="1183"/>
      <c r="CL141" s="1183"/>
      <c r="CM141" s="1183"/>
      <c r="CN141" s="1183"/>
      <c r="CO141" s="1183"/>
      <c r="CP141" s="1183"/>
      <c r="CQ141" s="1183"/>
      <c r="CR141" s="1183"/>
      <c r="CS141" s="1183"/>
      <c r="CT141" s="1183"/>
      <c r="CU141" s="1183"/>
      <c r="CV141" s="1183"/>
      <c r="CW141" s="1183"/>
      <c r="CX141" s="1158"/>
      <c r="CY141" s="1158"/>
      <c r="CZ141" s="1158"/>
      <c r="DA141" s="1159"/>
      <c r="DB141" s="1156"/>
    </row>
    <row r="142" spans="2:106" s="1152" customFormat="1" ht="11.25" customHeight="1">
      <c r="B142" s="1157"/>
      <c r="C142" s="1183"/>
      <c r="D142" s="1183"/>
      <c r="E142" s="1183"/>
      <c r="F142" s="1183"/>
      <c r="G142" s="1183" t="s">
        <v>182</v>
      </c>
      <c r="H142" s="1183"/>
      <c r="I142" s="1183"/>
      <c r="J142" s="1183"/>
      <c r="K142" s="1183"/>
      <c r="L142" s="1183"/>
      <c r="M142" s="1183"/>
      <c r="N142" s="1183"/>
      <c r="O142" s="1183"/>
      <c r="P142" s="1183"/>
      <c r="Q142" s="1183"/>
      <c r="R142" s="1183" t="s">
        <v>217</v>
      </c>
      <c r="S142" s="1183"/>
      <c r="T142" s="1536">
        <f>VLOOKUP($G142,인건비!A:B,2,FALSE)</f>
        <v>172698</v>
      </c>
      <c r="U142" s="1536"/>
      <c r="V142" s="1536"/>
      <c r="W142" s="1536"/>
      <c r="X142" s="1536"/>
      <c r="Y142" s="1536"/>
      <c r="Z142" s="1536"/>
      <c r="AA142" s="1536"/>
      <c r="AB142" s="1536"/>
      <c r="AC142" s="1183"/>
      <c r="AD142" s="1183" t="s">
        <v>975</v>
      </c>
      <c r="AE142" s="1183"/>
      <c r="AF142" s="1183"/>
      <c r="AG142" s="1183" t="str">
        <f>TEXT(2,"#,##0.#######")</f>
        <v>2.</v>
      </c>
      <c r="AH142" s="1183"/>
      <c r="AI142" s="1183" t="s">
        <v>181</v>
      </c>
      <c r="AJ142" s="1183"/>
      <c r="AK142" s="1183"/>
      <c r="AL142" s="1183" t="s">
        <v>1021</v>
      </c>
      <c r="AM142" s="1183"/>
      <c r="AN142" s="1183"/>
      <c r="AO142" s="1183" t="s">
        <v>1106</v>
      </c>
      <c r="AP142" s="1183"/>
      <c r="AQ142" s="1183"/>
      <c r="AR142" s="1183" t="s">
        <v>227</v>
      </c>
      <c r="AS142" s="1183"/>
      <c r="AT142" s="1183" t="str">
        <f>TEXT(T142,"#,##0.#######")</f>
        <v>172,698.</v>
      </c>
      <c r="AU142" s="1183"/>
      <c r="AV142" s="1183"/>
      <c r="AW142" s="1183"/>
      <c r="AX142" s="1183"/>
      <c r="AY142" s="1183"/>
      <c r="AZ142" s="1183"/>
      <c r="BA142" s="1183"/>
      <c r="BB142" s="1183" t="s">
        <v>975</v>
      </c>
      <c r="BC142" s="1183"/>
      <c r="BD142" s="1183"/>
      <c r="BE142" s="1183" t="str">
        <f>TEXT(AG142,"#,##0.#######")</f>
        <v>2.</v>
      </c>
      <c r="BF142" s="1183"/>
      <c r="BG142" s="1183" t="s">
        <v>1021</v>
      </c>
      <c r="BH142" s="1183"/>
      <c r="BI142" s="1183"/>
      <c r="BJ142" s="1183" t="str">
        <f>TEXT(Z134,"#,##0.#######")</f>
        <v>360.</v>
      </c>
      <c r="BK142" s="1183"/>
      <c r="BL142" s="1183"/>
      <c r="BM142" s="1183"/>
      <c r="BN142" s="1183" t="s">
        <v>227</v>
      </c>
      <c r="BO142" s="1183"/>
      <c r="BP142" s="1183"/>
      <c r="BQ142" s="1183" t="str">
        <f>TEXT(TRUNC(T142*AG142/Z134,1),"#,##0.#######")</f>
        <v>959.4</v>
      </c>
      <c r="BR142" s="1183"/>
      <c r="BS142" s="1183"/>
      <c r="BT142" s="1183"/>
      <c r="BU142" s="1183"/>
      <c r="BV142" s="1183"/>
      <c r="BW142" s="1183"/>
      <c r="BX142" s="1183"/>
      <c r="BY142" s="1183"/>
      <c r="BZ142" s="1183"/>
      <c r="CA142" s="1183"/>
      <c r="CB142" s="1183"/>
      <c r="CC142" s="1183"/>
      <c r="CD142" s="1183"/>
      <c r="CE142" s="1183"/>
      <c r="CF142" s="1183"/>
      <c r="CG142" s="1183"/>
      <c r="CH142" s="1183"/>
      <c r="CI142" s="1183"/>
      <c r="CJ142" s="1183"/>
      <c r="CK142" s="1183"/>
      <c r="CL142" s="1183"/>
      <c r="CM142" s="1183"/>
      <c r="CN142" s="1183"/>
      <c r="CO142" s="1183"/>
      <c r="CP142" s="1183"/>
      <c r="CQ142" s="1183"/>
      <c r="CR142" s="1183"/>
      <c r="CS142" s="1183"/>
      <c r="CT142" s="1183"/>
      <c r="CU142" s="1183"/>
      <c r="CV142" s="1183"/>
      <c r="CW142" s="1183"/>
      <c r="CX142" s="1158"/>
      <c r="CY142" s="1158"/>
      <c r="CZ142" s="1158"/>
      <c r="DA142" s="1159"/>
      <c r="DB142" s="1156"/>
    </row>
    <row r="143" spans="2:106" s="1152" customFormat="1" ht="11.25" customHeight="1">
      <c r="B143" s="1157"/>
      <c r="C143" s="1183"/>
      <c r="D143" s="1183"/>
      <c r="E143" s="1183"/>
      <c r="F143" s="1183"/>
      <c r="G143" s="1183"/>
      <c r="H143" s="1183"/>
      <c r="I143" s="1183"/>
      <c r="J143" s="1183"/>
      <c r="K143" s="1183"/>
      <c r="L143" s="1183"/>
      <c r="M143" s="1183"/>
      <c r="N143" s="1183"/>
      <c r="O143" s="1183"/>
      <c r="P143" s="1183"/>
      <c r="Q143" s="1183"/>
      <c r="R143" s="1183"/>
      <c r="S143" s="1183"/>
      <c r="T143" s="1183"/>
      <c r="U143" s="1183"/>
      <c r="V143" s="1183"/>
      <c r="W143" s="1183"/>
      <c r="X143" s="1183"/>
      <c r="Y143" s="1183"/>
      <c r="Z143" s="1183"/>
      <c r="AA143" s="1183"/>
      <c r="AB143" s="1183"/>
      <c r="AC143" s="1183"/>
      <c r="AD143" s="1183"/>
      <c r="AE143" s="1183"/>
      <c r="AF143" s="1183"/>
      <c r="AG143" s="1183"/>
      <c r="AH143" s="1183"/>
      <c r="AI143" s="1183"/>
      <c r="AJ143" s="1183"/>
      <c r="AK143" s="1183"/>
      <c r="AL143" s="1183"/>
      <c r="AM143" s="1183"/>
      <c r="AN143" s="1183"/>
      <c r="AO143" s="1183"/>
      <c r="AP143" s="1183"/>
      <c r="AQ143" s="1183"/>
      <c r="AR143" s="1183"/>
      <c r="AS143" s="1183"/>
      <c r="AT143" s="1183"/>
      <c r="AU143" s="1183"/>
      <c r="AV143" s="1183"/>
      <c r="AW143" s="1183"/>
      <c r="AX143" s="1183"/>
      <c r="AY143" s="1183"/>
      <c r="AZ143" s="1183"/>
      <c r="BA143" s="1183"/>
      <c r="BB143" s="1183"/>
      <c r="BC143" s="1183"/>
      <c r="BD143" s="1183"/>
      <c r="BE143" s="1183"/>
      <c r="BF143" s="1183"/>
      <c r="BG143" s="1183"/>
      <c r="BH143" s="1183"/>
      <c r="BI143" s="1183"/>
      <c r="BJ143" s="1183"/>
      <c r="BK143" s="1183"/>
      <c r="BL143" s="1183"/>
      <c r="BM143" s="1183"/>
      <c r="BN143" s="1183"/>
      <c r="BO143" s="1183"/>
      <c r="BP143" s="1183"/>
      <c r="BQ143" s="1183"/>
      <c r="BR143" s="1183"/>
      <c r="BS143" s="1183"/>
      <c r="BT143" s="1183"/>
      <c r="BU143" s="1183"/>
      <c r="BV143" s="1183"/>
      <c r="BW143" s="1183"/>
      <c r="BX143" s="1183"/>
      <c r="BY143" s="1183"/>
      <c r="BZ143" s="1183"/>
      <c r="CA143" s="1183"/>
      <c r="CB143" s="1183"/>
      <c r="CC143" s="1183"/>
      <c r="CD143" s="1183"/>
      <c r="CE143" s="1183"/>
      <c r="CF143" s="1183"/>
      <c r="CG143" s="1183"/>
      <c r="CH143" s="1183"/>
      <c r="CI143" s="1183"/>
      <c r="CJ143" s="1183"/>
      <c r="CK143" s="1183"/>
      <c r="CL143" s="1183"/>
      <c r="CM143" s="1183"/>
      <c r="CN143" s="1183"/>
      <c r="CO143" s="1183"/>
      <c r="CP143" s="1183"/>
      <c r="CQ143" s="1183"/>
      <c r="CR143" s="1183"/>
      <c r="CS143" s="1183"/>
      <c r="CT143" s="1183"/>
      <c r="CU143" s="1183"/>
      <c r="CV143" s="1183"/>
      <c r="CW143" s="1183"/>
      <c r="CX143" s="1158"/>
      <c r="CY143" s="1158"/>
      <c r="CZ143" s="1158"/>
      <c r="DA143" s="1159"/>
      <c r="DB143" s="1156"/>
    </row>
    <row r="144" spans="2:106" s="1152" customFormat="1" ht="11.25" customHeight="1">
      <c r="B144" s="1157"/>
      <c r="C144" s="1183"/>
      <c r="D144" s="1183"/>
      <c r="E144" s="1183"/>
      <c r="F144" s="1183"/>
      <c r="G144" s="1183" t="s">
        <v>1060</v>
      </c>
      <c r="H144" s="1183"/>
      <c r="I144" s="1183"/>
      <c r="J144" s="1183"/>
      <c r="K144" s="1183"/>
      <c r="L144" s="1183"/>
      <c r="M144" s="1183"/>
      <c r="N144" s="1183"/>
      <c r="O144" s="1183"/>
      <c r="P144" s="1183" t="s">
        <v>217</v>
      </c>
      <c r="Q144" s="1183"/>
      <c r="R144" s="1183" t="str">
        <f>TEXT(TRUNC(BQ140+BQ142,1),"#,##0.#######")</f>
        <v>2,486.4</v>
      </c>
      <c r="S144" s="1183"/>
      <c r="T144" s="1183"/>
      <c r="U144" s="1183"/>
      <c r="V144" s="1183"/>
      <c r="W144" s="1183"/>
      <c r="X144" s="1183"/>
      <c r="Y144" s="1183"/>
      <c r="Z144" s="1183"/>
      <c r="AA144" s="1183"/>
      <c r="AB144" s="1183"/>
      <c r="AC144" s="1183"/>
      <c r="AD144" s="1183"/>
      <c r="AE144" s="1183"/>
      <c r="AF144" s="1183"/>
      <c r="AG144" s="1183"/>
      <c r="AH144" s="1183"/>
      <c r="AI144" s="1183"/>
      <c r="AJ144" s="1183"/>
      <c r="AK144" s="1183"/>
      <c r="AL144" s="1183"/>
      <c r="AM144" s="1183"/>
      <c r="AN144" s="1183"/>
      <c r="AO144" s="1183"/>
      <c r="AP144" s="1183"/>
      <c r="AQ144" s="1183"/>
      <c r="AR144" s="1183"/>
      <c r="AS144" s="1183"/>
      <c r="AT144" s="1183"/>
      <c r="AU144" s="1183"/>
      <c r="AV144" s="1183"/>
      <c r="AW144" s="1183"/>
      <c r="AX144" s="1183"/>
      <c r="AY144" s="1183"/>
      <c r="AZ144" s="1183"/>
      <c r="BA144" s="1183"/>
      <c r="BB144" s="1183"/>
      <c r="BC144" s="1183"/>
      <c r="BD144" s="1183"/>
      <c r="BE144" s="1183"/>
      <c r="BF144" s="1183"/>
      <c r="BG144" s="1183"/>
      <c r="BH144" s="1183"/>
      <c r="BI144" s="1183"/>
      <c r="BJ144" s="1183"/>
      <c r="BK144" s="1183"/>
      <c r="BL144" s="1183"/>
      <c r="BM144" s="1183"/>
      <c r="BN144" s="1183"/>
      <c r="BO144" s="1183"/>
      <c r="BP144" s="1183"/>
      <c r="BQ144" s="1183"/>
      <c r="BR144" s="1183"/>
      <c r="BS144" s="1183"/>
      <c r="BT144" s="1183"/>
      <c r="BU144" s="1183"/>
      <c r="BV144" s="1183"/>
      <c r="BW144" s="1183"/>
      <c r="BX144" s="1183"/>
      <c r="BY144" s="1183"/>
      <c r="BZ144" s="1183"/>
      <c r="CA144" s="1183"/>
      <c r="CB144" s="1183"/>
      <c r="CC144" s="1183"/>
      <c r="CD144" s="1183"/>
      <c r="CE144" s="1183"/>
      <c r="CF144" s="1183"/>
      <c r="CG144" s="1183"/>
      <c r="CH144" s="1183"/>
      <c r="CI144" s="1183"/>
      <c r="CJ144" s="1183"/>
      <c r="CK144" s="1183"/>
      <c r="CL144" s="1183"/>
      <c r="CM144" s="1183"/>
      <c r="CN144" s="1183"/>
      <c r="CO144" s="1183"/>
      <c r="CP144" s="1183"/>
      <c r="CQ144" s="1183"/>
      <c r="CR144" s="1183"/>
      <c r="CS144" s="1183"/>
      <c r="CT144" s="1183"/>
      <c r="CU144" s="1183"/>
      <c r="CV144" s="1183"/>
      <c r="CW144" s="1183"/>
      <c r="CX144" s="1158"/>
      <c r="CY144" s="1158" t="str">
        <f>R144</f>
        <v>2,486.4</v>
      </c>
      <c r="CZ144" s="1158"/>
      <c r="DA144" s="1159"/>
      <c r="DB144" s="1156"/>
    </row>
    <row r="145" spans="2:106" s="1152" customFormat="1" ht="11.25" customHeight="1">
      <c r="B145" s="1157"/>
      <c r="C145" s="1183"/>
      <c r="D145" s="1183"/>
      <c r="E145" s="1183"/>
      <c r="F145" s="1183"/>
      <c r="G145" s="1183"/>
      <c r="H145" s="1183"/>
      <c r="I145" s="1183"/>
      <c r="J145" s="1183"/>
      <c r="K145" s="1183"/>
      <c r="L145" s="1183"/>
      <c r="M145" s="1183"/>
      <c r="N145" s="1183"/>
      <c r="O145" s="1183"/>
      <c r="P145" s="1183"/>
      <c r="Q145" s="1183"/>
      <c r="R145" s="1183"/>
      <c r="S145" s="1183"/>
      <c r="T145" s="1183"/>
      <c r="U145" s="1183"/>
      <c r="V145" s="1183"/>
      <c r="W145" s="1183"/>
      <c r="X145" s="1183"/>
      <c r="Y145" s="1183"/>
      <c r="Z145" s="1183"/>
      <c r="AA145" s="1183"/>
      <c r="AB145" s="1183"/>
      <c r="AC145" s="1183"/>
      <c r="AD145" s="1183"/>
      <c r="AE145" s="1183"/>
      <c r="AF145" s="1183"/>
      <c r="AG145" s="1183"/>
      <c r="AH145" s="1183"/>
      <c r="AI145" s="1183"/>
      <c r="AJ145" s="1183"/>
      <c r="AK145" s="1183"/>
      <c r="AL145" s="1183"/>
      <c r="AM145" s="1183"/>
      <c r="AN145" s="1183"/>
      <c r="AO145" s="1183"/>
      <c r="AP145" s="1183"/>
      <c r="AQ145" s="1183"/>
      <c r="AR145" s="1183"/>
      <c r="AS145" s="1183"/>
      <c r="AT145" s="1183"/>
      <c r="AU145" s="1183"/>
      <c r="AV145" s="1183"/>
      <c r="AW145" s="1183"/>
      <c r="AX145" s="1183"/>
      <c r="AY145" s="1183"/>
      <c r="AZ145" s="1183"/>
      <c r="BA145" s="1183"/>
      <c r="BB145" s="1183"/>
      <c r="BC145" s="1183"/>
      <c r="BD145" s="1183"/>
      <c r="BE145" s="1183"/>
      <c r="BF145" s="1183"/>
      <c r="BG145" s="1183"/>
      <c r="BH145" s="1183"/>
      <c r="BI145" s="1183"/>
      <c r="BJ145" s="1183"/>
      <c r="BK145" s="1183"/>
      <c r="BL145" s="1183"/>
      <c r="BM145" s="1183"/>
      <c r="BN145" s="1183"/>
      <c r="BO145" s="1183"/>
      <c r="BP145" s="1183"/>
      <c r="BQ145" s="1183"/>
      <c r="BR145" s="1183"/>
      <c r="BS145" s="1183"/>
      <c r="BT145" s="1183"/>
      <c r="BU145" s="1183"/>
      <c r="BV145" s="1183"/>
      <c r="BW145" s="1183"/>
      <c r="BX145" s="1183"/>
      <c r="BY145" s="1183"/>
      <c r="BZ145" s="1183"/>
      <c r="CA145" s="1183"/>
      <c r="CB145" s="1183"/>
      <c r="CC145" s="1183"/>
      <c r="CD145" s="1183"/>
      <c r="CE145" s="1183"/>
      <c r="CF145" s="1183"/>
      <c r="CG145" s="1183"/>
      <c r="CH145" s="1183"/>
      <c r="CI145" s="1183"/>
      <c r="CJ145" s="1183"/>
      <c r="CK145" s="1183"/>
      <c r="CL145" s="1183"/>
      <c r="CM145" s="1183"/>
      <c r="CN145" s="1183"/>
      <c r="CO145" s="1183"/>
      <c r="CP145" s="1183"/>
      <c r="CQ145" s="1183"/>
      <c r="CR145" s="1183"/>
      <c r="CS145" s="1183"/>
      <c r="CT145" s="1183"/>
      <c r="CU145" s="1183"/>
      <c r="CV145" s="1183"/>
      <c r="CW145" s="1183"/>
      <c r="CX145" s="1158"/>
      <c r="CY145" s="1158"/>
      <c r="CZ145" s="1158"/>
      <c r="DA145" s="1159"/>
      <c r="DB145" s="1156"/>
    </row>
    <row r="146" spans="2:106" s="1152" customFormat="1" ht="11.25" customHeight="1">
      <c r="B146" s="1157"/>
      <c r="C146" s="1183"/>
      <c r="D146" s="1183" t="s">
        <v>1025</v>
      </c>
      <c r="E146" s="1183"/>
      <c r="F146" s="1183"/>
      <c r="G146" s="1183" t="s">
        <v>905</v>
      </c>
      <c r="H146" s="1183"/>
      <c r="I146" s="1183"/>
      <c r="J146" s="1183"/>
      <c r="K146" s="1183"/>
      <c r="L146" s="1183"/>
      <c r="M146" s="1183"/>
      <c r="N146" s="1183"/>
      <c r="O146" s="1183"/>
      <c r="P146" s="1183"/>
      <c r="Q146" s="1183"/>
      <c r="R146" s="1183"/>
      <c r="S146" s="1183"/>
      <c r="T146" s="1183"/>
      <c r="U146" s="1183"/>
      <c r="V146" s="1183"/>
      <c r="W146" s="1183"/>
      <c r="X146" s="1183"/>
      <c r="Y146" s="1183"/>
      <c r="Z146" s="1183"/>
      <c r="AA146" s="1183"/>
      <c r="AB146" s="1183"/>
      <c r="AC146" s="1183"/>
      <c r="AD146" s="1183"/>
      <c r="AE146" s="1183"/>
      <c r="AF146" s="1183"/>
      <c r="AG146" s="1183"/>
      <c r="AH146" s="1183"/>
      <c r="AI146" s="1183"/>
      <c r="AJ146" s="1183"/>
      <c r="AK146" s="1183"/>
      <c r="AL146" s="1183"/>
      <c r="AM146" s="1183"/>
      <c r="AN146" s="1183"/>
      <c r="AO146" s="1183"/>
      <c r="AP146" s="1183"/>
      <c r="AQ146" s="1183"/>
      <c r="AR146" s="1183"/>
      <c r="AS146" s="1183"/>
      <c r="AT146" s="1183"/>
      <c r="AU146" s="1183"/>
      <c r="AV146" s="1183"/>
      <c r="AW146" s="1183"/>
      <c r="AX146" s="1183"/>
      <c r="AY146" s="1183"/>
      <c r="AZ146" s="1183"/>
      <c r="BA146" s="1183"/>
      <c r="BB146" s="1183"/>
      <c r="BC146" s="1183"/>
      <c r="BD146" s="1183"/>
      <c r="BE146" s="1183"/>
      <c r="BF146" s="1183"/>
      <c r="BG146" s="1183"/>
      <c r="BH146" s="1183"/>
      <c r="BI146" s="1183"/>
      <c r="BJ146" s="1183"/>
      <c r="BK146" s="1183"/>
      <c r="BL146" s="1183"/>
      <c r="BM146" s="1183"/>
      <c r="BN146" s="1183"/>
      <c r="BO146" s="1183"/>
      <c r="BP146" s="1183"/>
      <c r="BQ146" s="1183"/>
      <c r="BR146" s="1183"/>
      <c r="BS146" s="1183"/>
      <c r="BT146" s="1183"/>
      <c r="BU146" s="1183"/>
      <c r="BV146" s="1183"/>
      <c r="BW146" s="1183"/>
      <c r="BX146" s="1183"/>
      <c r="BY146" s="1183"/>
      <c r="BZ146" s="1183"/>
      <c r="CA146" s="1183"/>
      <c r="CB146" s="1183"/>
      <c r="CC146" s="1183"/>
      <c r="CD146" s="1183"/>
      <c r="CE146" s="1183"/>
      <c r="CF146" s="1183"/>
      <c r="CG146" s="1183"/>
      <c r="CH146" s="1183"/>
      <c r="CI146" s="1183"/>
      <c r="CJ146" s="1183"/>
      <c r="CK146" s="1183"/>
      <c r="CL146" s="1183"/>
      <c r="CM146" s="1183"/>
      <c r="CN146" s="1183"/>
      <c r="CO146" s="1183"/>
      <c r="CP146" s="1183"/>
      <c r="CQ146" s="1183"/>
      <c r="CR146" s="1183"/>
      <c r="CS146" s="1183"/>
      <c r="CT146" s="1183"/>
      <c r="CU146" s="1183"/>
      <c r="CV146" s="1183"/>
      <c r="CW146" s="1183"/>
      <c r="CX146" s="1158"/>
      <c r="CY146" s="1158"/>
      <c r="CZ146" s="1158"/>
      <c r="DA146" s="1159"/>
      <c r="DB146" s="1156"/>
    </row>
    <row r="147" spans="2:106" s="1152" customFormat="1" ht="11.25" customHeight="1">
      <c r="B147" s="1157"/>
      <c r="C147" s="1183"/>
      <c r="D147" s="1183"/>
      <c r="E147" s="1183"/>
      <c r="F147" s="1183"/>
      <c r="G147" s="1183"/>
      <c r="H147" s="1183"/>
      <c r="I147" s="1183"/>
      <c r="J147" s="1183"/>
      <c r="K147" s="1183"/>
      <c r="L147" s="1183"/>
      <c r="M147" s="1183"/>
      <c r="N147" s="1183"/>
      <c r="O147" s="1183"/>
      <c r="P147" s="1183"/>
      <c r="Q147" s="1183"/>
      <c r="R147" s="1183"/>
      <c r="S147" s="1183"/>
      <c r="T147" s="1183"/>
      <c r="U147" s="1183"/>
      <c r="V147" s="1183"/>
      <c r="W147" s="1183"/>
      <c r="X147" s="1183"/>
      <c r="Y147" s="1183"/>
      <c r="Z147" s="1183"/>
      <c r="AA147" s="1183"/>
      <c r="AB147" s="1183"/>
      <c r="AC147" s="1183"/>
      <c r="AD147" s="1183"/>
      <c r="AE147" s="1183"/>
      <c r="AF147" s="1183"/>
      <c r="AG147" s="1183"/>
      <c r="AH147" s="1183"/>
      <c r="AI147" s="1183"/>
      <c r="AJ147" s="1183"/>
      <c r="AK147" s="1183"/>
      <c r="AL147" s="1183"/>
      <c r="AM147" s="1183"/>
      <c r="AN147" s="1183"/>
      <c r="AO147" s="1183"/>
      <c r="AP147" s="1183"/>
      <c r="AQ147" s="1183"/>
      <c r="AR147" s="1183"/>
      <c r="AS147" s="1183"/>
      <c r="AT147" s="1183"/>
      <c r="AU147" s="1183"/>
      <c r="AV147" s="1183"/>
      <c r="AW147" s="1183"/>
      <c r="AX147" s="1183"/>
      <c r="AY147" s="1183"/>
      <c r="AZ147" s="1183"/>
      <c r="BA147" s="1183"/>
      <c r="BB147" s="1183"/>
      <c r="BC147" s="1183"/>
      <c r="BD147" s="1183"/>
      <c r="BE147" s="1183"/>
      <c r="BF147" s="1183"/>
      <c r="BG147" s="1183"/>
      <c r="BH147" s="1183"/>
      <c r="BI147" s="1183"/>
      <c r="BJ147" s="1183"/>
      <c r="BK147" s="1183"/>
      <c r="BL147" s="1183"/>
      <c r="BM147" s="1183"/>
      <c r="BN147" s="1183"/>
      <c r="BO147" s="1183"/>
      <c r="BP147" s="1183"/>
      <c r="BQ147" s="1183"/>
      <c r="BR147" s="1183"/>
      <c r="BS147" s="1183"/>
      <c r="BT147" s="1183"/>
      <c r="BU147" s="1183"/>
      <c r="BV147" s="1183"/>
      <c r="BW147" s="1183"/>
      <c r="BX147" s="1183"/>
      <c r="BY147" s="1183"/>
      <c r="BZ147" s="1183"/>
      <c r="CA147" s="1183"/>
      <c r="CB147" s="1183"/>
      <c r="CC147" s="1183"/>
      <c r="CD147" s="1183"/>
      <c r="CE147" s="1183"/>
      <c r="CF147" s="1183"/>
      <c r="CG147" s="1183"/>
      <c r="CH147" s="1183"/>
      <c r="CI147" s="1183"/>
      <c r="CJ147" s="1183"/>
      <c r="CK147" s="1183"/>
      <c r="CL147" s="1183"/>
      <c r="CM147" s="1183"/>
      <c r="CN147" s="1183"/>
      <c r="CO147" s="1183"/>
      <c r="CP147" s="1183"/>
      <c r="CQ147" s="1183"/>
      <c r="CR147" s="1183"/>
      <c r="CS147" s="1183"/>
      <c r="CT147" s="1183"/>
      <c r="CU147" s="1183"/>
      <c r="CV147" s="1183"/>
      <c r="CW147" s="1183"/>
      <c r="CX147" s="1158"/>
      <c r="CY147" s="1158"/>
      <c r="CZ147" s="1158"/>
      <c r="DA147" s="1159"/>
      <c r="DB147" s="1156"/>
    </row>
    <row r="148" spans="2:106" s="1152" customFormat="1" ht="11.25" customHeight="1">
      <c r="B148" s="1157"/>
      <c r="C148" s="1183"/>
      <c r="D148" s="1183"/>
      <c r="E148" s="1183"/>
      <c r="F148" s="1183"/>
      <c r="G148" s="1183" t="s">
        <v>1108</v>
      </c>
      <c r="H148" s="1183"/>
      <c r="I148" s="1183"/>
      <c r="J148" s="1183"/>
      <c r="K148" s="1183"/>
      <c r="L148" s="1183"/>
      <c r="M148" s="1183"/>
      <c r="N148" s="1183"/>
      <c r="O148" s="1183"/>
      <c r="P148" s="1183"/>
      <c r="Q148" s="1183"/>
      <c r="R148" s="1183" t="s">
        <v>1109</v>
      </c>
      <c r="S148" s="1183"/>
      <c r="T148" s="1183"/>
      <c r="U148" s="1183"/>
      <c r="V148" s="1183"/>
      <c r="W148" s="1183"/>
      <c r="X148" s="1183"/>
      <c r="Y148" s="1183"/>
      <c r="Z148" s="1183"/>
      <c r="AA148" s="1183"/>
      <c r="AB148" s="1183"/>
      <c r="AC148" s="1183"/>
      <c r="AD148" s="1183"/>
      <c r="AE148" s="1183"/>
      <c r="AF148" s="1183"/>
      <c r="AG148" s="1183"/>
      <c r="AH148" s="1183"/>
      <c r="AI148" s="1183"/>
      <c r="AJ148" s="1183"/>
      <c r="AK148" s="1183"/>
      <c r="AL148" s="1183"/>
      <c r="AM148" s="1183"/>
      <c r="AN148" s="1183"/>
      <c r="AO148" s="1183"/>
      <c r="AP148" s="1183"/>
      <c r="AQ148" s="1183"/>
      <c r="AR148" s="1183"/>
      <c r="AS148" s="1183"/>
      <c r="AT148" s="1183"/>
      <c r="AU148" s="1183"/>
      <c r="AV148" s="1183"/>
      <c r="AW148" s="1183"/>
      <c r="AX148" s="1183"/>
      <c r="AY148" s="1183"/>
      <c r="AZ148" s="1183"/>
      <c r="BA148" s="1183"/>
      <c r="BB148" s="1183"/>
      <c r="BC148" s="1183"/>
      <c r="BD148" s="1183"/>
      <c r="BE148" s="1183"/>
      <c r="BF148" s="1183"/>
      <c r="BG148" s="1183"/>
      <c r="BH148" s="1183"/>
      <c r="BI148" s="1183"/>
      <c r="BJ148" s="1183"/>
      <c r="BK148" s="1183"/>
      <c r="BL148" s="1183"/>
      <c r="BM148" s="1183"/>
      <c r="BN148" s="1183"/>
      <c r="BO148" s="1183"/>
      <c r="BP148" s="1183"/>
      <c r="BQ148" s="1183"/>
      <c r="BR148" s="1183"/>
      <c r="BS148" s="1183"/>
      <c r="BT148" s="1183"/>
      <c r="BU148" s="1183"/>
      <c r="BV148" s="1183"/>
      <c r="BW148" s="1183"/>
      <c r="BX148" s="1183"/>
      <c r="BY148" s="1183"/>
      <c r="BZ148" s="1183"/>
      <c r="CA148" s="1183"/>
      <c r="CB148" s="1183"/>
      <c r="CC148" s="1183"/>
      <c r="CD148" s="1183"/>
      <c r="CE148" s="1183"/>
      <c r="CF148" s="1183"/>
      <c r="CG148" s="1183"/>
      <c r="CH148" s="1183"/>
      <c r="CI148" s="1183"/>
      <c r="CJ148" s="1183"/>
      <c r="CK148" s="1183"/>
      <c r="CL148" s="1183"/>
      <c r="CM148" s="1183"/>
      <c r="CN148" s="1183"/>
      <c r="CO148" s="1183"/>
      <c r="CP148" s="1183"/>
      <c r="CQ148" s="1183"/>
      <c r="CR148" s="1183"/>
      <c r="CS148" s="1183"/>
      <c r="CT148" s="1183"/>
      <c r="CU148" s="1183"/>
      <c r="CV148" s="1183"/>
      <c r="CW148" s="1183"/>
      <c r="CX148" s="1158"/>
      <c r="CY148" s="1158"/>
      <c r="CZ148" s="1158"/>
      <c r="DA148" s="1159"/>
      <c r="DB148" s="1156"/>
    </row>
    <row r="149" spans="2:106" s="1152" customFormat="1" ht="11.25" customHeight="1">
      <c r="B149" s="1157"/>
      <c r="C149" s="1183"/>
      <c r="D149" s="1183"/>
      <c r="E149" s="1183"/>
      <c r="F149" s="1183"/>
      <c r="G149" s="1183"/>
      <c r="H149" s="1183"/>
      <c r="I149" s="1183"/>
      <c r="J149" s="1183"/>
      <c r="K149" s="1183"/>
      <c r="L149" s="1183"/>
      <c r="M149" s="1183"/>
      <c r="N149" s="1183"/>
      <c r="O149" s="1183"/>
      <c r="P149" s="1183"/>
      <c r="Q149" s="1183"/>
      <c r="R149" s="1183"/>
      <c r="S149" s="1183"/>
      <c r="T149" s="1183"/>
      <c r="U149" s="1183"/>
      <c r="V149" s="1183"/>
      <c r="W149" s="1183"/>
      <c r="X149" s="1183"/>
      <c r="Y149" s="1183"/>
      <c r="Z149" s="1183"/>
      <c r="AA149" s="1183"/>
      <c r="AB149" s="1183"/>
      <c r="AC149" s="1183"/>
      <c r="AD149" s="1183"/>
      <c r="AE149" s="1183"/>
      <c r="AF149" s="1183"/>
      <c r="AG149" s="1183"/>
      <c r="AH149" s="1183"/>
      <c r="AI149" s="1183"/>
      <c r="AJ149" s="1183"/>
      <c r="AK149" s="1183"/>
      <c r="AL149" s="1183"/>
      <c r="AM149" s="1183"/>
      <c r="AN149" s="1183"/>
      <c r="AO149" s="1183"/>
      <c r="AP149" s="1183"/>
      <c r="AQ149" s="1183"/>
      <c r="AR149" s="1183"/>
      <c r="AS149" s="1183"/>
      <c r="AT149" s="1183"/>
      <c r="AU149" s="1183"/>
      <c r="AV149" s="1183"/>
      <c r="AW149" s="1183"/>
      <c r="AX149" s="1183"/>
      <c r="AY149" s="1183"/>
      <c r="AZ149" s="1183"/>
      <c r="BA149" s="1183"/>
      <c r="BB149" s="1183"/>
      <c r="BC149" s="1183"/>
      <c r="BD149" s="1183"/>
      <c r="BE149" s="1183"/>
      <c r="BF149" s="1183"/>
      <c r="BG149" s="1183"/>
      <c r="BH149" s="1183"/>
      <c r="BI149" s="1183"/>
      <c r="BJ149" s="1183"/>
      <c r="BK149" s="1183"/>
      <c r="BL149" s="1183"/>
      <c r="BM149" s="1183"/>
      <c r="BN149" s="1183"/>
      <c r="BO149" s="1183"/>
      <c r="BP149" s="1183"/>
      <c r="BQ149" s="1183"/>
      <c r="BR149" s="1183"/>
      <c r="BS149" s="1183"/>
      <c r="BT149" s="1183"/>
      <c r="BU149" s="1183"/>
      <c r="BV149" s="1183"/>
      <c r="BW149" s="1183"/>
      <c r="BX149" s="1183"/>
      <c r="BY149" s="1183"/>
      <c r="BZ149" s="1183"/>
      <c r="CA149" s="1183"/>
      <c r="CB149" s="1183"/>
      <c r="CC149" s="1183"/>
      <c r="CD149" s="1183"/>
      <c r="CE149" s="1183"/>
      <c r="CF149" s="1183"/>
      <c r="CG149" s="1183"/>
      <c r="CH149" s="1183"/>
      <c r="CI149" s="1183"/>
      <c r="CJ149" s="1183"/>
      <c r="CK149" s="1183"/>
      <c r="CL149" s="1183"/>
      <c r="CM149" s="1183"/>
      <c r="CN149" s="1183"/>
      <c r="CO149" s="1183"/>
      <c r="CP149" s="1183"/>
      <c r="CQ149" s="1183"/>
      <c r="CR149" s="1183"/>
      <c r="CS149" s="1183"/>
      <c r="CT149" s="1183"/>
      <c r="CU149" s="1183"/>
      <c r="CV149" s="1183"/>
      <c r="CW149" s="1183"/>
      <c r="CX149" s="1158"/>
      <c r="CY149" s="1158"/>
      <c r="CZ149" s="1158"/>
      <c r="DA149" s="1159"/>
      <c r="DB149" s="1156"/>
    </row>
    <row r="150" spans="2:106" s="1152" customFormat="1" ht="11.25" customHeight="1">
      <c r="B150" s="1157"/>
      <c r="C150" s="1183"/>
      <c r="D150" s="1183"/>
      <c r="E150" s="1183"/>
      <c r="F150" s="1183"/>
      <c r="G150" s="1183" t="s">
        <v>899</v>
      </c>
      <c r="H150" s="1183"/>
      <c r="I150" s="1183"/>
      <c r="J150" s="1183"/>
      <c r="K150" s="1183"/>
      <c r="L150" s="1183"/>
      <c r="M150" s="1183"/>
      <c r="N150" s="1183" t="s">
        <v>217</v>
      </c>
      <c r="O150" s="1183"/>
      <c r="P150" s="1532">
        <f>기계경비!$AA$10</f>
        <v>50008</v>
      </c>
      <c r="Q150" s="1532"/>
      <c r="R150" s="1532"/>
      <c r="S150" s="1532"/>
      <c r="T150" s="1532"/>
      <c r="U150" s="1532"/>
      <c r="V150" s="1532"/>
      <c r="W150" s="1183"/>
      <c r="X150" s="1183"/>
      <c r="Y150" s="1183" t="s">
        <v>1021</v>
      </c>
      <c r="Z150" s="1183"/>
      <c r="AA150" s="1183"/>
      <c r="AB150" s="1183" t="str">
        <f>TEXT(AZ136,"#,##0.#######")</f>
        <v>45.</v>
      </c>
      <c r="AC150" s="1183"/>
      <c r="AD150" s="1183"/>
      <c r="AE150" s="1183"/>
      <c r="AF150" s="1183"/>
      <c r="AG150" s="1183" t="s">
        <v>227</v>
      </c>
      <c r="AH150" s="1183"/>
      <c r="AI150" s="1183"/>
      <c r="AJ150" s="1533" t="str">
        <f>TEXT(TRUNC(P150/AZ136,1),"#,##0.#")</f>
        <v>1,111.2</v>
      </c>
      <c r="AK150" s="1533"/>
      <c r="AL150" s="1533"/>
      <c r="AM150" s="1533"/>
      <c r="AN150" s="1533"/>
      <c r="AO150" s="1533"/>
      <c r="AP150" s="1533"/>
      <c r="AQ150" s="1183"/>
      <c r="AR150" s="1183"/>
      <c r="AS150" s="1183"/>
      <c r="AT150" s="1183"/>
      <c r="AU150" s="1183"/>
      <c r="AV150" s="1183"/>
      <c r="AW150" s="1183"/>
      <c r="AX150" s="1183"/>
      <c r="AY150" s="1183"/>
      <c r="AZ150" s="1183"/>
      <c r="BA150" s="1183"/>
      <c r="BB150" s="1183"/>
      <c r="BC150" s="1183"/>
      <c r="BD150" s="1183"/>
      <c r="BE150" s="1183"/>
      <c r="BF150" s="1183"/>
      <c r="BG150" s="1183"/>
      <c r="BH150" s="1183"/>
      <c r="BI150" s="1183"/>
      <c r="BJ150" s="1183"/>
      <c r="BK150" s="1183"/>
      <c r="BL150" s="1183"/>
      <c r="BM150" s="1183"/>
      <c r="BN150" s="1183"/>
      <c r="BO150" s="1183"/>
      <c r="BP150" s="1183"/>
      <c r="BQ150" s="1183"/>
      <c r="BR150" s="1183"/>
      <c r="BS150" s="1183"/>
      <c r="BT150" s="1183"/>
      <c r="BU150" s="1183"/>
      <c r="BV150" s="1183"/>
      <c r="BW150" s="1183"/>
      <c r="BX150" s="1183"/>
      <c r="BY150" s="1183"/>
      <c r="BZ150" s="1183"/>
      <c r="CA150" s="1183"/>
      <c r="CB150" s="1183"/>
      <c r="CC150" s="1183"/>
      <c r="CD150" s="1183"/>
      <c r="CE150" s="1183"/>
      <c r="CF150" s="1183"/>
      <c r="CG150" s="1183"/>
      <c r="CH150" s="1183"/>
      <c r="CI150" s="1183"/>
      <c r="CJ150" s="1183"/>
      <c r="CK150" s="1183"/>
      <c r="CL150" s="1183"/>
      <c r="CM150" s="1183"/>
      <c r="CN150" s="1183"/>
      <c r="CO150" s="1183"/>
      <c r="CP150" s="1183"/>
      <c r="CQ150" s="1183"/>
      <c r="CR150" s="1183"/>
      <c r="CS150" s="1183"/>
      <c r="CT150" s="1183"/>
      <c r="CU150" s="1183"/>
      <c r="CV150" s="1183"/>
      <c r="CW150" s="1183"/>
      <c r="CX150" s="1158"/>
      <c r="CY150" s="1158"/>
      <c r="CZ150" s="1158"/>
      <c r="DA150" s="1159"/>
      <c r="DB150" s="1156"/>
    </row>
    <row r="151" spans="2:106" s="1152" customFormat="1" ht="11.25" customHeight="1">
      <c r="B151" s="1157"/>
      <c r="C151" s="1183"/>
      <c r="D151" s="1183"/>
      <c r="E151" s="1183"/>
      <c r="F151" s="1183"/>
      <c r="G151" s="1183" t="s">
        <v>892</v>
      </c>
      <c r="H151" s="1183"/>
      <c r="I151" s="1183"/>
      <c r="J151" s="1183"/>
      <c r="K151" s="1183"/>
      <c r="L151" s="1183"/>
      <c r="M151" s="1183"/>
      <c r="N151" s="1183" t="s">
        <v>217</v>
      </c>
      <c r="O151" s="1183"/>
      <c r="P151" s="1532" t="e">
        <f>기계경비!$AB$10</f>
        <v>#REF!</v>
      </c>
      <c r="Q151" s="1532"/>
      <c r="R151" s="1532"/>
      <c r="S151" s="1532"/>
      <c r="T151" s="1532"/>
      <c r="U151" s="1532"/>
      <c r="V151" s="1532"/>
      <c r="W151" s="1183"/>
      <c r="X151" s="1183"/>
      <c r="Y151" s="1183" t="s">
        <v>1021</v>
      </c>
      <c r="Z151" s="1183"/>
      <c r="AA151" s="1183"/>
      <c r="AB151" s="1183" t="str">
        <f>TEXT(AZ136,"#,##0.#######")</f>
        <v>45.</v>
      </c>
      <c r="AC151" s="1183"/>
      <c r="AD151" s="1183"/>
      <c r="AE151" s="1183"/>
      <c r="AF151" s="1183"/>
      <c r="AG151" s="1183" t="s">
        <v>227</v>
      </c>
      <c r="AH151" s="1183"/>
      <c r="AI151" s="1183"/>
      <c r="AJ151" s="1533" t="e">
        <f>TEXT(TRUNC(P151/AZ136,1),"#,##0.#")</f>
        <v>#REF!</v>
      </c>
      <c r="AK151" s="1533"/>
      <c r="AL151" s="1533"/>
      <c r="AM151" s="1533"/>
      <c r="AN151" s="1533"/>
      <c r="AO151" s="1533"/>
      <c r="AP151" s="1533"/>
      <c r="AQ151" s="1183"/>
      <c r="AR151" s="1183"/>
      <c r="AS151" s="1183"/>
      <c r="AT151" s="1183"/>
      <c r="AU151" s="1183"/>
      <c r="AV151" s="1183"/>
      <c r="AW151" s="1183"/>
      <c r="AX151" s="1183"/>
      <c r="AY151" s="1183"/>
      <c r="AZ151" s="1183"/>
      <c r="BA151" s="1183"/>
      <c r="BB151" s="1183"/>
      <c r="BC151" s="1183"/>
      <c r="BD151" s="1183"/>
      <c r="BE151" s="1183"/>
      <c r="BF151" s="1183"/>
      <c r="BG151" s="1183"/>
      <c r="BH151" s="1183"/>
      <c r="BI151" s="1183"/>
      <c r="BJ151" s="1183"/>
      <c r="BK151" s="1183"/>
      <c r="BL151" s="1183"/>
      <c r="BM151" s="1183"/>
      <c r="BN151" s="1183"/>
      <c r="BO151" s="1183"/>
      <c r="BP151" s="1183"/>
      <c r="BQ151" s="1183"/>
      <c r="BR151" s="1183"/>
      <c r="BS151" s="1183"/>
      <c r="BT151" s="1183"/>
      <c r="BU151" s="1183"/>
      <c r="BV151" s="1183"/>
      <c r="BW151" s="1183"/>
      <c r="BX151" s="1183"/>
      <c r="BY151" s="1183"/>
      <c r="BZ151" s="1183"/>
      <c r="CA151" s="1183"/>
      <c r="CB151" s="1183"/>
      <c r="CC151" s="1183"/>
      <c r="CD151" s="1183"/>
      <c r="CE151" s="1183"/>
      <c r="CF151" s="1183"/>
      <c r="CG151" s="1183"/>
      <c r="CH151" s="1183"/>
      <c r="CI151" s="1183"/>
      <c r="CJ151" s="1183"/>
      <c r="CK151" s="1183"/>
      <c r="CL151" s="1183"/>
      <c r="CM151" s="1183"/>
      <c r="CN151" s="1183"/>
      <c r="CO151" s="1183"/>
      <c r="CP151" s="1183"/>
      <c r="CQ151" s="1183"/>
      <c r="CR151" s="1183"/>
      <c r="CS151" s="1183"/>
      <c r="CT151" s="1183"/>
      <c r="CU151" s="1183"/>
      <c r="CV151" s="1183"/>
      <c r="CW151" s="1183"/>
      <c r="CX151" s="1158"/>
      <c r="CY151" s="1158"/>
      <c r="CZ151" s="1158"/>
      <c r="DA151" s="1159"/>
      <c r="DB151" s="1156"/>
    </row>
    <row r="152" spans="2:106" s="1152" customFormat="1" ht="11.25" customHeight="1">
      <c r="B152" s="1157"/>
      <c r="C152" s="1183"/>
      <c r="D152" s="1183"/>
      <c r="E152" s="1183"/>
      <c r="F152" s="1183"/>
      <c r="G152" s="1183" t="s">
        <v>1022</v>
      </c>
      <c r="H152" s="1183"/>
      <c r="I152" s="1183"/>
      <c r="J152" s="1183"/>
      <c r="K152" s="1183" t="s">
        <v>1023</v>
      </c>
      <c r="L152" s="1183"/>
      <c r="M152" s="1183"/>
      <c r="N152" s="1183" t="s">
        <v>217</v>
      </c>
      <c r="O152" s="1183"/>
      <c r="P152" s="1532">
        <f>기계경비!$AC$10</f>
        <v>6522</v>
      </c>
      <c r="Q152" s="1532"/>
      <c r="R152" s="1532"/>
      <c r="S152" s="1532"/>
      <c r="T152" s="1532"/>
      <c r="U152" s="1532"/>
      <c r="V152" s="1532"/>
      <c r="W152" s="1183"/>
      <c r="X152" s="1183"/>
      <c r="Y152" s="1183" t="s">
        <v>1021</v>
      </c>
      <c r="Z152" s="1183"/>
      <c r="AA152" s="1183"/>
      <c r="AB152" s="1183" t="str">
        <f>TEXT(AZ136,"#,##0.#######")</f>
        <v>45.</v>
      </c>
      <c r="AC152" s="1183"/>
      <c r="AD152" s="1183"/>
      <c r="AE152" s="1183"/>
      <c r="AF152" s="1183"/>
      <c r="AG152" s="1183" t="s">
        <v>227</v>
      </c>
      <c r="AH152" s="1183"/>
      <c r="AI152" s="1183"/>
      <c r="AJ152" s="1533" t="str">
        <f>TEXT(TRUNC(P152/AZ136,1),"#,##0.#")</f>
        <v>144.9</v>
      </c>
      <c r="AK152" s="1533"/>
      <c r="AL152" s="1533"/>
      <c r="AM152" s="1533"/>
      <c r="AN152" s="1533"/>
      <c r="AO152" s="1533"/>
      <c r="AP152" s="1533"/>
      <c r="AQ152" s="1183"/>
      <c r="AR152" s="1183"/>
      <c r="AS152" s="1183"/>
      <c r="AT152" s="1183"/>
      <c r="AU152" s="1183"/>
      <c r="AV152" s="1183"/>
      <c r="AW152" s="1183"/>
      <c r="AX152" s="1183"/>
      <c r="AY152" s="1183"/>
      <c r="AZ152" s="1183"/>
      <c r="BA152" s="1183"/>
      <c r="BB152" s="1183"/>
      <c r="BC152" s="1183"/>
      <c r="BD152" s="1183"/>
      <c r="BE152" s="1183"/>
      <c r="BF152" s="1183"/>
      <c r="BG152" s="1183"/>
      <c r="BH152" s="1183"/>
      <c r="BI152" s="1183"/>
      <c r="BJ152" s="1183"/>
      <c r="BK152" s="1183"/>
      <c r="BL152" s="1183"/>
      <c r="BM152" s="1183"/>
      <c r="BN152" s="1183"/>
      <c r="BO152" s="1183"/>
      <c r="BP152" s="1183"/>
      <c r="BQ152" s="1183"/>
      <c r="BR152" s="1183"/>
      <c r="BS152" s="1183"/>
      <c r="BT152" s="1183"/>
      <c r="BU152" s="1183"/>
      <c r="BV152" s="1183"/>
      <c r="BW152" s="1183"/>
      <c r="BX152" s="1183"/>
      <c r="BY152" s="1183"/>
      <c r="BZ152" s="1183"/>
      <c r="CA152" s="1183"/>
      <c r="CB152" s="1183"/>
      <c r="CC152" s="1183"/>
      <c r="CD152" s="1183"/>
      <c r="CE152" s="1183"/>
      <c r="CF152" s="1183"/>
      <c r="CG152" s="1183"/>
      <c r="CH152" s="1183"/>
      <c r="CI152" s="1183"/>
      <c r="CJ152" s="1183"/>
      <c r="CK152" s="1183"/>
      <c r="CL152" s="1183"/>
      <c r="CM152" s="1183"/>
      <c r="CN152" s="1183"/>
      <c r="CO152" s="1183"/>
      <c r="CP152" s="1183"/>
      <c r="CQ152" s="1183"/>
      <c r="CR152" s="1183"/>
      <c r="CS152" s="1183"/>
      <c r="CT152" s="1183"/>
      <c r="CU152" s="1183"/>
      <c r="CV152" s="1183"/>
      <c r="CW152" s="1183"/>
      <c r="CX152" s="1158"/>
      <c r="CY152" s="1158"/>
      <c r="CZ152" s="1158"/>
      <c r="DA152" s="1159"/>
      <c r="DB152" s="1156"/>
    </row>
    <row r="153" spans="2:106" s="1152" customFormat="1" ht="11.25" customHeight="1">
      <c r="B153" s="1157"/>
      <c r="C153" s="1183"/>
      <c r="D153" s="1183"/>
      <c r="E153" s="1183"/>
      <c r="F153" s="1183"/>
      <c r="G153" s="1183" t="s">
        <v>1024</v>
      </c>
      <c r="H153" s="1183"/>
      <c r="I153" s="1183"/>
      <c r="J153" s="1183"/>
      <c r="K153" s="1183" t="s">
        <v>179</v>
      </c>
      <c r="L153" s="1183"/>
      <c r="M153" s="1183"/>
      <c r="N153" s="1183" t="s">
        <v>217</v>
      </c>
      <c r="O153" s="1183"/>
      <c r="P153" s="1183"/>
      <c r="Q153" s="1183"/>
      <c r="R153" s="1183"/>
      <c r="S153" s="1183"/>
      <c r="T153" s="1183"/>
      <c r="U153" s="1183"/>
      <c r="V153" s="1183"/>
      <c r="W153" s="1183"/>
      <c r="X153" s="1183"/>
      <c r="Y153" s="1183"/>
      <c r="Z153" s="1183"/>
      <c r="AA153" s="1183"/>
      <c r="AB153" s="1183"/>
      <c r="AC153" s="1183"/>
      <c r="AD153" s="1183" t="e">
        <f>TEXT(AJ150+AJ151+AJ152,"#,##0.#######")</f>
        <v>#REF!</v>
      </c>
      <c r="AE153" s="1183"/>
      <c r="AF153" s="1183"/>
      <c r="AG153" s="1183"/>
      <c r="AH153" s="1183"/>
      <c r="AI153" s="1183"/>
      <c r="AJ153" s="1183"/>
      <c r="AK153" s="1183"/>
      <c r="AL153" s="1183"/>
      <c r="AM153" s="1183"/>
      <c r="AN153" s="1183"/>
      <c r="AO153" s="1183"/>
      <c r="AP153" s="1183"/>
      <c r="AQ153" s="1183"/>
      <c r="AR153" s="1183"/>
      <c r="AS153" s="1183"/>
      <c r="AT153" s="1183"/>
      <c r="AU153" s="1183"/>
      <c r="AV153" s="1183"/>
      <c r="AW153" s="1183"/>
      <c r="AX153" s="1183"/>
      <c r="AY153" s="1183"/>
      <c r="AZ153" s="1183"/>
      <c r="BA153" s="1183"/>
      <c r="BB153" s="1183"/>
      <c r="BC153" s="1183"/>
      <c r="BD153" s="1183"/>
      <c r="BE153" s="1183"/>
      <c r="BF153" s="1183"/>
      <c r="BG153" s="1183"/>
      <c r="BH153" s="1183"/>
      <c r="BI153" s="1183"/>
      <c r="BJ153" s="1183"/>
      <c r="BK153" s="1183"/>
      <c r="BL153" s="1183"/>
      <c r="BM153" s="1183"/>
      <c r="BN153" s="1183"/>
      <c r="BO153" s="1183"/>
      <c r="BP153" s="1183"/>
      <c r="BQ153" s="1183"/>
      <c r="BR153" s="1183"/>
      <c r="BS153" s="1183"/>
      <c r="BT153" s="1183"/>
      <c r="BU153" s="1183"/>
      <c r="BV153" s="1183"/>
      <c r="BW153" s="1183"/>
      <c r="BX153" s="1183"/>
      <c r="BY153" s="1183"/>
      <c r="BZ153" s="1183"/>
      <c r="CA153" s="1183"/>
      <c r="CB153" s="1183"/>
      <c r="CC153" s="1183"/>
      <c r="CD153" s="1183"/>
      <c r="CE153" s="1183"/>
      <c r="CF153" s="1183"/>
      <c r="CG153" s="1183"/>
      <c r="CH153" s="1183"/>
      <c r="CI153" s="1183"/>
      <c r="CJ153" s="1183"/>
      <c r="CK153" s="1183"/>
      <c r="CL153" s="1183"/>
      <c r="CM153" s="1183"/>
      <c r="CN153" s="1183"/>
      <c r="CO153" s="1183"/>
      <c r="CP153" s="1183"/>
      <c r="CQ153" s="1183"/>
      <c r="CR153" s="1183"/>
      <c r="CS153" s="1183"/>
      <c r="CT153" s="1183"/>
      <c r="CU153" s="1183"/>
      <c r="CV153" s="1183"/>
      <c r="CW153" s="1183"/>
      <c r="CX153" s="1158" t="e">
        <f>CY153+CZ153+DA153</f>
        <v>#REF!</v>
      </c>
      <c r="CY153" s="1158" t="str">
        <f>TEXT(AJ150,"#,###.0")</f>
        <v>1,111.2</v>
      </c>
      <c r="CZ153" s="1158" t="e">
        <f>TEXT(AJ151,"#,###.0")</f>
        <v>#REF!</v>
      </c>
      <c r="DA153" s="1159" t="str">
        <f>TEXT(AJ152,"#,###.0")</f>
        <v>144.9</v>
      </c>
      <c r="DB153" s="1156"/>
    </row>
    <row r="154" spans="2:106" s="1152" customFormat="1" ht="11.25" customHeight="1">
      <c r="B154" s="1157"/>
      <c r="C154" s="1183"/>
      <c r="D154" s="1183"/>
      <c r="E154" s="1183"/>
      <c r="F154" s="1183"/>
      <c r="G154" s="1183"/>
      <c r="H154" s="1183"/>
      <c r="I154" s="1183"/>
      <c r="J154" s="1183"/>
      <c r="K154" s="1183"/>
      <c r="L154" s="1183"/>
      <c r="M154" s="1183"/>
      <c r="N154" s="1183"/>
      <c r="O154" s="1183"/>
      <c r="P154" s="1183"/>
      <c r="Q154" s="1183"/>
      <c r="R154" s="1183"/>
      <c r="S154" s="1183"/>
      <c r="T154" s="1183"/>
      <c r="U154" s="1183"/>
      <c r="V154" s="1183"/>
      <c r="W154" s="1183"/>
      <c r="X154" s="1183"/>
      <c r="Y154" s="1183"/>
      <c r="Z154" s="1183"/>
      <c r="AA154" s="1183"/>
      <c r="AB154" s="1183"/>
      <c r="AC154" s="1183"/>
      <c r="AD154" s="1183"/>
      <c r="AE154" s="1183"/>
      <c r="AF154" s="1183"/>
      <c r="AG154" s="1183"/>
      <c r="AH154" s="1183"/>
      <c r="AI154" s="1183"/>
      <c r="AJ154" s="1183"/>
      <c r="AK154" s="1183"/>
      <c r="AL154" s="1183"/>
      <c r="AM154" s="1183"/>
      <c r="AN154" s="1183"/>
      <c r="AO154" s="1183"/>
      <c r="AP154" s="1183"/>
      <c r="AQ154" s="1183"/>
      <c r="AR154" s="1183"/>
      <c r="AS154" s="1183"/>
      <c r="AT154" s="1183"/>
      <c r="AU154" s="1183"/>
      <c r="AV154" s="1183"/>
      <c r="AW154" s="1183"/>
      <c r="AX154" s="1183"/>
      <c r="AY154" s="1183"/>
      <c r="AZ154" s="1183"/>
      <c r="BA154" s="1183"/>
      <c r="BB154" s="1183"/>
      <c r="BC154" s="1183"/>
      <c r="BD154" s="1183"/>
      <c r="BE154" s="1183"/>
      <c r="BF154" s="1183"/>
      <c r="BG154" s="1183"/>
      <c r="BH154" s="1183"/>
      <c r="BI154" s="1183"/>
      <c r="BJ154" s="1183"/>
      <c r="BK154" s="1183"/>
      <c r="BL154" s="1183"/>
      <c r="BM154" s="1183"/>
      <c r="BN154" s="1183"/>
      <c r="BO154" s="1183"/>
      <c r="BP154" s="1183"/>
      <c r="BQ154" s="1183"/>
      <c r="BR154" s="1183"/>
      <c r="BS154" s="1183"/>
      <c r="BT154" s="1183"/>
      <c r="BU154" s="1183"/>
      <c r="BV154" s="1183"/>
      <c r="BW154" s="1183"/>
      <c r="BX154" s="1183"/>
      <c r="BY154" s="1183"/>
      <c r="BZ154" s="1183"/>
      <c r="CA154" s="1183"/>
      <c r="CB154" s="1183"/>
      <c r="CC154" s="1183"/>
      <c r="CD154" s="1183"/>
      <c r="CE154" s="1183"/>
      <c r="CF154" s="1183"/>
      <c r="CG154" s="1183"/>
      <c r="CH154" s="1183"/>
      <c r="CI154" s="1183"/>
      <c r="CJ154" s="1183"/>
      <c r="CK154" s="1183"/>
      <c r="CL154" s="1183"/>
      <c r="CM154" s="1183"/>
      <c r="CN154" s="1183"/>
      <c r="CO154" s="1183"/>
      <c r="CP154" s="1183"/>
      <c r="CQ154" s="1183"/>
      <c r="CR154" s="1183"/>
      <c r="CS154" s="1183"/>
      <c r="CT154" s="1183"/>
      <c r="CU154" s="1183"/>
      <c r="CV154" s="1183"/>
      <c r="CW154" s="1183"/>
      <c r="CX154" s="1158"/>
      <c r="CY154" s="1158"/>
      <c r="CZ154" s="1158"/>
      <c r="DA154" s="1159"/>
      <c r="DB154" s="1156"/>
    </row>
    <row r="155" spans="2:106" s="1152" customFormat="1" ht="11.25" customHeight="1">
      <c r="B155" s="1157"/>
      <c r="C155" s="1183"/>
      <c r="D155" s="1183" t="s">
        <v>1034</v>
      </c>
      <c r="E155" s="1183"/>
      <c r="F155" s="1183"/>
      <c r="G155" s="1183" t="s">
        <v>1035</v>
      </c>
      <c r="H155" s="1183"/>
      <c r="I155" s="1183"/>
      <c r="J155" s="1183" t="s">
        <v>179</v>
      </c>
      <c r="K155" s="1183"/>
      <c r="L155" s="1183"/>
      <c r="M155" s="1183"/>
      <c r="N155" s="1183"/>
      <c r="O155" s="1183"/>
      <c r="P155" s="1183"/>
      <c r="Q155" s="1183"/>
      <c r="R155" s="1183"/>
      <c r="S155" s="1183"/>
      <c r="T155" s="1183"/>
      <c r="U155" s="1183"/>
      <c r="V155" s="1183"/>
      <c r="W155" s="1183"/>
      <c r="X155" s="1183"/>
      <c r="Y155" s="1183"/>
      <c r="Z155" s="1183"/>
      <c r="AA155" s="1183"/>
      <c r="AB155" s="1183"/>
      <c r="AC155" s="1183"/>
      <c r="AD155" s="1183"/>
      <c r="AE155" s="1183"/>
      <c r="AF155" s="1183"/>
      <c r="AG155" s="1183"/>
      <c r="AH155" s="1183"/>
      <c r="AI155" s="1183"/>
      <c r="AJ155" s="1183"/>
      <c r="AK155" s="1183"/>
      <c r="AL155" s="1183"/>
      <c r="AM155" s="1183"/>
      <c r="AN155" s="1183"/>
      <c r="AO155" s="1183"/>
      <c r="AP155" s="1183"/>
      <c r="AQ155" s="1183"/>
      <c r="AR155" s="1183"/>
      <c r="AS155" s="1183"/>
      <c r="AT155" s="1183"/>
      <c r="AU155" s="1183"/>
      <c r="AV155" s="1183"/>
      <c r="AW155" s="1183"/>
      <c r="AX155" s="1183"/>
      <c r="AY155" s="1183"/>
      <c r="AZ155" s="1183"/>
      <c r="BA155" s="1183"/>
      <c r="BB155" s="1183"/>
      <c r="BC155" s="1183"/>
      <c r="BD155" s="1183"/>
      <c r="BE155" s="1183"/>
      <c r="BF155" s="1183"/>
      <c r="BG155" s="1183"/>
      <c r="BH155" s="1183"/>
      <c r="BI155" s="1183"/>
      <c r="BJ155" s="1183"/>
      <c r="BK155" s="1183"/>
      <c r="BL155" s="1183"/>
      <c r="BM155" s="1183"/>
      <c r="BN155" s="1183"/>
      <c r="BO155" s="1183"/>
      <c r="BP155" s="1183"/>
      <c r="BQ155" s="1183"/>
      <c r="BR155" s="1183"/>
      <c r="BS155" s="1183"/>
      <c r="BT155" s="1183"/>
      <c r="BU155" s="1183"/>
      <c r="BV155" s="1183"/>
      <c r="BW155" s="1183"/>
      <c r="BX155" s="1183"/>
      <c r="BY155" s="1183"/>
      <c r="BZ155" s="1183"/>
      <c r="CA155" s="1183"/>
      <c r="CB155" s="1183"/>
      <c r="CC155" s="1183"/>
      <c r="CD155" s="1183"/>
      <c r="CE155" s="1183"/>
      <c r="CF155" s="1183"/>
      <c r="CG155" s="1183"/>
      <c r="CH155" s="1183"/>
      <c r="CI155" s="1183"/>
      <c r="CJ155" s="1183"/>
      <c r="CK155" s="1183"/>
      <c r="CL155" s="1183"/>
      <c r="CM155" s="1183"/>
      <c r="CN155" s="1183"/>
      <c r="CO155" s="1183"/>
      <c r="CP155" s="1183"/>
      <c r="CQ155" s="1183"/>
      <c r="CR155" s="1183"/>
      <c r="CS155" s="1183"/>
      <c r="CT155" s="1183"/>
      <c r="CU155" s="1183"/>
      <c r="CV155" s="1183"/>
      <c r="CW155" s="1183"/>
      <c r="CX155" s="1158"/>
      <c r="CY155" s="1158"/>
      <c r="CZ155" s="1158"/>
      <c r="DA155" s="1159"/>
      <c r="DB155" s="1156"/>
    </row>
    <row r="156" spans="2:106" s="1152" customFormat="1" ht="11.25" customHeight="1">
      <c r="B156" s="1157"/>
      <c r="C156" s="1183"/>
      <c r="D156" s="1183"/>
      <c r="E156" s="1183"/>
      <c r="F156" s="1183"/>
      <c r="G156" s="1183"/>
      <c r="H156" s="1183"/>
      <c r="I156" s="1183"/>
      <c r="J156" s="1183"/>
      <c r="K156" s="1183"/>
      <c r="L156" s="1183"/>
      <c r="M156" s="1183"/>
      <c r="N156" s="1183"/>
      <c r="O156" s="1183"/>
      <c r="P156" s="1183"/>
      <c r="Q156" s="1183"/>
      <c r="R156" s="1183"/>
      <c r="S156" s="1183"/>
      <c r="T156" s="1183"/>
      <c r="U156" s="1183"/>
      <c r="V156" s="1183"/>
      <c r="W156" s="1183"/>
      <c r="X156" s="1183"/>
      <c r="Y156" s="1183"/>
      <c r="Z156" s="1183"/>
      <c r="AA156" s="1183"/>
      <c r="AB156" s="1183"/>
      <c r="AC156" s="1183"/>
      <c r="AD156" s="1183"/>
      <c r="AE156" s="1183"/>
      <c r="AF156" s="1183"/>
      <c r="AG156" s="1183"/>
      <c r="AH156" s="1183"/>
      <c r="AI156" s="1183"/>
      <c r="AJ156" s="1183"/>
      <c r="AK156" s="1183"/>
      <c r="AL156" s="1183"/>
      <c r="AM156" s="1183"/>
      <c r="AN156" s="1183"/>
      <c r="AO156" s="1183"/>
      <c r="AP156" s="1183"/>
      <c r="AQ156" s="1183"/>
      <c r="AR156" s="1183"/>
      <c r="AS156" s="1183"/>
      <c r="AT156" s="1183"/>
      <c r="AU156" s="1183"/>
      <c r="AV156" s="1183"/>
      <c r="AW156" s="1183"/>
      <c r="AX156" s="1183"/>
      <c r="AY156" s="1183"/>
      <c r="AZ156" s="1183"/>
      <c r="BA156" s="1183"/>
      <c r="BB156" s="1183"/>
      <c r="BC156" s="1183"/>
      <c r="BD156" s="1183"/>
      <c r="BE156" s="1183"/>
      <c r="BF156" s="1183"/>
      <c r="BG156" s="1183"/>
      <c r="BH156" s="1183"/>
      <c r="BI156" s="1183"/>
      <c r="BJ156" s="1183"/>
      <c r="BK156" s="1183"/>
      <c r="BL156" s="1183"/>
      <c r="BM156" s="1183"/>
      <c r="BN156" s="1183"/>
      <c r="BO156" s="1183"/>
      <c r="BP156" s="1183"/>
      <c r="BQ156" s="1183"/>
      <c r="BR156" s="1183"/>
      <c r="BS156" s="1183"/>
      <c r="BT156" s="1183"/>
      <c r="BU156" s="1183"/>
      <c r="BV156" s="1183"/>
      <c r="BW156" s="1183"/>
      <c r="BX156" s="1183"/>
      <c r="BY156" s="1183"/>
      <c r="BZ156" s="1183"/>
      <c r="CA156" s="1183"/>
      <c r="CB156" s="1183"/>
      <c r="CC156" s="1183"/>
      <c r="CD156" s="1183"/>
      <c r="CE156" s="1183"/>
      <c r="CF156" s="1183"/>
      <c r="CG156" s="1183"/>
      <c r="CH156" s="1183"/>
      <c r="CI156" s="1183"/>
      <c r="CJ156" s="1183"/>
      <c r="CK156" s="1183"/>
      <c r="CL156" s="1183"/>
      <c r="CM156" s="1183"/>
      <c r="CN156" s="1183"/>
      <c r="CO156" s="1183"/>
      <c r="CP156" s="1183"/>
      <c r="CQ156" s="1183"/>
      <c r="CR156" s="1183"/>
      <c r="CS156" s="1183"/>
      <c r="CT156" s="1183"/>
      <c r="CU156" s="1183"/>
      <c r="CV156" s="1183"/>
      <c r="CW156" s="1183"/>
      <c r="CX156" s="1158"/>
      <c r="CY156" s="1158"/>
      <c r="CZ156" s="1158"/>
      <c r="DA156" s="1159"/>
      <c r="DB156" s="1156"/>
    </row>
    <row r="157" spans="2:106" s="1152" customFormat="1" ht="11.25" customHeight="1">
      <c r="B157" s="1157"/>
      <c r="C157" s="1183"/>
      <c r="D157" s="1183"/>
      <c r="E157" s="1183"/>
      <c r="F157" s="1183"/>
      <c r="G157" s="1183"/>
      <c r="H157" s="1183" t="s">
        <v>899</v>
      </c>
      <c r="I157" s="1183"/>
      <c r="J157" s="1183"/>
      <c r="K157" s="1183"/>
      <c r="L157" s="1183"/>
      <c r="M157" s="1183"/>
      <c r="N157" s="1183"/>
      <c r="O157" s="1183" t="s">
        <v>217</v>
      </c>
      <c r="P157" s="1183"/>
      <c r="Q157" s="1183" t="str">
        <f>TEXT(CY144,"#,###.##")</f>
        <v>2,486.4</v>
      </c>
      <c r="R157" s="1183"/>
      <c r="S157" s="1183"/>
      <c r="T157" s="1183"/>
      <c r="U157" s="1183"/>
      <c r="V157" s="1183"/>
      <c r="W157" s="1183"/>
      <c r="X157" s="1183"/>
      <c r="Y157" s="1183" t="s">
        <v>209</v>
      </c>
      <c r="Z157" s="1183"/>
      <c r="AA157" s="1183" t="str">
        <f>TEXT(CY153,"#,###.##")</f>
        <v>1,111.2</v>
      </c>
      <c r="AB157" s="1183"/>
      <c r="AC157" s="1183"/>
      <c r="AD157" s="1183"/>
      <c r="AE157" s="1183"/>
      <c r="AF157" s="1183"/>
      <c r="AG157" s="1183"/>
      <c r="AH157" s="1183"/>
      <c r="AI157" s="1183" t="s">
        <v>227</v>
      </c>
      <c r="AJ157" s="1183"/>
      <c r="AK157" s="1183"/>
      <c r="AL157" s="1183" t="str">
        <f>TEXT(TRUNC(CY144+CY153,0),"#,##0")</f>
        <v>3,597</v>
      </c>
      <c r="AM157" s="1183"/>
      <c r="AN157" s="1183"/>
      <c r="AO157" s="1183"/>
      <c r="AP157" s="1183"/>
      <c r="AQ157" s="1183"/>
      <c r="AR157" s="1183"/>
      <c r="AS157" s="1183"/>
      <c r="AT157" s="1183"/>
      <c r="AU157" s="1183"/>
      <c r="AV157" s="1183"/>
      <c r="AW157" s="1183"/>
      <c r="AX157" s="1183"/>
      <c r="AY157" s="1183"/>
      <c r="AZ157" s="1183"/>
      <c r="BA157" s="1183"/>
      <c r="BB157" s="1183"/>
      <c r="BC157" s="1183"/>
      <c r="BD157" s="1183"/>
      <c r="BE157" s="1183"/>
      <c r="BF157" s="1183"/>
      <c r="BG157" s="1183"/>
      <c r="BH157" s="1183"/>
      <c r="BI157" s="1183"/>
      <c r="BJ157" s="1183"/>
      <c r="BK157" s="1183"/>
      <c r="BL157" s="1183"/>
      <c r="BM157" s="1183"/>
      <c r="BN157" s="1183"/>
      <c r="BO157" s="1183"/>
      <c r="BP157" s="1183"/>
      <c r="BQ157" s="1183"/>
      <c r="BR157" s="1183"/>
      <c r="BS157" s="1183"/>
      <c r="BT157" s="1183"/>
      <c r="BU157" s="1183"/>
      <c r="BV157" s="1183"/>
      <c r="BW157" s="1183"/>
      <c r="BX157" s="1183"/>
      <c r="BY157" s="1183"/>
      <c r="BZ157" s="1183"/>
      <c r="CA157" s="1183"/>
      <c r="CB157" s="1183"/>
      <c r="CC157" s="1183"/>
      <c r="CD157" s="1183"/>
      <c r="CE157" s="1183"/>
      <c r="CF157" s="1183"/>
      <c r="CG157" s="1183"/>
      <c r="CH157" s="1183"/>
      <c r="CI157" s="1183"/>
      <c r="CJ157" s="1183"/>
      <c r="CK157" s="1183"/>
      <c r="CL157" s="1183"/>
      <c r="CM157" s="1183"/>
      <c r="CN157" s="1183"/>
      <c r="CO157" s="1183"/>
      <c r="CP157" s="1183"/>
      <c r="CQ157" s="1183"/>
      <c r="CR157" s="1183"/>
      <c r="CS157" s="1183"/>
      <c r="CT157" s="1183"/>
      <c r="CU157" s="1183"/>
      <c r="CV157" s="1183"/>
      <c r="CW157" s="1183"/>
      <c r="CX157" s="1158"/>
      <c r="CY157" s="1158"/>
      <c r="CZ157" s="1158"/>
      <c r="DA157" s="1159"/>
      <c r="DB157" s="1156"/>
    </row>
    <row r="158" spans="2:106" s="1152" customFormat="1" ht="11.25" customHeight="1">
      <c r="B158" s="1157"/>
      <c r="C158" s="1183"/>
      <c r="D158" s="1183"/>
      <c r="E158" s="1183"/>
      <c r="F158" s="1183"/>
      <c r="G158" s="1183"/>
      <c r="H158" s="1183" t="s">
        <v>892</v>
      </c>
      <c r="I158" s="1183"/>
      <c r="J158" s="1183"/>
      <c r="K158" s="1183"/>
      <c r="L158" s="1183"/>
      <c r="M158" s="1183"/>
      <c r="N158" s="1183"/>
      <c r="O158" s="1183" t="s">
        <v>217</v>
      </c>
      <c r="P158" s="1183"/>
      <c r="Q158" s="1183" t="e">
        <f>TEXT(TRUNC(CZ153,0),"#,##0")</f>
        <v>#REF!</v>
      </c>
      <c r="R158" s="1183"/>
      <c r="S158" s="1183"/>
      <c r="T158" s="1183"/>
      <c r="U158" s="1183"/>
      <c r="V158" s="1183"/>
      <c r="W158" s="1183"/>
      <c r="X158" s="1183"/>
      <c r="Y158" s="1183"/>
      <c r="Z158" s="1183"/>
      <c r="AA158" s="1183"/>
      <c r="AB158" s="1183"/>
      <c r="AC158" s="1183"/>
      <c r="AD158" s="1183"/>
      <c r="AE158" s="1183"/>
      <c r="AF158" s="1183"/>
      <c r="AG158" s="1183"/>
      <c r="AH158" s="1183"/>
      <c r="AI158" s="1183"/>
      <c r="AJ158" s="1183"/>
      <c r="AK158" s="1183"/>
      <c r="AL158" s="1183"/>
      <c r="AM158" s="1183"/>
      <c r="AN158" s="1183"/>
      <c r="AO158" s="1183"/>
      <c r="AP158" s="1183"/>
      <c r="AQ158" s="1183"/>
      <c r="AR158" s="1183"/>
      <c r="AS158" s="1183"/>
      <c r="AT158" s="1183"/>
      <c r="AU158" s="1183"/>
      <c r="AV158" s="1183"/>
      <c r="AW158" s="1183"/>
      <c r="AX158" s="1183"/>
      <c r="AY158" s="1183"/>
      <c r="AZ158" s="1183"/>
      <c r="BA158" s="1183"/>
      <c r="BB158" s="1183"/>
      <c r="BC158" s="1183"/>
      <c r="BD158" s="1183"/>
      <c r="BE158" s="1183"/>
      <c r="BF158" s="1183"/>
      <c r="BG158" s="1183"/>
      <c r="BH158" s="1183"/>
      <c r="BI158" s="1183"/>
      <c r="BJ158" s="1183"/>
      <c r="BK158" s="1183"/>
      <c r="BL158" s="1183"/>
      <c r="BM158" s="1183"/>
      <c r="BN158" s="1183"/>
      <c r="BO158" s="1183"/>
      <c r="BP158" s="1183"/>
      <c r="BQ158" s="1183"/>
      <c r="BR158" s="1183"/>
      <c r="BS158" s="1183"/>
      <c r="BT158" s="1183"/>
      <c r="BU158" s="1183"/>
      <c r="BV158" s="1183"/>
      <c r="BW158" s="1183"/>
      <c r="BX158" s="1183"/>
      <c r="BY158" s="1183"/>
      <c r="BZ158" s="1183"/>
      <c r="CA158" s="1183"/>
      <c r="CB158" s="1183"/>
      <c r="CC158" s="1183"/>
      <c r="CD158" s="1183"/>
      <c r="CE158" s="1183"/>
      <c r="CF158" s="1183"/>
      <c r="CG158" s="1183"/>
      <c r="CH158" s="1183"/>
      <c r="CI158" s="1183"/>
      <c r="CJ158" s="1183"/>
      <c r="CK158" s="1183"/>
      <c r="CL158" s="1183"/>
      <c r="CM158" s="1183"/>
      <c r="CN158" s="1183"/>
      <c r="CO158" s="1183"/>
      <c r="CP158" s="1183"/>
      <c r="CQ158" s="1183"/>
      <c r="CR158" s="1183"/>
      <c r="CS158" s="1183"/>
      <c r="CT158" s="1183"/>
      <c r="CU158" s="1183"/>
      <c r="CV158" s="1183"/>
      <c r="CW158" s="1183"/>
      <c r="CX158" s="1158"/>
      <c r="CY158" s="1158"/>
      <c r="CZ158" s="1158"/>
      <c r="DA158" s="1159"/>
      <c r="DB158" s="1156"/>
    </row>
    <row r="159" spans="2:106" s="1152" customFormat="1" ht="11.25" customHeight="1">
      <c r="B159" s="1157"/>
      <c r="C159" s="1183"/>
      <c r="D159" s="1183"/>
      <c r="E159" s="1183"/>
      <c r="F159" s="1183"/>
      <c r="G159" s="1183"/>
      <c r="H159" s="1183" t="s">
        <v>1022</v>
      </c>
      <c r="I159" s="1183"/>
      <c r="J159" s="1183"/>
      <c r="K159" s="1183"/>
      <c r="L159" s="1183" t="s">
        <v>1023</v>
      </c>
      <c r="M159" s="1183"/>
      <c r="N159" s="1183"/>
      <c r="O159" s="1183" t="s">
        <v>217</v>
      </c>
      <c r="P159" s="1183"/>
      <c r="Q159" s="1183" t="str">
        <f>TEXT(TRUNC(DA153,0),"#,##0")</f>
        <v>144</v>
      </c>
      <c r="R159" s="1183"/>
      <c r="S159" s="1183"/>
      <c r="T159" s="1183"/>
      <c r="U159" s="1183"/>
      <c r="V159" s="1183"/>
      <c r="W159" s="1183"/>
      <c r="X159" s="1183"/>
      <c r="Y159" s="1183"/>
      <c r="Z159" s="1183"/>
      <c r="AA159" s="1183"/>
      <c r="AB159" s="1183"/>
      <c r="AC159" s="1183"/>
      <c r="AD159" s="1183"/>
      <c r="AE159" s="1183"/>
      <c r="AF159" s="1183"/>
      <c r="AG159" s="1183"/>
      <c r="AH159" s="1183"/>
      <c r="AI159" s="1183"/>
      <c r="AJ159" s="1183"/>
      <c r="AK159" s="1183"/>
      <c r="AL159" s="1183"/>
      <c r="AM159" s="1183"/>
      <c r="AN159" s="1183"/>
      <c r="AO159" s="1183"/>
      <c r="AP159" s="1183"/>
      <c r="AQ159" s="1183"/>
      <c r="AR159" s="1183"/>
      <c r="AS159" s="1183"/>
      <c r="AT159" s="1183"/>
      <c r="AU159" s="1183"/>
      <c r="AV159" s="1183"/>
      <c r="AW159" s="1183"/>
      <c r="AX159" s="1183"/>
      <c r="AY159" s="1183"/>
      <c r="AZ159" s="1183"/>
      <c r="BA159" s="1183"/>
      <c r="BB159" s="1183"/>
      <c r="BC159" s="1183"/>
      <c r="BD159" s="1183"/>
      <c r="BE159" s="1183"/>
      <c r="BF159" s="1183"/>
      <c r="BG159" s="1183"/>
      <c r="BH159" s="1183"/>
      <c r="BI159" s="1183"/>
      <c r="BJ159" s="1183"/>
      <c r="BK159" s="1183"/>
      <c r="BL159" s="1183"/>
      <c r="BM159" s="1183"/>
      <c r="BN159" s="1183"/>
      <c r="BO159" s="1183"/>
      <c r="BP159" s="1183"/>
      <c r="BQ159" s="1183"/>
      <c r="BR159" s="1183"/>
      <c r="BS159" s="1183"/>
      <c r="BT159" s="1183"/>
      <c r="BU159" s="1183"/>
      <c r="BV159" s="1183"/>
      <c r="BW159" s="1183"/>
      <c r="BX159" s="1183"/>
      <c r="BY159" s="1183"/>
      <c r="BZ159" s="1183"/>
      <c r="CA159" s="1183"/>
      <c r="CB159" s="1183"/>
      <c r="CC159" s="1183"/>
      <c r="CD159" s="1183"/>
      <c r="CE159" s="1183"/>
      <c r="CF159" s="1183"/>
      <c r="CG159" s="1183"/>
      <c r="CH159" s="1183"/>
      <c r="CI159" s="1183"/>
      <c r="CJ159" s="1183"/>
      <c r="CK159" s="1183"/>
      <c r="CL159" s="1183"/>
      <c r="CM159" s="1183"/>
      <c r="CN159" s="1183"/>
      <c r="CO159" s="1183"/>
      <c r="CP159" s="1183"/>
      <c r="CQ159" s="1183"/>
      <c r="CR159" s="1183"/>
      <c r="CS159" s="1183"/>
      <c r="CT159" s="1183"/>
      <c r="CU159" s="1183"/>
      <c r="CV159" s="1183"/>
      <c r="CW159" s="1183"/>
      <c r="CX159" s="1158"/>
      <c r="CY159" s="1158"/>
      <c r="CZ159" s="1158"/>
      <c r="DA159" s="1159"/>
      <c r="DB159" s="1156"/>
    </row>
    <row r="160" spans="2:106" s="1152" customFormat="1" ht="11.25" customHeight="1">
      <c r="B160" s="1157"/>
      <c r="C160" s="1183"/>
      <c r="D160" s="1183"/>
      <c r="E160" s="1183"/>
      <c r="F160" s="1183"/>
      <c r="G160" s="1183"/>
      <c r="H160" s="1183"/>
      <c r="I160" s="1183"/>
      <c r="J160" s="1183" t="s">
        <v>179</v>
      </c>
      <c r="K160" s="1183"/>
      <c r="L160" s="1183"/>
      <c r="M160" s="1183"/>
      <c r="N160" s="1183"/>
      <c r="O160" s="1183" t="s">
        <v>217</v>
      </c>
      <c r="P160" s="1183"/>
      <c r="Q160" s="1183"/>
      <c r="R160" s="1183" t="e">
        <f>TEXT(AL157+Q158+Q159,"#,##0")</f>
        <v>#REF!</v>
      </c>
      <c r="S160" s="1183"/>
      <c r="T160" s="1183"/>
      <c r="U160" s="1183"/>
      <c r="V160" s="1183"/>
      <c r="W160" s="1183"/>
      <c r="X160" s="1183"/>
      <c r="Y160" s="1183"/>
      <c r="Z160" s="1183"/>
      <c r="AA160" s="1183"/>
      <c r="AB160" s="1183"/>
      <c r="AC160" s="1183"/>
      <c r="AD160" s="1183"/>
      <c r="AE160" s="1183"/>
      <c r="AF160" s="1183"/>
      <c r="AG160" s="1183"/>
      <c r="AH160" s="1183"/>
      <c r="AI160" s="1183"/>
      <c r="AJ160" s="1183"/>
      <c r="AK160" s="1183"/>
      <c r="AL160" s="1183"/>
      <c r="AM160" s="1183"/>
      <c r="AN160" s="1183"/>
      <c r="AO160" s="1183"/>
      <c r="AP160" s="1183"/>
      <c r="AQ160" s="1183"/>
      <c r="AR160" s="1183"/>
      <c r="AS160" s="1183"/>
      <c r="AT160" s="1183"/>
      <c r="AU160" s="1183"/>
      <c r="AV160" s="1183"/>
      <c r="AW160" s="1183"/>
      <c r="AX160" s="1183"/>
      <c r="AY160" s="1183"/>
      <c r="AZ160" s="1183"/>
      <c r="BA160" s="1183"/>
      <c r="BB160" s="1183"/>
      <c r="BC160" s="1183"/>
      <c r="BD160" s="1183"/>
      <c r="BE160" s="1183"/>
      <c r="BF160" s="1183"/>
      <c r="BG160" s="1183"/>
      <c r="BH160" s="1183"/>
      <c r="BI160" s="1183"/>
      <c r="BJ160" s="1183"/>
      <c r="BK160" s="1183"/>
      <c r="BL160" s="1183"/>
      <c r="BM160" s="1183"/>
      <c r="BN160" s="1183"/>
      <c r="BO160" s="1183"/>
      <c r="BP160" s="1183"/>
      <c r="BQ160" s="1183"/>
      <c r="BR160" s="1183"/>
      <c r="BS160" s="1183"/>
      <c r="BT160" s="1183"/>
      <c r="BU160" s="1183"/>
      <c r="BV160" s="1183"/>
      <c r="BW160" s="1183"/>
      <c r="BX160" s="1183"/>
      <c r="BY160" s="1183"/>
      <c r="BZ160" s="1183"/>
      <c r="CA160" s="1183"/>
      <c r="CB160" s="1183"/>
      <c r="CC160" s="1183"/>
      <c r="CD160" s="1183"/>
      <c r="CE160" s="1183"/>
      <c r="CF160" s="1183"/>
      <c r="CG160" s="1183"/>
      <c r="CH160" s="1183"/>
      <c r="CI160" s="1183"/>
      <c r="CJ160" s="1183"/>
      <c r="CK160" s="1183"/>
      <c r="CL160" s="1183"/>
      <c r="CM160" s="1183"/>
      <c r="CN160" s="1183"/>
      <c r="CO160" s="1183"/>
      <c r="CP160" s="1183"/>
      <c r="CQ160" s="1183"/>
      <c r="CR160" s="1183"/>
      <c r="CS160" s="1183"/>
      <c r="CT160" s="1183"/>
      <c r="CU160" s="1183"/>
      <c r="CV160" s="1183"/>
      <c r="CW160" s="1183"/>
      <c r="CX160" s="1160" t="e">
        <f>CY160+CZ160+DA160</f>
        <v>#REF!</v>
      </c>
      <c r="CY160" s="1158" t="str">
        <f>TEXT(AL157,"#,##0")</f>
        <v>3,597</v>
      </c>
      <c r="CZ160" s="1158" t="e">
        <f>TEXT(Q158,"#,##0")</f>
        <v>#REF!</v>
      </c>
      <c r="DA160" s="1159" t="str">
        <f>TEXT(Q159,"#,##0")</f>
        <v>144</v>
      </c>
      <c r="DB160" s="1156"/>
    </row>
    <row r="161" spans="2:106" s="1152" customFormat="1" ht="11.25" customHeight="1">
      <c r="B161" s="1157"/>
      <c r="C161" s="1183"/>
      <c r="D161" s="1183"/>
      <c r="E161" s="1183"/>
      <c r="F161" s="1183"/>
      <c r="G161" s="1183"/>
      <c r="H161" s="1183"/>
      <c r="I161" s="1183"/>
      <c r="J161" s="1183"/>
      <c r="K161" s="1183"/>
      <c r="L161" s="1183"/>
      <c r="M161" s="1183"/>
      <c r="N161" s="1183"/>
      <c r="O161" s="1183"/>
      <c r="P161" s="1183"/>
      <c r="Q161" s="1183"/>
      <c r="R161" s="1183"/>
      <c r="S161" s="1183"/>
      <c r="T161" s="1183"/>
      <c r="U161" s="1183"/>
      <c r="V161" s="1183"/>
      <c r="W161" s="1183"/>
      <c r="X161" s="1183"/>
      <c r="Y161" s="1183"/>
      <c r="Z161" s="1183"/>
      <c r="AA161" s="1183"/>
      <c r="AB161" s="1183"/>
      <c r="AC161" s="1183"/>
      <c r="AD161" s="1183"/>
      <c r="AE161" s="1183"/>
      <c r="AF161" s="1183"/>
      <c r="AG161" s="1183"/>
      <c r="AH161" s="1183"/>
      <c r="AI161" s="1183"/>
      <c r="AJ161" s="1183"/>
      <c r="AK161" s="1183"/>
      <c r="AL161" s="1183"/>
      <c r="AM161" s="1183"/>
      <c r="AN161" s="1183"/>
      <c r="AO161" s="1183"/>
      <c r="AP161" s="1183"/>
      <c r="AQ161" s="1183"/>
      <c r="AR161" s="1183"/>
      <c r="AS161" s="1183"/>
      <c r="AT161" s="1183"/>
      <c r="AU161" s="1183"/>
      <c r="AV161" s="1183"/>
      <c r="AW161" s="1183"/>
      <c r="AX161" s="1183"/>
      <c r="AY161" s="1183"/>
      <c r="AZ161" s="1183"/>
      <c r="BA161" s="1183"/>
      <c r="BB161" s="1183"/>
      <c r="BC161" s="1183"/>
      <c r="BD161" s="1183"/>
      <c r="BE161" s="1183"/>
      <c r="BF161" s="1183"/>
      <c r="BG161" s="1183"/>
      <c r="BH161" s="1183"/>
      <c r="BI161" s="1183"/>
      <c r="BJ161" s="1183"/>
      <c r="BK161" s="1183"/>
      <c r="BL161" s="1183"/>
      <c r="BM161" s="1183"/>
      <c r="BN161" s="1183"/>
      <c r="BO161" s="1183"/>
      <c r="BP161" s="1183"/>
      <c r="BQ161" s="1183"/>
      <c r="BR161" s="1183"/>
      <c r="BS161" s="1183"/>
      <c r="BT161" s="1183"/>
      <c r="BU161" s="1183"/>
      <c r="BV161" s="1183"/>
      <c r="BW161" s="1183"/>
      <c r="BX161" s="1183"/>
      <c r="BY161" s="1183"/>
      <c r="BZ161" s="1183"/>
      <c r="CA161" s="1183"/>
      <c r="CB161" s="1183"/>
      <c r="CC161" s="1183"/>
      <c r="CD161" s="1183"/>
      <c r="CE161" s="1183"/>
      <c r="CF161" s="1183"/>
      <c r="CG161" s="1183"/>
      <c r="CH161" s="1183"/>
      <c r="CI161" s="1183"/>
      <c r="CJ161" s="1183"/>
      <c r="CK161" s="1183"/>
      <c r="CL161" s="1183"/>
      <c r="CM161" s="1183"/>
      <c r="CN161" s="1183"/>
      <c r="CO161" s="1183"/>
      <c r="CP161" s="1183"/>
      <c r="CQ161" s="1183"/>
      <c r="CR161" s="1183"/>
      <c r="CS161" s="1183"/>
      <c r="CT161" s="1183"/>
      <c r="CU161" s="1183"/>
      <c r="CV161" s="1183"/>
      <c r="CW161" s="1183"/>
      <c r="CX161" s="1158"/>
      <c r="CY161" s="1158"/>
      <c r="CZ161" s="1158"/>
      <c r="DA161" s="1159"/>
      <c r="DB161" s="1156"/>
    </row>
    <row r="162" spans="2:106" s="1152" customFormat="1" ht="11.25" customHeight="1">
      <c r="B162" s="1153" t="s">
        <v>1110</v>
      </c>
      <c r="C162" s="1183"/>
      <c r="D162" s="1183"/>
      <c r="E162" s="1183"/>
      <c r="F162" s="1183"/>
      <c r="G162" s="1183"/>
      <c r="H162" s="1183"/>
      <c r="I162" s="1183"/>
      <c r="J162" s="1183"/>
      <c r="K162" s="1183"/>
      <c r="L162" s="1183"/>
      <c r="M162" s="1183"/>
      <c r="N162" s="1183"/>
      <c r="O162" s="1183"/>
      <c r="P162" s="1183"/>
      <c r="Q162" s="1183"/>
      <c r="R162" s="1183"/>
      <c r="S162" s="1183"/>
      <c r="T162" s="1183"/>
      <c r="U162" s="1183"/>
      <c r="V162" s="1183"/>
      <c r="W162" s="1183"/>
      <c r="X162" s="1183"/>
      <c r="Y162" s="1183"/>
      <c r="Z162" s="1183"/>
      <c r="AA162" s="1183"/>
      <c r="AB162" s="1183"/>
      <c r="AC162" s="1183"/>
      <c r="AD162" s="1183"/>
      <c r="AE162" s="1183"/>
      <c r="AF162" s="1183"/>
      <c r="AG162" s="1183"/>
      <c r="AH162" s="1183"/>
      <c r="AI162" s="1183"/>
      <c r="AJ162" s="1183"/>
      <c r="AK162" s="1183"/>
      <c r="AL162" s="1183"/>
      <c r="AM162" s="1183"/>
      <c r="AN162" s="1183"/>
      <c r="AO162" s="1183"/>
      <c r="AP162" s="1183"/>
      <c r="AQ162" s="1183"/>
      <c r="AR162" s="1183"/>
      <c r="AS162" s="1183"/>
      <c r="AT162" s="1183"/>
      <c r="AU162" s="1183"/>
      <c r="AV162" s="1183"/>
      <c r="AW162" s="1183"/>
      <c r="AX162" s="1183"/>
      <c r="AY162" s="1183"/>
      <c r="AZ162" s="1183"/>
      <c r="BA162" s="1183"/>
      <c r="BB162" s="1183"/>
      <c r="BC162" s="1183"/>
      <c r="BD162" s="1183"/>
      <c r="BE162" s="1183"/>
      <c r="BF162" s="1183"/>
      <c r="BG162" s="1183"/>
      <c r="BH162" s="1183"/>
      <c r="BI162" s="1183"/>
      <c r="BJ162" s="1183"/>
      <c r="BK162" s="1183"/>
      <c r="BL162" s="1183"/>
      <c r="BM162" s="1183"/>
      <c r="BN162" s="1183"/>
      <c r="BO162" s="1183"/>
      <c r="BP162" s="1183"/>
      <c r="BQ162" s="1183"/>
      <c r="BR162" s="1183"/>
      <c r="BS162" s="1183"/>
      <c r="BT162" s="1183"/>
      <c r="BU162" s="1183"/>
      <c r="BV162" s="1183"/>
      <c r="BW162" s="1183"/>
      <c r="BX162" s="1183"/>
      <c r="BY162" s="1183"/>
      <c r="BZ162" s="1183"/>
      <c r="CA162" s="1183"/>
      <c r="CB162" s="1183"/>
      <c r="CC162" s="1183"/>
      <c r="CD162" s="1183"/>
      <c r="CE162" s="1183"/>
      <c r="CF162" s="1183"/>
      <c r="CG162" s="1183"/>
      <c r="CH162" s="1183"/>
      <c r="CI162" s="1183"/>
      <c r="CJ162" s="1183"/>
      <c r="CK162" s="1183"/>
      <c r="CL162" s="1183"/>
      <c r="CM162" s="1183"/>
      <c r="CN162" s="1183"/>
      <c r="CO162" s="1183"/>
      <c r="CP162" s="1183"/>
      <c r="CQ162" s="1183"/>
      <c r="CR162" s="1183"/>
      <c r="CS162" s="1183"/>
      <c r="CT162" s="1183"/>
      <c r="CU162" s="1183"/>
      <c r="CV162" s="1183"/>
      <c r="CW162" s="1183"/>
      <c r="CX162" s="1154" t="e">
        <f>CX225</f>
        <v>#REF!</v>
      </c>
      <c r="CY162" s="1154" t="str">
        <f>CY225</f>
        <v>10,729</v>
      </c>
      <c r="CZ162" s="1154" t="e">
        <f>CZ225</f>
        <v>#REF!</v>
      </c>
      <c r="DA162" s="1155" t="str">
        <f>DA225</f>
        <v>758</v>
      </c>
      <c r="DB162" s="1156"/>
    </row>
    <row r="163" spans="2:106" s="1152" customFormat="1" ht="11.25" customHeight="1">
      <c r="B163" s="1157"/>
      <c r="C163" s="1183"/>
      <c r="D163" s="1183"/>
      <c r="E163" s="1183"/>
      <c r="F163" s="1183"/>
      <c r="G163" s="1183"/>
      <c r="H163" s="1183"/>
      <c r="I163" s="1183"/>
      <c r="J163" s="1183"/>
      <c r="K163" s="1183"/>
      <c r="L163" s="1183"/>
      <c r="M163" s="1183"/>
      <c r="N163" s="1183"/>
      <c r="O163" s="1183"/>
      <c r="P163" s="1183"/>
      <c r="Q163" s="1183"/>
      <c r="R163" s="1183"/>
      <c r="S163" s="1183"/>
      <c r="T163" s="1183"/>
      <c r="U163" s="1183"/>
      <c r="V163" s="1183"/>
      <c r="W163" s="1183"/>
      <c r="X163" s="1183"/>
      <c r="Y163" s="1183"/>
      <c r="Z163" s="1183"/>
      <c r="AA163" s="1183"/>
      <c r="AB163" s="1183"/>
      <c r="AC163" s="1183"/>
      <c r="AD163" s="1183"/>
      <c r="AE163" s="1183"/>
      <c r="AF163" s="1183"/>
      <c r="AG163" s="1183"/>
      <c r="AH163" s="1183"/>
      <c r="AI163" s="1183"/>
      <c r="AJ163" s="1183"/>
      <c r="AK163" s="1183"/>
      <c r="AL163" s="1183"/>
      <c r="AM163" s="1183"/>
      <c r="AN163" s="1183"/>
      <c r="AO163" s="1183"/>
      <c r="AP163" s="1183"/>
      <c r="AQ163" s="1183"/>
      <c r="AR163" s="1183"/>
      <c r="AS163" s="1183"/>
      <c r="AT163" s="1183"/>
      <c r="AU163" s="1183"/>
      <c r="AV163" s="1183"/>
      <c r="AW163" s="1183"/>
      <c r="AX163" s="1183"/>
      <c r="AY163" s="1183"/>
      <c r="AZ163" s="1183"/>
      <c r="BA163" s="1183"/>
      <c r="BB163" s="1183"/>
      <c r="BC163" s="1183"/>
      <c r="BD163" s="1183"/>
      <c r="BE163" s="1183"/>
      <c r="BF163" s="1183"/>
      <c r="BG163" s="1183"/>
      <c r="BH163" s="1183"/>
      <c r="BI163" s="1183"/>
      <c r="BJ163" s="1183"/>
      <c r="BK163" s="1183"/>
      <c r="BL163" s="1183"/>
      <c r="BM163" s="1183"/>
      <c r="BN163" s="1183"/>
      <c r="BO163" s="1183"/>
      <c r="BP163" s="1183"/>
      <c r="BQ163" s="1183"/>
      <c r="BR163" s="1183"/>
      <c r="BS163" s="1183"/>
      <c r="BT163" s="1183"/>
      <c r="BU163" s="1183"/>
      <c r="BV163" s="1183"/>
      <c r="BW163" s="1183"/>
      <c r="BX163" s="1183"/>
      <c r="BY163" s="1183"/>
      <c r="BZ163" s="1183"/>
      <c r="CA163" s="1183"/>
      <c r="CB163" s="1183"/>
      <c r="CC163" s="1183"/>
      <c r="CD163" s="1183"/>
      <c r="CE163" s="1183"/>
      <c r="CF163" s="1183"/>
      <c r="CG163" s="1183"/>
      <c r="CH163" s="1183"/>
      <c r="CI163" s="1183"/>
      <c r="CJ163" s="1183"/>
      <c r="CK163" s="1183"/>
      <c r="CL163" s="1183"/>
      <c r="CM163" s="1183"/>
      <c r="CN163" s="1183"/>
      <c r="CO163" s="1183"/>
      <c r="CP163" s="1183"/>
      <c r="CQ163" s="1183"/>
      <c r="CR163" s="1183"/>
      <c r="CS163" s="1183"/>
      <c r="CT163" s="1183"/>
      <c r="CU163" s="1183"/>
      <c r="CV163" s="1183"/>
      <c r="CW163" s="1183"/>
      <c r="CX163" s="1158"/>
      <c r="CY163" s="1158"/>
      <c r="CZ163" s="1158"/>
      <c r="DA163" s="1159"/>
      <c r="DB163" s="1156"/>
    </row>
    <row r="164" spans="2:106" s="1152" customFormat="1" ht="11.25" customHeight="1">
      <c r="B164" s="1157"/>
      <c r="C164" s="1183"/>
      <c r="D164" s="1183"/>
      <c r="E164" s="1183" t="s">
        <v>1041</v>
      </c>
      <c r="F164" s="1183"/>
      <c r="G164" s="1183"/>
      <c r="H164" s="1183" t="s">
        <v>1111</v>
      </c>
      <c r="I164" s="1183"/>
      <c r="J164" s="1183"/>
      <c r="K164" s="1183"/>
      <c r="L164" s="1183"/>
      <c r="M164" s="1183"/>
      <c r="N164" s="1183"/>
      <c r="O164" s="1183" t="s">
        <v>1112</v>
      </c>
      <c r="P164" s="1183"/>
      <c r="Q164" s="1183"/>
      <c r="R164" s="1183"/>
      <c r="S164" s="1183"/>
      <c r="T164" s="1183" t="s">
        <v>1113</v>
      </c>
      <c r="U164" s="1183"/>
      <c r="V164" s="1183"/>
      <c r="W164" s="1183"/>
      <c r="X164" s="1183"/>
      <c r="Y164" s="1183"/>
      <c r="Z164" s="1183"/>
      <c r="AA164" s="1183" t="s">
        <v>1114</v>
      </c>
      <c r="AB164" s="1183"/>
      <c r="AC164" s="1183"/>
      <c r="AD164" s="1183"/>
      <c r="AE164" s="1183"/>
      <c r="AF164" s="1183"/>
      <c r="AG164" s="1183"/>
      <c r="AH164" s="1183" t="s">
        <v>1115</v>
      </c>
      <c r="AI164" s="1183"/>
      <c r="AJ164" s="1183"/>
      <c r="AK164" s="1183"/>
      <c r="AL164" s="1183"/>
      <c r="AM164" s="1183"/>
      <c r="AN164" s="1183"/>
      <c r="AO164" s="1183"/>
      <c r="AP164" s="1183"/>
      <c r="AQ164" s="1183" t="s">
        <v>1116</v>
      </c>
      <c r="AR164" s="1183"/>
      <c r="AS164" s="1183"/>
      <c r="AT164" s="1183"/>
      <c r="AU164" s="1183"/>
      <c r="AV164" s="1183"/>
      <c r="AW164" s="1183"/>
      <c r="AX164" s="1183"/>
      <c r="AY164" s="1183" t="s">
        <v>263</v>
      </c>
      <c r="AZ164" s="1183" t="s">
        <v>1117</v>
      </c>
      <c r="BA164" s="1183"/>
      <c r="BB164" s="1183"/>
      <c r="BC164" s="1183"/>
      <c r="BD164" s="1183"/>
      <c r="BE164" s="1183" t="s">
        <v>1118</v>
      </c>
      <c r="BF164" s="1183"/>
      <c r="BG164" s="1183"/>
      <c r="BH164" s="1183" t="s">
        <v>1119</v>
      </c>
      <c r="BI164" s="1183"/>
      <c r="BJ164" s="1183"/>
      <c r="BK164" s="1183"/>
      <c r="BL164" s="1183"/>
      <c r="BM164" s="1183"/>
      <c r="BN164" s="1183"/>
      <c r="BO164" s="1183" t="s">
        <v>1120</v>
      </c>
      <c r="BP164" s="1183"/>
      <c r="BQ164" s="1183"/>
      <c r="BR164" s="1183"/>
      <c r="BS164" s="1183" t="s">
        <v>1121</v>
      </c>
      <c r="BT164" s="1183" t="s">
        <v>1122</v>
      </c>
      <c r="BU164" s="1183"/>
      <c r="BV164" s="1183"/>
      <c r="BW164" s="1183"/>
      <c r="BX164" s="1183"/>
      <c r="BY164" s="1183"/>
      <c r="BZ164" s="1183" t="s">
        <v>264</v>
      </c>
      <c r="CA164" s="1183" t="s">
        <v>1123</v>
      </c>
      <c r="CB164" s="1183"/>
      <c r="CC164" s="1183"/>
      <c r="CD164" s="1183"/>
      <c r="CE164" s="1183"/>
      <c r="CF164" s="1183"/>
      <c r="CG164" s="1183"/>
      <c r="CH164" s="1183"/>
      <c r="CI164" s="1183"/>
      <c r="CJ164" s="1183"/>
      <c r="CK164" s="1183"/>
      <c r="CL164" s="1183"/>
      <c r="CM164" s="1183"/>
      <c r="CN164" s="1183"/>
      <c r="CO164" s="1183"/>
      <c r="CP164" s="1183"/>
      <c r="CQ164" s="1183"/>
      <c r="CR164" s="1183"/>
      <c r="CS164" s="1183"/>
      <c r="CT164" s="1183"/>
      <c r="CU164" s="1183"/>
      <c r="CV164" s="1183"/>
      <c r="CW164" s="1183"/>
      <c r="CX164" s="1158"/>
      <c r="CY164" s="1158"/>
      <c r="CZ164" s="1158"/>
      <c r="DA164" s="1159"/>
      <c r="DB164" s="1156"/>
    </row>
    <row r="165" spans="2:106" s="1152" customFormat="1" ht="11.25" customHeight="1">
      <c r="B165" s="1157"/>
      <c r="C165" s="1183"/>
      <c r="D165" s="1183"/>
      <c r="E165" s="1183"/>
      <c r="F165" s="1183"/>
      <c r="G165" s="1183"/>
      <c r="H165" s="1183" t="s">
        <v>1124</v>
      </c>
      <c r="I165" s="1183"/>
      <c r="J165" s="1183"/>
      <c r="K165" s="1183"/>
      <c r="L165" s="1183"/>
      <c r="M165" s="1183"/>
      <c r="N165" s="1183"/>
      <c r="O165" s="1183"/>
      <c r="P165" s="1183"/>
      <c r="Q165" s="1183"/>
      <c r="R165" s="1183"/>
      <c r="S165" s="1183" t="s">
        <v>1125</v>
      </c>
      <c r="T165" s="1183"/>
      <c r="U165" s="1183"/>
      <c r="V165" s="1183"/>
      <c r="W165" s="1183"/>
      <c r="X165" s="1183"/>
      <c r="Y165" s="1183"/>
      <c r="Z165" s="1183"/>
      <c r="AA165" s="1183" t="s">
        <v>1126</v>
      </c>
      <c r="AB165" s="1183"/>
      <c r="AC165" s="1183"/>
      <c r="AD165" s="1183"/>
      <c r="AE165" s="1183"/>
      <c r="AF165" s="1183"/>
      <c r="AG165" s="1183"/>
      <c r="AH165" s="1183"/>
      <c r="AI165" s="1183"/>
      <c r="AJ165" s="1183"/>
      <c r="AK165" s="1183"/>
      <c r="AL165" s="1183"/>
      <c r="AM165" s="1183"/>
      <c r="AN165" s="1183"/>
      <c r="AO165" s="1183"/>
      <c r="AP165" s="1183"/>
      <c r="AQ165" s="1183"/>
      <c r="AR165" s="1183"/>
      <c r="AS165" s="1183"/>
      <c r="AT165" s="1183"/>
      <c r="AU165" s="1183"/>
      <c r="AV165" s="1183"/>
      <c r="AW165" s="1183"/>
      <c r="AX165" s="1183"/>
      <c r="AY165" s="1183"/>
      <c r="AZ165" s="1183"/>
      <c r="BA165" s="1183"/>
      <c r="BB165" s="1183"/>
      <c r="BC165" s="1183"/>
      <c r="BD165" s="1183"/>
      <c r="BE165" s="1183"/>
      <c r="BF165" s="1183"/>
      <c r="BG165" s="1183"/>
      <c r="BH165" s="1183"/>
      <c r="BI165" s="1183"/>
      <c r="BJ165" s="1183"/>
      <c r="BK165" s="1183"/>
      <c r="BL165" s="1183"/>
      <c r="BM165" s="1183"/>
      <c r="BN165" s="1183"/>
      <c r="BO165" s="1183"/>
      <c r="BP165" s="1183"/>
      <c r="BQ165" s="1183"/>
      <c r="BR165" s="1183"/>
      <c r="BS165" s="1183"/>
      <c r="BT165" s="1183"/>
      <c r="BU165" s="1183"/>
      <c r="BV165" s="1183"/>
      <c r="BW165" s="1183"/>
      <c r="BX165" s="1183"/>
      <c r="BY165" s="1183"/>
      <c r="BZ165" s="1183"/>
      <c r="CA165" s="1183"/>
      <c r="CB165" s="1183"/>
      <c r="CC165" s="1183"/>
      <c r="CD165" s="1183"/>
      <c r="CE165" s="1183"/>
      <c r="CF165" s="1183"/>
      <c r="CG165" s="1183"/>
      <c r="CH165" s="1183"/>
      <c r="CI165" s="1183"/>
      <c r="CJ165" s="1183"/>
      <c r="CK165" s="1183"/>
      <c r="CL165" s="1183"/>
      <c r="CM165" s="1183"/>
      <c r="CN165" s="1183"/>
      <c r="CO165" s="1183"/>
      <c r="CP165" s="1183"/>
      <c r="CQ165" s="1183"/>
      <c r="CR165" s="1183"/>
      <c r="CS165" s="1183"/>
      <c r="CT165" s="1183"/>
      <c r="CU165" s="1183"/>
      <c r="CV165" s="1183"/>
      <c r="CW165" s="1183"/>
      <c r="CX165" s="1158"/>
      <c r="CY165" s="1158"/>
      <c r="CZ165" s="1158"/>
      <c r="DA165" s="1159"/>
      <c r="DB165" s="1156"/>
    </row>
    <row r="166" spans="2:106" s="1152" customFormat="1" ht="11.25" customHeight="1">
      <c r="B166" s="1157"/>
      <c r="C166" s="1183"/>
      <c r="D166" s="1183"/>
      <c r="E166" s="1183"/>
      <c r="F166" s="1183"/>
      <c r="G166" s="1183"/>
      <c r="H166" s="1183" t="s">
        <v>1094</v>
      </c>
      <c r="I166" s="1183" t="s">
        <v>214</v>
      </c>
      <c r="J166" s="1183" t="s">
        <v>1095</v>
      </c>
      <c r="K166" s="1183"/>
      <c r="L166" s="1183"/>
      <c r="M166" s="1183"/>
      <c r="N166" s="1183"/>
      <c r="O166" s="1183" t="s">
        <v>217</v>
      </c>
      <c r="P166" s="1183"/>
      <c r="Q166" s="1183" t="s">
        <v>1096</v>
      </c>
      <c r="R166" s="1183"/>
      <c r="S166" s="1183"/>
      <c r="T166" s="1183"/>
      <c r="U166" s="1183" t="s">
        <v>1097</v>
      </c>
      <c r="V166" s="1183"/>
      <c r="W166" s="1183"/>
      <c r="X166" s="1183"/>
      <c r="Y166" s="1183"/>
      <c r="Z166" s="1183"/>
      <c r="AA166" s="1183"/>
      <c r="AB166" s="1183"/>
      <c r="AC166" s="1183" t="s">
        <v>1098</v>
      </c>
      <c r="AD166" s="1183"/>
      <c r="AE166" s="1183"/>
      <c r="AF166" s="1183"/>
      <c r="AG166" s="1183"/>
      <c r="AH166" s="1183" t="s">
        <v>1099</v>
      </c>
      <c r="AI166" s="1183"/>
      <c r="AJ166" s="1183"/>
      <c r="AK166" s="1183" t="s">
        <v>1100</v>
      </c>
      <c r="AL166" s="1183"/>
      <c r="AM166" s="1183"/>
      <c r="AN166" s="1183"/>
      <c r="AO166" s="1183"/>
      <c r="AP166" s="1183"/>
      <c r="AQ166" s="1183"/>
      <c r="AR166" s="1183"/>
      <c r="AS166" s="1183"/>
      <c r="AT166" s="1183" t="s">
        <v>1062</v>
      </c>
      <c r="AU166" s="1183"/>
      <c r="AV166" s="1183"/>
      <c r="AW166" s="1183" t="s">
        <v>1101</v>
      </c>
      <c r="AX166" s="1183"/>
      <c r="AY166" s="1183"/>
      <c r="AZ166" s="1183"/>
      <c r="BA166" s="1183"/>
      <c r="BB166" s="1183"/>
      <c r="BC166" s="1183"/>
      <c r="BD166" s="1183" t="s">
        <v>1102</v>
      </c>
      <c r="BE166" s="1183"/>
      <c r="BF166" s="1183"/>
      <c r="BG166" s="1183"/>
      <c r="BH166" s="1183"/>
      <c r="BI166" s="1183"/>
      <c r="BJ166" s="1183"/>
      <c r="BK166" s="1183" t="s">
        <v>1103</v>
      </c>
      <c r="BL166" s="1183"/>
      <c r="BM166" s="1183"/>
      <c r="BN166" s="1183"/>
      <c r="BO166" s="1183"/>
      <c r="BP166" s="1183"/>
      <c r="BQ166" s="1183"/>
      <c r="BR166" s="1183"/>
      <c r="BS166" s="1183"/>
      <c r="BT166" s="1183"/>
      <c r="BU166" s="1183"/>
      <c r="BV166" s="1183"/>
      <c r="BW166" s="1183"/>
      <c r="BX166" s="1183"/>
      <c r="BY166" s="1183"/>
      <c r="BZ166" s="1183"/>
      <c r="CA166" s="1183"/>
      <c r="CB166" s="1183"/>
      <c r="CC166" s="1183"/>
      <c r="CD166" s="1183"/>
      <c r="CE166" s="1183"/>
      <c r="CF166" s="1183"/>
      <c r="CG166" s="1183"/>
      <c r="CH166" s="1183"/>
      <c r="CI166" s="1183"/>
      <c r="CJ166" s="1183"/>
      <c r="CK166" s="1183"/>
      <c r="CL166" s="1183"/>
      <c r="CM166" s="1183"/>
      <c r="CN166" s="1183"/>
      <c r="CO166" s="1183"/>
      <c r="CP166" s="1183"/>
      <c r="CQ166" s="1183"/>
      <c r="CR166" s="1183"/>
      <c r="CS166" s="1183"/>
      <c r="CT166" s="1183"/>
      <c r="CU166" s="1183"/>
      <c r="CV166" s="1183"/>
      <c r="CW166" s="1183"/>
      <c r="CX166" s="1158"/>
      <c r="CY166" s="1158"/>
      <c r="CZ166" s="1158"/>
      <c r="DA166" s="1159"/>
      <c r="DB166" s="1156"/>
    </row>
    <row r="167" spans="2:106" s="1152" customFormat="1" ht="11.25" customHeight="1">
      <c r="B167" s="1157"/>
      <c r="C167" s="1183"/>
      <c r="D167" s="1183"/>
      <c r="E167" s="1183"/>
      <c r="F167" s="1183"/>
      <c r="G167" s="1183"/>
      <c r="H167" s="1183"/>
      <c r="I167" s="1183"/>
      <c r="J167" s="1183"/>
      <c r="K167" s="1183"/>
      <c r="L167" s="1183"/>
      <c r="M167" s="1183"/>
      <c r="N167" s="1183"/>
      <c r="O167" s="1183"/>
      <c r="P167" s="1183"/>
      <c r="Q167" s="1183"/>
      <c r="R167" s="1183"/>
      <c r="S167" s="1183"/>
      <c r="T167" s="1183"/>
      <c r="U167" s="1183"/>
      <c r="V167" s="1183"/>
      <c r="W167" s="1183"/>
      <c r="X167" s="1183"/>
      <c r="Y167" s="1183"/>
      <c r="Z167" s="1183"/>
      <c r="AA167" s="1183"/>
      <c r="AB167" s="1183"/>
      <c r="AC167" s="1183"/>
      <c r="AD167" s="1183"/>
      <c r="AE167" s="1183"/>
      <c r="AF167" s="1183"/>
      <c r="AG167" s="1183"/>
      <c r="AH167" s="1183"/>
      <c r="AI167" s="1183"/>
      <c r="AJ167" s="1183"/>
      <c r="AK167" s="1183"/>
      <c r="AL167" s="1183"/>
      <c r="AM167" s="1183"/>
      <c r="AN167" s="1183"/>
      <c r="AO167" s="1183"/>
      <c r="AP167" s="1183"/>
      <c r="AQ167" s="1183"/>
      <c r="AR167" s="1183"/>
      <c r="AS167" s="1183"/>
      <c r="AT167" s="1183"/>
      <c r="AU167" s="1183"/>
      <c r="AV167" s="1183"/>
      <c r="AW167" s="1183"/>
      <c r="AX167" s="1183"/>
      <c r="AY167" s="1183"/>
      <c r="AZ167" s="1183"/>
      <c r="BA167" s="1183"/>
      <c r="BB167" s="1183"/>
      <c r="BC167" s="1183"/>
      <c r="BD167" s="1183"/>
      <c r="BE167" s="1183"/>
      <c r="BF167" s="1183"/>
      <c r="BG167" s="1183"/>
      <c r="BH167" s="1183"/>
      <c r="BI167" s="1183"/>
      <c r="BJ167" s="1183"/>
      <c r="BK167" s="1183"/>
      <c r="BL167" s="1183"/>
      <c r="BM167" s="1183"/>
      <c r="BN167" s="1183"/>
      <c r="BO167" s="1183"/>
      <c r="BP167" s="1183"/>
      <c r="BQ167" s="1183"/>
      <c r="BR167" s="1183"/>
      <c r="BS167" s="1183"/>
      <c r="BT167" s="1183"/>
      <c r="BU167" s="1183"/>
      <c r="BV167" s="1183"/>
      <c r="BW167" s="1183"/>
      <c r="BX167" s="1183"/>
      <c r="BY167" s="1183"/>
      <c r="BZ167" s="1183"/>
      <c r="CA167" s="1183"/>
      <c r="CB167" s="1183"/>
      <c r="CC167" s="1183"/>
      <c r="CD167" s="1183"/>
      <c r="CE167" s="1183"/>
      <c r="CF167" s="1183"/>
      <c r="CG167" s="1183"/>
      <c r="CH167" s="1183"/>
      <c r="CI167" s="1183"/>
      <c r="CJ167" s="1183"/>
      <c r="CK167" s="1183"/>
      <c r="CL167" s="1183"/>
      <c r="CM167" s="1183"/>
      <c r="CN167" s="1183"/>
      <c r="CO167" s="1183"/>
      <c r="CP167" s="1183"/>
      <c r="CQ167" s="1183"/>
      <c r="CR167" s="1183"/>
      <c r="CS167" s="1183"/>
      <c r="CT167" s="1183"/>
      <c r="CU167" s="1183"/>
      <c r="CV167" s="1183"/>
      <c r="CW167" s="1183"/>
      <c r="CX167" s="1158"/>
      <c r="CY167" s="1158"/>
      <c r="CZ167" s="1158"/>
      <c r="DA167" s="1159"/>
      <c r="DB167" s="1156"/>
    </row>
    <row r="168" spans="2:106" s="1152" customFormat="1" ht="11.25" customHeight="1">
      <c r="B168" s="1157"/>
      <c r="C168" s="1183"/>
      <c r="D168" s="1183"/>
      <c r="E168" s="1183" t="s">
        <v>1041</v>
      </c>
      <c r="F168" s="1183"/>
      <c r="G168" s="1183"/>
      <c r="H168" s="1183" t="s">
        <v>992</v>
      </c>
      <c r="I168" s="1183" t="s">
        <v>1104</v>
      </c>
      <c r="J168" s="1183"/>
      <c r="K168" s="1183"/>
      <c r="L168" s="1183" t="s">
        <v>1105</v>
      </c>
      <c r="M168" s="1183"/>
      <c r="N168" s="1183"/>
      <c r="O168" s="1183"/>
      <c r="P168" s="1183"/>
      <c r="Q168" s="1183"/>
      <c r="R168" s="1183"/>
      <c r="S168" s="1183" t="s">
        <v>217</v>
      </c>
      <c r="T168" s="1183"/>
      <c r="U168" s="1183" t="s">
        <v>1106</v>
      </c>
      <c r="V168" s="1183"/>
      <c r="W168" s="1183"/>
      <c r="X168" s="1183" t="s">
        <v>227</v>
      </c>
      <c r="Y168" s="1183"/>
      <c r="Z168" s="1183"/>
      <c r="AA168" s="1183" t="str">
        <f>TEXT(260,"#,##0.#######")</f>
        <v>260.</v>
      </c>
      <c r="AB168" s="1183"/>
      <c r="AC168" s="1183"/>
      <c r="AD168" s="1183" t="s">
        <v>783</v>
      </c>
      <c r="AE168" s="1183"/>
      <c r="AF168" s="1183" t="s">
        <v>249</v>
      </c>
      <c r="AG168" s="1183" t="s">
        <v>1104</v>
      </c>
      <c r="AH168" s="1183"/>
      <c r="AI168" s="1183"/>
      <c r="AJ168" s="1183"/>
      <c r="AK168" s="1183"/>
      <c r="AL168" s="1183"/>
      <c r="AM168" s="1183"/>
      <c r="AN168" s="1183"/>
      <c r="AO168" s="1183"/>
      <c r="AP168" s="1183"/>
      <c r="AQ168" s="1183"/>
      <c r="AR168" s="1183"/>
      <c r="AS168" s="1183"/>
      <c r="AT168" s="1183"/>
      <c r="AU168" s="1183"/>
      <c r="AV168" s="1183"/>
      <c r="AW168" s="1183"/>
      <c r="AX168" s="1183"/>
      <c r="AY168" s="1183"/>
      <c r="AZ168" s="1183"/>
      <c r="BA168" s="1183"/>
      <c r="BB168" s="1183"/>
      <c r="BC168" s="1183"/>
      <c r="BD168" s="1183"/>
      <c r="BE168" s="1183"/>
      <c r="BF168" s="1183"/>
      <c r="BG168" s="1183"/>
      <c r="BH168" s="1183"/>
      <c r="BI168" s="1183"/>
      <c r="BJ168" s="1183"/>
      <c r="BK168" s="1183"/>
      <c r="BL168" s="1183"/>
      <c r="BM168" s="1183"/>
      <c r="BN168" s="1183"/>
      <c r="BO168" s="1183"/>
      <c r="BP168" s="1183"/>
      <c r="BQ168" s="1183"/>
      <c r="BR168" s="1183"/>
      <c r="BS168" s="1183"/>
      <c r="BT168" s="1183"/>
      <c r="BU168" s="1183"/>
      <c r="BV168" s="1183"/>
      <c r="BW168" s="1183"/>
      <c r="BX168" s="1183"/>
      <c r="BY168" s="1183"/>
      <c r="BZ168" s="1183"/>
      <c r="CA168" s="1183"/>
      <c r="CB168" s="1183"/>
      <c r="CC168" s="1183"/>
      <c r="CD168" s="1183"/>
      <c r="CE168" s="1183"/>
      <c r="CF168" s="1183"/>
      <c r="CG168" s="1183"/>
      <c r="CH168" s="1183"/>
      <c r="CI168" s="1183"/>
      <c r="CJ168" s="1183"/>
      <c r="CK168" s="1183"/>
      <c r="CL168" s="1183"/>
      <c r="CM168" s="1183"/>
      <c r="CN168" s="1183"/>
      <c r="CO168" s="1183"/>
      <c r="CP168" s="1183"/>
      <c r="CQ168" s="1183"/>
      <c r="CR168" s="1183"/>
      <c r="CS168" s="1183"/>
      <c r="CT168" s="1183"/>
      <c r="CU168" s="1183"/>
      <c r="CV168" s="1183"/>
      <c r="CW168" s="1183"/>
      <c r="CX168" s="1158"/>
      <c r="CY168" s="1158"/>
      <c r="CZ168" s="1158"/>
      <c r="DA168" s="1159"/>
      <c r="DB168" s="1156"/>
    </row>
    <row r="169" spans="2:106" s="1152" customFormat="1" ht="11.25" customHeight="1">
      <c r="B169" s="1157"/>
      <c r="C169" s="1183"/>
      <c r="D169" s="1183"/>
      <c r="E169" s="1183"/>
      <c r="F169" s="1183"/>
      <c r="G169" s="1183"/>
      <c r="H169" s="1183" t="s">
        <v>1107</v>
      </c>
      <c r="I169" s="1183"/>
      <c r="J169" s="1183"/>
      <c r="K169" s="1183"/>
      <c r="L169" s="1183"/>
      <c r="M169" s="1183"/>
      <c r="N169" s="1183"/>
      <c r="O169" s="1183" t="s">
        <v>1105</v>
      </c>
      <c r="P169" s="1183"/>
      <c r="Q169" s="1183"/>
      <c r="R169" s="1183"/>
      <c r="S169" s="1183"/>
      <c r="T169" s="1183"/>
      <c r="U169" s="1183"/>
      <c r="V169" s="1183" t="s">
        <v>217</v>
      </c>
      <c r="W169" s="1183"/>
      <c r="X169" s="1183" t="s">
        <v>1019</v>
      </c>
      <c r="Y169" s="1183"/>
      <c r="Z169" s="1183" t="s">
        <v>227</v>
      </c>
      <c r="AA169" s="1183"/>
      <c r="AB169" s="1183" t="s">
        <v>1106</v>
      </c>
      <c r="AC169" s="1183"/>
      <c r="AD169" s="1183"/>
      <c r="AE169" s="1183" t="s">
        <v>1021</v>
      </c>
      <c r="AF169" s="1183"/>
      <c r="AG169" s="1183"/>
      <c r="AH169" s="1183" t="str">
        <f>TEXT(8,"#,##0.#######")</f>
        <v>8.</v>
      </c>
      <c r="AI169" s="1183" t="s">
        <v>352</v>
      </c>
      <c r="AJ169" s="1183"/>
      <c r="AK169" s="1183"/>
      <c r="AL169" s="1183" t="s">
        <v>227</v>
      </c>
      <c r="AM169" s="1183"/>
      <c r="AN169" s="1183" t="str">
        <f>TEXT(AA168,"#,##0.#######")</f>
        <v>260.</v>
      </c>
      <c r="AO169" s="1183"/>
      <c r="AP169" s="1183"/>
      <c r="AQ169" s="1183"/>
      <c r="AR169" s="1183" t="s">
        <v>1021</v>
      </c>
      <c r="AS169" s="1183"/>
      <c r="AT169" s="1183"/>
      <c r="AU169" s="1183" t="str">
        <f>TEXT(AH169,"#,##0.#######")</f>
        <v>8.</v>
      </c>
      <c r="AV169" s="1183"/>
      <c r="AW169" s="1183" t="s">
        <v>227</v>
      </c>
      <c r="AX169" s="1183"/>
      <c r="AY169" s="1183"/>
      <c r="AZ169" s="1183" t="str">
        <f>TEXT(ROUND(AA168/AH169,2),"#,##0.#######")</f>
        <v>32.5</v>
      </c>
      <c r="BA169" s="1183"/>
      <c r="BB169" s="1183"/>
      <c r="BC169" s="1183"/>
      <c r="BD169" s="1183"/>
      <c r="BE169" s="1183"/>
      <c r="BF169" s="1183"/>
      <c r="BG169" s="1183" t="s">
        <v>783</v>
      </c>
      <c r="BH169" s="1183"/>
      <c r="BI169" s="1183" t="s">
        <v>249</v>
      </c>
      <c r="BJ169" s="1183" t="s">
        <v>352</v>
      </c>
      <c r="BK169" s="1183"/>
      <c r="BL169" s="1183"/>
      <c r="BM169" s="1183"/>
      <c r="BN169" s="1183"/>
      <c r="BO169" s="1183"/>
      <c r="BP169" s="1183"/>
      <c r="BQ169" s="1183"/>
      <c r="BR169" s="1183"/>
      <c r="BS169" s="1183"/>
      <c r="BT169" s="1183"/>
      <c r="BU169" s="1183"/>
      <c r="BV169" s="1183"/>
      <c r="BW169" s="1183"/>
      <c r="BX169" s="1183"/>
      <c r="BY169" s="1183"/>
      <c r="BZ169" s="1183"/>
      <c r="CA169" s="1183"/>
      <c r="CB169" s="1183"/>
      <c r="CC169" s="1183"/>
      <c r="CD169" s="1183"/>
      <c r="CE169" s="1183"/>
      <c r="CF169" s="1183"/>
      <c r="CG169" s="1183"/>
      <c r="CH169" s="1183"/>
      <c r="CI169" s="1183"/>
      <c r="CJ169" s="1183"/>
      <c r="CK169" s="1183"/>
      <c r="CL169" s="1183"/>
      <c r="CM169" s="1183"/>
      <c r="CN169" s="1183"/>
      <c r="CO169" s="1183"/>
      <c r="CP169" s="1183"/>
      <c r="CQ169" s="1183"/>
      <c r="CR169" s="1183"/>
      <c r="CS169" s="1183"/>
      <c r="CT169" s="1183"/>
      <c r="CU169" s="1183"/>
      <c r="CV169" s="1183"/>
      <c r="CW169" s="1183"/>
      <c r="CX169" s="1158"/>
      <c r="CY169" s="1158"/>
      <c r="CZ169" s="1158"/>
      <c r="DA169" s="1159"/>
      <c r="DB169" s="1156"/>
    </row>
    <row r="170" spans="2:106" s="1152" customFormat="1" ht="11.25" customHeight="1">
      <c r="B170" s="1157"/>
      <c r="C170" s="1183"/>
      <c r="D170" s="1183"/>
      <c r="E170" s="1183"/>
      <c r="F170" s="1183"/>
      <c r="G170" s="1183"/>
      <c r="H170" s="1183"/>
      <c r="I170" s="1183"/>
      <c r="J170" s="1183"/>
      <c r="K170" s="1183"/>
      <c r="L170" s="1183"/>
      <c r="M170" s="1183"/>
      <c r="N170" s="1183"/>
      <c r="O170" s="1183"/>
      <c r="P170" s="1183"/>
      <c r="Q170" s="1183"/>
      <c r="R170" s="1183"/>
      <c r="S170" s="1183"/>
      <c r="T170" s="1183"/>
      <c r="U170" s="1183"/>
      <c r="V170" s="1183"/>
      <c r="W170" s="1183"/>
      <c r="X170" s="1183"/>
      <c r="Y170" s="1183"/>
      <c r="Z170" s="1183"/>
      <c r="AA170" s="1183"/>
      <c r="AB170" s="1183"/>
      <c r="AC170" s="1183"/>
      <c r="AD170" s="1183"/>
      <c r="AE170" s="1183"/>
      <c r="AF170" s="1183"/>
      <c r="AG170" s="1183"/>
      <c r="AH170" s="1183"/>
      <c r="AI170" s="1183"/>
      <c r="AJ170" s="1183"/>
      <c r="AK170" s="1183"/>
      <c r="AL170" s="1183"/>
      <c r="AM170" s="1183"/>
      <c r="AN170" s="1183"/>
      <c r="AO170" s="1183"/>
      <c r="AP170" s="1183"/>
      <c r="AQ170" s="1183"/>
      <c r="AR170" s="1183"/>
      <c r="AS170" s="1183"/>
      <c r="AT170" s="1183"/>
      <c r="AU170" s="1183"/>
      <c r="AV170" s="1183"/>
      <c r="AW170" s="1183"/>
      <c r="AX170" s="1183"/>
      <c r="AY170" s="1183"/>
      <c r="AZ170" s="1183"/>
      <c r="BA170" s="1183"/>
      <c r="BB170" s="1183"/>
      <c r="BC170" s="1183"/>
      <c r="BD170" s="1183"/>
      <c r="BE170" s="1183"/>
      <c r="BF170" s="1183"/>
      <c r="BG170" s="1183"/>
      <c r="BH170" s="1183"/>
      <c r="BI170" s="1183"/>
      <c r="BJ170" s="1183"/>
      <c r="BK170" s="1183"/>
      <c r="BL170" s="1183"/>
      <c r="BM170" s="1183"/>
      <c r="BN170" s="1183"/>
      <c r="BO170" s="1183"/>
      <c r="BP170" s="1183"/>
      <c r="BQ170" s="1183"/>
      <c r="BR170" s="1183"/>
      <c r="BS170" s="1183"/>
      <c r="BT170" s="1183"/>
      <c r="BU170" s="1183"/>
      <c r="BV170" s="1183"/>
      <c r="BW170" s="1183"/>
      <c r="BX170" s="1183"/>
      <c r="BY170" s="1183"/>
      <c r="BZ170" s="1183"/>
      <c r="CA170" s="1183"/>
      <c r="CB170" s="1183"/>
      <c r="CC170" s="1183"/>
      <c r="CD170" s="1183"/>
      <c r="CE170" s="1183"/>
      <c r="CF170" s="1183"/>
      <c r="CG170" s="1183"/>
      <c r="CH170" s="1183"/>
      <c r="CI170" s="1183"/>
      <c r="CJ170" s="1183"/>
      <c r="CK170" s="1183"/>
      <c r="CL170" s="1183"/>
      <c r="CM170" s="1183"/>
      <c r="CN170" s="1183"/>
      <c r="CO170" s="1183"/>
      <c r="CP170" s="1183"/>
      <c r="CQ170" s="1183"/>
      <c r="CR170" s="1183"/>
      <c r="CS170" s="1183"/>
      <c r="CT170" s="1183"/>
      <c r="CU170" s="1183"/>
      <c r="CV170" s="1183"/>
      <c r="CW170" s="1183"/>
      <c r="CX170" s="1158"/>
      <c r="CY170" s="1158"/>
      <c r="CZ170" s="1158"/>
      <c r="DA170" s="1159"/>
      <c r="DB170" s="1156"/>
    </row>
    <row r="171" spans="2:106" s="1152" customFormat="1" ht="11.25" customHeight="1">
      <c r="B171" s="1157"/>
      <c r="C171" s="1183"/>
      <c r="D171" s="1183" t="s">
        <v>1006</v>
      </c>
      <c r="E171" s="1183"/>
      <c r="F171" s="1183"/>
      <c r="G171" s="1183" t="s">
        <v>892</v>
      </c>
      <c r="H171" s="1183"/>
      <c r="I171" s="1183"/>
      <c r="J171" s="1183"/>
      <c r="K171" s="1183"/>
      <c r="L171" s="1183"/>
      <c r="M171" s="1183"/>
      <c r="N171" s="1183"/>
      <c r="O171" s="1183"/>
      <c r="P171" s="1183"/>
      <c r="Q171" s="1183"/>
      <c r="R171" s="1183"/>
      <c r="S171" s="1183"/>
      <c r="T171" s="1183"/>
      <c r="U171" s="1183"/>
      <c r="V171" s="1183"/>
      <c r="W171" s="1183"/>
      <c r="X171" s="1183"/>
      <c r="Y171" s="1183"/>
      <c r="Z171" s="1183"/>
      <c r="AA171" s="1183"/>
      <c r="AB171" s="1183"/>
      <c r="AC171" s="1183"/>
      <c r="AD171" s="1183"/>
      <c r="AE171" s="1183"/>
      <c r="AF171" s="1183"/>
      <c r="AG171" s="1183"/>
      <c r="AH171" s="1183"/>
      <c r="AI171" s="1183"/>
      <c r="AJ171" s="1183"/>
      <c r="AK171" s="1183"/>
      <c r="AL171" s="1183"/>
      <c r="AM171" s="1183"/>
      <c r="AN171" s="1183"/>
      <c r="AO171" s="1183"/>
      <c r="AP171" s="1183"/>
      <c r="AQ171" s="1183"/>
      <c r="AR171" s="1183"/>
      <c r="AS171" s="1183"/>
      <c r="AT171" s="1183"/>
      <c r="AU171" s="1183"/>
      <c r="AV171" s="1183"/>
      <c r="AW171" s="1183"/>
      <c r="AX171" s="1183"/>
      <c r="AY171" s="1183"/>
      <c r="AZ171" s="1183"/>
      <c r="BA171" s="1183"/>
      <c r="BB171" s="1183"/>
      <c r="BC171" s="1183"/>
      <c r="BD171" s="1183"/>
      <c r="BE171" s="1183"/>
      <c r="BF171" s="1183"/>
      <c r="BG171" s="1183"/>
      <c r="BH171" s="1183"/>
      <c r="BI171" s="1183"/>
      <c r="BJ171" s="1183"/>
      <c r="BK171" s="1183"/>
      <c r="BL171" s="1183"/>
      <c r="BM171" s="1183"/>
      <c r="BN171" s="1183"/>
      <c r="BO171" s="1183"/>
      <c r="BP171" s="1183"/>
      <c r="BQ171" s="1183"/>
      <c r="BR171" s="1183"/>
      <c r="BS171" s="1183"/>
      <c r="BT171" s="1183"/>
      <c r="BU171" s="1183"/>
      <c r="BV171" s="1183"/>
      <c r="BW171" s="1183"/>
      <c r="BX171" s="1183"/>
      <c r="BY171" s="1183"/>
      <c r="BZ171" s="1183"/>
      <c r="CA171" s="1183"/>
      <c r="CB171" s="1183"/>
      <c r="CC171" s="1183"/>
      <c r="CD171" s="1183"/>
      <c r="CE171" s="1183"/>
      <c r="CF171" s="1183"/>
      <c r="CG171" s="1183"/>
      <c r="CH171" s="1183"/>
      <c r="CI171" s="1183"/>
      <c r="CJ171" s="1183"/>
      <c r="CK171" s="1183"/>
      <c r="CL171" s="1183"/>
      <c r="CM171" s="1183"/>
      <c r="CN171" s="1183"/>
      <c r="CO171" s="1183"/>
      <c r="CP171" s="1183"/>
      <c r="CQ171" s="1183"/>
      <c r="CR171" s="1183"/>
      <c r="CS171" s="1183"/>
      <c r="CT171" s="1183"/>
      <c r="CU171" s="1183"/>
      <c r="CV171" s="1183"/>
      <c r="CW171" s="1183"/>
      <c r="CX171" s="1158"/>
      <c r="CY171" s="1158"/>
      <c r="CZ171" s="1158"/>
      <c r="DA171" s="1159"/>
      <c r="DB171" s="1156"/>
    </row>
    <row r="172" spans="2:106" s="1152" customFormat="1" ht="11.25" customHeight="1">
      <c r="B172" s="1157"/>
      <c r="C172" s="1183"/>
      <c r="D172" s="1183"/>
      <c r="E172" s="1183"/>
      <c r="F172" s="1183"/>
      <c r="G172" s="1183"/>
      <c r="H172" s="1183"/>
      <c r="I172" s="1183"/>
      <c r="J172" s="1183"/>
      <c r="K172" s="1183"/>
      <c r="L172" s="1183"/>
      <c r="M172" s="1183"/>
      <c r="N172" s="1183"/>
      <c r="O172" s="1183"/>
      <c r="P172" s="1183"/>
      <c r="Q172" s="1183"/>
      <c r="R172" s="1183"/>
      <c r="S172" s="1183"/>
      <c r="T172" s="1183"/>
      <c r="U172" s="1183"/>
      <c r="V172" s="1183"/>
      <c r="W172" s="1183"/>
      <c r="X172" s="1183"/>
      <c r="Y172" s="1183"/>
      <c r="Z172" s="1183"/>
      <c r="AA172" s="1183"/>
      <c r="AB172" s="1183"/>
      <c r="AC172" s="1183"/>
      <c r="AD172" s="1183"/>
      <c r="AE172" s="1183"/>
      <c r="AF172" s="1183"/>
      <c r="AG172" s="1183"/>
      <c r="AH172" s="1183"/>
      <c r="AI172" s="1183"/>
      <c r="AJ172" s="1183"/>
      <c r="AK172" s="1183"/>
      <c r="AL172" s="1183"/>
      <c r="AM172" s="1183"/>
      <c r="AN172" s="1183"/>
      <c r="AO172" s="1183"/>
      <c r="AP172" s="1183"/>
      <c r="AQ172" s="1183"/>
      <c r="AR172" s="1183"/>
      <c r="AS172" s="1183"/>
      <c r="AT172" s="1183"/>
      <c r="AU172" s="1183"/>
      <c r="AV172" s="1183"/>
      <c r="AW172" s="1183"/>
      <c r="AX172" s="1183"/>
      <c r="AY172" s="1183"/>
      <c r="AZ172" s="1183"/>
      <c r="BA172" s="1183"/>
      <c r="BB172" s="1183"/>
      <c r="BC172" s="1183"/>
      <c r="BD172" s="1183"/>
      <c r="BE172" s="1183"/>
      <c r="BF172" s="1183"/>
      <c r="BG172" s="1183"/>
      <c r="BH172" s="1183"/>
      <c r="BI172" s="1183"/>
      <c r="BJ172" s="1183"/>
      <c r="BK172" s="1183"/>
      <c r="BL172" s="1183"/>
      <c r="BM172" s="1183"/>
      <c r="BN172" s="1183"/>
      <c r="BO172" s="1183"/>
      <c r="BP172" s="1183"/>
      <c r="BQ172" s="1183"/>
      <c r="BR172" s="1183"/>
      <c r="BS172" s="1183"/>
      <c r="BT172" s="1183"/>
      <c r="BU172" s="1183"/>
      <c r="BV172" s="1183"/>
      <c r="BW172" s="1183"/>
      <c r="BX172" s="1183"/>
      <c r="BY172" s="1183"/>
      <c r="BZ172" s="1183"/>
      <c r="CA172" s="1183"/>
      <c r="CB172" s="1183"/>
      <c r="CC172" s="1183"/>
      <c r="CD172" s="1183"/>
      <c r="CE172" s="1183"/>
      <c r="CF172" s="1183"/>
      <c r="CG172" s="1183"/>
      <c r="CH172" s="1183"/>
      <c r="CI172" s="1183"/>
      <c r="CJ172" s="1183"/>
      <c r="CK172" s="1183"/>
      <c r="CL172" s="1183"/>
      <c r="CM172" s="1183"/>
      <c r="CN172" s="1183"/>
      <c r="CO172" s="1183"/>
      <c r="CP172" s="1183"/>
      <c r="CQ172" s="1183"/>
      <c r="CR172" s="1183"/>
      <c r="CS172" s="1183"/>
      <c r="CT172" s="1183"/>
      <c r="CU172" s="1183"/>
      <c r="CV172" s="1183"/>
      <c r="CW172" s="1183"/>
      <c r="CX172" s="1158"/>
      <c r="CY172" s="1158"/>
      <c r="CZ172" s="1158"/>
      <c r="DA172" s="1159"/>
      <c r="DB172" s="1156"/>
    </row>
    <row r="173" spans="2:106" s="1152" customFormat="1" ht="11.25" customHeight="1">
      <c r="B173" s="1157"/>
      <c r="C173" s="1183"/>
      <c r="D173" s="1183"/>
      <c r="E173" s="1183"/>
      <c r="F173" s="1183"/>
      <c r="G173" s="1183" t="s">
        <v>1127</v>
      </c>
      <c r="H173" s="1183"/>
      <c r="I173" s="1183"/>
      <c r="J173" s="1183"/>
      <c r="K173" s="1183"/>
      <c r="L173" s="1183"/>
      <c r="M173" s="1183"/>
      <c r="N173" s="1183" t="s">
        <v>1128</v>
      </c>
      <c r="O173" s="1183"/>
      <c r="P173" s="1183"/>
      <c r="Q173" s="1183"/>
      <c r="R173" s="1183"/>
      <c r="S173" s="1183" t="s">
        <v>217</v>
      </c>
      <c r="T173" s="1183"/>
      <c r="U173" s="1183" t="s">
        <v>1129</v>
      </c>
      <c r="V173" s="1183"/>
      <c r="W173" s="1183"/>
      <c r="X173" s="1183"/>
      <c r="Y173" s="1183" t="s">
        <v>783</v>
      </c>
      <c r="Z173" s="1183"/>
      <c r="AA173" s="1183"/>
      <c r="AB173" s="1183"/>
      <c r="AC173" s="1183" t="s">
        <v>214</v>
      </c>
      <c r="AD173" s="1183"/>
      <c r="AE173" s="1183" t="s">
        <v>1130</v>
      </c>
      <c r="AF173" s="1183"/>
      <c r="AG173" s="1183"/>
      <c r="AH173" s="1183"/>
      <c r="AI173" s="1183"/>
      <c r="AJ173" s="1183"/>
      <c r="AK173" s="1183"/>
      <c r="AL173" s="1183"/>
      <c r="AM173" s="1183"/>
      <c r="AN173" s="1183"/>
      <c r="AO173" s="1183"/>
      <c r="AP173" s="1183"/>
      <c r="AQ173" s="1183"/>
      <c r="AR173" s="1183"/>
      <c r="AS173" s="1183"/>
      <c r="AT173" s="1183"/>
      <c r="AU173" s="1183"/>
      <c r="AV173" s="1183"/>
      <c r="AW173" s="1183"/>
      <c r="AX173" s="1183"/>
      <c r="AY173" s="1183"/>
      <c r="AZ173" s="1183"/>
      <c r="BA173" s="1183"/>
      <c r="BB173" s="1183"/>
      <c r="BC173" s="1183"/>
      <c r="BD173" s="1183"/>
      <c r="BE173" s="1183"/>
      <c r="BF173" s="1183"/>
      <c r="BG173" s="1183"/>
      <c r="BH173" s="1183"/>
      <c r="BI173" s="1183"/>
      <c r="BJ173" s="1183"/>
      <c r="BK173" s="1183"/>
      <c r="BL173" s="1183"/>
      <c r="BM173" s="1183"/>
      <c r="BN173" s="1183"/>
      <c r="BO173" s="1183"/>
      <c r="BP173" s="1183"/>
      <c r="BQ173" s="1183"/>
      <c r="BR173" s="1183"/>
      <c r="BS173" s="1183"/>
      <c r="BT173" s="1183"/>
      <c r="BU173" s="1183"/>
      <c r="BV173" s="1183"/>
      <c r="BW173" s="1183"/>
      <c r="BX173" s="1183"/>
      <c r="BY173" s="1183"/>
      <c r="BZ173" s="1183"/>
      <c r="CA173" s="1183"/>
      <c r="CB173" s="1183"/>
      <c r="CC173" s="1183"/>
      <c r="CD173" s="1183"/>
      <c r="CE173" s="1183"/>
      <c r="CF173" s="1183"/>
      <c r="CG173" s="1183"/>
      <c r="CH173" s="1183"/>
      <c r="CI173" s="1183"/>
      <c r="CJ173" s="1183"/>
      <c r="CK173" s="1183"/>
      <c r="CL173" s="1183"/>
      <c r="CM173" s="1183"/>
      <c r="CN173" s="1183"/>
      <c r="CO173" s="1183"/>
      <c r="CP173" s="1183"/>
      <c r="CQ173" s="1183"/>
      <c r="CR173" s="1183"/>
      <c r="CS173" s="1183"/>
      <c r="CT173" s="1183"/>
      <c r="CU173" s="1183"/>
      <c r="CV173" s="1183"/>
      <c r="CW173" s="1183"/>
      <c r="CX173" s="1158"/>
      <c r="CY173" s="1158"/>
      <c r="CZ173" s="1158"/>
      <c r="DA173" s="1159"/>
      <c r="DB173" s="1156"/>
    </row>
    <row r="174" spans="2:106" s="1152" customFormat="1" ht="11.25" customHeight="1">
      <c r="B174" s="1157"/>
      <c r="C174" s="1183"/>
      <c r="D174" s="1183"/>
      <c r="E174" s="1183"/>
      <c r="F174" s="1183"/>
      <c r="G174" s="1183"/>
      <c r="H174" s="1183"/>
      <c r="I174" s="1183"/>
      <c r="J174" s="1183"/>
      <c r="K174" s="1183"/>
      <c r="L174" s="1183"/>
      <c r="M174" s="1183"/>
      <c r="N174" s="1183"/>
      <c r="O174" s="1183"/>
      <c r="P174" s="1183"/>
      <c r="Q174" s="1183"/>
      <c r="R174" s="1183"/>
      <c r="S174" s="1183"/>
      <c r="T174" s="1183"/>
      <c r="U174" s="1183"/>
      <c r="V174" s="1183"/>
      <c r="W174" s="1183"/>
      <c r="X174" s="1183"/>
      <c r="Y174" s="1183"/>
      <c r="Z174" s="1183"/>
      <c r="AA174" s="1183"/>
      <c r="AB174" s="1183"/>
      <c r="AC174" s="1183"/>
      <c r="AD174" s="1183"/>
      <c r="AE174" s="1183"/>
      <c r="AF174" s="1183"/>
      <c r="AG174" s="1183"/>
      <c r="AH174" s="1183"/>
      <c r="AI174" s="1183"/>
      <c r="AJ174" s="1183"/>
      <c r="AK174" s="1183"/>
      <c r="AL174" s="1183"/>
      <c r="AM174" s="1183"/>
      <c r="AN174" s="1183"/>
      <c r="AO174" s="1183"/>
      <c r="AP174" s="1183"/>
      <c r="AQ174" s="1183"/>
      <c r="AR174" s="1183"/>
      <c r="AS174" s="1183"/>
      <c r="AT174" s="1183"/>
      <c r="AU174" s="1183"/>
      <c r="AV174" s="1183"/>
      <c r="AW174" s="1183"/>
      <c r="AX174" s="1183"/>
      <c r="AY174" s="1183"/>
      <c r="AZ174" s="1183"/>
      <c r="BA174" s="1183"/>
      <c r="BB174" s="1183"/>
      <c r="BC174" s="1183"/>
      <c r="BD174" s="1183"/>
      <c r="BE174" s="1183"/>
      <c r="BF174" s="1183"/>
      <c r="BG174" s="1183"/>
      <c r="BH174" s="1183"/>
      <c r="BI174" s="1183"/>
      <c r="BJ174" s="1183"/>
      <c r="BK174" s="1183"/>
      <c r="BL174" s="1183"/>
      <c r="BM174" s="1183"/>
      <c r="BN174" s="1183"/>
      <c r="BO174" s="1183"/>
      <c r="BP174" s="1183"/>
      <c r="BQ174" s="1183"/>
      <c r="BR174" s="1183"/>
      <c r="BS174" s="1183"/>
      <c r="BT174" s="1183"/>
      <c r="BU174" s="1183"/>
      <c r="BV174" s="1183"/>
      <c r="BW174" s="1183"/>
      <c r="BX174" s="1183"/>
      <c r="BY174" s="1183"/>
      <c r="BZ174" s="1183"/>
      <c r="CA174" s="1183"/>
      <c r="CB174" s="1183"/>
      <c r="CC174" s="1183"/>
      <c r="CD174" s="1183"/>
      <c r="CE174" s="1183"/>
      <c r="CF174" s="1183"/>
      <c r="CG174" s="1183"/>
      <c r="CH174" s="1183"/>
      <c r="CI174" s="1183"/>
      <c r="CJ174" s="1183"/>
      <c r="CK174" s="1183"/>
      <c r="CL174" s="1183"/>
      <c r="CM174" s="1183"/>
      <c r="CN174" s="1183"/>
      <c r="CO174" s="1183"/>
      <c r="CP174" s="1183"/>
      <c r="CQ174" s="1183"/>
      <c r="CR174" s="1183"/>
      <c r="CS174" s="1183"/>
      <c r="CT174" s="1183"/>
      <c r="CU174" s="1183"/>
      <c r="CV174" s="1183"/>
      <c r="CW174" s="1183"/>
      <c r="CX174" s="1158"/>
      <c r="CY174" s="1158"/>
      <c r="CZ174" s="1158"/>
      <c r="DA174" s="1159"/>
      <c r="DB174" s="1156"/>
    </row>
    <row r="175" spans="2:106" s="1152" customFormat="1" ht="11.25" customHeight="1">
      <c r="B175" s="1157"/>
      <c r="C175" s="1183"/>
      <c r="D175" s="1183"/>
      <c r="E175" s="1183"/>
      <c r="F175" s="1183"/>
      <c r="G175" s="1183" t="s">
        <v>1131</v>
      </c>
      <c r="H175" s="1183"/>
      <c r="I175" s="1183"/>
      <c r="J175" s="1183"/>
      <c r="K175" s="1183"/>
      <c r="L175" s="1183"/>
      <c r="M175" s="1183"/>
      <c r="N175" s="1183"/>
      <c r="O175" s="1183"/>
      <c r="P175" s="1183"/>
      <c r="Q175" s="1183"/>
      <c r="R175" s="1183"/>
      <c r="S175" s="1183"/>
      <c r="T175" s="1183"/>
      <c r="U175" s="1183"/>
      <c r="V175" s="1183"/>
      <c r="W175" s="1183"/>
      <c r="X175" s="1183"/>
      <c r="Y175" s="1183" t="s">
        <v>1132</v>
      </c>
      <c r="Z175" s="1183"/>
      <c r="AA175" s="1183"/>
      <c r="AB175" s="1183"/>
      <c r="AC175" s="1183"/>
      <c r="AD175" s="1183"/>
      <c r="AE175" s="1183"/>
      <c r="AF175" s="1183"/>
      <c r="AG175" s="1183"/>
      <c r="AH175" s="1183"/>
      <c r="AI175" s="1183"/>
      <c r="AJ175" s="1534" t="e">
        <f>#REF!</f>
        <v>#REF!</v>
      </c>
      <c r="AK175" s="1534"/>
      <c r="AL175" s="1534"/>
      <c r="AM175" s="1534"/>
      <c r="AN175" s="1534"/>
      <c r="AO175" s="1534"/>
      <c r="AP175" s="1534"/>
      <c r="AQ175" s="1534"/>
      <c r="AR175" s="1183"/>
      <c r="AS175" s="1183" t="s">
        <v>975</v>
      </c>
      <c r="AT175" s="1183"/>
      <c r="AU175" s="1183"/>
      <c r="AV175" s="1183" t="str">
        <f>TEXT(1.1,"#,##0.#######")</f>
        <v>1.1</v>
      </c>
      <c r="AW175" s="1183"/>
      <c r="AX175" s="1183"/>
      <c r="AY175" s="1183" t="s">
        <v>178</v>
      </c>
      <c r="AZ175" s="1183"/>
      <c r="BA175" s="1183"/>
      <c r="BB175" s="1183" t="s">
        <v>1021</v>
      </c>
      <c r="BC175" s="1183"/>
      <c r="BD175" s="1183"/>
      <c r="BE175" s="1183" t="str">
        <f>TEXT(100,"#,##0.#######")</f>
        <v>100.</v>
      </c>
      <c r="BF175" s="1183"/>
      <c r="BG175" s="1183"/>
      <c r="BH175" s="1183" t="s">
        <v>783</v>
      </c>
      <c r="BI175" s="1183"/>
      <c r="BJ175" s="1183"/>
      <c r="BK175" s="1183" t="s">
        <v>227</v>
      </c>
      <c r="BL175" s="1183"/>
      <c r="BM175" s="1183" t="e">
        <f>TEXT(TRUNC(AJ175*AV175/BE175,1),"#,##0.#")</f>
        <v>#REF!</v>
      </c>
      <c r="BN175" s="1183"/>
      <c r="BO175" s="1183"/>
      <c r="BP175" s="1183"/>
      <c r="BQ175" s="1183"/>
      <c r="BR175" s="1183"/>
      <c r="BS175" s="1183"/>
      <c r="BT175" s="1183"/>
      <c r="BU175" s="1183" t="s">
        <v>1133</v>
      </c>
      <c r="BV175" s="1183"/>
      <c r="BW175" s="1183"/>
      <c r="BX175" s="1183"/>
      <c r="BY175" s="1183"/>
      <c r="BZ175" s="1183"/>
      <c r="CA175" s="1183"/>
      <c r="CB175" s="1183"/>
      <c r="CC175" s="1183"/>
      <c r="CD175" s="1183"/>
      <c r="CE175" s="1183"/>
      <c r="CF175" s="1183"/>
      <c r="CG175" s="1183"/>
      <c r="CH175" s="1183"/>
      <c r="CI175" s="1183"/>
      <c r="CJ175" s="1183"/>
      <c r="CK175" s="1183"/>
      <c r="CL175" s="1183"/>
      <c r="CM175" s="1183"/>
      <c r="CN175" s="1183"/>
      <c r="CO175" s="1183"/>
      <c r="CP175" s="1183"/>
      <c r="CQ175" s="1183"/>
      <c r="CR175" s="1183"/>
      <c r="CS175" s="1183"/>
      <c r="CT175" s="1183"/>
      <c r="CU175" s="1183"/>
      <c r="CV175" s="1183"/>
      <c r="CW175" s="1183"/>
      <c r="CX175" s="1158" t="e">
        <f>CY175+CZ175+DA175</f>
        <v>#REF!</v>
      </c>
      <c r="CY175" s="1158"/>
      <c r="CZ175" s="1158" t="e">
        <f>BM175</f>
        <v>#REF!</v>
      </c>
      <c r="DA175" s="1159"/>
      <c r="DB175" s="1156"/>
    </row>
    <row r="176" spans="2:106" s="1152" customFormat="1" ht="11.25" customHeight="1">
      <c r="B176" s="1157"/>
      <c r="C176" s="1183"/>
      <c r="D176" s="1183"/>
      <c r="E176" s="1183"/>
      <c r="F176" s="1183"/>
      <c r="G176" s="1183"/>
      <c r="H176" s="1183"/>
      <c r="I176" s="1183"/>
      <c r="J176" s="1183"/>
      <c r="K176" s="1183"/>
      <c r="L176" s="1183"/>
      <c r="M176" s="1183"/>
      <c r="N176" s="1183"/>
      <c r="O176" s="1183"/>
      <c r="P176" s="1183"/>
      <c r="Q176" s="1183"/>
      <c r="R176" s="1183"/>
      <c r="S176" s="1183"/>
      <c r="T176" s="1183"/>
      <c r="U176" s="1183"/>
      <c r="V176" s="1183"/>
      <c r="W176" s="1183"/>
      <c r="X176" s="1183"/>
      <c r="Y176" s="1183"/>
      <c r="Z176" s="1183"/>
      <c r="AA176" s="1183"/>
      <c r="AB176" s="1183"/>
      <c r="AC176" s="1183"/>
      <c r="AD176" s="1183"/>
      <c r="AE176" s="1183"/>
      <c r="AF176" s="1183"/>
      <c r="AG176" s="1183"/>
      <c r="AH176" s="1183"/>
      <c r="AI176" s="1183"/>
      <c r="AJ176" s="1183"/>
      <c r="AK176" s="1183"/>
      <c r="AL176" s="1183"/>
      <c r="AM176" s="1183"/>
      <c r="AN176" s="1183"/>
      <c r="AO176" s="1183"/>
      <c r="AP176" s="1183"/>
      <c r="AQ176" s="1183"/>
      <c r="AR176" s="1183"/>
      <c r="AS176" s="1183"/>
      <c r="AT176" s="1183"/>
      <c r="AU176" s="1183"/>
      <c r="AV176" s="1183"/>
      <c r="AW176" s="1183"/>
      <c r="AX176" s="1183"/>
      <c r="AY176" s="1183"/>
      <c r="AZ176" s="1183"/>
      <c r="BA176" s="1183"/>
      <c r="BB176" s="1183"/>
      <c r="BC176" s="1183"/>
      <c r="BD176" s="1183"/>
      <c r="BE176" s="1183"/>
      <c r="BF176" s="1183"/>
      <c r="BG176" s="1183"/>
      <c r="BH176" s="1183"/>
      <c r="BI176" s="1183"/>
      <c r="BJ176" s="1183"/>
      <c r="BK176" s="1183"/>
      <c r="BL176" s="1183"/>
      <c r="BM176" s="1183"/>
      <c r="BN176" s="1183"/>
      <c r="BO176" s="1183"/>
      <c r="BP176" s="1183"/>
      <c r="BQ176" s="1183"/>
      <c r="BR176" s="1183"/>
      <c r="BS176" s="1183"/>
      <c r="BT176" s="1183"/>
      <c r="BU176" s="1183"/>
      <c r="BV176" s="1183"/>
      <c r="BW176" s="1183"/>
      <c r="BX176" s="1183"/>
      <c r="BY176" s="1183"/>
      <c r="BZ176" s="1183"/>
      <c r="CA176" s="1183"/>
      <c r="CB176" s="1183"/>
      <c r="CC176" s="1183"/>
      <c r="CD176" s="1183"/>
      <c r="CE176" s="1183"/>
      <c r="CF176" s="1183"/>
      <c r="CG176" s="1183"/>
      <c r="CH176" s="1183"/>
      <c r="CI176" s="1183"/>
      <c r="CJ176" s="1183"/>
      <c r="CK176" s="1183"/>
      <c r="CL176" s="1183"/>
      <c r="CM176" s="1183"/>
      <c r="CN176" s="1183"/>
      <c r="CO176" s="1183"/>
      <c r="CP176" s="1183"/>
      <c r="CQ176" s="1183"/>
      <c r="CR176" s="1183"/>
      <c r="CS176" s="1183"/>
      <c r="CT176" s="1183"/>
      <c r="CU176" s="1183"/>
      <c r="CV176" s="1183"/>
      <c r="CW176" s="1183"/>
      <c r="CX176" s="1158"/>
      <c r="CY176" s="1158"/>
      <c r="CZ176" s="1158"/>
      <c r="DA176" s="1159"/>
      <c r="DB176" s="1156"/>
    </row>
    <row r="177" spans="2:106" s="1152" customFormat="1" ht="11.25" customHeight="1">
      <c r="B177" s="1157"/>
      <c r="C177" s="1183"/>
      <c r="D177" s="1183" t="s">
        <v>1025</v>
      </c>
      <c r="E177" s="1183"/>
      <c r="F177" s="1183"/>
      <c r="G177" s="1183" t="s">
        <v>1055</v>
      </c>
      <c r="H177" s="1183"/>
      <c r="I177" s="1183"/>
      <c r="J177" s="1183"/>
      <c r="K177" s="1183"/>
      <c r="L177" s="1183"/>
      <c r="M177" s="1183"/>
      <c r="N177" s="1183"/>
      <c r="O177" s="1183"/>
      <c r="P177" s="1183"/>
      <c r="Q177" s="1183"/>
      <c r="R177" s="1183"/>
      <c r="S177" s="1183"/>
      <c r="T177" s="1183"/>
      <c r="U177" s="1183"/>
      <c r="V177" s="1183"/>
      <c r="W177" s="1183"/>
      <c r="X177" s="1183"/>
      <c r="Y177" s="1183"/>
      <c r="Z177" s="1183"/>
      <c r="AA177" s="1183"/>
      <c r="AB177" s="1183"/>
      <c r="AC177" s="1183"/>
      <c r="AD177" s="1183"/>
      <c r="AE177" s="1183"/>
      <c r="AF177" s="1183"/>
      <c r="AG177" s="1183"/>
      <c r="AH177" s="1183"/>
      <c r="AI177" s="1183"/>
      <c r="AJ177" s="1183"/>
      <c r="AK177" s="1183"/>
      <c r="AL177" s="1183"/>
      <c r="AM177" s="1183"/>
      <c r="AN177" s="1183"/>
      <c r="AO177" s="1183"/>
      <c r="AP177" s="1183"/>
      <c r="AQ177" s="1183"/>
      <c r="AR177" s="1183"/>
      <c r="AS177" s="1183"/>
      <c r="AT177" s="1183"/>
      <c r="AU177" s="1183"/>
      <c r="AV177" s="1183"/>
      <c r="AW177" s="1183"/>
      <c r="AX177" s="1183"/>
      <c r="AY177" s="1183"/>
      <c r="AZ177" s="1183"/>
      <c r="BA177" s="1183"/>
      <c r="BB177" s="1183"/>
      <c r="BC177" s="1183"/>
      <c r="BD177" s="1183"/>
      <c r="BE177" s="1183"/>
      <c r="BF177" s="1183"/>
      <c r="BG177" s="1183"/>
      <c r="BH177" s="1183"/>
      <c r="BI177" s="1183"/>
      <c r="BJ177" s="1183"/>
      <c r="BK177" s="1183"/>
      <c r="BL177" s="1183"/>
      <c r="BM177" s="1183"/>
      <c r="BN177" s="1183"/>
      <c r="BO177" s="1183"/>
      <c r="BP177" s="1183"/>
      <c r="BQ177" s="1183"/>
      <c r="BR177" s="1183"/>
      <c r="BS177" s="1183"/>
      <c r="BT177" s="1183"/>
      <c r="BU177" s="1183"/>
      <c r="BV177" s="1183"/>
      <c r="BW177" s="1183"/>
      <c r="BX177" s="1183"/>
      <c r="BY177" s="1183"/>
      <c r="BZ177" s="1183"/>
      <c r="CA177" s="1183"/>
      <c r="CB177" s="1183"/>
      <c r="CC177" s="1183"/>
      <c r="CD177" s="1183"/>
      <c r="CE177" s="1183"/>
      <c r="CF177" s="1183"/>
      <c r="CG177" s="1183"/>
      <c r="CH177" s="1183"/>
      <c r="CI177" s="1183"/>
      <c r="CJ177" s="1183"/>
      <c r="CK177" s="1183"/>
      <c r="CL177" s="1183"/>
      <c r="CM177" s="1183"/>
      <c r="CN177" s="1183"/>
      <c r="CO177" s="1183"/>
      <c r="CP177" s="1183"/>
      <c r="CQ177" s="1183"/>
      <c r="CR177" s="1183"/>
      <c r="CS177" s="1183"/>
      <c r="CT177" s="1183"/>
      <c r="CU177" s="1183"/>
      <c r="CV177" s="1183"/>
      <c r="CW177" s="1183"/>
      <c r="CX177" s="1158"/>
      <c r="CY177" s="1158"/>
      <c r="CZ177" s="1158"/>
      <c r="DA177" s="1159"/>
      <c r="DB177" s="1156"/>
    </row>
    <row r="178" spans="2:106" s="1152" customFormat="1" ht="11.25" customHeight="1">
      <c r="B178" s="1157"/>
      <c r="C178" s="1183"/>
      <c r="D178" s="1183"/>
      <c r="E178" s="1183"/>
      <c r="F178" s="1183"/>
      <c r="G178" s="1183"/>
      <c r="H178" s="1183"/>
      <c r="I178" s="1183"/>
      <c r="J178" s="1183"/>
      <c r="K178" s="1183"/>
      <c r="L178" s="1183"/>
      <c r="M178" s="1183"/>
      <c r="N178" s="1183"/>
      <c r="O178" s="1183"/>
      <c r="P178" s="1183"/>
      <c r="Q178" s="1183"/>
      <c r="R178" s="1183"/>
      <c r="S178" s="1183"/>
      <c r="T178" s="1183"/>
      <c r="U178" s="1183"/>
      <c r="V178" s="1183"/>
      <c r="W178" s="1183"/>
      <c r="X178" s="1183"/>
      <c r="Y178" s="1183"/>
      <c r="Z178" s="1183"/>
      <c r="AA178" s="1183"/>
      <c r="AB178" s="1183"/>
      <c r="AC178" s="1183"/>
      <c r="AD178" s="1183"/>
      <c r="AE178" s="1183"/>
      <c r="AF178" s="1183"/>
      <c r="AG178" s="1183"/>
      <c r="AH178" s="1183"/>
      <c r="AI178" s="1183"/>
      <c r="AJ178" s="1183"/>
      <c r="AK178" s="1183"/>
      <c r="AL178" s="1183"/>
      <c r="AM178" s="1183"/>
      <c r="AN178" s="1183"/>
      <c r="AO178" s="1183"/>
      <c r="AP178" s="1183"/>
      <c r="AQ178" s="1183"/>
      <c r="AR178" s="1183"/>
      <c r="AS178" s="1183"/>
      <c r="AT178" s="1183"/>
      <c r="AU178" s="1183"/>
      <c r="AV178" s="1183"/>
      <c r="AW178" s="1183"/>
      <c r="AX178" s="1183"/>
      <c r="AY178" s="1183"/>
      <c r="AZ178" s="1183"/>
      <c r="BA178" s="1183"/>
      <c r="BB178" s="1183"/>
      <c r="BC178" s="1183"/>
      <c r="BD178" s="1183"/>
      <c r="BE178" s="1183"/>
      <c r="BF178" s="1183"/>
      <c r="BG178" s="1183"/>
      <c r="BH178" s="1183"/>
      <c r="BI178" s="1183"/>
      <c r="BJ178" s="1183"/>
      <c r="BK178" s="1183"/>
      <c r="BL178" s="1183"/>
      <c r="BM178" s="1183"/>
      <c r="BN178" s="1183"/>
      <c r="BO178" s="1183"/>
      <c r="BP178" s="1183"/>
      <c r="BQ178" s="1183"/>
      <c r="BR178" s="1183"/>
      <c r="BS178" s="1183"/>
      <c r="BT178" s="1183"/>
      <c r="BU178" s="1183"/>
      <c r="BV178" s="1183"/>
      <c r="BW178" s="1183"/>
      <c r="BX178" s="1183"/>
      <c r="BY178" s="1183"/>
      <c r="BZ178" s="1183"/>
      <c r="CA178" s="1183"/>
      <c r="CB178" s="1183"/>
      <c r="CC178" s="1183"/>
      <c r="CD178" s="1183"/>
      <c r="CE178" s="1183"/>
      <c r="CF178" s="1183"/>
      <c r="CG178" s="1183"/>
      <c r="CH178" s="1183"/>
      <c r="CI178" s="1183"/>
      <c r="CJ178" s="1183"/>
      <c r="CK178" s="1183"/>
      <c r="CL178" s="1183"/>
      <c r="CM178" s="1183"/>
      <c r="CN178" s="1183"/>
      <c r="CO178" s="1183"/>
      <c r="CP178" s="1183"/>
      <c r="CQ178" s="1183"/>
      <c r="CR178" s="1183"/>
      <c r="CS178" s="1183"/>
      <c r="CT178" s="1183"/>
      <c r="CU178" s="1183"/>
      <c r="CV178" s="1183"/>
      <c r="CW178" s="1183"/>
      <c r="CX178" s="1158"/>
      <c r="CY178" s="1158"/>
      <c r="CZ178" s="1158"/>
      <c r="DA178" s="1159"/>
      <c r="DB178" s="1156"/>
    </row>
    <row r="179" spans="2:106" s="1152" customFormat="1" ht="11.25" customHeight="1">
      <c r="B179" s="1157"/>
      <c r="C179" s="1183"/>
      <c r="D179" s="1183"/>
      <c r="E179" s="1183"/>
      <c r="F179" s="1183"/>
      <c r="G179" s="1183" t="s">
        <v>78</v>
      </c>
      <c r="H179" s="1183"/>
      <c r="I179" s="1183"/>
      <c r="J179" s="1183"/>
      <c r="K179" s="1183"/>
      <c r="L179" s="1183"/>
      <c r="M179" s="1183"/>
      <c r="N179" s="1183"/>
      <c r="O179" s="1183"/>
      <c r="P179" s="1183"/>
      <c r="Q179" s="1183"/>
      <c r="R179" s="1183" t="s">
        <v>217</v>
      </c>
      <c r="S179" s="1183"/>
      <c r="T179" s="1536">
        <f>VLOOKUP($G179,인건비!A:B,2,FALSE)</f>
        <v>274873</v>
      </c>
      <c r="U179" s="1536"/>
      <c r="V179" s="1536"/>
      <c r="W179" s="1536"/>
      <c r="X179" s="1536"/>
      <c r="Y179" s="1536"/>
      <c r="Z179" s="1536"/>
      <c r="AA179" s="1536"/>
      <c r="AB179" s="1536"/>
      <c r="AC179" s="1183"/>
      <c r="AD179" s="1183" t="s">
        <v>975</v>
      </c>
      <c r="AE179" s="1183"/>
      <c r="AF179" s="1183"/>
      <c r="AG179" s="1183" t="str">
        <f>TEXT(3,"#,##0.#######")</f>
        <v>3.</v>
      </c>
      <c r="AH179" s="1183"/>
      <c r="AI179" s="1183" t="s">
        <v>181</v>
      </c>
      <c r="AJ179" s="1183"/>
      <c r="AK179" s="1183"/>
      <c r="AL179" s="1183" t="s">
        <v>1021</v>
      </c>
      <c r="AM179" s="1183"/>
      <c r="AN179" s="1183"/>
      <c r="AO179" s="1183" t="s">
        <v>1106</v>
      </c>
      <c r="AP179" s="1183"/>
      <c r="AQ179" s="1183"/>
      <c r="AR179" s="1183" t="s">
        <v>227</v>
      </c>
      <c r="AS179" s="1183"/>
      <c r="AT179" s="1183" t="str">
        <f>TEXT(T179,"#,##0.#######")</f>
        <v>274,873.</v>
      </c>
      <c r="AU179" s="1183"/>
      <c r="AV179" s="1183"/>
      <c r="AW179" s="1183"/>
      <c r="AX179" s="1183"/>
      <c r="AY179" s="1183"/>
      <c r="AZ179" s="1183"/>
      <c r="BA179" s="1183"/>
      <c r="BB179" s="1183" t="s">
        <v>975</v>
      </c>
      <c r="BC179" s="1183"/>
      <c r="BD179" s="1183"/>
      <c r="BE179" s="1183" t="str">
        <f>TEXT(AG179,"#,##0.#######")</f>
        <v>3.</v>
      </c>
      <c r="BF179" s="1183"/>
      <c r="BG179" s="1183" t="s">
        <v>1021</v>
      </c>
      <c r="BH179" s="1183"/>
      <c r="BI179" s="1183"/>
      <c r="BJ179" s="1183" t="str">
        <f>TEXT(AA168,"#,##0.#######")</f>
        <v>260.</v>
      </c>
      <c r="BK179" s="1183"/>
      <c r="BL179" s="1183"/>
      <c r="BM179" s="1183"/>
      <c r="BN179" s="1183" t="s">
        <v>227</v>
      </c>
      <c r="BO179" s="1183"/>
      <c r="BP179" s="1183"/>
      <c r="BQ179" s="1183" t="str">
        <f>TEXT(TRUNC(T179*AG179/AA168,1),"#,##0.#######")</f>
        <v>3,171.6</v>
      </c>
      <c r="BR179" s="1183"/>
      <c r="BS179" s="1183"/>
      <c r="BT179" s="1183"/>
      <c r="BU179" s="1183"/>
      <c r="BV179" s="1183"/>
      <c r="BW179" s="1183"/>
      <c r="BX179" s="1183"/>
      <c r="BY179" s="1183"/>
      <c r="BZ179" s="1183"/>
      <c r="CA179" s="1183"/>
      <c r="CB179" s="1183"/>
      <c r="CC179" s="1183"/>
      <c r="CD179" s="1183"/>
      <c r="CE179" s="1183"/>
      <c r="CF179" s="1183"/>
      <c r="CG179" s="1183"/>
      <c r="CH179" s="1183"/>
      <c r="CI179" s="1183"/>
      <c r="CJ179" s="1183"/>
      <c r="CK179" s="1183"/>
      <c r="CL179" s="1183"/>
      <c r="CM179" s="1183"/>
      <c r="CN179" s="1183"/>
      <c r="CO179" s="1183"/>
      <c r="CP179" s="1183"/>
      <c r="CQ179" s="1183"/>
      <c r="CR179" s="1183"/>
      <c r="CS179" s="1183"/>
      <c r="CT179" s="1183"/>
      <c r="CU179" s="1183"/>
      <c r="CV179" s="1183"/>
      <c r="CW179" s="1183"/>
      <c r="CX179" s="1158"/>
      <c r="CY179" s="1158"/>
      <c r="CZ179" s="1158"/>
      <c r="DA179" s="1159"/>
      <c r="DB179" s="1156"/>
    </row>
    <row r="180" spans="2:106" s="1152" customFormat="1" ht="11.25" customHeight="1">
      <c r="B180" s="1157"/>
      <c r="C180" s="1183"/>
      <c r="D180" s="1183"/>
      <c r="E180" s="1183"/>
      <c r="F180" s="1183"/>
      <c r="G180" s="1183"/>
      <c r="H180" s="1183"/>
      <c r="I180" s="1183"/>
      <c r="J180" s="1183"/>
      <c r="K180" s="1183"/>
      <c r="L180" s="1183"/>
      <c r="M180" s="1183"/>
      <c r="N180" s="1183"/>
      <c r="O180" s="1183"/>
      <c r="P180" s="1183"/>
      <c r="Q180" s="1183"/>
      <c r="R180" s="1183"/>
      <c r="S180" s="1183"/>
      <c r="T180" s="1183"/>
      <c r="U180" s="1183"/>
      <c r="V180" s="1183"/>
      <c r="W180" s="1183"/>
      <c r="X180" s="1183"/>
      <c r="Y180" s="1183"/>
      <c r="Z180" s="1183"/>
      <c r="AA180" s="1183"/>
      <c r="AB180" s="1183"/>
      <c r="AC180" s="1183"/>
      <c r="AD180" s="1183"/>
      <c r="AE180" s="1183"/>
      <c r="AF180" s="1183"/>
      <c r="AG180" s="1183"/>
      <c r="AH180" s="1183"/>
      <c r="AI180" s="1183"/>
      <c r="AJ180" s="1183"/>
      <c r="AK180" s="1183"/>
      <c r="AL180" s="1183"/>
      <c r="AM180" s="1183"/>
      <c r="AN180" s="1183"/>
      <c r="AO180" s="1183"/>
      <c r="AP180" s="1183"/>
      <c r="AQ180" s="1183"/>
      <c r="AR180" s="1183"/>
      <c r="AS180" s="1183"/>
      <c r="AT180" s="1183"/>
      <c r="AU180" s="1183"/>
      <c r="AV180" s="1183"/>
      <c r="AW180" s="1183"/>
      <c r="AX180" s="1183"/>
      <c r="AY180" s="1183"/>
      <c r="AZ180" s="1183"/>
      <c r="BA180" s="1183"/>
      <c r="BB180" s="1183"/>
      <c r="BC180" s="1183"/>
      <c r="BD180" s="1183"/>
      <c r="BE180" s="1183"/>
      <c r="BF180" s="1183"/>
      <c r="BG180" s="1183"/>
      <c r="BH180" s="1183"/>
      <c r="BI180" s="1183"/>
      <c r="BJ180" s="1183"/>
      <c r="BK180" s="1183"/>
      <c r="BL180" s="1183"/>
      <c r="BM180" s="1183"/>
      <c r="BN180" s="1183"/>
      <c r="BO180" s="1183"/>
      <c r="BP180" s="1183"/>
      <c r="BQ180" s="1183"/>
      <c r="BR180" s="1183"/>
      <c r="BS180" s="1183"/>
      <c r="BT180" s="1183"/>
      <c r="BU180" s="1183"/>
      <c r="BV180" s="1183"/>
      <c r="BW180" s="1183"/>
      <c r="BX180" s="1183"/>
      <c r="BY180" s="1183"/>
      <c r="BZ180" s="1183"/>
      <c r="CA180" s="1183"/>
      <c r="CB180" s="1183"/>
      <c r="CC180" s="1183"/>
      <c r="CD180" s="1183"/>
      <c r="CE180" s="1183"/>
      <c r="CF180" s="1183"/>
      <c r="CG180" s="1183"/>
      <c r="CH180" s="1183"/>
      <c r="CI180" s="1183"/>
      <c r="CJ180" s="1183"/>
      <c r="CK180" s="1183"/>
      <c r="CL180" s="1183"/>
      <c r="CM180" s="1183"/>
      <c r="CN180" s="1183"/>
      <c r="CO180" s="1183"/>
      <c r="CP180" s="1183"/>
      <c r="CQ180" s="1183"/>
      <c r="CR180" s="1183"/>
      <c r="CS180" s="1183"/>
      <c r="CT180" s="1183"/>
      <c r="CU180" s="1183"/>
      <c r="CV180" s="1183"/>
      <c r="CW180" s="1183"/>
      <c r="CX180" s="1158"/>
      <c r="CY180" s="1158"/>
      <c r="CZ180" s="1158"/>
      <c r="DA180" s="1159"/>
      <c r="DB180" s="1156"/>
    </row>
    <row r="181" spans="2:106" s="1152" customFormat="1" ht="11.25" customHeight="1">
      <c r="B181" s="1157"/>
      <c r="C181" s="1183"/>
      <c r="D181" s="1183"/>
      <c r="E181" s="1183"/>
      <c r="F181" s="1183"/>
      <c r="G181" s="1183" t="s">
        <v>199</v>
      </c>
      <c r="H181" s="1183"/>
      <c r="I181" s="1183"/>
      <c r="J181" s="1183"/>
      <c r="K181" s="1183"/>
      <c r="L181" s="1183"/>
      <c r="M181" s="1183"/>
      <c r="N181" s="1183"/>
      <c r="O181" s="1183"/>
      <c r="P181" s="1183"/>
      <c r="Q181" s="1183"/>
      <c r="R181" s="1183" t="s">
        <v>217</v>
      </c>
      <c r="S181" s="1183"/>
      <c r="T181" s="1536">
        <f>VLOOKUP($G181,인건비!A:B,2,FALSE)</f>
        <v>228717</v>
      </c>
      <c r="U181" s="1536"/>
      <c r="V181" s="1536"/>
      <c r="W181" s="1536"/>
      <c r="X181" s="1536"/>
      <c r="Y181" s="1536"/>
      <c r="Z181" s="1536"/>
      <c r="AA181" s="1536"/>
      <c r="AB181" s="1536"/>
      <c r="AC181" s="1183"/>
      <c r="AD181" s="1183" t="s">
        <v>975</v>
      </c>
      <c r="AE181" s="1183"/>
      <c r="AF181" s="1183"/>
      <c r="AG181" s="1183" t="str">
        <f>TEXT(2,"#,##0.#######")</f>
        <v>2.</v>
      </c>
      <c r="AH181" s="1183"/>
      <c r="AI181" s="1183" t="s">
        <v>181</v>
      </c>
      <c r="AJ181" s="1183"/>
      <c r="AK181" s="1183"/>
      <c r="AL181" s="1183" t="s">
        <v>1021</v>
      </c>
      <c r="AM181" s="1183"/>
      <c r="AN181" s="1183"/>
      <c r="AO181" s="1183" t="s">
        <v>1106</v>
      </c>
      <c r="AP181" s="1183"/>
      <c r="AQ181" s="1183"/>
      <c r="AR181" s="1183" t="s">
        <v>227</v>
      </c>
      <c r="AS181" s="1183"/>
      <c r="AT181" s="1183" t="str">
        <f>TEXT(T181,"#,##0.#######")</f>
        <v>228,717.</v>
      </c>
      <c r="AU181" s="1183"/>
      <c r="AV181" s="1183"/>
      <c r="AW181" s="1183"/>
      <c r="AX181" s="1183"/>
      <c r="AY181" s="1183"/>
      <c r="AZ181" s="1183"/>
      <c r="BA181" s="1183"/>
      <c r="BB181" s="1183" t="s">
        <v>975</v>
      </c>
      <c r="BC181" s="1183"/>
      <c r="BD181" s="1183"/>
      <c r="BE181" s="1183" t="str">
        <f>TEXT(AG181,"#,##0.#######")</f>
        <v>2.</v>
      </c>
      <c r="BF181" s="1183"/>
      <c r="BG181" s="1183" t="s">
        <v>1021</v>
      </c>
      <c r="BH181" s="1183"/>
      <c r="BI181" s="1183"/>
      <c r="BJ181" s="1183" t="str">
        <f>TEXT(AA168,"#,##0.#######")</f>
        <v>260.</v>
      </c>
      <c r="BK181" s="1183"/>
      <c r="BL181" s="1183"/>
      <c r="BM181" s="1183"/>
      <c r="BN181" s="1183" t="s">
        <v>227</v>
      </c>
      <c r="BO181" s="1183"/>
      <c r="BP181" s="1183"/>
      <c r="BQ181" s="1183" t="str">
        <f>TEXT(TRUNC(T181*AG181/AA168,1),"#,##0.#######")</f>
        <v>1,759.3</v>
      </c>
      <c r="BR181" s="1183"/>
      <c r="BS181" s="1183"/>
      <c r="BT181" s="1183"/>
      <c r="BU181" s="1183"/>
      <c r="BV181" s="1183"/>
      <c r="BW181" s="1183"/>
      <c r="BX181" s="1183"/>
      <c r="BY181" s="1183"/>
      <c r="BZ181" s="1183"/>
      <c r="CA181" s="1183"/>
      <c r="CB181" s="1183"/>
      <c r="CC181" s="1183"/>
      <c r="CD181" s="1183"/>
      <c r="CE181" s="1183"/>
      <c r="CF181" s="1183"/>
      <c r="CG181" s="1183"/>
      <c r="CH181" s="1183"/>
      <c r="CI181" s="1183"/>
      <c r="CJ181" s="1183"/>
      <c r="CK181" s="1183"/>
      <c r="CL181" s="1183"/>
      <c r="CM181" s="1183"/>
      <c r="CN181" s="1183"/>
      <c r="CO181" s="1183"/>
      <c r="CP181" s="1183"/>
      <c r="CQ181" s="1183"/>
      <c r="CR181" s="1183"/>
      <c r="CS181" s="1183"/>
      <c r="CT181" s="1183"/>
      <c r="CU181" s="1183"/>
      <c r="CV181" s="1183"/>
      <c r="CW181" s="1183"/>
      <c r="CX181" s="1158"/>
      <c r="CY181" s="1158"/>
      <c r="CZ181" s="1158"/>
      <c r="DA181" s="1159"/>
      <c r="DB181" s="1156"/>
    </row>
    <row r="182" spans="2:106" s="1152" customFormat="1" ht="11.25" customHeight="1">
      <c r="B182" s="1157"/>
      <c r="C182" s="1183"/>
      <c r="D182" s="1183"/>
      <c r="E182" s="1183"/>
      <c r="F182" s="1183"/>
      <c r="G182" s="1183"/>
      <c r="H182" s="1183"/>
      <c r="I182" s="1183"/>
      <c r="J182" s="1183"/>
      <c r="K182" s="1183"/>
      <c r="L182" s="1183"/>
      <c r="M182" s="1183"/>
      <c r="N182" s="1183"/>
      <c r="O182" s="1183"/>
      <c r="P182" s="1183"/>
      <c r="Q182" s="1183"/>
      <c r="R182" s="1183"/>
      <c r="S182" s="1183"/>
      <c r="T182" s="1183"/>
      <c r="U182" s="1183"/>
      <c r="V182" s="1183"/>
      <c r="W182" s="1183"/>
      <c r="X182" s="1183"/>
      <c r="Y182" s="1183"/>
      <c r="Z182" s="1183"/>
      <c r="AA182" s="1183"/>
      <c r="AB182" s="1183"/>
      <c r="AC182" s="1183"/>
      <c r="AD182" s="1183"/>
      <c r="AE182" s="1183"/>
      <c r="AF182" s="1183"/>
      <c r="AG182" s="1183"/>
      <c r="AH182" s="1183"/>
      <c r="AI182" s="1183"/>
      <c r="AJ182" s="1183"/>
      <c r="AK182" s="1183"/>
      <c r="AL182" s="1183"/>
      <c r="AM182" s="1183"/>
      <c r="AN182" s="1183"/>
      <c r="AO182" s="1183"/>
      <c r="AP182" s="1183"/>
      <c r="AQ182" s="1183"/>
      <c r="AR182" s="1183"/>
      <c r="AS182" s="1183"/>
      <c r="AT182" s="1183"/>
      <c r="AU182" s="1183"/>
      <c r="AV182" s="1183"/>
      <c r="AW182" s="1183"/>
      <c r="AX182" s="1183"/>
      <c r="AY182" s="1183"/>
      <c r="AZ182" s="1183"/>
      <c r="BA182" s="1183"/>
      <c r="BB182" s="1183"/>
      <c r="BC182" s="1183"/>
      <c r="BD182" s="1183"/>
      <c r="BE182" s="1183"/>
      <c r="BF182" s="1183"/>
      <c r="BG182" s="1183"/>
      <c r="BH182" s="1183"/>
      <c r="BI182" s="1183"/>
      <c r="BJ182" s="1183"/>
      <c r="BK182" s="1183"/>
      <c r="BL182" s="1183"/>
      <c r="BM182" s="1183"/>
      <c r="BN182" s="1183"/>
      <c r="BO182" s="1183"/>
      <c r="BP182" s="1183"/>
      <c r="BQ182" s="1183"/>
      <c r="BR182" s="1183"/>
      <c r="BS182" s="1183"/>
      <c r="BT182" s="1183"/>
      <c r="BU182" s="1183"/>
      <c r="BV182" s="1183"/>
      <c r="BW182" s="1183"/>
      <c r="BX182" s="1183"/>
      <c r="BY182" s="1183"/>
      <c r="BZ182" s="1183"/>
      <c r="CA182" s="1183"/>
      <c r="CB182" s="1183"/>
      <c r="CC182" s="1183"/>
      <c r="CD182" s="1183"/>
      <c r="CE182" s="1183"/>
      <c r="CF182" s="1183"/>
      <c r="CG182" s="1183"/>
      <c r="CH182" s="1183"/>
      <c r="CI182" s="1183"/>
      <c r="CJ182" s="1183"/>
      <c r="CK182" s="1183"/>
      <c r="CL182" s="1183"/>
      <c r="CM182" s="1183"/>
      <c r="CN182" s="1183"/>
      <c r="CO182" s="1183"/>
      <c r="CP182" s="1183"/>
      <c r="CQ182" s="1183"/>
      <c r="CR182" s="1183"/>
      <c r="CS182" s="1183"/>
      <c r="CT182" s="1183"/>
      <c r="CU182" s="1183"/>
      <c r="CV182" s="1183"/>
      <c r="CW182" s="1183"/>
      <c r="CX182" s="1158"/>
      <c r="CY182" s="1158"/>
      <c r="CZ182" s="1158"/>
      <c r="DA182" s="1159"/>
      <c r="DB182" s="1156"/>
    </row>
    <row r="183" spans="2:106" s="1152" customFormat="1" ht="11.25" customHeight="1">
      <c r="B183" s="1157"/>
      <c r="C183" s="1183"/>
      <c r="D183" s="1183"/>
      <c r="E183" s="1183"/>
      <c r="F183" s="1183"/>
      <c r="G183" s="1183" t="s">
        <v>182</v>
      </c>
      <c r="H183" s="1183"/>
      <c r="I183" s="1183"/>
      <c r="J183" s="1183"/>
      <c r="K183" s="1183"/>
      <c r="L183" s="1183"/>
      <c r="M183" s="1183"/>
      <c r="N183" s="1183"/>
      <c r="O183" s="1183"/>
      <c r="P183" s="1183"/>
      <c r="Q183" s="1183"/>
      <c r="R183" s="1183" t="s">
        <v>217</v>
      </c>
      <c r="S183" s="1183"/>
      <c r="T183" s="1536">
        <f>VLOOKUP($G183,인건비!A:B,2,FALSE)</f>
        <v>172698</v>
      </c>
      <c r="U183" s="1536"/>
      <c r="V183" s="1536"/>
      <c r="W183" s="1536"/>
      <c r="X183" s="1536"/>
      <c r="Y183" s="1536"/>
      <c r="Z183" s="1536"/>
      <c r="AA183" s="1536"/>
      <c r="AB183" s="1536"/>
      <c r="AC183" s="1183"/>
      <c r="AD183" s="1183" t="s">
        <v>975</v>
      </c>
      <c r="AE183" s="1183"/>
      <c r="AF183" s="1183"/>
      <c r="AG183" s="1183" t="str">
        <f>TEXT(2,"#,##0.#######")</f>
        <v>2.</v>
      </c>
      <c r="AH183" s="1183"/>
      <c r="AI183" s="1183" t="s">
        <v>181</v>
      </c>
      <c r="AJ183" s="1183"/>
      <c r="AK183" s="1183"/>
      <c r="AL183" s="1183" t="s">
        <v>1021</v>
      </c>
      <c r="AM183" s="1183"/>
      <c r="AN183" s="1183"/>
      <c r="AO183" s="1183" t="s">
        <v>1106</v>
      </c>
      <c r="AP183" s="1183"/>
      <c r="AQ183" s="1183"/>
      <c r="AR183" s="1183" t="s">
        <v>227</v>
      </c>
      <c r="AS183" s="1183"/>
      <c r="AT183" s="1183" t="str">
        <f>TEXT(T183,"#,##0.#######")</f>
        <v>172,698.</v>
      </c>
      <c r="AU183" s="1183"/>
      <c r="AV183" s="1183"/>
      <c r="AW183" s="1183"/>
      <c r="AX183" s="1183"/>
      <c r="AY183" s="1183"/>
      <c r="AZ183" s="1183"/>
      <c r="BA183" s="1183"/>
      <c r="BB183" s="1183" t="s">
        <v>975</v>
      </c>
      <c r="BC183" s="1183"/>
      <c r="BD183" s="1183"/>
      <c r="BE183" s="1183" t="str">
        <f>TEXT(AG183,"#,##0.#######")</f>
        <v>2.</v>
      </c>
      <c r="BF183" s="1183"/>
      <c r="BG183" s="1183" t="s">
        <v>1021</v>
      </c>
      <c r="BH183" s="1183"/>
      <c r="BI183" s="1183"/>
      <c r="BJ183" s="1183" t="str">
        <f>TEXT(AA168,"#,##0.#######")</f>
        <v>260.</v>
      </c>
      <c r="BK183" s="1183"/>
      <c r="BL183" s="1183"/>
      <c r="BM183" s="1183"/>
      <c r="BN183" s="1183" t="s">
        <v>227</v>
      </c>
      <c r="BO183" s="1183"/>
      <c r="BP183" s="1183"/>
      <c r="BQ183" s="1183" t="str">
        <f>TEXT(TRUNC(T183*AG183/AA168,1),"#,##0.#######")</f>
        <v>1,328.4</v>
      </c>
      <c r="BR183" s="1183"/>
      <c r="BS183" s="1183"/>
      <c r="BT183" s="1183"/>
      <c r="BU183" s="1183"/>
      <c r="BV183" s="1183"/>
      <c r="BW183" s="1183"/>
      <c r="BX183" s="1183"/>
      <c r="BY183" s="1183"/>
      <c r="BZ183" s="1183"/>
      <c r="CA183" s="1183"/>
      <c r="CB183" s="1183"/>
      <c r="CC183" s="1183"/>
      <c r="CD183" s="1183"/>
      <c r="CE183" s="1183"/>
      <c r="CF183" s="1183"/>
      <c r="CG183" s="1183"/>
      <c r="CH183" s="1183"/>
      <c r="CI183" s="1183"/>
      <c r="CJ183" s="1183"/>
      <c r="CK183" s="1183"/>
      <c r="CL183" s="1183"/>
      <c r="CM183" s="1183"/>
      <c r="CN183" s="1183"/>
      <c r="CO183" s="1183"/>
      <c r="CP183" s="1183"/>
      <c r="CQ183" s="1183"/>
      <c r="CR183" s="1183"/>
      <c r="CS183" s="1183"/>
      <c r="CT183" s="1183"/>
      <c r="CU183" s="1183"/>
      <c r="CV183" s="1183"/>
      <c r="CW183" s="1183"/>
      <c r="CX183" s="1158"/>
      <c r="CY183" s="1158"/>
      <c r="CZ183" s="1158"/>
      <c r="DA183" s="1159"/>
      <c r="DB183" s="1156"/>
    </row>
    <row r="184" spans="2:106" s="1152" customFormat="1" ht="11.25" customHeight="1">
      <c r="B184" s="1157"/>
      <c r="C184" s="1183"/>
      <c r="D184" s="1183"/>
      <c r="E184" s="1183"/>
      <c r="F184" s="1183"/>
      <c r="G184" s="1183"/>
      <c r="H184" s="1183"/>
      <c r="I184" s="1183"/>
      <c r="J184" s="1183"/>
      <c r="K184" s="1183"/>
      <c r="L184" s="1183"/>
      <c r="M184" s="1183"/>
      <c r="N184" s="1183"/>
      <c r="O184" s="1183"/>
      <c r="P184" s="1183"/>
      <c r="Q184" s="1183"/>
      <c r="R184" s="1183"/>
      <c r="S184" s="1183"/>
      <c r="T184" s="1183"/>
      <c r="U184" s="1183"/>
      <c r="V184" s="1183"/>
      <c r="W184" s="1183"/>
      <c r="X184" s="1183"/>
      <c r="Y184" s="1183"/>
      <c r="Z184" s="1183"/>
      <c r="AA184" s="1183"/>
      <c r="AB184" s="1183"/>
      <c r="AC184" s="1183"/>
      <c r="AD184" s="1183"/>
      <c r="AE184" s="1183"/>
      <c r="AF184" s="1183"/>
      <c r="AG184" s="1183"/>
      <c r="AH184" s="1183"/>
      <c r="AI184" s="1183"/>
      <c r="AJ184" s="1183"/>
      <c r="AK184" s="1183"/>
      <c r="AL184" s="1183"/>
      <c r="AM184" s="1183"/>
      <c r="AN184" s="1183"/>
      <c r="AO184" s="1183"/>
      <c r="AP184" s="1183"/>
      <c r="AQ184" s="1183"/>
      <c r="AR184" s="1183"/>
      <c r="AS184" s="1183"/>
      <c r="AT184" s="1183"/>
      <c r="AU184" s="1183"/>
      <c r="AV184" s="1183"/>
      <c r="AW184" s="1183"/>
      <c r="AX184" s="1183"/>
      <c r="AY184" s="1183"/>
      <c r="AZ184" s="1183"/>
      <c r="BA184" s="1183"/>
      <c r="BB184" s="1183"/>
      <c r="BC184" s="1183"/>
      <c r="BD184" s="1183"/>
      <c r="BE184" s="1183"/>
      <c r="BF184" s="1183"/>
      <c r="BG184" s="1183"/>
      <c r="BH184" s="1183"/>
      <c r="BI184" s="1183"/>
      <c r="BJ184" s="1183"/>
      <c r="BK184" s="1183"/>
      <c r="BL184" s="1183"/>
      <c r="BM184" s="1183"/>
      <c r="BN184" s="1183"/>
      <c r="BO184" s="1183"/>
      <c r="BP184" s="1183"/>
      <c r="BQ184" s="1183"/>
      <c r="BR184" s="1183"/>
      <c r="BS184" s="1183"/>
      <c r="BT184" s="1183"/>
      <c r="BU184" s="1183"/>
      <c r="BV184" s="1183"/>
      <c r="BW184" s="1183"/>
      <c r="BX184" s="1183"/>
      <c r="BY184" s="1183"/>
      <c r="BZ184" s="1183"/>
      <c r="CA184" s="1183"/>
      <c r="CB184" s="1183"/>
      <c r="CC184" s="1183"/>
      <c r="CD184" s="1183"/>
      <c r="CE184" s="1183"/>
      <c r="CF184" s="1183"/>
      <c r="CG184" s="1183"/>
      <c r="CH184" s="1183"/>
      <c r="CI184" s="1183"/>
      <c r="CJ184" s="1183"/>
      <c r="CK184" s="1183"/>
      <c r="CL184" s="1183"/>
      <c r="CM184" s="1183"/>
      <c r="CN184" s="1183"/>
      <c r="CO184" s="1183"/>
      <c r="CP184" s="1183"/>
      <c r="CQ184" s="1183"/>
      <c r="CR184" s="1183"/>
      <c r="CS184" s="1183"/>
      <c r="CT184" s="1183"/>
      <c r="CU184" s="1183"/>
      <c r="CV184" s="1183"/>
      <c r="CW184" s="1183"/>
      <c r="CX184" s="1158"/>
      <c r="CY184" s="1158"/>
      <c r="CZ184" s="1158"/>
      <c r="DA184" s="1159"/>
      <c r="DB184" s="1156"/>
    </row>
    <row r="185" spans="2:106" s="1152" customFormat="1" ht="11.25" customHeight="1">
      <c r="B185" s="1161"/>
      <c r="C185" s="1162"/>
      <c r="D185" s="1162"/>
      <c r="E185" s="1162"/>
      <c r="F185" s="1162"/>
      <c r="G185" s="1162" t="s">
        <v>1060</v>
      </c>
      <c r="H185" s="1162"/>
      <c r="I185" s="1162"/>
      <c r="J185" s="1162"/>
      <c r="K185" s="1162"/>
      <c r="L185" s="1162"/>
      <c r="M185" s="1162"/>
      <c r="N185" s="1162"/>
      <c r="O185" s="1162"/>
      <c r="P185" s="1162" t="s">
        <v>217</v>
      </c>
      <c r="Q185" s="1162"/>
      <c r="R185" s="1162" t="str">
        <f>TEXT(TRUNC(BQ179+BQ181+BQ183,1),"#,##0.#######")</f>
        <v>6,259.3</v>
      </c>
      <c r="S185" s="1162"/>
      <c r="T185" s="1162"/>
      <c r="U185" s="1162"/>
      <c r="V185" s="1162"/>
      <c r="W185" s="1162"/>
      <c r="X185" s="1162"/>
      <c r="Y185" s="1162"/>
      <c r="Z185" s="1162"/>
      <c r="AA185" s="1162"/>
      <c r="AB185" s="1162"/>
      <c r="AC185" s="1162"/>
      <c r="AD185" s="1162"/>
      <c r="AE185" s="1162"/>
      <c r="AF185" s="1162"/>
      <c r="AG185" s="1162"/>
      <c r="AH185" s="1162"/>
      <c r="AI185" s="1162"/>
      <c r="AJ185" s="1162"/>
      <c r="AK185" s="1162"/>
      <c r="AL185" s="1162"/>
      <c r="AM185" s="1162"/>
      <c r="AN185" s="1162"/>
      <c r="AO185" s="1162"/>
      <c r="AP185" s="1162"/>
      <c r="AQ185" s="1162"/>
      <c r="AR185" s="1162"/>
      <c r="AS185" s="1162"/>
      <c r="AT185" s="1162"/>
      <c r="AU185" s="1162"/>
      <c r="AV185" s="1162"/>
      <c r="AW185" s="1162"/>
      <c r="AX185" s="1162"/>
      <c r="AY185" s="1162"/>
      <c r="AZ185" s="1162"/>
      <c r="BA185" s="1162"/>
      <c r="BB185" s="1162"/>
      <c r="BC185" s="1162"/>
      <c r="BD185" s="1162"/>
      <c r="BE185" s="1162"/>
      <c r="BF185" s="1162"/>
      <c r="BG185" s="1162"/>
      <c r="BH185" s="1162"/>
      <c r="BI185" s="1162"/>
      <c r="BJ185" s="1162"/>
      <c r="BK185" s="1162"/>
      <c r="BL185" s="1162"/>
      <c r="BM185" s="1162"/>
      <c r="BN185" s="1162"/>
      <c r="BO185" s="1162"/>
      <c r="BP185" s="1162"/>
      <c r="BQ185" s="1162"/>
      <c r="BR185" s="1162"/>
      <c r="BS185" s="1162"/>
      <c r="BT185" s="1162"/>
      <c r="BU185" s="1162"/>
      <c r="BV185" s="1162"/>
      <c r="BW185" s="1162"/>
      <c r="BX185" s="1162"/>
      <c r="BY185" s="1162"/>
      <c r="BZ185" s="1162"/>
      <c r="CA185" s="1162"/>
      <c r="CB185" s="1162"/>
      <c r="CC185" s="1162"/>
      <c r="CD185" s="1162"/>
      <c r="CE185" s="1162"/>
      <c r="CF185" s="1162"/>
      <c r="CG185" s="1162"/>
      <c r="CH185" s="1162"/>
      <c r="CI185" s="1162"/>
      <c r="CJ185" s="1162"/>
      <c r="CK185" s="1162"/>
      <c r="CL185" s="1162"/>
      <c r="CM185" s="1162"/>
      <c r="CN185" s="1162"/>
      <c r="CO185" s="1162"/>
      <c r="CP185" s="1162"/>
      <c r="CQ185" s="1162"/>
      <c r="CR185" s="1162"/>
      <c r="CS185" s="1162"/>
      <c r="CT185" s="1162"/>
      <c r="CU185" s="1162"/>
      <c r="CV185" s="1162"/>
      <c r="CW185" s="1162"/>
      <c r="CX185" s="1163"/>
      <c r="CY185" s="1163" t="str">
        <f>R185</f>
        <v>6,259.3</v>
      </c>
      <c r="CZ185" s="1163"/>
      <c r="DA185" s="1164"/>
      <c r="DB185" s="1156"/>
    </row>
    <row r="186" spans="2:106" s="1152" customFormat="1" ht="11.25" customHeight="1">
      <c r="B186" s="1179"/>
      <c r="C186" s="1180"/>
      <c r="D186" s="1180" t="s">
        <v>1034</v>
      </c>
      <c r="E186" s="1180"/>
      <c r="F186" s="1180"/>
      <c r="G186" s="1180" t="s">
        <v>1061</v>
      </c>
      <c r="H186" s="1180"/>
      <c r="I186" s="1180"/>
      <c r="J186" s="1180"/>
      <c r="K186" s="1180"/>
      <c r="L186" s="1180"/>
      <c r="M186" s="1180"/>
      <c r="N186" s="1180"/>
      <c r="O186" s="1180"/>
      <c r="P186" s="1180" t="s">
        <v>1062</v>
      </c>
      <c r="Q186" s="1180"/>
      <c r="R186" s="1180"/>
      <c r="S186" s="1180" t="s">
        <v>1063</v>
      </c>
      <c r="T186" s="1180"/>
      <c r="U186" s="1180"/>
      <c r="V186" s="1180"/>
      <c r="W186" s="1180"/>
      <c r="X186" s="1180"/>
      <c r="Y186" s="1180" t="s">
        <v>263</v>
      </c>
      <c r="Z186" s="1180" t="s">
        <v>1134</v>
      </c>
      <c r="AA186" s="1180"/>
      <c r="AB186" s="1180"/>
      <c r="AC186" s="1180"/>
      <c r="AD186" s="1180"/>
      <c r="AE186" s="1180"/>
      <c r="AF186" s="1180"/>
      <c r="AG186" s="1180" t="s">
        <v>1099</v>
      </c>
      <c r="AH186" s="1180"/>
      <c r="AI186" s="1180" t="s">
        <v>264</v>
      </c>
      <c r="AJ186" s="1180" t="s">
        <v>1031</v>
      </c>
      <c r="AK186" s="1180"/>
      <c r="AL186" s="1180"/>
      <c r="AM186" s="1180" t="s">
        <v>905</v>
      </c>
      <c r="AN186" s="1180"/>
      <c r="AO186" s="1180"/>
      <c r="AP186" s="1180"/>
      <c r="AQ186" s="1180"/>
      <c r="AR186" s="1180"/>
      <c r="AS186" s="1180"/>
      <c r="AT186" s="1180"/>
      <c r="AU186" s="1180"/>
      <c r="AV186" s="1180" t="s">
        <v>263</v>
      </c>
      <c r="AW186" s="1180" t="s">
        <v>1135</v>
      </c>
      <c r="AX186" s="1180"/>
      <c r="AY186" s="1180"/>
      <c r="AZ186" s="1180"/>
      <c r="BA186" s="1180"/>
      <c r="BB186" s="1180"/>
      <c r="BC186" s="1180"/>
      <c r="BD186" s="1180"/>
      <c r="BE186" s="1180"/>
      <c r="BF186" s="1180" t="s">
        <v>1089</v>
      </c>
      <c r="BG186" s="1180" t="s">
        <v>954</v>
      </c>
      <c r="BH186" s="1180" t="s">
        <v>264</v>
      </c>
      <c r="BI186" s="1180"/>
      <c r="BJ186" s="1180"/>
      <c r="BK186" s="1180"/>
      <c r="BL186" s="1180"/>
      <c r="BM186" s="1180"/>
      <c r="BN186" s="1180"/>
      <c r="BO186" s="1180"/>
      <c r="BP186" s="1180"/>
      <c r="BQ186" s="1180"/>
      <c r="BR186" s="1180"/>
      <c r="BS186" s="1180"/>
      <c r="BT186" s="1180"/>
      <c r="BU186" s="1180"/>
      <c r="BV186" s="1180"/>
      <c r="BW186" s="1180"/>
      <c r="BX186" s="1180"/>
      <c r="BY186" s="1180"/>
      <c r="BZ186" s="1180"/>
      <c r="CA186" s="1180"/>
      <c r="CB186" s="1180"/>
      <c r="CC186" s="1180"/>
      <c r="CD186" s="1180"/>
      <c r="CE186" s="1180"/>
      <c r="CF186" s="1180"/>
      <c r="CG186" s="1180"/>
      <c r="CH186" s="1180"/>
      <c r="CI186" s="1180"/>
      <c r="CJ186" s="1180"/>
      <c r="CK186" s="1180"/>
      <c r="CL186" s="1180"/>
      <c r="CM186" s="1180"/>
      <c r="CN186" s="1180"/>
      <c r="CO186" s="1180"/>
      <c r="CP186" s="1180"/>
      <c r="CQ186" s="1180"/>
      <c r="CR186" s="1180"/>
      <c r="CS186" s="1180"/>
      <c r="CT186" s="1180"/>
      <c r="CU186" s="1180"/>
      <c r="CV186" s="1180"/>
      <c r="CW186" s="1180"/>
      <c r="CX186" s="1181"/>
      <c r="CY186" s="1181"/>
      <c r="CZ186" s="1181"/>
      <c r="DA186" s="1182"/>
      <c r="DB186" s="1156"/>
    </row>
    <row r="187" spans="2:106" s="1152" customFormat="1" ht="11.25" customHeight="1">
      <c r="B187" s="1157"/>
      <c r="C187" s="1183"/>
      <c r="D187" s="1183"/>
      <c r="E187" s="1183"/>
      <c r="F187" s="1183"/>
      <c r="G187" s="1183"/>
      <c r="H187" s="1183"/>
      <c r="I187" s="1183"/>
      <c r="J187" s="1183"/>
      <c r="K187" s="1183"/>
      <c r="L187" s="1183"/>
      <c r="M187" s="1183"/>
      <c r="N187" s="1183"/>
      <c r="O187" s="1183"/>
      <c r="P187" s="1183"/>
      <c r="Q187" s="1183"/>
      <c r="R187" s="1183"/>
      <c r="S187" s="1183"/>
      <c r="T187" s="1183"/>
      <c r="U187" s="1183"/>
      <c r="V187" s="1183"/>
      <c r="W187" s="1183"/>
      <c r="X187" s="1183"/>
      <c r="Y187" s="1183"/>
      <c r="Z187" s="1183"/>
      <c r="AA187" s="1183"/>
      <c r="AB187" s="1183"/>
      <c r="AC187" s="1183"/>
      <c r="AD187" s="1183"/>
      <c r="AE187" s="1183"/>
      <c r="AF187" s="1183"/>
      <c r="AG187" s="1183"/>
      <c r="AH187" s="1183"/>
      <c r="AI187" s="1183"/>
      <c r="AJ187" s="1183"/>
      <c r="AK187" s="1183"/>
      <c r="AL187" s="1183"/>
      <c r="AM187" s="1183"/>
      <c r="AN187" s="1183"/>
      <c r="AO187" s="1183"/>
      <c r="AP187" s="1183"/>
      <c r="AQ187" s="1183"/>
      <c r="AR187" s="1183"/>
      <c r="AS187" s="1183"/>
      <c r="AT187" s="1183"/>
      <c r="AU187" s="1183"/>
      <c r="AV187" s="1183"/>
      <c r="AW187" s="1183"/>
      <c r="AX187" s="1183"/>
      <c r="AY187" s="1183"/>
      <c r="AZ187" s="1183"/>
      <c r="BA187" s="1183"/>
      <c r="BB187" s="1183"/>
      <c r="BC187" s="1183"/>
      <c r="BD187" s="1183"/>
      <c r="BE187" s="1183"/>
      <c r="BF187" s="1183"/>
      <c r="BG187" s="1183"/>
      <c r="BH187" s="1183"/>
      <c r="BI187" s="1183"/>
      <c r="BJ187" s="1183"/>
      <c r="BK187" s="1183"/>
      <c r="BL187" s="1183"/>
      <c r="BM187" s="1183"/>
      <c r="BN187" s="1183"/>
      <c r="BO187" s="1183"/>
      <c r="BP187" s="1183"/>
      <c r="BQ187" s="1183"/>
      <c r="BR187" s="1183"/>
      <c r="BS187" s="1183"/>
      <c r="BT187" s="1183"/>
      <c r="BU187" s="1183"/>
      <c r="BV187" s="1183"/>
      <c r="BW187" s="1183"/>
      <c r="BX187" s="1183"/>
      <c r="BY187" s="1183"/>
      <c r="BZ187" s="1183"/>
      <c r="CA187" s="1183"/>
      <c r="CB187" s="1183"/>
      <c r="CC187" s="1183"/>
      <c r="CD187" s="1183"/>
      <c r="CE187" s="1183"/>
      <c r="CF187" s="1183"/>
      <c r="CG187" s="1183"/>
      <c r="CH187" s="1183"/>
      <c r="CI187" s="1183"/>
      <c r="CJ187" s="1183"/>
      <c r="CK187" s="1183"/>
      <c r="CL187" s="1183"/>
      <c r="CM187" s="1183"/>
      <c r="CN187" s="1183"/>
      <c r="CO187" s="1183"/>
      <c r="CP187" s="1183"/>
      <c r="CQ187" s="1183"/>
      <c r="CR187" s="1183"/>
      <c r="CS187" s="1183"/>
      <c r="CT187" s="1183"/>
      <c r="CU187" s="1183"/>
      <c r="CV187" s="1183"/>
      <c r="CW187" s="1183"/>
      <c r="CX187" s="1158"/>
      <c r="CY187" s="1158"/>
      <c r="CZ187" s="1158"/>
      <c r="DA187" s="1159"/>
      <c r="DB187" s="1156"/>
    </row>
    <row r="188" spans="2:106" s="1152" customFormat="1" ht="11.25" customHeight="1">
      <c r="B188" s="1157"/>
      <c r="C188" s="1183"/>
      <c r="D188" s="1183"/>
      <c r="E188" s="1183"/>
      <c r="F188" s="1183"/>
      <c r="G188" s="1183" t="str">
        <f>R185</f>
        <v>6,259.3</v>
      </c>
      <c r="H188" s="1183"/>
      <c r="I188" s="1183"/>
      <c r="J188" s="1183"/>
      <c r="K188" s="1183"/>
      <c r="L188" s="1183"/>
      <c r="M188" s="1183"/>
      <c r="N188" s="1183"/>
      <c r="O188" s="1183"/>
      <c r="P188" s="1183"/>
      <c r="Q188" s="1183" t="s">
        <v>975</v>
      </c>
      <c r="R188" s="1183"/>
      <c r="S188" s="1183"/>
      <c r="T188" s="1183" t="str">
        <f>TEXT(5,"#,##0.#######")</f>
        <v>5.</v>
      </c>
      <c r="U188" s="1183" t="s">
        <v>954</v>
      </c>
      <c r="V188" s="1183"/>
      <c r="W188" s="1183" t="s">
        <v>227</v>
      </c>
      <c r="X188" s="1183"/>
      <c r="Y188" s="1183" t="str">
        <f>TEXT(TRUNC(R185*(T188*(1/100)),1),"#,##0.#")</f>
        <v>312.9</v>
      </c>
      <c r="Z188" s="1183"/>
      <c r="AA188" s="1183"/>
      <c r="AB188" s="1183"/>
      <c r="AC188" s="1183"/>
      <c r="AD188" s="1183"/>
      <c r="AE188" s="1183"/>
      <c r="AF188" s="1183"/>
      <c r="AG188" s="1183"/>
      <c r="AH188" s="1183"/>
      <c r="AI188" s="1183"/>
      <c r="AJ188" s="1183"/>
      <c r="AK188" s="1183"/>
      <c r="AL188" s="1183"/>
      <c r="AM188" s="1183"/>
      <c r="AN188" s="1183"/>
      <c r="AO188" s="1183"/>
      <c r="AP188" s="1183"/>
      <c r="AQ188" s="1183"/>
      <c r="AR188" s="1183"/>
      <c r="AS188" s="1183"/>
      <c r="AT188" s="1183"/>
      <c r="AU188" s="1183"/>
      <c r="AV188" s="1183"/>
      <c r="AW188" s="1183"/>
      <c r="AX188" s="1183"/>
      <c r="AY188" s="1183"/>
      <c r="AZ188" s="1183"/>
      <c r="BA188" s="1183"/>
      <c r="BB188" s="1183"/>
      <c r="BC188" s="1183"/>
      <c r="BD188" s="1183"/>
      <c r="BE188" s="1183"/>
      <c r="BF188" s="1183"/>
      <c r="BG188" s="1183"/>
      <c r="BH188" s="1183"/>
      <c r="BI188" s="1183"/>
      <c r="BJ188" s="1183"/>
      <c r="BK188" s="1183"/>
      <c r="BL188" s="1183"/>
      <c r="BM188" s="1183"/>
      <c r="BN188" s="1183"/>
      <c r="BO188" s="1183"/>
      <c r="BP188" s="1183"/>
      <c r="BQ188" s="1183"/>
      <c r="BR188" s="1183"/>
      <c r="BS188" s="1183"/>
      <c r="BT188" s="1183"/>
      <c r="BU188" s="1183"/>
      <c r="BV188" s="1183"/>
      <c r="BW188" s="1183"/>
      <c r="BX188" s="1183"/>
      <c r="BY188" s="1183"/>
      <c r="BZ188" s="1183"/>
      <c r="CA188" s="1183"/>
      <c r="CB188" s="1183"/>
      <c r="CC188" s="1183"/>
      <c r="CD188" s="1183"/>
      <c r="CE188" s="1183"/>
      <c r="CF188" s="1183"/>
      <c r="CG188" s="1183"/>
      <c r="CH188" s="1183"/>
      <c r="CI188" s="1183"/>
      <c r="CJ188" s="1183"/>
      <c r="CK188" s="1183"/>
      <c r="CL188" s="1183"/>
      <c r="CM188" s="1183"/>
      <c r="CN188" s="1183"/>
      <c r="CO188" s="1183"/>
      <c r="CP188" s="1183"/>
      <c r="CQ188" s="1183"/>
      <c r="CR188" s="1183"/>
      <c r="CS188" s="1183"/>
      <c r="CT188" s="1183"/>
      <c r="CU188" s="1183"/>
      <c r="CV188" s="1183"/>
      <c r="CW188" s="1183"/>
      <c r="CX188" s="1158">
        <f>CY188+CZ188+DA188</f>
        <v>312.89999999999998</v>
      </c>
      <c r="CY188" s="1158"/>
      <c r="CZ188" s="1158" t="str">
        <f>Y188</f>
        <v>312.9</v>
      </c>
      <c r="DA188" s="1159"/>
      <c r="DB188" s="1156"/>
    </row>
    <row r="189" spans="2:106" s="1152" customFormat="1" ht="11.25" customHeight="1">
      <c r="B189" s="1157"/>
      <c r="C189" s="1183"/>
      <c r="D189" s="1183"/>
      <c r="E189" s="1183"/>
      <c r="F189" s="1183"/>
      <c r="G189" s="1183"/>
      <c r="H189" s="1183"/>
      <c r="I189" s="1183"/>
      <c r="J189" s="1183"/>
      <c r="K189" s="1183"/>
      <c r="L189" s="1183"/>
      <c r="M189" s="1183"/>
      <c r="N189" s="1183"/>
      <c r="O189" s="1183"/>
      <c r="P189" s="1183"/>
      <c r="Q189" s="1183"/>
      <c r="R189" s="1183"/>
      <c r="S189" s="1183"/>
      <c r="T189" s="1183"/>
      <c r="U189" s="1183"/>
      <c r="V189" s="1183"/>
      <c r="W189" s="1183"/>
      <c r="X189" s="1183"/>
      <c r="Y189" s="1183"/>
      <c r="Z189" s="1183"/>
      <c r="AA189" s="1183"/>
      <c r="AB189" s="1183"/>
      <c r="AC189" s="1183"/>
      <c r="AD189" s="1183"/>
      <c r="AE189" s="1183"/>
      <c r="AF189" s="1183"/>
      <c r="AG189" s="1183"/>
      <c r="AH189" s="1183"/>
      <c r="AI189" s="1183"/>
      <c r="AJ189" s="1183"/>
      <c r="AK189" s="1183"/>
      <c r="AL189" s="1183"/>
      <c r="AM189" s="1183"/>
      <c r="AN189" s="1183"/>
      <c r="AO189" s="1183"/>
      <c r="AP189" s="1183"/>
      <c r="AQ189" s="1183"/>
      <c r="AR189" s="1183"/>
      <c r="AS189" s="1183"/>
      <c r="AT189" s="1183"/>
      <c r="AU189" s="1183"/>
      <c r="AV189" s="1183"/>
      <c r="AW189" s="1183"/>
      <c r="AX189" s="1183"/>
      <c r="AY189" s="1183"/>
      <c r="AZ189" s="1183"/>
      <c r="BA189" s="1183"/>
      <c r="BB189" s="1183"/>
      <c r="BC189" s="1183"/>
      <c r="BD189" s="1183"/>
      <c r="BE189" s="1183"/>
      <c r="BF189" s="1183"/>
      <c r="BG189" s="1183"/>
      <c r="BH189" s="1183"/>
      <c r="BI189" s="1183"/>
      <c r="BJ189" s="1183"/>
      <c r="BK189" s="1183"/>
      <c r="BL189" s="1183"/>
      <c r="BM189" s="1183"/>
      <c r="BN189" s="1183"/>
      <c r="BO189" s="1183"/>
      <c r="BP189" s="1183"/>
      <c r="BQ189" s="1183"/>
      <c r="BR189" s="1183"/>
      <c r="BS189" s="1183"/>
      <c r="BT189" s="1183"/>
      <c r="BU189" s="1183"/>
      <c r="BV189" s="1183"/>
      <c r="BW189" s="1183"/>
      <c r="BX189" s="1183"/>
      <c r="BY189" s="1183"/>
      <c r="BZ189" s="1183"/>
      <c r="CA189" s="1183"/>
      <c r="CB189" s="1183"/>
      <c r="CC189" s="1183"/>
      <c r="CD189" s="1183"/>
      <c r="CE189" s="1183"/>
      <c r="CF189" s="1183"/>
      <c r="CG189" s="1183"/>
      <c r="CH189" s="1183"/>
      <c r="CI189" s="1183"/>
      <c r="CJ189" s="1183"/>
      <c r="CK189" s="1183"/>
      <c r="CL189" s="1183"/>
      <c r="CM189" s="1183"/>
      <c r="CN189" s="1183"/>
      <c r="CO189" s="1183"/>
      <c r="CP189" s="1183"/>
      <c r="CQ189" s="1183"/>
      <c r="CR189" s="1183"/>
      <c r="CS189" s="1183"/>
      <c r="CT189" s="1183"/>
      <c r="CU189" s="1183"/>
      <c r="CV189" s="1183"/>
      <c r="CW189" s="1183"/>
      <c r="CX189" s="1158"/>
      <c r="CY189" s="1158"/>
      <c r="CZ189" s="1158"/>
      <c r="DA189" s="1159"/>
      <c r="DB189" s="1156"/>
    </row>
    <row r="190" spans="2:106" s="1152" customFormat="1" ht="11.25" customHeight="1">
      <c r="B190" s="1157"/>
      <c r="C190" s="1183"/>
      <c r="D190" s="1183" t="s">
        <v>1136</v>
      </c>
      <c r="E190" s="1183"/>
      <c r="F190" s="1183"/>
      <c r="G190" s="1183" t="s">
        <v>905</v>
      </c>
      <c r="H190" s="1183"/>
      <c r="I190" s="1183"/>
      <c r="J190" s="1183"/>
      <c r="K190" s="1183"/>
      <c r="L190" s="1183"/>
      <c r="M190" s="1183"/>
      <c r="N190" s="1183"/>
      <c r="O190" s="1183"/>
      <c r="P190" s="1183"/>
      <c r="Q190" s="1183"/>
      <c r="R190" s="1183"/>
      <c r="S190" s="1183"/>
      <c r="T190" s="1183"/>
      <c r="U190" s="1183"/>
      <c r="V190" s="1183"/>
      <c r="W190" s="1183"/>
      <c r="X190" s="1183"/>
      <c r="Y190" s="1183"/>
      <c r="Z190" s="1183"/>
      <c r="AA190" s="1183"/>
      <c r="AB190" s="1183"/>
      <c r="AC190" s="1183"/>
      <c r="AD190" s="1183"/>
      <c r="AE190" s="1183"/>
      <c r="AF190" s="1183"/>
      <c r="AG190" s="1183"/>
      <c r="AH190" s="1183"/>
      <c r="AI190" s="1183"/>
      <c r="AJ190" s="1183"/>
      <c r="AK190" s="1183"/>
      <c r="AL190" s="1183"/>
      <c r="AM190" s="1183"/>
      <c r="AN190" s="1183"/>
      <c r="AO190" s="1183"/>
      <c r="AP190" s="1183"/>
      <c r="AQ190" s="1183"/>
      <c r="AR190" s="1183"/>
      <c r="AS190" s="1183"/>
      <c r="AT190" s="1183"/>
      <c r="AU190" s="1183"/>
      <c r="AV190" s="1183"/>
      <c r="AW190" s="1183"/>
      <c r="AX190" s="1183"/>
      <c r="AY190" s="1183"/>
      <c r="AZ190" s="1183"/>
      <c r="BA190" s="1183"/>
      <c r="BB190" s="1183"/>
      <c r="BC190" s="1183"/>
      <c r="BD190" s="1183"/>
      <c r="BE190" s="1183"/>
      <c r="BF190" s="1183"/>
      <c r="BG190" s="1183"/>
      <c r="BH190" s="1183"/>
      <c r="BI190" s="1183"/>
      <c r="BJ190" s="1183"/>
      <c r="BK190" s="1183"/>
      <c r="BL190" s="1183"/>
      <c r="BM190" s="1183"/>
      <c r="BN190" s="1183"/>
      <c r="BO190" s="1183"/>
      <c r="BP190" s="1183"/>
      <c r="BQ190" s="1183"/>
      <c r="BR190" s="1183"/>
      <c r="BS190" s="1183"/>
      <c r="BT190" s="1183"/>
      <c r="BU190" s="1183"/>
      <c r="BV190" s="1183"/>
      <c r="BW190" s="1183"/>
      <c r="BX190" s="1183"/>
      <c r="BY190" s="1183"/>
      <c r="BZ190" s="1183"/>
      <c r="CA190" s="1183"/>
      <c r="CB190" s="1183"/>
      <c r="CC190" s="1183"/>
      <c r="CD190" s="1183"/>
      <c r="CE190" s="1183"/>
      <c r="CF190" s="1183"/>
      <c r="CG190" s="1183"/>
      <c r="CH190" s="1183"/>
      <c r="CI190" s="1183"/>
      <c r="CJ190" s="1183"/>
      <c r="CK190" s="1183"/>
      <c r="CL190" s="1183"/>
      <c r="CM190" s="1183"/>
      <c r="CN190" s="1183"/>
      <c r="CO190" s="1183"/>
      <c r="CP190" s="1183"/>
      <c r="CQ190" s="1183"/>
      <c r="CR190" s="1183"/>
      <c r="CS190" s="1183"/>
      <c r="CT190" s="1183"/>
      <c r="CU190" s="1183"/>
      <c r="CV190" s="1183"/>
      <c r="CW190" s="1183"/>
      <c r="CX190" s="1158"/>
      <c r="CY190" s="1158"/>
      <c r="CZ190" s="1158"/>
      <c r="DA190" s="1159"/>
      <c r="DB190" s="1156"/>
    </row>
    <row r="191" spans="2:106" s="1152" customFormat="1" ht="11.25" customHeight="1">
      <c r="B191" s="1157"/>
      <c r="C191" s="1183"/>
      <c r="D191" s="1183"/>
      <c r="E191" s="1183"/>
      <c r="F191" s="1183"/>
      <c r="G191" s="1183"/>
      <c r="H191" s="1183"/>
      <c r="I191" s="1183"/>
      <c r="J191" s="1183"/>
      <c r="K191" s="1183"/>
      <c r="L191" s="1183"/>
      <c r="M191" s="1183"/>
      <c r="N191" s="1183"/>
      <c r="O191" s="1183"/>
      <c r="P191" s="1183"/>
      <c r="Q191" s="1183"/>
      <c r="R191" s="1183"/>
      <c r="S191" s="1183"/>
      <c r="T191" s="1183"/>
      <c r="U191" s="1183"/>
      <c r="V191" s="1183"/>
      <c r="W191" s="1183"/>
      <c r="X191" s="1183"/>
      <c r="Y191" s="1183"/>
      <c r="Z191" s="1183"/>
      <c r="AA191" s="1183"/>
      <c r="AB191" s="1183"/>
      <c r="AC191" s="1183"/>
      <c r="AD191" s="1183"/>
      <c r="AE191" s="1183"/>
      <c r="AF191" s="1183"/>
      <c r="AG191" s="1183"/>
      <c r="AH191" s="1183"/>
      <c r="AI191" s="1183"/>
      <c r="AJ191" s="1183"/>
      <c r="AK191" s="1183"/>
      <c r="AL191" s="1183"/>
      <c r="AM191" s="1183"/>
      <c r="AN191" s="1183"/>
      <c r="AO191" s="1183"/>
      <c r="AP191" s="1183"/>
      <c r="AQ191" s="1183"/>
      <c r="AR191" s="1183"/>
      <c r="AS191" s="1183"/>
      <c r="AT191" s="1183"/>
      <c r="AU191" s="1183"/>
      <c r="AV191" s="1183"/>
      <c r="AW191" s="1183"/>
      <c r="AX191" s="1183"/>
      <c r="AY191" s="1183"/>
      <c r="AZ191" s="1183"/>
      <c r="BA191" s="1183"/>
      <c r="BB191" s="1183"/>
      <c r="BC191" s="1183"/>
      <c r="BD191" s="1183"/>
      <c r="BE191" s="1183"/>
      <c r="BF191" s="1183"/>
      <c r="BG191" s="1183"/>
      <c r="BH191" s="1183"/>
      <c r="BI191" s="1183"/>
      <c r="BJ191" s="1183"/>
      <c r="BK191" s="1183"/>
      <c r="BL191" s="1183"/>
      <c r="BM191" s="1183"/>
      <c r="BN191" s="1183"/>
      <c r="BO191" s="1183"/>
      <c r="BP191" s="1183"/>
      <c r="BQ191" s="1183"/>
      <c r="BR191" s="1183"/>
      <c r="BS191" s="1183"/>
      <c r="BT191" s="1183"/>
      <c r="BU191" s="1183"/>
      <c r="BV191" s="1183"/>
      <c r="BW191" s="1183"/>
      <c r="BX191" s="1183"/>
      <c r="BY191" s="1183"/>
      <c r="BZ191" s="1183"/>
      <c r="CA191" s="1183"/>
      <c r="CB191" s="1183"/>
      <c r="CC191" s="1183"/>
      <c r="CD191" s="1183"/>
      <c r="CE191" s="1183"/>
      <c r="CF191" s="1183"/>
      <c r="CG191" s="1183"/>
      <c r="CH191" s="1183"/>
      <c r="CI191" s="1183"/>
      <c r="CJ191" s="1183"/>
      <c r="CK191" s="1183"/>
      <c r="CL191" s="1183"/>
      <c r="CM191" s="1183"/>
      <c r="CN191" s="1183"/>
      <c r="CO191" s="1183"/>
      <c r="CP191" s="1183"/>
      <c r="CQ191" s="1183"/>
      <c r="CR191" s="1183"/>
      <c r="CS191" s="1183"/>
      <c r="CT191" s="1183"/>
      <c r="CU191" s="1183"/>
      <c r="CV191" s="1183"/>
      <c r="CW191" s="1183"/>
      <c r="CX191" s="1158"/>
      <c r="CY191" s="1158"/>
      <c r="CZ191" s="1158"/>
      <c r="DA191" s="1159"/>
      <c r="DB191" s="1156"/>
    </row>
    <row r="192" spans="2:106" s="1152" customFormat="1" ht="11.25" customHeight="1">
      <c r="B192" s="1157"/>
      <c r="C192" s="1183"/>
      <c r="D192" s="1183"/>
      <c r="E192" s="1183" t="s">
        <v>1137</v>
      </c>
      <c r="F192" s="1183"/>
      <c r="G192" s="1183" t="s">
        <v>1126</v>
      </c>
      <c r="H192" s="1183"/>
      <c r="I192" s="1183" t="s">
        <v>1009</v>
      </c>
      <c r="J192" s="1183"/>
      <c r="K192" s="1183"/>
      <c r="L192" s="1183"/>
      <c r="M192" s="1183"/>
      <c r="N192" s="1183"/>
      <c r="O192" s="1183"/>
      <c r="P192" s="1183"/>
      <c r="Q192" s="1183"/>
      <c r="R192" s="1183"/>
      <c r="S192" s="1183"/>
      <c r="T192" s="1183"/>
      <c r="U192" s="1183"/>
      <c r="V192" s="1183"/>
      <c r="W192" s="1183"/>
      <c r="X192" s="1183"/>
      <c r="Y192" s="1183"/>
      <c r="Z192" s="1183"/>
      <c r="AA192" s="1183"/>
      <c r="AB192" s="1183" t="s">
        <v>1138</v>
      </c>
      <c r="AC192" s="1183"/>
      <c r="AD192" s="1183"/>
      <c r="AE192" s="1183"/>
      <c r="AF192" s="1183"/>
      <c r="AG192" s="1183"/>
      <c r="AH192" s="1183"/>
      <c r="AI192" s="1183"/>
      <c r="AJ192" s="1183"/>
      <c r="AK192" s="1183"/>
      <c r="AL192" s="1183"/>
      <c r="AM192" s="1183"/>
      <c r="AN192" s="1183"/>
      <c r="AO192" s="1183"/>
      <c r="AP192" s="1183"/>
      <c r="AQ192" s="1183"/>
      <c r="AR192" s="1183"/>
      <c r="AS192" s="1183"/>
      <c r="AT192" s="1183"/>
      <c r="AU192" s="1183"/>
      <c r="AV192" s="1183"/>
      <c r="AW192" s="1183"/>
      <c r="AX192" s="1183"/>
      <c r="AY192" s="1183"/>
      <c r="AZ192" s="1183"/>
      <c r="BA192" s="1183"/>
      <c r="BB192" s="1183"/>
      <c r="BC192" s="1183"/>
      <c r="BD192" s="1183"/>
      <c r="BE192" s="1183"/>
      <c r="BF192" s="1183"/>
      <c r="BG192" s="1183"/>
      <c r="BH192" s="1183"/>
      <c r="BI192" s="1183"/>
      <c r="BJ192" s="1183"/>
      <c r="BK192" s="1183"/>
      <c r="BL192" s="1183"/>
      <c r="BM192" s="1183"/>
      <c r="BN192" s="1183"/>
      <c r="BO192" s="1183"/>
      <c r="BP192" s="1183"/>
      <c r="BQ192" s="1183"/>
      <c r="BR192" s="1183"/>
      <c r="BS192" s="1183"/>
      <c r="BT192" s="1183"/>
      <c r="BU192" s="1183"/>
      <c r="BV192" s="1183"/>
      <c r="BW192" s="1183"/>
      <c r="BX192" s="1183"/>
      <c r="BY192" s="1183"/>
      <c r="BZ192" s="1183"/>
      <c r="CA192" s="1183"/>
      <c r="CB192" s="1183"/>
      <c r="CC192" s="1183"/>
      <c r="CD192" s="1183"/>
      <c r="CE192" s="1183"/>
      <c r="CF192" s="1183"/>
      <c r="CG192" s="1183"/>
      <c r="CH192" s="1183"/>
      <c r="CI192" s="1183"/>
      <c r="CJ192" s="1183"/>
      <c r="CK192" s="1183"/>
      <c r="CL192" s="1183"/>
      <c r="CM192" s="1183"/>
      <c r="CN192" s="1183"/>
      <c r="CO192" s="1183"/>
      <c r="CP192" s="1183"/>
      <c r="CQ192" s="1183"/>
      <c r="CR192" s="1183"/>
      <c r="CS192" s="1183"/>
      <c r="CT192" s="1183"/>
      <c r="CU192" s="1183"/>
      <c r="CV192" s="1183"/>
      <c r="CW192" s="1183"/>
      <c r="CX192" s="1158"/>
      <c r="CY192" s="1158"/>
      <c r="CZ192" s="1158"/>
      <c r="DA192" s="1159"/>
      <c r="DB192" s="1156"/>
    </row>
    <row r="193" spans="2:106" s="1152" customFormat="1" ht="11.25" customHeight="1">
      <c r="B193" s="1157"/>
      <c r="C193" s="1183"/>
      <c r="D193" s="1183"/>
      <c r="E193" s="1183"/>
      <c r="F193" s="1183"/>
      <c r="G193" s="1183"/>
      <c r="H193" s="1183"/>
      <c r="I193" s="1183"/>
      <c r="J193" s="1183"/>
      <c r="K193" s="1183"/>
      <c r="L193" s="1183"/>
      <c r="M193" s="1183"/>
      <c r="N193" s="1183"/>
      <c r="O193" s="1183"/>
      <c r="P193" s="1183"/>
      <c r="Q193" s="1183"/>
      <c r="R193" s="1183"/>
      <c r="S193" s="1183"/>
      <c r="T193" s="1183"/>
      <c r="U193" s="1183"/>
      <c r="V193" s="1183"/>
      <c r="W193" s="1183"/>
      <c r="X193" s="1183"/>
      <c r="Y193" s="1183"/>
      <c r="Z193" s="1183"/>
      <c r="AA193" s="1183"/>
      <c r="AB193" s="1183"/>
      <c r="AC193" s="1183"/>
      <c r="AD193" s="1183"/>
      <c r="AE193" s="1183"/>
      <c r="AF193" s="1183"/>
      <c r="AG193" s="1183"/>
      <c r="AH193" s="1183"/>
      <c r="AI193" s="1183"/>
      <c r="AJ193" s="1183"/>
      <c r="AK193" s="1183"/>
      <c r="AL193" s="1183"/>
      <c r="AM193" s="1183"/>
      <c r="AN193" s="1183"/>
      <c r="AO193" s="1183"/>
      <c r="AP193" s="1183"/>
      <c r="AQ193" s="1183"/>
      <c r="AR193" s="1183"/>
      <c r="AS193" s="1183"/>
      <c r="AT193" s="1183"/>
      <c r="AU193" s="1183"/>
      <c r="AV193" s="1183"/>
      <c r="AW193" s="1183"/>
      <c r="AX193" s="1183"/>
      <c r="AY193" s="1183"/>
      <c r="AZ193" s="1183"/>
      <c r="BA193" s="1183"/>
      <c r="BB193" s="1183"/>
      <c r="BC193" s="1183"/>
      <c r="BD193" s="1183"/>
      <c r="BE193" s="1183"/>
      <c r="BF193" s="1183"/>
      <c r="BG193" s="1183"/>
      <c r="BH193" s="1183"/>
      <c r="BI193" s="1183"/>
      <c r="BJ193" s="1183"/>
      <c r="BK193" s="1183"/>
      <c r="BL193" s="1183"/>
      <c r="BM193" s="1183"/>
      <c r="BN193" s="1183"/>
      <c r="BO193" s="1183"/>
      <c r="BP193" s="1183"/>
      <c r="BQ193" s="1183"/>
      <c r="BR193" s="1183"/>
      <c r="BS193" s="1183"/>
      <c r="BT193" s="1183"/>
      <c r="BU193" s="1183"/>
      <c r="BV193" s="1183"/>
      <c r="BW193" s="1183"/>
      <c r="BX193" s="1183"/>
      <c r="BY193" s="1183"/>
      <c r="BZ193" s="1183"/>
      <c r="CA193" s="1183"/>
      <c r="CB193" s="1183"/>
      <c r="CC193" s="1183"/>
      <c r="CD193" s="1183"/>
      <c r="CE193" s="1183"/>
      <c r="CF193" s="1183"/>
      <c r="CG193" s="1183"/>
      <c r="CH193" s="1183"/>
      <c r="CI193" s="1183"/>
      <c r="CJ193" s="1183"/>
      <c r="CK193" s="1183"/>
      <c r="CL193" s="1183"/>
      <c r="CM193" s="1183"/>
      <c r="CN193" s="1183"/>
      <c r="CO193" s="1183"/>
      <c r="CP193" s="1183"/>
      <c r="CQ193" s="1183"/>
      <c r="CR193" s="1183"/>
      <c r="CS193" s="1183"/>
      <c r="CT193" s="1183"/>
      <c r="CU193" s="1183"/>
      <c r="CV193" s="1183"/>
      <c r="CW193" s="1183"/>
      <c r="CX193" s="1158"/>
      <c r="CY193" s="1158"/>
      <c r="CZ193" s="1158"/>
      <c r="DA193" s="1159"/>
      <c r="DB193" s="1156"/>
    </row>
    <row r="194" spans="2:106" s="1152" customFormat="1" ht="11.25" customHeight="1">
      <c r="B194" s="1157"/>
      <c r="C194" s="1183"/>
      <c r="D194" s="1183"/>
      <c r="E194" s="1183"/>
      <c r="F194" s="1183"/>
      <c r="G194" s="1183" t="s">
        <v>899</v>
      </c>
      <c r="H194" s="1183"/>
      <c r="I194" s="1183"/>
      <c r="J194" s="1183"/>
      <c r="K194" s="1183"/>
      <c r="L194" s="1183"/>
      <c r="M194" s="1183"/>
      <c r="N194" s="1183" t="s">
        <v>217</v>
      </c>
      <c r="O194" s="1183"/>
      <c r="P194" s="1535">
        <f>기계경비!$AA$16</f>
        <v>59025</v>
      </c>
      <c r="Q194" s="1535"/>
      <c r="R194" s="1535"/>
      <c r="S194" s="1535"/>
      <c r="T194" s="1535"/>
      <c r="U194" s="1535"/>
      <c r="V194" s="1535"/>
      <c r="W194" s="1183"/>
      <c r="X194" s="1183"/>
      <c r="Y194" s="1183" t="s">
        <v>1021</v>
      </c>
      <c r="Z194" s="1183"/>
      <c r="AA194" s="1183"/>
      <c r="AB194" s="1183" t="str">
        <f>TEXT(AZ169,"#,##0.#######")</f>
        <v>32.5</v>
      </c>
      <c r="AC194" s="1183"/>
      <c r="AD194" s="1183"/>
      <c r="AE194" s="1183"/>
      <c r="AF194" s="1183"/>
      <c r="AG194" s="1183"/>
      <c r="AH194" s="1183"/>
      <c r="AI194" s="1183" t="s">
        <v>227</v>
      </c>
      <c r="AJ194" s="1183"/>
      <c r="AK194" s="1533" t="str">
        <f>TEXT(TRUNC(P194/AZ169,1),"#,##0.#")</f>
        <v>1,816.1</v>
      </c>
      <c r="AL194" s="1533"/>
      <c r="AM194" s="1533"/>
      <c r="AN194" s="1533"/>
      <c r="AO194" s="1533"/>
      <c r="AP194" s="1533"/>
      <c r="AQ194" s="1533"/>
      <c r="AR194" s="1183"/>
      <c r="AS194" s="1183"/>
      <c r="AT194" s="1183"/>
      <c r="AU194" s="1183"/>
      <c r="AV194" s="1183"/>
      <c r="AW194" s="1183"/>
      <c r="AX194" s="1183"/>
      <c r="AY194" s="1183"/>
      <c r="AZ194" s="1183"/>
      <c r="BA194" s="1183"/>
      <c r="BB194" s="1183"/>
      <c r="BC194" s="1183"/>
      <c r="BD194" s="1183"/>
      <c r="BE194" s="1183"/>
      <c r="BF194" s="1183"/>
      <c r="BG194" s="1183"/>
      <c r="BH194" s="1183"/>
      <c r="BI194" s="1183"/>
      <c r="BJ194" s="1183"/>
      <c r="BK194" s="1183"/>
      <c r="BL194" s="1183"/>
      <c r="BM194" s="1183"/>
      <c r="BN194" s="1183"/>
      <c r="BO194" s="1183"/>
      <c r="BP194" s="1183"/>
      <c r="BQ194" s="1183"/>
      <c r="BR194" s="1183"/>
      <c r="BS194" s="1183"/>
      <c r="BT194" s="1183"/>
      <c r="BU194" s="1183"/>
      <c r="BV194" s="1183"/>
      <c r="BW194" s="1183"/>
      <c r="BX194" s="1183"/>
      <c r="BY194" s="1183"/>
      <c r="BZ194" s="1183"/>
      <c r="CA194" s="1183"/>
      <c r="CB194" s="1183"/>
      <c r="CC194" s="1183"/>
      <c r="CD194" s="1183"/>
      <c r="CE194" s="1183"/>
      <c r="CF194" s="1183"/>
      <c r="CG194" s="1183"/>
      <c r="CH194" s="1183"/>
      <c r="CI194" s="1183"/>
      <c r="CJ194" s="1183"/>
      <c r="CK194" s="1183"/>
      <c r="CL194" s="1183"/>
      <c r="CM194" s="1183"/>
      <c r="CN194" s="1183"/>
      <c r="CO194" s="1183"/>
      <c r="CP194" s="1183"/>
      <c r="CQ194" s="1183"/>
      <c r="CR194" s="1183"/>
      <c r="CS194" s="1183"/>
      <c r="CT194" s="1183"/>
      <c r="CU194" s="1183"/>
      <c r="CV194" s="1183"/>
      <c r="CW194" s="1183"/>
      <c r="CX194" s="1158"/>
      <c r="CY194" s="1158"/>
      <c r="CZ194" s="1158"/>
      <c r="DA194" s="1159"/>
      <c r="DB194" s="1156"/>
    </row>
    <row r="195" spans="2:106" s="1152" customFormat="1" ht="11.25" customHeight="1">
      <c r="B195" s="1157"/>
      <c r="C195" s="1183"/>
      <c r="D195" s="1183"/>
      <c r="E195" s="1183"/>
      <c r="F195" s="1183"/>
      <c r="G195" s="1183" t="s">
        <v>892</v>
      </c>
      <c r="H195" s="1183"/>
      <c r="I195" s="1183"/>
      <c r="J195" s="1183"/>
      <c r="K195" s="1183"/>
      <c r="L195" s="1183"/>
      <c r="M195" s="1183"/>
      <c r="N195" s="1183" t="s">
        <v>217</v>
      </c>
      <c r="O195" s="1183"/>
      <c r="P195" s="1535" t="e">
        <f>기계경비!$AB$16</f>
        <v>#REF!</v>
      </c>
      <c r="Q195" s="1535"/>
      <c r="R195" s="1535"/>
      <c r="S195" s="1535"/>
      <c r="T195" s="1535"/>
      <c r="U195" s="1535"/>
      <c r="V195" s="1535"/>
      <c r="W195" s="1183"/>
      <c r="X195" s="1183"/>
      <c r="Y195" s="1183" t="s">
        <v>1021</v>
      </c>
      <c r="Z195" s="1183"/>
      <c r="AA195" s="1183"/>
      <c r="AB195" s="1183" t="str">
        <f>TEXT(AZ169,"#,##0.#######")</f>
        <v>32.5</v>
      </c>
      <c r="AC195" s="1183"/>
      <c r="AD195" s="1183"/>
      <c r="AE195" s="1183"/>
      <c r="AF195" s="1183"/>
      <c r="AG195" s="1183"/>
      <c r="AH195" s="1183"/>
      <c r="AI195" s="1183" t="s">
        <v>227</v>
      </c>
      <c r="AJ195" s="1183"/>
      <c r="AK195" s="1533" t="e">
        <f>TEXT(TRUNC(P195/AZ169,1),"#,##0.#")</f>
        <v>#REF!</v>
      </c>
      <c r="AL195" s="1533"/>
      <c r="AM195" s="1533"/>
      <c r="AN195" s="1533"/>
      <c r="AO195" s="1533"/>
      <c r="AP195" s="1533"/>
      <c r="AQ195" s="1533"/>
      <c r="AR195" s="1183"/>
      <c r="AS195" s="1183"/>
      <c r="AT195" s="1183"/>
      <c r="AU195" s="1183"/>
      <c r="AV195" s="1183"/>
      <c r="AW195" s="1183"/>
      <c r="AX195" s="1183"/>
      <c r="AY195" s="1183"/>
      <c r="AZ195" s="1183"/>
      <c r="BA195" s="1183"/>
      <c r="BB195" s="1183"/>
      <c r="BC195" s="1183"/>
      <c r="BD195" s="1183"/>
      <c r="BE195" s="1183"/>
      <c r="BF195" s="1183"/>
      <c r="BG195" s="1183"/>
      <c r="BH195" s="1183"/>
      <c r="BI195" s="1183"/>
      <c r="BJ195" s="1183"/>
      <c r="BK195" s="1183"/>
      <c r="BL195" s="1183"/>
      <c r="BM195" s="1183"/>
      <c r="BN195" s="1183"/>
      <c r="BO195" s="1183"/>
      <c r="BP195" s="1183"/>
      <c r="BQ195" s="1183"/>
      <c r="BR195" s="1183"/>
      <c r="BS195" s="1183"/>
      <c r="BT195" s="1183"/>
      <c r="BU195" s="1183"/>
      <c r="BV195" s="1183"/>
      <c r="BW195" s="1183"/>
      <c r="BX195" s="1183"/>
      <c r="BY195" s="1183"/>
      <c r="BZ195" s="1183"/>
      <c r="CA195" s="1183"/>
      <c r="CB195" s="1183"/>
      <c r="CC195" s="1183"/>
      <c r="CD195" s="1183"/>
      <c r="CE195" s="1183"/>
      <c r="CF195" s="1183"/>
      <c r="CG195" s="1183"/>
      <c r="CH195" s="1183"/>
      <c r="CI195" s="1183"/>
      <c r="CJ195" s="1183"/>
      <c r="CK195" s="1183"/>
      <c r="CL195" s="1183"/>
      <c r="CM195" s="1183"/>
      <c r="CN195" s="1183"/>
      <c r="CO195" s="1183"/>
      <c r="CP195" s="1183"/>
      <c r="CQ195" s="1183"/>
      <c r="CR195" s="1183"/>
      <c r="CS195" s="1183"/>
      <c r="CT195" s="1183"/>
      <c r="CU195" s="1183"/>
      <c r="CV195" s="1183"/>
      <c r="CW195" s="1183"/>
      <c r="CX195" s="1158"/>
      <c r="CY195" s="1158"/>
      <c r="CZ195" s="1158"/>
      <c r="DA195" s="1159"/>
      <c r="DB195" s="1156"/>
    </row>
    <row r="196" spans="2:106" s="1152" customFormat="1" ht="11.25" customHeight="1">
      <c r="B196" s="1157"/>
      <c r="C196" s="1183"/>
      <c r="D196" s="1183"/>
      <c r="E196" s="1183"/>
      <c r="F196" s="1183"/>
      <c r="G196" s="1183" t="s">
        <v>1022</v>
      </c>
      <c r="H196" s="1183"/>
      <c r="I196" s="1183"/>
      <c r="J196" s="1183"/>
      <c r="K196" s="1183" t="s">
        <v>1023</v>
      </c>
      <c r="L196" s="1183"/>
      <c r="M196" s="1183"/>
      <c r="N196" s="1183" t="s">
        <v>217</v>
      </c>
      <c r="O196" s="1183"/>
      <c r="P196" s="1535">
        <f>기계경비!$AC$16</f>
        <v>17514</v>
      </c>
      <c r="Q196" s="1535"/>
      <c r="R196" s="1535"/>
      <c r="S196" s="1535"/>
      <c r="T196" s="1535"/>
      <c r="U196" s="1535"/>
      <c r="V196" s="1535"/>
      <c r="W196" s="1183"/>
      <c r="X196" s="1183"/>
      <c r="Y196" s="1183" t="s">
        <v>1021</v>
      </c>
      <c r="Z196" s="1183"/>
      <c r="AA196" s="1183"/>
      <c r="AB196" s="1183" t="str">
        <f>TEXT(AZ169,"#,##0.#######")</f>
        <v>32.5</v>
      </c>
      <c r="AC196" s="1183"/>
      <c r="AD196" s="1183"/>
      <c r="AE196" s="1183"/>
      <c r="AF196" s="1183"/>
      <c r="AG196" s="1183"/>
      <c r="AH196" s="1183"/>
      <c r="AI196" s="1183" t="s">
        <v>227</v>
      </c>
      <c r="AJ196" s="1183"/>
      <c r="AK196" s="1533" t="str">
        <f>TEXT(TRUNC(P196/AZ169,1),"#,##0.#")</f>
        <v>538.8</v>
      </c>
      <c r="AL196" s="1533"/>
      <c r="AM196" s="1533"/>
      <c r="AN196" s="1533"/>
      <c r="AO196" s="1533"/>
      <c r="AP196" s="1533"/>
      <c r="AQ196" s="1533"/>
      <c r="AR196" s="1183"/>
      <c r="AS196" s="1183"/>
      <c r="AT196" s="1183"/>
      <c r="AU196" s="1183"/>
      <c r="AV196" s="1183"/>
      <c r="AW196" s="1183"/>
      <c r="AX196" s="1183"/>
      <c r="AY196" s="1183"/>
      <c r="AZ196" s="1183"/>
      <c r="BA196" s="1183"/>
      <c r="BB196" s="1183"/>
      <c r="BC196" s="1183"/>
      <c r="BD196" s="1183"/>
      <c r="BE196" s="1183"/>
      <c r="BF196" s="1183"/>
      <c r="BG196" s="1183"/>
      <c r="BH196" s="1183"/>
      <c r="BI196" s="1183"/>
      <c r="BJ196" s="1183"/>
      <c r="BK196" s="1183"/>
      <c r="BL196" s="1183"/>
      <c r="BM196" s="1183"/>
      <c r="BN196" s="1183"/>
      <c r="BO196" s="1183"/>
      <c r="BP196" s="1183"/>
      <c r="BQ196" s="1183"/>
      <c r="BR196" s="1183"/>
      <c r="BS196" s="1183"/>
      <c r="BT196" s="1183"/>
      <c r="BU196" s="1183"/>
      <c r="BV196" s="1183"/>
      <c r="BW196" s="1183"/>
      <c r="BX196" s="1183"/>
      <c r="BY196" s="1183"/>
      <c r="BZ196" s="1183"/>
      <c r="CA196" s="1183"/>
      <c r="CB196" s="1183"/>
      <c r="CC196" s="1183"/>
      <c r="CD196" s="1183"/>
      <c r="CE196" s="1183"/>
      <c r="CF196" s="1183"/>
      <c r="CG196" s="1183"/>
      <c r="CH196" s="1183"/>
      <c r="CI196" s="1183"/>
      <c r="CJ196" s="1183"/>
      <c r="CK196" s="1183"/>
      <c r="CL196" s="1183"/>
      <c r="CM196" s="1183"/>
      <c r="CN196" s="1183"/>
      <c r="CO196" s="1183"/>
      <c r="CP196" s="1183"/>
      <c r="CQ196" s="1183"/>
      <c r="CR196" s="1183"/>
      <c r="CS196" s="1183"/>
      <c r="CT196" s="1183"/>
      <c r="CU196" s="1183"/>
      <c r="CV196" s="1183"/>
      <c r="CW196" s="1183"/>
      <c r="CX196" s="1158"/>
      <c r="CY196" s="1158"/>
      <c r="CZ196" s="1158"/>
      <c r="DA196" s="1159"/>
      <c r="DB196" s="1156"/>
    </row>
    <row r="197" spans="2:106" s="1152" customFormat="1" ht="11.25" customHeight="1">
      <c r="B197" s="1157"/>
      <c r="C197" s="1183"/>
      <c r="D197" s="1183"/>
      <c r="E197" s="1183"/>
      <c r="F197" s="1183"/>
      <c r="G197" s="1183" t="s">
        <v>1024</v>
      </c>
      <c r="H197" s="1183"/>
      <c r="I197" s="1183"/>
      <c r="J197" s="1183"/>
      <c r="K197" s="1183" t="s">
        <v>179</v>
      </c>
      <c r="L197" s="1183"/>
      <c r="M197" s="1183"/>
      <c r="N197" s="1183" t="s">
        <v>217</v>
      </c>
      <c r="O197" s="1183"/>
      <c r="P197" s="1183"/>
      <c r="Q197" s="1183"/>
      <c r="R197" s="1183"/>
      <c r="S197" s="1183"/>
      <c r="T197" s="1183"/>
      <c r="U197" s="1183"/>
      <c r="V197" s="1183"/>
      <c r="W197" s="1183"/>
      <c r="X197" s="1183"/>
      <c r="Y197" s="1183"/>
      <c r="Z197" s="1183"/>
      <c r="AA197" s="1183"/>
      <c r="AB197" s="1183"/>
      <c r="AC197" s="1183"/>
      <c r="AD197" s="1183"/>
      <c r="AE197" s="1183"/>
      <c r="AF197" s="1183"/>
      <c r="AG197" s="1183" t="e">
        <f>TEXT(AK194+AK195+AK196,"#,##0.#######")</f>
        <v>#REF!</v>
      </c>
      <c r="AH197" s="1183"/>
      <c r="AI197" s="1183"/>
      <c r="AJ197" s="1183"/>
      <c r="AK197" s="1183"/>
      <c r="AL197" s="1183"/>
      <c r="AM197" s="1183"/>
      <c r="AN197" s="1183"/>
      <c r="AO197" s="1183"/>
      <c r="AP197" s="1183"/>
      <c r="AQ197" s="1183"/>
      <c r="AR197" s="1183"/>
      <c r="AS197" s="1183"/>
      <c r="AT197" s="1183"/>
      <c r="AU197" s="1183"/>
      <c r="AV197" s="1183"/>
      <c r="AW197" s="1183"/>
      <c r="AX197" s="1183"/>
      <c r="AY197" s="1183"/>
      <c r="AZ197" s="1183"/>
      <c r="BA197" s="1183"/>
      <c r="BB197" s="1183"/>
      <c r="BC197" s="1183"/>
      <c r="BD197" s="1183"/>
      <c r="BE197" s="1183"/>
      <c r="BF197" s="1183"/>
      <c r="BG197" s="1183"/>
      <c r="BH197" s="1183"/>
      <c r="BI197" s="1183"/>
      <c r="BJ197" s="1183"/>
      <c r="BK197" s="1183"/>
      <c r="BL197" s="1183"/>
      <c r="BM197" s="1183"/>
      <c r="BN197" s="1183"/>
      <c r="BO197" s="1183"/>
      <c r="BP197" s="1183"/>
      <c r="BQ197" s="1183"/>
      <c r="BR197" s="1183"/>
      <c r="BS197" s="1183"/>
      <c r="BT197" s="1183"/>
      <c r="BU197" s="1183"/>
      <c r="BV197" s="1183"/>
      <c r="BW197" s="1183"/>
      <c r="BX197" s="1183"/>
      <c r="BY197" s="1183"/>
      <c r="BZ197" s="1183"/>
      <c r="CA197" s="1183"/>
      <c r="CB197" s="1183"/>
      <c r="CC197" s="1183"/>
      <c r="CD197" s="1183"/>
      <c r="CE197" s="1183"/>
      <c r="CF197" s="1183"/>
      <c r="CG197" s="1183"/>
      <c r="CH197" s="1183"/>
      <c r="CI197" s="1183"/>
      <c r="CJ197" s="1183"/>
      <c r="CK197" s="1183"/>
      <c r="CL197" s="1183"/>
      <c r="CM197" s="1183"/>
      <c r="CN197" s="1183"/>
      <c r="CO197" s="1183"/>
      <c r="CP197" s="1183"/>
      <c r="CQ197" s="1183"/>
      <c r="CR197" s="1183"/>
      <c r="CS197" s="1183"/>
      <c r="CT197" s="1183"/>
      <c r="CU197" s="1183"/>
      <c r="CV197" s="1183"/>
      <c r="CW197" s="1183"/>
      <c r="CX197" s="1158" t="e">
        <f>CY197+CZ197+DA197</f>
        <v>#REF!</v>
      </c>
      <c r="CY197" s="1158" t="str">
        <f>TEXT(AK194,"#,###.0")</f>
        <v>1,816.1</v>
      </c>
      <c r="CZ197" s="1158" t="e">
        <f>TEXT(AK195,"#,###.0")</f>
        <v>#REF!</v>
      </c>
      <c r="DA197" s="1159" t="str">
        <f>TEXT(AK196,"#,###.0")</f>
        <v>538.8</v>
      </c>
      <c r="DB197" s="1156"/>
    </row>
    <row r="198" spans="2:106" s="1152" customFormat="1" ht="11.25" customHeight="1">
      <c r="B198" s="1157"/>
      <c r="C198" s="1183"/>
      <c r="D198" s="1183"/>
      <c r="E198" s="1183"/>
      <c r="F198" s="1183"/>
      <c r="G198" s="1183"/>
      <c r="H198" s="1183"/>
      <c r="I198" s="1183"/>
      <c r="J198" s="1183"/>
      <c r="K198" s="1183"/>
      <c r="L198" s="1183"/>
      <c r="M198" s="1183"/>
      <c r="N198" s="1183"/>
      <c r="O198" s="1183"/>
      <c r="P198" s="1183"/>
      <c r="Q198" s="1183"/>
      <c r="R198" s="1183"/>
      <c r="S198" s="1183"/>
      <c r="T198" s="1183"/>
      <c r="U198" s="1183"/>
      <c r="V198" s="1183"/>
      <c r="W198" s="1183"/>
      <c r="X198" s="1183"/>
      <c r="Y198" s="1183"/>
      <c r="Z198" s="1183"/>
      <c r="AA198" s="1183"/>
      <c r="AB198" s="1183"/>
      <c r="AC198" s="1183"/>
      <c r="AD198" s="1183"/>
      <c r="AE198" s="1183"/>
      <c r="AF198" s="1183"/>
      <c r="AG198" s="1183"/>
      <c r="AH198" s="1183"/>
      <c r="AI198" s="1183"/>
      <c r="AJ198" s="1183"/>
      <c r="AK198" s="1183"/>
      <c r="AL198" s="1183"/>
      <c r="AM198" s="1183"/>
      <c r="AN198" s="1183"/>
      <c r="AO198" s="1183"/>
      <c r="AP198" s="1183"/>
      <c r="AQ198" s="1183"/>
      <c r="AR198" s="1183"/>
      <c r="AS198" s="1183"/>
      <c r="AT198" s="1183"/>
      <c r="AU198" s="1183"/>
      <c r="AV198" s="1183"/>
      <c r="AW198" s="1183"/>
      <c r="AX198" s="1183"/>
      <c r="AY198" s="1183"/>
      <c r="AZ198" s="1183"/>
      <c r="BA198" s="1183"/>
      <c r="BB198" s="1183"/>
      <c r="BC198" s="1183"/>
      <c r="BD198" s="1183"/>
      <c r="BE198" s="1183"/>
      <c r="BF198" s="1183"/>
      <c r="BG198" s="1183"/>
      <c r="BH198" s="1183"/>
      <c r="BI198" s="1183"/>
      <c r="BJ198" s="1183"/>
      <c r="BK198" s="1183"/>
      <c r="BL198" s="1183"/>
      <c r="BM198" s="1183"/>
      <c r="BN198" s="1183"/>
      <c r="BO198" s="1183"/>
      <c r="BP198" s="1183"/>
      <c r="BQ198" s="1183"/>
      <c r="BR198" s="1183"/>
      <c r="BS198" s="1183"/>
      <c r="BT198" s="1183"/>
      <c r="BU198" s="1183"/>
      <c r="BV198" s="1183"/>
      <c r="BW198" s="1183"/>
      <c r="BX198" s="1183"/>
      <c r="BY198" s="1183"/>
      <c r="BZ198" s="1183"/>
      <c r="CA198" s="1183"/>
      <c r="CB198" s="1183"/>
      <c r="CC198" s="1183"/>
      <c r="CD198" s="1183"/>
      <c r="CE198" s="1183"/>
      <c r="CF198" s="1183"/>
      <c r="CG198" s="1183"/>
      <c r="CH198" s="1183"/>
      <c r="CI198" s="1183"/>
      <c r="CJ198" s="1183"/>
      <c r="CK198" s="1183"/>
      <c r="CL198" s="1183"/>
      <c r="CM198" s="1183"/>
      <c r="CN198" s="1183"/>
      <c r="CO198" s="1183"/>
      <c r="CP198" s="1183"/>
      <c r="CQ198" s="1183"/>
      <c r="CR198" s="1183"/>
      <c r="CS198" s="1183"/>
      <c r="CT198" s="1183"/>
      <c r="CU198" s="1183"/>
      <c r="CV198" s="1183"/>
      <c r="CW198" s="1183"/>
      <c r="CX198" s="1158"/>
      <c r="CY198" s="1158"/>
      <c r="CZ198" s="1158"/>
      <c r="DA198" s="1159"/>
      <c r="DB198" s="1156"/>
    </row>
    <row r="199" spans="2:106" s="1152" customFormat="1" ht="11.25" customHeight="1">
      <c r="B199" s="1157"/>
      <c r="C199" s="1183"/>
      <c r="D199" s="1183"/>
      <c r="E199" s="1183" t="s">
        <v>1139</v>
      </c>
      <c r="F199" s="1183"/>
      <c r="G199" s="1183" t="s">
        <v>1126</v>
      </c>
      <c r="H199" s="1183"/>
      <c r="I199" s="1183" t="s">
        <v>1140</v>
      </c>
      <c r="J199" s="1183"/>
      <c r="K199" s="1183"/>
      <c r="L199" s="1183"/>
      <c r="M199" s="1183"/>
      <c r="N199" s="1183"/>
      <c r="O199" s="1183"/>
      <c r="P199" s="1183"/>
      <c r="Q199" s="1183"/>
      <c r="R199" s="1183"/>
      <c r="S199" s="1183"/>
      <c r="T199" s="1183"/>
      <c r="U199" s="1183"/>
      <c r="V199" s="1183"/>
      <c r="W199" s="1183"/>
      <c r="X199" s="1183"/>
      <c r="Y199" s="1183"/>
      <c r="Z199" s="1183" t="s">
        <v>1141</v>
      </c>
      <c r="AA199" s="1183"/>
      <c r="AB199" s="1183"/>
      <c r="AC199" s="1183"/>
      <c r="AD199" s="1183"/>
      <c r="AE199" s="1183"/>
      <c r="AF199" s="1183"/>
      <c r="AG199" s="1183"/>
      <c r="AH199" s="1183"/>
      <c r="AI199" s="1183"/>
      <c r="AJ199" s="1183"/>
      <c r="AK199" s="1183"/>
      <c r="AL199" s="1183"/>
      <c r="AM199" s="1183"/>
      <c r="AN199" s="1183"/>
      <c r="AO199" s="1183"/>
      <c r="AP199" s="1183"/>
      <c r="AQ199" s="1183"/>
      <c r="AR199" s="1183"/>
      <c r="AS199" s="1183"/>
      <c r="AT199" s="1183"/>
      <c r="AU199" s="1183"/>
      <c r="AV199" s="1183"/>
      <c r="AW199" s="1183"/>
      <c r="AX199" s="1183"/>
      <c r="AY199" s="1183"/>
      <c r="AZ199" s="1183"/>
      <c r="BA199" s="1183"/>
      <c r="BB199" s="1183"/>
      <c r="BC199" s="1183"/>
      <c r="BD199" s="1183"/>
      <c r="BE199" s="1183"/>
      <c r="BF199" s="1183"/>
      <c r="BG199" s="1183"/>
      <c r="BH199" s="1183"/>
      <c r="BI199" s="1183"/>
      <c r="BJ199" s="1183"/>
      <c r="BK199" s="1183"/>
      <c r="BL199" s="1183"/>
      <c r="BM199" s="1183"/>
      <c r="BN199" s="1183"/>
      <c r="BO199" s="1183"/>
      <c r="BP199" s="1183"/>
      <c r="BQ199" s="1183"/>
      <c r="BR199" s="1183"/>
      <c r="BS199" s="1183"/>
      <c r="BT199" s="1183"/>
      <c r="BU199" s="1183"/>
      <c r="BV199" s="1183"/>
      <c r="BW199" s="1183"/>
      <c r="BX199" s="1183"/>
      <c r="BY199" s="1183"/>
      <c r="BZ199" s="1183"/>
      <c r="CA199" s="1183"/>
      <c r="CB199" s="1183"/>
      <c r="CC199" s="1183"/>
      <c r="CD199" s="1183"/>
      <c r="CE199" s="1183"/>
      <c r="CF199" s="1183"/>
      <c r="CG199" s="1183"/>
      <c r="CH199" s="1183"/>
      <c r="CI199" s="1183"/>
      <c r="CJ199" s="1183"/>
      <c r="CK199" s="1183"/>
      <c r="CL199" s="1183"/>
      <c r="CM199" s="1183"/>
      <c r="CN199" s="1183"/>
      <c r="CO199" s="1183"/>
      <c r="CP199" s="1183"/>
      <c r="CQ199" s="1183"/>
      <c r="CR199" s="1183"/>
      <c r="CS199" s="1183"/>
      <c r="CT199" s="1183"/>
      <c r="CU199" s="1183"/>
      <c r="CV199" s="1183"/>
      <c r="CW199" s="1183"/>
      <c r="CX199" s="1158"/>
      <c r="CY199" s="1158"/>
      <c r="CZ199" s="1158"/>
      <c r="DA199" s="1159"/>
      <c r="DB199" s="1156"/>
    </row>
    <row r="200" spans="2:106" s="1152" customFormat="1" ht="11.25" customHeight="1">
      <c r="B200" s="1157"/>
      <c r="C200" s="1183"/>
      <c r="D200" s="1183"/>
      <c r="E200" s="1183"/>
      <c r="F200" s="1183"/>
      <c r="G200" s="1183"/>
      <c r="H200" s="1183"/>
      <c r="I200" s="1183"/>
      <c r="J200" s="1183"/>
      <c r="K200" s="1183"/>
      <c r="L200" s="1183"/>
      <c r="M200" s="1183"/>
      <c r="N200" s="1183"/>
      <c r="O200" s="1183"/>
      <c r="P200" s="1183"/>
      <c r="Q200" s="1183"/>
      <c r="R200" s="1183"/>
      <c r="S200" s="1183"/>
      <c r="T200" s="1183"/>
      <c r="U200" s="1183"/>
      <c r="V200" s="1183"/>
      <c r="W200" s="1183"/>
      <c r="X200" s="1183"/>
      <c r="Y200" s="1183"/>
      <c r="Z200" s="1183"/>
      <c r="AA200" s="1183"/>
      <c r="AB200" s="1183"/>
      <c r="AC200" s="1183"/>
      <c r="AD200" s="1183"/>
      <c r="AE200" s="1183"/>
      <c r="AF200" s="1183"/>
      <c r="AG200" s="1183"/>
      <c r="AH200" s="1183"/>
      <c r="AI200" s="1183"/>
      <c r="AJ200" s="1183"/>
      <c r="AK200" s="1183"/>
      <c r="AL200" s="1183"/>
      <c r="AM200" s="1183"/>
      <c r="AN200" s="1183"/>
      <c r="AO200" s="1183"/>
      <c r="AP200" s="1183"/>
      <c r="AQ200" s="1183"/>
      <c r="AR200" s="1183"/>
      <c r="AS200" s="1183"/>
      <c r="AT200" s="1183"/>
      <c r="AU200" s="1183"/>
      <c r="AV200" s="1183"/>
      <c r="AW200" s="1183"/>
      <c r="AX200" s="1183"/>
      <c r="AY200" s="1183"/>
      <c r="AZ200" s="1183"/>
      <c r="BA200" s="1183"/>
      <c r="BB200" s="1183"/>
      <c r="BC200" s="1183"/>
      <c r="BD200" s="1183"/>
      <c r="BE200" s="1183"/>
      <c r="BF200" s="1183"/>
      <c r="BG200" s="1183"/>
      <c r="BH200" s="1183"/>
      <c r="BI200" s="1183"/>
      <c r="BJ200" s="1183"/>
      <c r="BK200" s="1183"/>
      <c r="BL200" s="1183"/>
      <c r="BM200" s="1183"/>
      <c r="BN200" s="1183"/>
      <c r="BO200" s="1183"/>
      <c r="BP200" s="1183"/>
      <c r="BQ200" s="1183"/>
      <c r="BR200" s="1183"/>
      <c r="BS200" s="1183"/>
      <c r="BT200" s="1183"/>
      <c r="BU200" s="1183"/>
      <c r="BV200" s="1183"/>
      <c r="BW200" s="1183"/>
      <c r="BX200" s="1183"/>
      <c r="BY200" s="1183"/>
      <c r="BZ200" s="1183"/>
      <c r="CA200" s="1183"/>
      <c r="CB200" s="1183"/>
      <c r="CC200" s="1183"/>
      <c r="CD200" s="1183"/>
      <c r="CE200" s="1183"/>
      <c r="CF200" s="1183"/>
      <c r="CG200" s="1183"/>
      <c r="CH200" s="1183"/>
      <c r="CI200" s="1183"/>
      <c r="CJ200" s="1183"/>
      <c r="CK200" s="1183"/>
      <c r="CL200" s="1183"/>
      <c r="CM200" s="1183"/>
      <c r="CN200" s="1183"/>
      <c r="CO200" s="1183"/>
      <c r="CP200" s="1183"/>
      <c r="CQ200" s="1183"/>
      <c r="CR200" s="1183"/>
      <c r="CS200" s="1183"/>
      <c r="CT200" s="1183"/>
      <c r="CU200" s="1183"/>
      <c r="CV200" s="1183"/>
      <c r="CW200" s="1183"/>
      <c r="CX200" s="1158"/>
      <c r="CY200" s="1158"/>
      <c r="CZ200" s="1158"/>
      <c r="DA200" s="1159"/>
      <c r="DB200" s="1156"/>
    </row>
    <row r="201" spans="2:106" s="1152" customFormat="1" ht="11.25" customHeight="1">
      <c r="B201" s="1157"/>
      <c r="C201" s="1183"/>
      <c r="D201" s="1183"/>
      <c r="E201" s="1183"/>
      <c r="F201" s="1183"/>
      <c r="G201" s="1183" t="s">
        <v>899</v>
      </c>
      <c r="H201" s="1183"/>
      <c r="I201" s="1183"/>
      <c r="J201" s="1183"/>
      <c r="K201" s="1183"/>
      <c r="L201" s="1183"/>
      <c r="M201" s="1183"/>
      <c r="N201" s="1183" t="s">
        <v>217</v>
      </c>
      <c r="O201" s="1183"/>
      <c r="P201" s="1535">
        <f>기계경비!$AA$22</f>
        <v>36248</v>
      </c>
      <c r="Q201" s="1535"/>
      <c r="R201" s="1535"/>
      <c r="S201" s="1535"/>
      <c r="T201" s="1535"/>
      <c r="U201" s="1535"/>
      <c r="V201" s="1535"/>
      <c r="W201" s="1183"/>
      <c r="X201" s="1183"/>
      <c r="Y201" s="1183" t="s">
        <v>1021</v>
      </c>
      <c r="Z201" s="1183"/>
      <c r="AA201" s="1183"/>
      <c r="AB201" s="1183" t="str">
        <f>TEXT(AZ169,"#,##0.#######")</f>
        <v>32.5</v>
      </c>
      <c r="AC201" s="1183"/>
      <c r="AD201" s="1183"/>
      <c r="AE201" s="1183"/>
      <c r="AF201" s="1183"/>
      <c r="AG201" s="1183"/>
      <c r="AH201" s="1183"/>
      <c r="AI201" s="1183" t="s">
        <v>227</v>
      </c>
      <c r="AJ201" s="1183"/>
      <c r="AK201" s="1533" t="str">
        <f>TEXT(TRUNC(P201/AZ169,1),"#,##0.#")</f>
        <v>1,115.3</v>
      </c>
      <c r="AL201" s="1533"/>
      <c r="AM201" s="1533"/>
      <c r="AN201" s="1533"/>
      <c r="AO201" s="1533"/>
      <c r="AP201" s="1533"/>
      <c r="AQ201" s="1533"/>
      <c r="AR201" s="1183"/>
      <c r="AS201" s="1183"/>
      <c r="AT201" s="1183"/>
      <c r="AU201" s="1183"/>
      <c r="AV201" s="1183"/>
      <c r="AW201" s="1183"/>
      <c r="AX201" s="1183"/>
      <c r="AY201" s="1183"/>
      <c r="AZ201" s="1183"/>
      <c r="BA201" s="1183"/>
      <c r="BB201" s="1183"/>
      <c r="BC201" s="1183"/>
      <c r="BD201" s="1183"/>
      <c r="BE201" s="1183"/>
      <c r="BF201" s="1183"/>
      <c r="BG201" s="1183"/>
      <c r="BH201" s="1183"/>
      <c r="BI201" s="1183"/>
      <c r="BJ201" s="1183"/>
      <c r="BK201" s="1183"/>
      <c r="BL201" s="1183"/>
      <c r="BM201" s="1183"/>
      <c r="BN201" s="1183"/>
      <c r="BO201" s="1183"/>
      <c r="BP201" s="1183"/>
      <c r="BQ201" s="1183"/>
      <c r="BR201" s="1183"/>
      <c r="BS201" s="1183"/>
      <c r="BT201" s="1183"/>
      <c r="BU201" s="1183"/>
      <c r="BV201" s="1183"/>
      <c r="BW201" s="1183"/>
      <c r="BX201" s="1183"/>
      <c r="BY201" s="1183"/>
      <c r="BZ201" s="1183"/>
      <c r="CA201" s="1183"/>
      <c r="CB201" s="1183"/>
      <c r="CC201" s="1183"/>
      <c r="CD201" s="1183"/>
      <c r="CE201" s="1183"/>
      <c r="CF201" s="1183"/>
      <c r="CG201" s="1183"/>
      <c r="CH201" s="1183"/>
      <c r="CI201" s="1183"/>
      <c r="CJ201" s="1183"/>
      <c r="CK201" s="1183"/>
      <c r="CL201" s="1183"/>
      <c r="CM201" s="1183"/>
      <c r="CN201" s="1183"/>
      <c r="CO201" s="1183"/>
      <c r="CP201" s="1183"/>
      <c r="CQ201" s="1183"/>
      <c r="CR201" s="1183"/>
      <c r="CS201" s="1183"/>
      <c r="CT201" s="1183"/>
      <c r="CU201" s="1183"/>
      <c r="CV201" s="1183"/>
      <c r="CW201" s="1183"/>
      <c r="CX201" s="1158"/>
      <c r="CY201" s="1158"/>
      <c r="CZ201" s="1158"/>
      <c r="DA201" s="1159"/>
      <c r="DB201" s="1156"/>
    </row>
    <row r="202" spans="2:106" s="1152" customFormat="1" ht="11.25" customHeight="1">
      <c r="B202" s="1157"/>
      <c r="C202" s="1183"/>
      <c r="D202" s="1183"/>
      <c r="E202" s="1183"/>
      <c r="F202" s="1183"/>
      <c r="G202" s="1183" t="s">
        <v>892</v>
      </c>
      <c r="H202" s="1183"/>
      <c r="I202" s="1183"/>
      <c r="J202" s="1183"/>
      <c r="K202" s="1183"/>
      <c r="L202" s="1183"/>
      <c r="M202" s="1183"/>
      <c r="N202" s="1183" t="s">
        <v>217</v>
      </c>
      <c r="O202" s="1183"/>
      <c r="P202" s="1535" t="e">
        <f>기계경비!$AB$22</f>
        <v>#REF!</v>
      </c>
      <c r="Q202" s="1535"/>
      <c r="R202" s="1535"/>
      <c r="S202" s="1535"/>
      <c r="T202" s="1535"/>
      <c r="U202" s="1535"/>
      <c r="V202" s="1535"/>
      <c r="W202" s="1183"/>
      <c r="X202" s="1183"/>
      <c r="Y202" s="1183" t="s">
        <v>1021</v>
      </c>
      <c r="Z202" s="1183"/>
      <c r="AA202" s="1183"/>
      <c r="AB202" s="1183" t="str">
        <f>TEXT(AZ169,"#,##0.#######")</f>
        <v>32.5</v>
      </c>
      <c r="AC202" s="1183"/>
      <c r="AD202" s="1183"/>
      <c r="AE202" s="1183"/>
      <c r="AF202" s="1183"/>
      <c r="AG202" s="1183"/>
      <c r="AH202" s="1183"/>
      <c r="AI202" s="1183" t="s">
        <v>227</v>
      </c>
      <c r="AJ202" s="1183"/>
      <c r="AK202" s="1533" t="e">
        <f>TEXT(TRUNC(P202/AZ169,1),"#,##0.#")</f>
        <v>#REF!</v>
      </c>
      <c r="AL202" s="1533"/>
      <c r="AM202" s="1533"/>
      <c r="AN202" s="1533"/>
      <c r="AO202" s="1533"/>
      <c r="AP202" s="1533"/>
      <c r="AQ202" s="1533"/>
      <c r="AR202" s="1183"/>
      <c r="AS202" s="1183"/>
      <c r="AT202" s="1183"/>
      <c r="AU202" s="1183"/>
      <c r="AV202" s="1183"/>
      <c r="AW202" s="1183"/>
      <c r="AX202" s="1183"/>
      <c r="AY202" s="1183"/>
      <c r="AZ202" s="1183"/>
      <c r="BA202" s="1183"/>
      <c r="BB202" s="1183"/>
      <c r="BC202" s="1183"/>
      <c r="BD202" s="1183"/>
      <c r="BE202" s="1183"/>
      <c r="BF202" s="1183"/>
      <c r="BG202" s="1183"/>
      <c r="BH202" s="1183"/>
      <c r="BI202" s="1183"/>
      <c r="BJ202" s="1183"/>
      <c r="BK202" s="1183"/>
      <c r="BL202" s="1183"/>
      <c r="BM202" s="1183"/>
      <c r="BN202" s="1183"/>
      <c r="BO202" s="1183"/>
      <c r="BP202" s="1183"/>
      <c r="BQ202" s="1183"/>
      <c r="BR202" s="1183"/>
      <c r="BS202" s="1183"/>
      <c r="BT202" s="1183"/>
      <c r="BU202" s="1183"/>
      <c r="BV202" s="1183"/>
      <c r="BW202" s="1183"/>
      <c r="BX202" s="1183"/>
      <c r="BY202" s="1183"/>
      <c r="BZ202" s="1183"/>
      <c r="CA202" s="1183"/>
      <c r="CB202" s="1183"/>
      <c r="CC202" s="1183"/>
      <c r="CD202" s="1183"/>
      <c r="CE202" s="1183"/>
      <c r="CF202" s="1183"/>
      <c r="CG202" s="1183"/>
      <c r="CH202" s="1183"/>
      <c r="CI202" s="1183"/>
      <c r="CJ202" s="1183"/>
      <c r="CK202" s="1183"/>
      <c r="CL202" s="1183"/>
      <c r="CM202" s="1183"/>
      <c r="CN202" s="1183"/>
      <c r="CO202" s="1183"/>
      <c r="CP202" s="1183"/>
      <c r="CQ202" s="1183"/>
      <c r="CR202" s="1183"/>
      <c r="CS202" s="1183"/>
      <c r="CT202" s="1183"/>
      <c r="CU202" s="1183"/>
      <c r="CV202" s="1183"/>
      <c r="CW202" s="1183"/>
      <c r="CX202" s="1158"/>
      <c r="CY202" s="1158"/>
      <c r="CZ202" s="1158"/>
      <c r="DA202" s="1159"/>
      <c r="DB202" s="1156"/>
    </row>
    <row r="203" spans="2:106" s="1152" customFormat="1" ht="11.25" customHeight="1">
      <c r="B203" s="1157"/>
      <c r="C203" s="1183"/>
      <c r="D203" s="1183"/>
      <c r="E203" s="1183"/>
      <c r="F203" s="1183"/>
      <c r="G203" s="1183" t="s">
        <v>1022</v>
      </c>
      <c r="H203" s="1183"/>
      <c r="I203" s="1183"/>
      <c r="J203" s="1183"/>
      <c r="K203" s="1183" t="s">
        <v>1023</v>
      </c>
      <c r="L203" s="1183"/>
      <c r="M203" s="1183"/>
      <c r="N203" s="1183" t="s">
        <v>217</v>
      </c>
      <c r="O203" s="1183"/>
      <c r="P203" s="1535">
        <f>기계경비!$AC$22</f>
        <v>620</v>
      </c>
      <c r="Q203" s="1535"/>
      <c r="R203" s="1535"/>
      <c r="S203" s="1535"/>
      <c r="T203" s="1535"/>
      <c r="U203" s="1535"/>
      <c r="V203" s="1535"/>
      <c r="W203" s="1183"/>
      <c r="X203" s="1183"/>
      <c r="Y203" s="1183" t="s">
        <v>1021</v>
      </c>
      <c r="Z203" s="1183"/>
      <c r="AA203" s="1183"/>
      <c r="AB203" s="1183" t="str">
        <f>TEXT(AZ169,"#,##0.#######")</f>
        <v>32.5</v>
      </c>
      <c r="AC203" s="1183"/>
      <c r="AD203" s="1183"/>
      <c r="AE203" s="1183"/>
      <c r="AF203" s="1183"/>
      <c r="AG203" s="1183"/>
      <c r="AH203" s="1183"/>
      <c r="AI203" s="1183" t="s">
        <v>227</v>
      </c>
      <c r="AJ203" s="1183"/>
      <c r="AK203" s="1533" t="str">
        <f>TEXT(TRUNC(P203/AZ169,1),"#,##0.#")</f>
        <v>19.</v>
      </c>
      <c r="AL203" s="1533"/>
      <c r="AM203" s="1533"/>
      <c r="AN203" s="1533"/>
      <c r="AO203" s="1533"/>
      <c r="AP203" s="1533"/>
      <c r="AQ203" s="1533"/>
      <c r="AR203" s="1183"/>
      <c r="AS203" s="1183"/>
      <c r="AT203" s="1183"/>
      <c r="AU203" s="1183"/>
      <c r="AV203" s="1183"/>
      <c r="AW203" s="1183"/>
      <c r="AX203" s="1183"/>
      <c r="AY203" s="1183"/>
      <c r="AZ203" s="1183"/>
      <c r="BA203" s="1183"/>
      <c r="BB203" s="1183"/>
      <c r="BC203" s="1183"/>
      <c r="BD203" s="1183"/>
      <c r="BE203" s="1183"/>
      <c r="BF203" s="1183"/>
      <c r="BG203" s="1183"/>
      <c r="BH203" s="1183"/>
      <c r="BI203" s="1183"/>
      <c r="BJ203" s="1183"/>
      <c r="BK203" s="1183"/>
      <c r="BL203" s="1183"/>
      <c r="BM203" s="1183"/>
      <c r="BN203" s="1183"/>
      <c r="BO203" s="1183"/>
      <c r="BP203" s="1183"/>
      <c r="BQ203" s="1183"/>
      <c r="BR203" s="1183"/>
      <c r="BS203" s="1183"/>
      <c r="BT203" s="1183"/>
      <c r="BU203" s="1183"/>
      <c r="BV203" s="1183"/>
      <c r="BW203" s="1183"/>
      <c r="BX203" s="1183"/>
      <c r="BY203" s="1183"/>
      <c r="BZ203" s="1183"/>
      <c r="CA203" s="1183"/>
      <c r="CB203" s="1183"/>
      <c r="CC203" s="1183"/>
      <c r="CD203" s="1183"/>
      <c r="CE203" s="1183"/>
      <c r="CF203" s="1183"/>
      <c r="CG203" s="1183"/>
      <c r="CH203" s="1183"/>
      <c r="CI203" s="1183"/>
      <c r="CJ203" s="1183"/>
      <c r="CK203" s="1183"/>
      <c r="CL203" s="1183"/>
      <c r="CM203" s="1183"/>
      <c r="CN203" s="1183"/>
      <c r="CO203" s="1183"/>
      <c r="CP203" s="1183"/>
      <c r="CQ203" s="1183"/>
      <c r="CR203" s="1183"/>
      <c r="CS203" s="1183"/>
      <c r="CT203" s="1183"/>
      <c r="CU203" s="1183"/>
      <c r="CV203" s="1183"/>
      <c r="CW203" s="1183"/>
      <c r="CX203" s="1158"/>
      <c r="CY203" s="1158"/>
      <c r="CZ203" s="1158"/>
      <c r="DA203" s="1159"/>
      <c r="DB203" s="1156"/>
    </row>
    <row r="204" spans="2:106" s="1152" customFormat="1" ht="11.25" customHeight="1">
      <c r="B204" s="1157"/>
      <c r="C204" s="1183"/>
      <c r="D204" s="1183"/>
      <c r="E204" s="1183"/>
      <c r="F204" s="1183"/>
      <c r="G204" s="1183" t="s">
        <v>1024</v>
      </c>
      <c r="H204" s="1183"/>
      <c r="I204" s="1183"/>
      <c r="J204" s="1183"/>
      <c r="K204" s="1183" t="s">
        <v>179</v>
      </c>
      <c r="L204" s="1183"/>
      <c r="M204" s="1183"/>
      <c r="N204" s="1183" t="s">
        <v>217</v>
      </c>
      <c r="O204" s="1183"/>
      <c r="P204" s="1183"/>
      <c r="Q204" s="1183"/>
      <c r="R204" s="1183"/>
      <c r="S204" s="1183"/>
      <c r="T204" s="1183"/>
      <c r="U204" s="1183"/>
      <c r="V204" s="1183"/>
      <c r="W204" s="1183"/>
      <c r="X204" s="1183"/>
      <c r="Y204" s="1183"/>
      <c r="Z204" s="1183"/>
      <c r="AA204" s="1183"/>
      <c r="AB204" s="1183"/>
      <c r="AC204" s="1183"/>
      <c r="AD204" s="1183"/>
      <c r="AE204" s="1183"/>
      <c r="AF204" s="1183"/>
      <c r="AG204" s="1183" t="e">
        <f>TEXT(AK201+AK202+AK203,"#,##0.#######")</f>
        <v>#REF!</v>
      </c>
      <c r="AH204" s="1183"/>
      <c r="AI204" s="1183"/>
      <c r="AJ204" s="1183"/>
      <c r="AK204" s="1183"/>
      <c r="AL204" s="1183"/>
      <c r="AM204" s="1183"/>
      <c r="AN204" s="1183"/>
      <c r="AO204" s="1183"/>
      <c r="AP204" s="1183"/>
      <c r="AQ204" s="1183"/>
      <c r="AR204" s="1183"/>
      <c r="AS204" s="1183"/>
      <c r="AT204" s="1183"/>
      <c r="AU204" s="1183"/>
      <c r="AV204" s="1183"/>
      <c r="AW204" s="1183"/>
      <c r="AX204" s="1183"/>
      <c r="AY204" s="1183"/>
      <c r="AZ204" s="1183"/>
      <c r="BA204" s="1183"/>
      <c r="BB204" s="1183"/>
      <c r="BC204" s="1183"/>
      <c r="BD204" s="1183"/>
      <c r="BE204" s="1183"/>
      <c r="BF204" s="1183"/>
      <c r="BG204" s="1183"/>
      <c r="BH204" s="1183"/>
      <c r="BI204" s="1183"/>
      <c r="BJ204" s="1183"/>
      <c r="BK204" s="1183"/>
      <c r="BL204" s="1183"/>
      <c r="BM204" s="1183"/>
      <c r="BN204" s="1183"/>
      <c r="BO204" s="1183"/>
      <c r="BP204" s="1183"/>
      <c r="BQ204" s="1183"/>
      <c r="BR204" s="1183"/>
      <c r="BS204" s="1183"/>
      <c r="BT204" s="1183"/>
      <c r="BU204" s="1183"/>
      <c r="BV204" s="1183"/>
      <c r="BW204" s="1183"/>
      <c r="BX204" s="1183"/>
      <c r="BY204" s="1183"/>
      <c r="BZ204" s="1183"/>
      <c r="CA204" s="1183"/>
      <c r="CB204" s="1183"/>
      <c r="CC204" s="1183"/>
      <c r="CD204" s="1183"/>
      <c r="CE204" s="1183"/>
      <c r="CF204" s="1183"/>
      <c r="CG204" s="1183"/>
      <c r="CH204" s="1183"/>
      <c r="CI204" s="1183"/>
      <c r="CJ204" s="1183"/>
      <c r="CK204" s="1183"/>
      <c r="CL204" s="1183"/>
      <c r="CM204" s="1183"/>
      <c r="CN204" s="1183"/>
      <c r="CO204" s="1183"/>
      <c r="CP204" s="1183"/>
      <c r="CQ204" s="1183"/>
      <c r="CR204" s="1183"/>
      <c r="CS204" s="1183"/>
      <c r="CT204" s="1183"/>
      <c r="CU204" s="1183"/>
      <c r="CV204" s="1183"/>
      <c r="CW204" s="1183"/>
      <c r="CX204" s="1158" t="e">
        <f>CY204+CZ204+DA204</f>
        <v>#REF!</v>
      </c>
      <c r="CY204" s="1158" t="str">
        <f>TEXT(AK201,"#,###.0")</f>
        <v>1,115.3</v>
      </c>
      <c r="CZ204" s="1158" t="e">
        <f>TEXT(AK202,"#,###.0")</f>
        <v>#REF!</v>
      </c>
      <c r="DA204" s="1159" t="str">
        <f>TEXT(AK203,"#,###.0")</f>
        <v>19.0</v>
      </c>
      <c r="DB204" s="1156"/>
    </row>
    <row r="205" spans="2:106" s="1152" customFormat="1" ht="11.25" customHeight="1">
      <c r="B205" s="1157"/>
      <c r="C205" s="1183"/>
      <c r="D205" s="1183"/>
      <c r="E205" s="1183"/>
      <c r="F205" s="1183"/>
      <c r="G205" s="1183"/>
      <c r="H205" s="1183"/>
      <c r="I205" s="1183"/>
      <c r="J205" s="1183"/>
      <c r="K205" s="1183"/>
      <c r="L205" s="1183"/>
      <c r="M205" s="1183"/>
      <c r="N205" s="1183"/>
      <c r="O205" s="1183"/>
      <c r="P205" s="1183"/>
      <c r="Q205" s="1183"/>
      <c r="R205" s="1183"/>
      <c r="S205" s="1183"/>
      <c r="T205" s="1183"/>
      <c r="U205" s="1183"/>
      <c r="V205" s="1183"/>
      <c r="W205" s="1183"/>
      <c r="X205" s="1183"/>
      <c r="Y205" s="1183"/>
      <c r="Z205" s="1183"/>
      <c r="AA205" s="1183"/>
      <c r="AB205" s="1183"/>
      <c r="AC205" s="1183"/>
      <c r="AD205" s="1183"/>
      <c r="AE205" s="1183"/>
      <c r="AF205" s="1183"/>
      <c r="AG205" s="1183"/>
      <c r="AH205" s="1183"/>
      <c r="AI205" s="1183"/>
      <c r="AJ205" s="1183"/>
      <c r="AK205" s="1183"/>
      <c r="AL205" s="1183"/>
      <c r="AM205" s="1183"/>
      <c r="AN205" s="1183"/>
      <c r="AO205" s="1183"/>
      <c r="AP205" s="1183"/>
      <c r="AQ205" s="1183"/>
      <c r="AR205" s="1183"/>
      <c r="AS205" s="1183"/>
      <c r="AT205" s="1183"/>
      <c r="AU205" s="1183"/>
      <c r="AV205" s="1183"/>
      <c r="AW205" s="1183"/>
      <c r="AX205" s="1183"/>
      <c r="AY205" s="1183"/>
      <c r="AZ205" s="1183"/>
      <c r="BA205" s="1183"/>
      <c r="BB205" s="1183"/>
      <c r="BC205" s="1183"/>
      <c r="BD205" s="1183"/>
      <c r="BE205" s="1183"/>
      <c r="BF205" s="1183"/>
      <c r="BG205" s="1183"/>
      <c r="BH205" s="1183"/>
      <c r="BI205" s="1183"/>
      <c r="BJ205" s="1183"/>
      <c r="BK205" s="1183"/>
      <c r="BL205" s="1183"/>
      <c r="BM205" s="1183"/>
      <c r="BN205" s="1183"/>
      <c r="BO205" s="1183"/>
      <c r="BP205" s="1183"/>
      <c r="BQ205" s="1183"/>
      <c r="BR205" s="1183"/>
      <c r="BS205" s="1183"/>
      <c r="BT205" s="1183"/>
      <c r="BU205" s="1183"/>
      <c r="BV205" s="1183"/>
      <c r="BW205" s="1183"/>
      <c r="BX205" s="1183"/>
      <c r="BY205" s="1183"/>
      <c r="BZ205" s="1183"/>
      <c r="CA205" s="1183"/>
      <c r="CB205" s="1183"/>
      <c r="CC205" s="1183"/>
      <c r="CD205" s="1183"/>
      <c r="CE205" s="1183"/>
      <c r="CF205" s="1183"/>
      <c r="CG205" s="1183"/>
      <c r="CH205" s="1183"/>
      <c r="CI205" s="1183"/>
      <c r="CJ205" s="1183"/>
      <c r="CK205" s="1183"/>
      <c r="CL205" s="1183"/>
      <c r="CM205" s="1183"/>
      <c r="CN205" s="1183"/>
      <c r="CO205" s="1183"/>
      <c r="CP205" s="1183"/>
      <c r="CQ205" s="1183"/>
      <c r="CR205" s="1183"/>
      <c r="CS205" s="1183"/>
      <c r="CT205" s="1183"/>
      <c r="CU205" s="1183"/>
      <c r="CV205" s="1183"/>
      <c r="CW205" s="1183"/>
      <c r="CX205" s="1158"/>
      <c r="CY205" s="1158"/>
      <c r="CZ205" s="1158"/>
      <c r="DA205" s="1159"/>
      <c r="DB205" s="1156"/>
    </row>
    <row r="206" spans="2:106" s="1152" customFormat="1" ht="11.25" customHeight="1">
      <c r="B206" s="1157"/>
      <c r="C206" s="1183"/>
      <c r="D206" s="1183"/>
      <c r="E206" s="1183" t="s">
        <v>1142</v>
      </c>
      <c r="F206" s="1183"/>
      <c r="G206" s="1183" t="s">
        <v>1126</v>
      </c>
      <c r="H206" s="1183"/>
      <c r="I206" s="1183" t="s">
        <v>1108</v>
      </c>
      <c r="J206" s="1183"/>
      <c r="K206" s="1183"/>
      <c r="L206" s="1183"/>
      <c r="M206" s="1183"/>
      <c r="N206" s="1183"/>
      <c r="O206" s="1183"/>
      <c r="P206" s="1183"/>
      <c r="Q206" s="1183"/>
      <c r="R206" s="1183"/>
      <c r="S206" s="1183"/>
      <c r="T206" s="1183" t="s">
        <v>1109</v>
      </c>
      <c r="U206" s="1183"/>
      <c r="V206" s="1183"/>
      <c r="W206" s="1183"/>
      <c r="X206" s="1183"/>
      <c r="Y206" s="1183"/>
      <c r="Z206" s="1183"/>
      <c r="AA206" s="1183"/>
      <c r="AB206" s="1183"/>
      <c r="AC206" s="1183"/>
      <c r="AD206" s="1183"/>
      <c r="AE206" s="1183"/>
      <c r="AF206" s="1183"/>
      <c r="AG206" s="1183"/>
      <c r="AH206" s="1183"/>
      <c r="AI206" s="1183"/>
      <c r="AJ206" s="1183"/>
      <c r="AK206" s="1183"/>
      <c r="AL206" s="1183"/>
      <c r="AM206" s="1183"/>
      <c r="AN206" s="1183"/>
      <c r="AO206" s="1183"/>
      <c r="AP206" s="1183"/>
      <c r="AQ206" s="1183"/>
      <c r="AR206" s="1183"/>
      <c r="AS206" s="1183"/>
      <c r="AT206" s="1183"/>
      <c r="AU206" s="1183"/>
      <c r="AV206" s="1183"/>
      <c r="AW206" s="1183"/>
      <c r="AX206" s="1183"/>
      <c r="AY206" s="1183"/>
      <c r="AZ206" s="1183"/>
      <c r="BA206" s="1183"/>
      <c r="BB206" s="1183"/>
      <c r="BC206" s="1183"/>
      <c r="BD206" s="1183"/>
      <c r="BE206" s="1183"/>
      <c r="BF206" s="1183"/>
      <c r="BG206" s="1183"/>
      <c r="BH206" s="1183"/>
      <c r="BI206" s="1183"/>
      <c r="BJ206" s="1183"/>
      <c r="BK206" s="1183"/>
      <c r="BL206" s="1183"/>
      <c r="BM206" s="1183"/>
      <c r="BN206" s="1183"/>
      <c r="BO206" s="1183"/>
      <c r="BP206" s="1183"/>
      <c r="BQ206" s="1183"/>
      <c r="BR206" s="1183"/>
      <c r="BS206" s="1183"/>
      <c r="BT206" s="1183"/>
      <c r="BU206" s="1183"/>
      <c r="BV206" s="1183"/>
      <c r="BW206" s="1183"/>
      <c r="BX206" s="1183"/>
      <c r="BY206" s="1183"/>
      <c r="BZ206" s="1183"/>
      <c r="CA206" s="1183"/>
      <c r="CB206" s="1183"/>
      <c r="CC206" s="1183"/>
      <c r="CD206" s="1183"/>
      <c r="CE206" s="1183"/>
      <c r="CF206" s="1183"/>
      <c r="CG206" s="1183"/>
      <c r="CH206" s="1183"/>
      <c r="CI206" s="1183"/>
      <c r="CJ206" s="1183"/>
      <c r="CK206" s="1183"/>
      <c r="CL206" s="1183"/>
      <c r="CM206" s="1183"/>
      <c r="CN206" s="1183"/>
      <c r="CO206" s="1183"/>
      <c r="CP206" s="1183"/>
      <c r="CQ206" s="1183"/>
      <c r="CR206" s="1183"/>
      <c r="CS206" s="1183"/>
      <c r="CT206" s="1183"/>
      <c r="CU206" s="1183"/>
      <c r="CV206" s="1183"/>
      <c r="CW206" s="1183"/>
      <c r="CX206" s="1158"/>
      <c r="CY206" s="1158"/>
      <c r="CZ206" s="1158"/>
      <c r="DA206" s="1159"/>
      <c r="DB206" s="1156"/>
    </row>
    <row r="207" spans="2:106" s="1152" customFormat="1" ht="11.25" customHeight="1">
      <c r="B207" s="1157"/>
      <c r="C207" s="1183"/>
      <c r="D207" s="1183"/>
      <c r="E207" s="1183"/>
      <c r="F207" s="1183"/>
      <c r="G207" s="1183"/>
      <c r="H207" s="1183"/>
      <c r="I207" s="1183"/>
      <c r="J207" s="1183"/>
      <c r="K207" s="1183"/>
      <c r="L207" s="1183"/>
      <c r="M207" s="1183"/>
      <c r="N207" s="1183"/>
      <c r="O207" s="1183"/>
      <c r="P207" s="1183"/>
      <c r="Q207" s="1183"/>
      <c r="R207" s="1183"/>
      <c r="S207" s="1183"/>
      <c r="T207" s="1183"/>
      <c r="U207" s="1183"/>
      <c r="V207" s="1183"/>
      <c r="W207" s="1183"/>
      <c r="X207" s="1183"/>
      <c r="Y207" s="1183"/>
      <c r="Z207" s="1183"/>
      <c r="AA207" s="1183"/>
      <c r="AB207" s="1183"/>
      <c r="AC207" s="1183"/>
      <c r="AD207" s="1183"/>
      <c r="AE207" s="1183"/>
      <c r="AF207" s="1183"/>
      <c r="AG207" s="1183"/>
      <c r="AH207" s="1183"/>
      <c r="AI207" s="1183"/>
      <c r="AJ207" s="1183"/>
      <c r="AK207" s="1183"/>
      <c r="AL207" s="1183"/>
      <c r="AM207" s="1183"/>
      <c r="AN207" s="1183"/>
      <c r="AO207" s="1183"/>
      <c r="AP207" s="1183"/>
      <c r="AQ207" s="1183"/>
      <c r="AR207" s="1183"/>
      <c r="AS207" s="1183"/>
      <c r="AT207" s="1183"/>
      <c r="AU207" s="1183"/>
      <c r="AV207" s="1183"/>
      <c r="AW207" s="1183"/>
      <c r="AX207" s="1183"/>
      <c r="AY207" s="1183"/>
      <c r="AZ207" s="1183"/>
      <c r="BA207" s="1183"/>
      <c r="BB207" s="1183"/>
      <c r="BC207" s="1183"/>
      <c r="BD207" s="1183"/>
      <c r="BE207" s="1183"/>
      <c r="BF207" s="1183"/>
      <c r="BG207" s="1183"/>
      <c r="BH207" s="1183"/>
      <c r="BI207" s="1183"/>
      <c r="BJ207" s="1183"/>
      <c r="BK207" s="1183"/>
      <c r="BL207" s="1183"/>
      <c r="BM207" s="1183"/>
      <c r="BN207" s="1183"/>
      <c r="BO207" s="1183"/>
      <c r="BP207" s="1183"/>
      <c r="BQ207" s="1183"/>
      <c r="BR207" s="1183"/>
      <c r="BS207" s="1183"/>
      <c r="BT207" s="1183"/>
      <c r="BU207" s="1183"/>
      <c r="BV207" s="1183"/>
      <c r="BW207" s="1183"/>
      <c r="BX207" s="1183"/>
      <c r="BY207" s="1183"/>
      <c r="BZ207" s="1183"/>
      <c r="CA207" s="1183"/>
      <c r="CB207" s="1183"/>
      <c r="CC207" s="1183"/>
      <c r="CD207" s="1183"/>
      <c r="CE207" s="1183"/>
      <c r="CF207" s="1183"/>
      <c r="CG207" s="1183"/>
      <c r="CH207" s="1183"/>
      <c r="CI207" s="1183"/>
      <c r="CJ207" s="1183"/>
      <c r="CK207" s="1183"/>
      <c r="CL207" s="1183"/>
      <c r="CM207" s="1183"/>
      <c r="CN207" s="1183"/>
      <c r="CO207" s="1183"/>
      <c r="CP207" s="1183"/>
      <c r="CQ207" s="1183"/>
      <c r="CR207" s="1183"/>
      <c r="CS207" s="1183"/>
      <c r="CT207" s="1183"/>
      <c r="CU207" s="1183"/>
      <c r="CV207" s="1183"/>
      <c r="CW207" s="1183"/>
      <c r="CX207" s="1158"/>
      <c r="CY207" s="1158"/>
      <c r="CZ207" s="1158"/>
      <c r="DA207" s="1159"/>
      <c r="DB207" s="1156"/>
    </row>
    <row r="208" spans="2:106" s="1152" customFormat="1" ht="11.25" customHeight="1">
      <c r="B208" s="1157"/>
      <c r="C208" s="1183"/>
      <c r="D208" s="1183"/>
      <c r="E208" s="1183"/>
      <c r="F208" s="1183"/>
      <c r="G208" s="1183" t="s">
        <v>899</v>
      </c>
      <c r="H208" s="1183"/>
      <c r="I208" s="1183"/>
      <c r="J208" s="1183"/>
      <c r="K208" s="1183"/>
      <c r="L208" s="1183"/>
      <c r="M208" s="1183"/>
      <c r="N208" s="1183" t="s">
        <v>217</v>
      </c>
      <c r="O208" s="1183"/>
      <c r="P208" s="1532">
        <f>기계경비!$AA$10</f>
        <v>50008</v>
      </c>
      <c r="Q208" s="1532"/>
      <c r="R208" s="1532"/>
      <c r="S208" s="1532"/>
      <c r="T208" s="1532"/>
      <c r="U208" s="1532"/>
      <c r="V208" s="1532"/>
      <c r="W208" s="1183"/>
      <c r="X208" s="1183"/>
      <c r="Y208" s="1183" t="s">
        <v>1021</v>
      </c>
      <c r="Z208" s="1183"/>
      <c r="AA208" s="1183"/>
      <c r="AB208" s="1183" t="str">
        <f>TEXT(AZ169,"#,##0.#######")</f>
        <v>32.5</v>
      </c>
      <c r="AC208" s="1183"/>
      <c r="AD208" s="1183"/>
      <c r="AE208" s="1183"/>
      <c r="AF208" s="1183"/>
      <c r="AG208" s="1183"/>
      <c r="AH208" s="1183"/>
      <c r="AI208" s="1183" t="s">
        <v>227</v>
      </c>
      <c r="AJ208" s="1183"/>
      <c r="AK208" s="1533" t="str">
        <f>TEXT(TRUNC(P208/AZ169,1),"#,##0.#")</f>
        <v>1,538.7</v>
      </c>
      <c r="AL208" s="1533"/>
      <c r="AM208" s="1533"/>
      <c r="AN208" s="1533"/>
      <c r="AO208" s="1533"/>
      <c r="AP208" s="1533"/>
      <c r="AQ208" s="1533"/>
      <c r="AR208" s="1183"/>
      <c r="AS208" s="1183"/>
      <c r="AT208" s="1183"/>
      <c r="AU208" s="1183"/>
      <c r="AV208" s="1183"/>
      <c r="AW208" s="1183"/>
      <c r="AX208" s="1183"/>
      <c r="AY208" s="1183"/>
      <c r="AZ208" s="1183"/>
      <c r="BA208" s="1183"/>
      <c r="BB208" s="1183"/>
      <c r="BC208" s="1183"/>
      <c r="BD208" s="1183"/>
      <c r="BE208" s="1183"/>
      <c r="BF208" s="1183"/>
      <c r="BG208" s="1183"/>
      <c r="BH208" s="1183"/>
      <c r="BI208" s="1183"/>
      <c r="BJ208" s="1183"/>
      <c r="BK208" s="1183"/>
      <c r="BL208" s="1183"/>
      <c r="BM208" s="1183"/>
      <c r="BN208" s="1183"/>
      <c r="BO208" s="1183"/>
      <c r="BP208" s="1183"/>
      <c r="BQ208" s="1183"/>
      <c r="BR208" s="1183"/>
      <c r="BS208" s="1183"/>
      <c r="BT208" s="1183"/>
      <c r="BU208" s="1183"/>
      <c r="BV208" s="1183"/>
      <c r="BW208" s="1183"/>
      <c r="BX208" s="1183"/>
      <c r="BY208" s="1183"/>
      <c r="BZ208" s="1183"/>
      <c r="CA208" s="1183"/>
      <c r="CB208" s="1183"/>
      <c r="CC208" s="1183"/>
      <c r="CD208" s="1183"/>
      <c r="CE208" s="1183"/>
      <c r="CF208" s="1183"/>
      <c r="CG208" s="1183"/>
      <c r="CH208" s="1183"/>
      <c r="CI208" s="1183"/>
      <c r="CJ208" s="1183"/>
      <c r="CK208" s="1183"/>
      <c r="CL208" s="1183"/>
      <c r="CM208" s="1183"/>
      <c r="CN208" s="1183"/>
      <c r="CO208" s="1183"/>
      <c r="CP208" s="1183"/>
      <c r="CQ208" s="1183"/>
      <c r="CR208" s="1183"/>
      <c r="CS208" s="1183"/>
      <c r="CT208" s="1183"/>
      <c r="CU208" s="1183"/>
      <c r="CV208" s="1183"/>
      <c r="CW208" s="1183"/>
      <c r="CX208" s="1158"/>
      <c r="CY208" s="1158"/>
      <c r="CZ208" s="1158"/>
      <c r="DA208" s="1159"/>
      <c r="DB208" s="1156"/>
    </row>
    <row r="209" spans="2:106" s="1152" customFormat="1" ht="11.25" customHeight="1">
      <c r="B209" s="1157"/>
      <c r="C209" s="1183"/>
      <c r="D209" s="1183"/>
      <c r="E209" s="1183"/>
      <c r="F209" s="1183"/>
      <c r="G209" s="1183" t="s">
        <v>892</v>
      </c>
      <c r="H209" s="1183"/>
      <c r="I209" s="1183"/>
      <c r="J209" s="1183"/>
      <c r="K209" s="1183"/>
      <c r="L209" s="1183"/>
      <c r="M209" s="1183"/>
      <c r="N209" s="1183" t="s">
        <v>217</v>
      </c>
      <c r="O209" s="1183"/>
      <c r="P209" s="1532" t="e">
        <f>기계경비!$AB$10</f>
        <v>#REF!</v>
      </c>
      <c r="Q209" s="1532"/>
      <c r="R209" s="1532"/>
      <c r="S209" s="1532"/>
      <c r="T209" s="1532"/>
      <c r="U209" s="1532"/>
      <c r="V209" s="1532"/>
      <c r="W209" s="1183"/>
      <c r="X209" s="1183"/>
      <c r="Y209" s="1183" t="s">
        <v>1021</v>
      </c>
      <c r="Z209" s="1183"/>
      <c r="AA209" s="1183"/>
      <c r="AB209" s="1183" t="str">
        <f>TEXT(AZ169,"#,##0.#######")</f>
        <v>32.5</v>
      </c>
      <c r="AC209" s="1183"/>
      <c r="AD209" s="1183"/>
      <c r="AE209" s="1183"/>
      <c r="AF209" s="1183"/>
      <c r="AG209" s="1183"/>
      <c r="AH209" s="1183"/>
      <c r="AI209" s="1183" t="s">
        <v>227</v>
      </c>
      <c r="AJ209" s="1183"/>
      <c r="AK209" s="1534" t="e">
        <f>TEXT(TRUNC(P209/AZ169,1),"#,##0.#")</f>
        <v>#REF!</v>
      </c>
      <c r="AL209" s="1534"/>
      <c r="AM209" s="1534"/>
      <c r="AN209" s="1534"/>
      <c r="AO209" s="1534"/>
      <c r="AP209" s="1534"/>
      <c r="AQ209" s="1534"/>
      <c r="AR209" s="1183"/>
      <c r="AS209" s="1183"/>
      <c r="AT209" s="1183"/>
      <c r="AU209" s="1183"/>
      <c r="AV209" s="1183"/>
      <c r="AW209" s="1183"/>
      <c r="AX209" s="1183"/>
      <c r="AY209" s="1183"/>
      <c r="AZ209" s="1183"/>
      <c r="BA209" s="1183"/>
      <c r="BB209" s="1183"/>
      <c r="BC209" s="1183"/>
      <c r="BD209" s="1183"/>
      <c r="BE209" s="1183"/>
      <c r="BF209" s="1183"/>
      <c r="BG209" s="1183"/>
      <c r="BH209" s="1183"/>
      <c r="BI209" s="1183"/>
      <c r="BJ209" s="1183"/>
      <c r="BK209" s="1183"/>
      <c r="BL209" s="1183"/>
      <c r="BM209" s="1183"/>
      <c r="BN209" s="1183"/>
      <c r="BO209" s="1183"/>
      <c r="BP209" s="1183"/>
      <c r="BQ209" s="1183"/>
      <c r="BR209" s="1183"/>
      <c r="BS209" s="1183"/>
      <c r="BT209" s="1183"/>
      <c r="BU209" s="1183"/>
      <c r="BV209" s="1183"/>
      <c r="BW209" s="1183"/>
      <c r="BX209" s="1183"/>
      <c r="BY209" s="1183"/>
      <c r="BZ209" s="1183"/>
      <c r="CA209" s="1183"/>
      <c r="CB209" s="1183"/>
      <c r="CC209" s="1183"/>
      <c r="CD209" s="1183"/>
      <c r="CE209" s="1183"/>
      <c r="CF209" s="1183"/>
      <c r="CG209" s="1183"/>
      <c r="CH209" s="1183"/>
      <c r="CI209" s="1183"/>
      <c r="CJ209" s="1183"/>
      <c r="CK209" s="1183"/>
      <c r="CL209" s="1183"/>
      <c r="CM209" s="1183"/>
      <c r="CN209" s="1183"/>
      <c r="CO209" s="1183"/>
      <c r="CP209" s="1183"/>
      <c r="CQ209" s="1183"/>
      <c r="CR209" s="1183"/>
      <c r="CS209" s="1183"/>
      <c r="CT209" s="1183"/>
      <c r="CU209" s="1183"/>
      <c r="CV209" s="1183"/>
      <c r="CW209" s="1183"/>
      <c r="CX209" s="1158"/>
      <c r="CY209" s="1158"/>
      <c r="CZ209" s="1158"/>
      <c r="DA209" s="1159"/>
      <c r="DB209" s="1156"/>
    </row>
    <row r="210" spans="2:106" s="1152" customFormat="1" ht="11.25" customHeight="1">
      <c r="B210" s="1157"/>
      <c r="C210" s="1183"/>
      <c r="D210" s="1183"/>
      <c r="E210" s="1183"/>
      <c r="F210" s="1183"/>
      <c r="G210" s="1183" t="s">
        <v>1022</v>
      </c>
      <c r="H210" s="1183"/>
      <c r="I210" s="1183"/>
      <c r="J210" s="1183"/>
      <c r="K210" s="1183" t="s">
        <v>1023</v>
      </c>
      <c r="L210" s="1183"/>
      <c r="M210" s="1183"/>
      <c r="N210" s="1183" t="s">
        <v>217</v>
      </c>
      <c r="O210" s="1183"/>
      <c r="P210" s="1532">
        <f>기계경비!$AC$10</f>
        <v>6522</v>
      </c>
      <c r="Q210" s="1532"/>
      <c r="R210" s="1532"/>
      <c r="S210" s="1532"/>
      <c r="T210" s="1532"/>
      <c r="U210" s="1532"/>
      <c r="V210" s="1532"/>
      <c r="W210" s="1183"/>
      <c r="X210" s="1183"/>
      <c r="Y210" s="1183" t="s">
        <v>1021</v>
      </c>
      <c r="Z210" s="1183"/>
      <c r="AA210" s="1183"/>
      <c r="AB210" s="1183" t="str">
        <f>TEXT(AZ169,"#,##0.#######")</f>
        <v>32.5</v>
      </c>
      <c r="AC210" s="1183"/>
      <c r="AD210" s="1183"/>
      <c r="AE210" s="1183"/>
      <c r="AF210" s="1183"/>
      <c r="AG210" s="1183"/>
      <c r="AH210" s="1183"/>
      <c r="AI210" s="1183" t="s">
        <v>227</v>
      </c>
      <c r="AJ210" s="1183"/>
      <c r="AK210" s="1534" t="str">
        <f>TEXT(TRUNC(P210/AZ169,1),"#,##0.#")</f>
        <v>200.6</v>
      </c>
      <c r="AL210" s="1534"/>
      <c r="AM210" s="1534"/>
      <c r="AN210" s="1534"/>
      <c r="AO210" s="1534"/>
      <c r="AP210" s="1534"/>
      <c r="AQ210" s="1534"/>
      <c r="AR210" s="1183"/>
      <c r="AS210" s="1183"/>
      <c r="AT210" s="1183"/>
      <c r="AU210" s="1183"/>
      <c r="AV210" s="1183"/>
      <c r="AW210" s="1183"/>
      <c r="AX210" s="1183"/>
      <c r="AY210" s="1183"/>
      <c r="AZ210" s="1183"/>
      <c r="BA210" s="1183"/>
      <c r="BB210" s="1183"/>
      <c r="BC210" s="1183"/>
      <c r="BD210" s="1183"/>
      <c r="BE210" s="1183"/>
      <c r="BF210" s="1183"/>
      <c r="BG210" s="1183"/>
      <c r="BH210" s="1183"/>
      <c r="BI210" s="1183"/>
      <c r="BJ210" s="1183"/>
      <c r="BK210" s="1183"/>
      <c r="BL210" s="1183"/>
      <c r="BM210" s="1183"/>
      <c r="BN210" s="1183"/>
      <c r="BO210" s="1183"/>
      <c r="BP210" s="1183"/>
      <c r="BQ210" s="1183"/>
      <c r="BR210" s="1183"/>
      <c r="BS210" s="1183"/>
      <c r="BT210" s="1183"/>
      <c r="BU210" s="1183"/>
      <c r="BV210" s="1183"/>
      <c r="BW210" s="1183"/>
      <c r="BX210" s="1183"/>
      <c r="BY210" s="1183"/>
      <c r="BZ210" s="1183"/>
      <c r="CA210" s="1183"/>
      <c r="CB210" s="1183"/>
      <c r="CC210" s="1183"/>
      <c r="CD210" s="1183"/>
      <c r="CE210" s="1183"/>
      <c r="CF210" s="1183"/>
      <c r="CG210" s="1183"/>
      <c r="CH210" s="1183"/>
      <c r="CI210" s="1183"/>
      <c r="CJ210" s="1183"/>
      <c r="CK210" s="1183"/>
      <c r="CL210" s="1183"/>
      <c r="CM210" s="1183"/>
      <c r="CN210" s="1183"/>
      <c r="CO210" s="1183"/>
      <c r="CP210" s="1183"/>
      <c r="CQ210" s="1183"/>
      <c r="CR210" s="1183"/>
      <c r="CS210" s="1183"/>
      <c r="CT210" s="1183"/>
      <c r="CU210" s="1183"/>
      <c r="CV210" s="1183"/>
      <c r="CW210" s="1183"/>
      <c r="CX210" s="1158"/>
      <c r="CY210" s="1158"/>
      <c r="CZ210" s="1158"/>
      <c r="DA210" s="1159"/>
      <c r="DB210" s="1156"/>
    </row>
    <row r="211" spans="2:106" s="1152" customFormat="1" ht="11.25" customHeight="1">
      <c r="B211" s="1157"/>
      <c r="C211" s="1183"/>
      <c r="D211" s="1183"/>
      <c r="E211" s="1183"/>
      <c r="F211" s="1183"/>
      <c r="G211" s="1183" t="s">
        <v>1024</v>
      </c>
      <c r="H211" s="1183"/>
      <c r="I211" s="1183"/>
      <c r="J211" s="1183"/>
      <c r="K211" s="1183" t="s">
        <v>179</v>
      </c>
      <c r="L211" s="1183"/>
      <c r="M211" s="1183"/>
      <c r="N211" s="1183" t="s">
        <v>217</v>
      </c>
      <c r="O211" s="1183"/>
      <c r="P211" s="1183"/>
      <c r="Q211" s="1183"/>
      <c r="R211" s="1183"/>
      <c r="S211" s="1183"/>
      <c r="T211" s="1183"/>
      <c r="U211" s="1183"/>
      <c r="V211" s="1183"/>
      <c r="W211" s="1183"/>
      <c r="X211" s="1183"/>
      <c r="Y211" s="1183"/>
      <c r="Z211" s="1183"/>
      <c r="AA211" s="1183"/>
      <c r="AB211" s="1183"/>
      <c r="AC211" s="1183"/>
      <c r="AD211" s="1183"/>
      <c r="AE211" s="1183"/>
      <c r="AF211" s="1183"/>
      <c r="AG211" s="1183" t="e">
        <f>TEXT(AK208+AK209+AK210,"#,##0.#######")</f>
        <v>#REF!</v>
      </c>
      <c r="AH211" s="1183"/>
      <c r="AI211" s="1183"/>
      <c r="AJ211" s="1183"/>
      <c r="AK211" s="1183"/>
      <c r="AL211" s="1183"/>
      <c r="AM211" s="1183"/>
      <c r="AN211" s="1183"/>
      <c r="AO211" s="1183"/>
      <c r="AP211" s="1183"/>
      <c r="AQ211" s="1183"/>
      <c r="AR211" s="1183"/>
      <c r="AS211" s="1183"/>
      <c r="AT211" s="1183"/>
      <c r="AU211" s="1183"/>
      <c r="AV211" s="1183"/>
      <c r="AW211" s="1183"/>
      <c r="AX211" s="1183"/>
      <c r="AY211" s="1183"/>
      <c r="AZ211" s="1183"/>
      <c r="BA211" s="1183"/>
      <c r="BB211" s="1183"/>
      <c r="BC211" s="1183"/>
      <c r="BD211" s="1183"/>
      <c r="BE211" s="1183"/>
      <c r="BF211" s="1183"/>
      <c r="BG211" s="1183"/>
      <c r="BH211" s="1183"/>
      <c r="BI211" s="1183"/>
      <c r="BJ211" s="1183"/>
      <c r="BK211" s="1183"/>
      <c r="BL211" s="1183"/>
      <c r="BM211" s="1183"/>
      <c r="BN211" s="1183"/>
      <c r="BO211" s="1183"/>
      <c r="BP211" s="1183"/>
      <c r="BQ211" s="1183"/>
      <c r="BR211" s="1183"/>
      <c r="BS211" s="1183"/>
      <c r="BT211" s="1183"/>
      <c r="BU211" s="1183"/>
      <c r="BV211" s="1183"/>
      <c r="BW211" s="1183"/>
      <c r="BX211" s="1183"/>
      <c r="BY211" s="1183"/>
      <c r="BZ211" s="1183"/>
      <c r="CA211" s="1183"/>
      <c r="CB211" s="1183"/>
      <c r="CC211" s="1183"/>
      <c r="CD211" s="1183"/>
      <c r="CE211" s="1183"/>
      <c r="CF211" s="1183"/>
      <c r="CG211" s="1183"/>
      <c r="CH211" s="1183"/>
      <c r="CI211" s="1183"/>
      <c r="CJ211" s="1183"/>
      <c r="CK211" s="1183"/>
      <c r="CL211" s="1183"/>
      <c r="CM211" s="1183"/>
      <c r="CN211" s="1183"/>
      <c r="CO211" s="1183"/>
      <c r="CP211" s="1183"/>
      <c r="CQ211" s="1183"/>
      <c r="CR211" s="1183"/>
      <c r="CS211" s="1183"/>
      <c r="CT211" s="1183"/>
      <c r="CU211" s="1183"/>
      <c r="CV211" s="1183"/>
      <c r="CW211" s="1183"/>
      <c r="CX211" s="1158" t="e">
        <f>CY211+CZ211+DA211</f>
        <v>#REF!</v>
      </c>
      <c r="CY211" s="1158" t="str">
        <f>TEXT(AK208,"#,###.0")</f>
        <v>1,538.7</v>
      </c>
      <c r="CZ211" s="1158" t="e">
        <f>TEXT(AK209,"#,###.0")</f>
        <v>#REF!</v>
      </c>
      <c r="DA211" s="1159" t="str">
        <f>TEXT(AK210,"#,###.0")</f>
        <v>200.6</v>
      </c>
      <c r="DB211" s="1156"/>
    </row>
    <row r="212" spans="2:106" s="1152" customFormat="1" ht="11.25" customHeight="1">
      <c r="B212" s="1157"/>
      <c r="C212" s="1183"/>
      <c r="D212" s="1183"/>
      <c r="E212" s="1183"/>
      <c r="F212" s="1183"/>
      <c r="G212" s="1183"/>
      <c r="H212" s="1183"/>
      <c r="I212" s="1183"/>
      <c r="J212" s="1183"/>
      <c r="K212" s="1183"/>
      <c r="L212" s="1183"/>
      <c r="M212" s="1183"/>
      <c r="N212" s="1183"/>
      <c r="O212" s="1183"/>
      <c r="P212" s="1183"/>
      <c r="Q212" s="1183"/>
      <c r="R212" s="1183"/>
      <c r="S212" s="1183"/>
      <c r="T212" s="1183"/>
      <c r="U212" s="1183"/>
      <c r="V212" s="1183"/>
      <c r="W212" s="1183"/>
      <c r="X212" s="1183"/>
      <c r="Y212" s="1183"/>
      <c r="Z212" s="1183"/>
      <c r="AA212" s="1183"/>
      <c r="AB212" s="1183"/>
      <c r="AC212" s="1183"/>
      <c r="AD212" s="1183"/>
      <c r="AE212" s="1183"/>
      <c r="AF212" s="1183"/>
      <c r="AG212" s="1183"/>
      <c r="AH212" s="1183"/>
      <c r="AI212" s="1183"/>
      <c r="AJ212" s="1183"/>
      <c r="AK212" s="1183"/>
      <c r="AL212" s="1183"/>
      <c r="AM212" s="1183"/>
      <c r="AN212" s="1183"/>
      <c r="AO212" s="1183"/>
      <c r="AP212" s="1183"/>
      <c r="AQ212" s="1183"/>
      <c r="AR212" s="1183"/>
      <c r="AS212" s="1183"/>
      <c r="AT212" s="1183"/>
      <c r="AU212" s="1183"/>
      <c r="AV212" s="1183"/>
      <c r="AW212" s="1183"/>
      <c r="AX212" s="1183"/>
      <c r="AY212" s="1183"/>
      <c r="AZ212" s="1183"/>
      <c r="BA212" s="1183"/>
      <c r="BB212" s="1183"/>
      <c r="BC212" s="1183"/>
      <c r="BD212" s="1183"/>
      <c r="BE212" s="1183"/>
      <c r="BF212" s="1183"/>
      <c r="BG212" s="1183"/>
      <c r="BH212" s="1183"/>
      <c r="BI212" s="1183"/>
      <c r="BJ212" s="1183"/>
      <c r="BK212" s="1183"/>
      <c r="BL212" s="1183"/>
      <c r="BM212" s="1183"/>
      <c r="BN212" s="1183"/>
      <c r="BO212" s="1183"/>
      <c r="BP212" s="1183"/>
      <c r="BQ212" s="1183"/>
      <c r="BR212" s="1183"/>
      <c r="BS212" s="1183"/>
      <c r="BT212" s="1183"/>
      <c r="BU212" s="1183"/>
      <c r="BV212" s="1183"/>
      <c r="BW212" s="1183"/>
      <c r="BX212" s="1183"/>
      <c r="BY212" s="1183"/>
      <c r="BZ212" s="1183"/>
      <c r="CA212" s="1183"/>
      <c r="CB212" s="1183"/>
      <c r="CC212" s="1183"/>
      <c r="CD212" s="1183"/>
      <c r="CE212" s="1183"/>
      <c r="CF212" s="1183"/>
      <c r="CG212" s="1183"/>
      <c r="CH212" s="1183"/>
      <c r="CI212" s="1183"/>
      <c r="CJ212" s="1183"/>
      <c r="CK212" s="1183"/>
      <c r="CL212" s="1183"/>
      <c r="CM212" s="1183"/>
      <c r="CN212" s="1183"/>
      <c r="CO212" s="1183"/>
      <c r="CP212" s="1183"/>
      <c r="CQ212" s="1183"/>
      <c r="CR212" s="1183"/>
      <c r="CS212" s="1183"/>
      <c r="CT212" s="1183"/>
      <c r="CU212" s="1183"/>
      <c r="CV212" s="1183"/>
      <c r="CW212" s="1183"/>
      <c r="CX212" s="1158"/>
      <c r="CY212" s="1158"/>
      <c r="CZ212" s="1158"/>
      <c r="DA212" s="1159"/>
      <c r="DB212" s="1156"/>
    </row>
    <row r="213" spans="2:106" s="1152" customFormat="1" ht="11.25" customHeight="1">
      <c r="B213" s="1157"/>
      <c r="C213" s="1183"/>
      <c r="D213" s="1183"/>
      <c r="E213" s="1183" t="s">
        <v>1143</v>
      </c>
      <c r="F213" s="1183"/>
      <c r="G213" s="1183" t="s">
        <v>1126</v>
      </c>
      <c r="H213" s="1183"/>
      <c r="I213" s="1183" t="s">
        <v>1024</v>
      </c>
      <c r="J213" s="1183"/>
      <c r="K213" s="1183"/>
      <c r="L213" s="1183"/>
      <c r="M213" s="1183" t="s">
        <v>179</v>
      </c>
      <c r="N213" s="1183"/>
      <c r="O213" s="1183"/>
      <c r="P213" s="1183"/>
      <c r="Q213" s="1183"/>
      <c r="R213" s="1183"/>
      <c r="S213" s="1183"/>
      <c r="T213" s="1183"/>
      <c r="U213" s="1183"/>
      <c r="V213" s="1183"/>
      <c r="W213" s="1183"/>
      <c r="X213" s="1183"/>
      <c r="Y213" s="1183"/>
      <c r="Z213" s="1183"/>
      <c r="AA213" s="1183"/>
      <c r="AB213" s="1183"/>
      <c r="AC213" s="1183"/>
      <c r="AD213" s="1183"/>
      <c r="AE213" s="1183"/>
      <c r="AF213" s="1183"/>
      <c r="AG213" s="1183"/>
      <c r="AH213" s="1183"/>
      <c r="AI213" s="1183"/>
      <c r="AJ213" s="1183"/>
      <c r="AK213" s="1183"/>
      <c r="AL213" s="1183"/>
      <c r="AM213" s="1183"/>
      <c r="AN213" s="1183"/>
      <c r="AO213" s="1183"/>
      <c r="AP213" s="1183"/>
      <c r="AQ213" s="1183"/>
      <c r="AR213" s="1183"/>
      <c r="AS213" s="1183"/>
      <c r="AT213" s="1183"/>
      <c r="AU213" s="1183"/>
      <c r="AV213" s="1183"/>
      <c r="AW213" s="1183"/>
      <c r="AX213" s="1183"/>
      <c r="AY213" s="1183"/>
      <c r="AZ213" s="1183"/>
      <c r="BA213" s="1183"/>
      <c r="BB213" s="1183"/>
      <c r="BC213" s="1183"/>
      <c r="BD213" s="1183"/>
      <c r="BE213" s="1183"/>
      <c r="BF213" s="1183"/>
      <c r="BG213" s="1183"/>
      <c r="BH213" s="1183"/>
      <c r="BI213" s="1183"/>
      <c r="BJ213" s="1183"/>
      <c r="BK213" s="1183"/>
      <c r="BL213" s="1183"/>
      <c r="BM213" s="1183"/>
      <c r="BN213" s="1183"/>
      <c r="BO213" s="1183"/>
      <c r="BP213" s="1183"/>
      <c r="BQ213" s="1183"/>
      <c r="BR213" s="1183"/>
      <c r="BS213" s="1183"/>
      <c r="BT213" s="1183"/>
      <c r="BU213" s="1183"/>
      <c r="BV213" s="1183"/>
      <c r="BW213" s="1183"/>
      <c r="BX213" s="1183"/>
      <c r="BY213" s="1183"/>
      <c r="BZ213" s="1183"/>
      <c r="CA213" s="1183"/>
      <c r="CB213" s="1183"/>
      <c r="CC213" s="1183"/>
      <c r="CD213" s="1183"/>
      <c r="CE213" s="1183"/>
      <c r="CF213" s="1183"/>
      <c r="CG213" s="1183"/>
      <c r="CH213" s="1183"/>
      <c r="CI213" s="1183"/>
      <c r="CJ213" s="1183"/>
      <c r="CK213" s="1183"/>
      <c r="CL213" s="1183"/>
      <c r="CM213" s="1183"/>
      <c r="CN213" s="1183"/>
      <c r="CO213" s="1183"/>
      <c r="CP213" s="1183"/>
      <c r="CQ213" s="1183"/>
      <c r="CR213" s="1183"/>
      <c r="CS213" s="1183"/>
      <c r="CT213" s="1183"/>
      <c r="CU213" s="1183"/>
      <c r="CV213" s="1183"/>
      <c r="CW213" s="1183"/>
      <c r="CX213" s="1158"/>
      <c r="CY213" s="1158"/>
      <c r="CZ213" s="1158"/>
      <c r="DA213" s="1159"/>
      <c r="DB213" s="1156"/>
    </row>
    <row r="214" spans="2:106" s="1152" customFormat="1" ht="11.25" customHeight="1">
      <c r="B214" s="1157"/>
      <c r="C214" s="1183"/>
      <c r="D214" s="1183"/>
      <c r="E214" s="1183"/>
      <c r="F214" s="1183"/>
      <c r="G214" s="1183"/>
      <c r="H214" s="1183"/>
      <c r="I214" s="1183"/>
      <c r="J214" s="1183"/>
      <c r="K214" s="1183"/>
      <c r="L214" s="1183"/>
      <c r="M214" s="1183"/>
      <c r="N214" s="1183"/>
      <c r="O214" s="1183"/>
      <c r="P214" s="1183"/>
      <c r="Q214" s="1183"/>
      <c r="R214" s="1183"/>
      <c r="S214" s="1183"/>
      <c r="T214" s="1183"/>
      <c r="U214" s="1183"/>
      <c r="V214" s="1183"/>
      <c r="W214" s="1183"/>
      <c r="X214" s="1183"/>
      <c r="Y214" s="1183"/>
      <c r="Z214" s="1183"/>
      <c r="AA214" s="1183"/>
      <c r="AB214" s="1183"/>
      <c r="AC214" s="1183"/>
      <c r="AD214" s="1183"/>
      <c r="AE214" s="1183"/>
      <c r="AF214" s="1183"/>
      <c r="AG214" s="1183"/>
      <c r="AH214" s="1183"/>
      <c r="AI214" s="1183"/>
      <c r="AJ214" s="1183"/>
      <c r="AK214" s="1183"/>
      <c r="AL214" s="1183"/>
      <c r="AM214" s="1183"/>
      <c r="AN214" s="1183"/>
      <c r="AO214" s="1183"/>
      <c r="AP214" s="1183"/>
      <c r="AQ214" s="1183"/>
      <c r="AR214" s="1183"/>
      <c r="AS214" s="1183"/>
      <c r="AT214" s="1183"/>
      <c r="AU214" s="1183"/>
      <c r="AV214" s="1183"/>
      <c r="AW214" s="1183"/>
      <c r="AX214" s="1183"/>
      <c r="AY214" s="1183"/>
      <c r="AZ214" s="1183"/>
      <c r="BA214" s="1183"/>
      <c r="BB214" s="1183"/>
      <c r="BC214" s="1183"/>
      <c r="BD214" s="1183"/>
      <c r="BE214" s="1183"/>
      <c r="BF214" s="1183"/>
      <c r="BG214" s="1183"/>
      <c r="BH214" s="1183"/>
      <c r="BI214" s="1183"/>
      <c r="BJ214" s="1183"/>
      <c r="BK214" s="1183"/>
      <c r="BL214" s="1183"/>
      <c r="BM214" s="1183"/>
      <c r="BN214" s="1183"/>
      <c r="BO214" s="1183"/>
      <c r="BP214" s="1183"/>
      <c r="BQ214" s="1183"/>
      <c r="BR214" s="1183"/>
      <c r="BS214" s="1183"/>
      <c r="BT214" s="1183"/>
      <c r="BU214" s="1183"/>
      <c r="BV214" s="1183"/>
      <c r="BW214" s="1183"/>
      <c r="BX214" s="1183"/>
      <c r="BY214" s="1183"/>
      <c r="BZ214" s="1183"/>
      <c r="CA214" s="1183"/>
      <c r="CB214" s="1183"/>
      <c r="CC214" s="1183"/>
      <c r="CD214" s="1183"/>
      <c r="CE214" s="1183"/>
      <c r="CF214" s="1183"/>
      <c r="CG214" s="1183"/>
      <c r="CH214" s="1183"/>
      <c r="CI214" s="1183"/>
      <c r="CJ214" s="1183"/>
      <c r="CK214" s="1183"/>
      <c r="CL214" s="1183"/>
      <c r="CM214" s="1183"/>
      <c r="CN214" s="1183"/>
      <c r="CO214" s="1183"/>
      <c r="CP214" s="1183"/>
      <c r="CQ214" s="1183"/>
      <c r="CR214" s="1183"/>
      <c r="CS214" s="1183"/>
      <c r="CT214" s="1183"/>
      <c r="CU214" s="1183"/>
      <c r="CV214" s="1183"/>
      <c r="CW214" s="1183"/>
      <c r="CX214" s="1158"/>
      <c r="CY214" s="1158"/>
      <c r="CZ214" s="1158"/>
      <c r="DA214" s="1159"/>
      <c r="DB214" s="1156"/>
    </row>
    <row r="215" spans="2:106" s="1152" customFormat="1" ht="11.25" customHeight="1">
      <c r="B215" s="1157"/>
      <c r="C215" s="1183"/>
      <c r="D215" s="1183"/>
      <c r="E215" s="1183"/>
      <c r="F215" s="1183"/>
      <c r="G215" s="1183"/>
      <c r="H215" s="1183" t="s">
        <v>899</v>
      </c>
      <c r="I215" s="1183"/>
      <c r="J215" s="1183"/>
      <c r="K215" s="1183"/>
      <c r="L215" s="1183"/>
      <c r="M215" s="1183"/>
      <c r="N215" s="1183"/>
      <c r="O215" s="1183" t="s">
        <v>217</v>
      </c>
      <c r="P215" s="1183"/>
      <c r="Q215" s="1183" t="str">
        <f>TEXT(CY197,"#,###.##")</f>
        <v>1,816.1</v>
      </c>
      <c r="R215" s="1183"/>
      <c r="S215" s="1183"/>
      <c r="T215" s="1183"/>
      <c r="U215" s="1183"/>
      <c r="V215" s="1183"/>
      <c r="W215" s="1183" t="s">
        <v>209</v>
      </c>
      <c r="X215" s="1183"/>
      <c r="Y215" s="1183" t="str">
        <f>TEXT(CY204,"#,###.##")</f>
        <v>1,115.3</v>
      </c>
      <c r="Z215" s="1183"/>
      <c r="AA215" s="1183"/>
      <c r="AB215" s="1183"/>
      <c r="AC215" s="1183"/>
      <c r="AD215" s="1183"/>
      <c r="AE215" s="1183"/>
      <c r="AF215" s="1183"/>
      <c r="AG215" s="1183" t="s">
        <v>209</v>
      </c>
      <c r="AH215" s="1183"/>
      <c r="AI215" s="1183" t="str">
        <f>TEXT(CY211,"#,###.##")</f>
        <v>1,538.7</v>
      </c>
      <c r="AJ215" s="1183"/>
      <c r="AK215" s="1183"/>
      <c r="AL215" s="1183"/>
      <c r="AM215" s="1183"/>
      <c r="AN215" s="1183"/>
      <c r="AO215" s="1183"/>
      <c r="AP215" s="1183"/>
      <c r="AQ215" s="1183" t="s">
        <v>227</v>
      </c>
      <c r="AR215" s="1183"/>
      <c r="AS215" s="1183"/>
      <c r="AT215" s="1183" t="str">
        <f>TEXT(TRUNC(CY197+CY204+CY211,1),"#,##0.#")</f>
        <v>4,470.1</v>
      </c>
      <c r="AU215" s="1183"/>
      <c r="AV215" s="1183"/>
      <c r="AW215" s="1183"/>
      <c r="AX215" s="1183"/>
      <c r="AY215" s="1183"/>
      <c r="AZ215" s="1183"/>
      <c r="BA215" s="1183"/>
      <c r="BB215" s="1183"/>
      <c r="BC215" s="1183"/>
      <c r="BD215" s="1183"/>
      <c r="BE215" s="1183"/>
      <c r="BF215" s="1183"/>
      <c r="BG215" s="1183"/>
      <c r="BH215" s="1183"/>
      <c r="BI215" s="1183"/>
      <c r="BJ215" s="1183"/>
      <c r="BK215" s="1183"/>
      <c r="BL215" s="1183"/>
      <c r="BM215" s="1183"/>
      <c r="BN215" s="1183"/>
      <c r="BO215" s="1183"/>
      <c r="BP215" s="1183"/>
      <c r="BQ215" s="1183"/>
      <c r="BR215" s="1183"/>
      <c r="BS215" s="1183"/>
      <c r="BT215" s="1183"/>
      <c r="BU215" s="1183"/>
      <c r="BV215" s="1183"/>
      <c r="BW215" s="1183"/>
      <c r="BX215" s="1183"/>
      <c r="BY215" s="1183"/>
      <c r="BZ215" s="1183"/>
      <c r="CA215" s="1183"/>
      <c r="CB215" s="1183"/>
      <c r="CC215" s="1183"/>
      <c r="CD215" s="1183"/>
      <c r="CE215" s="1183"/>
      <c r="CF215" s="1183"/>
      <c r="CG215" s="1183"/>
      <c r="CH215" s="1183"/>
      <c r="CI215" s="1183"/>
      <c r="CJ215" s="1183"/>
      <c r="CK215" s="1183"/>
      <c r="CL215" s="1183"/>
      <c r="CM215" s="1183"/>
      <c r="CN215" s="1183"/>
      <c r="CO215" s="1183"/>
      <c r="CP215" s="1183"/>
      <c r="CQ215" s="1183"/>
      <c r="CR215" s="1183"/>
      <c r="CS215" s="1183"/>
      <c r="CT215" s="1183"/>
      <c r="CU215" s="1183"/>
      <c r="CV215" s="1183"/>
      <c r="CW215" s="1183"/>
      <c r="CX215" s="1158"/>
      <c r="CY215" s="1158"/>
      <c r="CZ215" s="1158"/>
      <c r="DA215" s="1159"/>
      <c r="DB215" s="1156"/>
    </row>
    <row r="216" spans="2:106" s="1152" customFormat="1" ht="11.25" customHeight="1">
      <c r="B216" s="1157"/>
      <c r="C216" s="1183"/>
      <c r="D216" s="1183"/>
      <c r="E216" s="1183"/>
      <c r="F216" s="1183"/>
      <c r="G216" s="1183"/>
      <c r="H216" s="1183" t="s">
        <v>892</v>
      </c>
      <c r="I216" s="1183"/>
      <c r="J216" s="1183"/>
      <c r="K216" s="1183"/>
      <c r="L216" s="1183"/>
      <c r="M216" s="1183"/>
      <c r="N216" s="1183"/>
      <c r="O216" s="1183" t="s">
        <v>217</v>
      </c>
      <c r="P216" s="1183"/>
      <c r="Q216" s="1183" t="e">
        <f>TEXT(CZ197,"#,###.##")</f>
        <v>#REF!</v>
      </c>
      <c r="R216" s="1183"/>
      <c r="S216" s="1183"/>
      <c r="T216" s="1183"/>
      <c r="U216" s="1183"/>
      <c r="V216" s="1183"/>
      <c r="W216" s="1183" t="s">
        <v>209</v>
      </c>
      <c r="X216" s="1183"/>
      <c r="Y216" s="1183" t="e">
        <f>TEXT(CZ204,"#,###.##")</f>
        <v>#REF!</v>
      </c>
      <c r="Z216" s="1183"/>
      <c r="AA216" s="1183"/>
      <c r="AB216" s="1183" t="s">
        <v>209</v>
      </c>
      <c r="AC216" s="1183"/>
      <c r="AD216" s="1183" t="e">
        <f>TEXT(CZ211,"#,###.##")</f>
        <v>#REF!</v>
      </c>
      <c r="AE216" s="1183"/>
      <c r="AF216" s="1183"/>
      <c r="AG216" s="1183"/>
      <c r="AH216" s="1183"/>
      <c r="AI216" s="1183"/>
      <c r="AJ216" s="1183" t="s">
        <v>227</v>
      </c>
      <c r="AK216" s="1183"/>
      <c r="AL216" s="1183"/>
      <c r="AM216" s="1183" t="e">
        <f>TEXT(TRUNC(CZ197+CZ204+CZ211,1),"#,##0.#")</f>
        <v>#REF!</v>
      </c>
      <c r="AN216" s="1183"/>
      <c r="AO216" s="1183"/>
      <c r="AP216" s="1183"/>
      <c r="AQ216" s="1183"/>
      <c r="AR216" s="1183"/>
      <c r="AS216" s="1183"/>
      <c r="AT216" s="1183"/>
      <c r="AU216" s="1183"/>
      <c r="AV216" s="1183"/>
      <c r="AW216" s="1183"/>
      <c r="AX216" s="1183"/>
      <c r="AY216" s="1183"/>
      <c r="AZ216" s="1183"/>
      <c r="BA216" s="1183"/>
      <c r="BB216" s="1183"/>
      <c r="BC216" s="1183"/>
      <c r="BD216" s="1183"/>
      <c r="BE216" s="1183"/>
      <c r="BF216" s="1183"/>
      <c r="BG216" s="1183"/>
      <c r="BH216" s="1183"/>
      <c r="BI216" s="1183"/>
      <c r="BJ216" s="1183"/>
      <c r="BK216" s="1183"/>
      <c r="BL216" s="1183"/>
      <c r="BM216" s="1183"/>
      <c r="BN216" s="1183"/>
      <c r="BO216" s="1183"/>
      <c r="BP216" s="1183"/>
      <c r="BQ216" s="1183"/>
      <c r="BR216" s="1183"/>
      <c r="BS216" s="1183"/>
      <c r="BT216" s="1183"/>
      <c r="BU216" s="1183"/>
      <c r="BV216" s="1183"/>
      <c r="BW216" s="1183"/>
      <c r="BX216" s="1183"/>
      <c r="BY216" s="1183"/>
      <c r="BZ216" s="1183"/>
      <c r="CA216" s="1183"/>
      <c r="CB216" s="1183"/>
      <c r="CC216" s="1183"/>
      <c r="CD216" s="1183"/>
      <c r="CE216" s="1183"/>
      <c r="CF216" s="1183"/>
      <c r="CG216" s="1183"/>
      <c r="CH216" s="1183"/>
      <c r="CI216" s="1183"/>
      <c r="CJ216" s="1183"/>
      <c r="CK216" s="1183"/>
      <c r="CL216" s="1183"/>
      <c r="CM216" s="1183"/>
      <c r="CN216" s="1183"/>
      <c r="CO216" s="1183"/>
      <c r="CP216" s="1183"/>
      <c r="CQ216" s="1183"/>
      <c r="CR216" s="1183"/>
      <c r="CS216" s="1183"/>
      <c r="CT216" s="1183"/>
      <c r="CU216" s="1183"/>
      <c r="CV216" s="1183"/>
      <c r="CW216" s="1183"/>
      <c r="CX216" s="1158"/>
      <c r="CY216" s="1158"/>
      <c r="CZ216" s="1158"/>
      <c r="DA216" s="1159"/>
      <c r="DB216" s="1156"/>
    </row>
    <row r="217" spans="2:106" s="1152" customFormat="1" ht="11.25" customHeight="1">
      <c r="B217" s="1157"/>
      <c r="C217" s="1183"/>
      <c r="D217" s="1183"/>
      <c r="E217" s="1183"/>
      <c r="F217" s="1183"/>
      <c r="G217" s="1183"/>
      <c r="H217" s="1183" t="s">
        <v>1022</v>
      </c>
      <c r="I217" s="1183"/>
      <c r="J217" s="1183"/>
      <c r="K217" s="1183"/>
      <c r="L217" s="1183" t="s">
        <v>1023</v>
      </c>
      <c r="M217" s="1183"/>
      <c r="N217" s="1183"/>
      <c r="O217" s="1183" t="s">
        <v>217</v>
      </c>
      <c r="P217" s="1183"/>
      <c r="Q217" s="1183" t="str">
        <f>TEXT(DA197,"#,###.##")</f>
        <v>538.8</v>
      </c>
      <c r="R217" s="1183"/>
      <c r="S217" s="1183"/>
      <c r="T217" s="1183"/>
      <c r="U217" s="1183"/>
      <c r="V217" s="1183"/>
      <c r="W217" s="1183" t="s">
        <v>209</v>
      </c>
      <c r="X217" s="1183"/>
      <c r="Y217" s="1183" t="str">
        <f>TEXT(DA204,"#,###.##")</f>
        <v>19.</v>
      </c>
      <c r="Z217" s="1183"/>
      <c r="AA217" s="1183"/>
      <c r="AB217" s="1183" t="s">
        <v>209</v>
      </c>
      <c r="AC217" s="1183"/>
      <c r="AD217" s="1183" t="str">
        <f>TEXT(DA211,"#,###.##")</f>
        <v>200.6</v>
      </c>
      <c r="AE217" s="1183"/>
      <c r="AF217" s="1183"/>
      <c r="AG217" s="1183"/>
      <c r="AH217" s="1183"/>
      <c r="AI217" s="1183"/>
      <c r="AJ217" s="1183" t="s">
        <v>227</v>
      </c>
      <c r="AK217" s="1183"/>
      <c r="AL217" s="1183"/>
      <c r="AM217" s="1183" t="str">
        <f>TEXT(TRUNC(DA197+DA204+DA211,1),"#,##0.#")</f>
        <v>758.4</v>
      </c>
      <c r="AN217" s="1183"/>
      <c r="AO217" s="1183"/>
      <c r="AP217" s="1183"/>
      <c r="AQ217" s="1183"/>
      <c r="AR217" s="1183"/>
      <c r="AS217" s="1183"/>
      <c r="AT217" s="1183"/>
      <c r="AU217" s="1183"/>
      <c r="AV217" s="1183"/>
      <c r="AW217" s="1183"/>
      <c r="AX217" s="1183"/>
      <c r="AY217" s="1183"/>
      <c r="AZ217" s="1183"/>
      <c r="BA217" s="1183"/>
      <c r="BB217" s="1183"/>
      <c r="BC217" s="1183"/>
      <c r="BD217" s="1183"/>
      <c r="BE217" s="1183"/>
      <c r="BF217" s="1183"/>
      <c r="BG217" s="1183"/>
      <c r="BH217" s="1183"/>
      <c r="BI217" s="1183"/>
      <c r="BJ217" s="1183"/>
      <c r="BK217" s="1183"/>
      <c r="BL217" s="1183"/>
      <c r="BM217" s="1183"/>
      <c r="BN217" s="1183"/>
      <c r="BO217" s="1183"/>
      <c r="BP217" s="1183"/>
      <c r="BQ217" s="1183"/>
      <c r="BR217" s="1183"/>
      <c r="BS217" s="1183"/>
      <c r="BT217" s="1183"/>
      <c r="BU217" s="1183"/>
      <c r="BV217" s="1183"/>
      <c r="BW217" s="1183"/>
      <c r="BX217" s="1183"/>
      <c r="BY217" s="1183"/>
      <c r="BZ217" s="1183"/>
      <c r="CA217" s="1183"/>
      <c r="CB217" s="1183"/>
      <c r="CC217" s="1183"/>
      <c r="CD217" s="1183"/>
      <c r="CE217" s="1183"/>
      <c r="CF217" s="1183"/>
      <c r="CG217" s="1183"/>
      <c r="CH217" s="1183"/>
      <c r="CI217" s="1183"/>
      <c r="CJ217" s="1183"/>
      <c r="CK217" s="1183"/>
      <c r="CL217" s="1183"/>
      <c r="CM217" s="1183"/>
      <c r="CN217" s="1183"/>
      <c r="CO217" s="1183"/>
      <c r="CP217" s="1183"/>
      <c r="CQ217" s="1183"/>
      <c r="CR217" s="1183"/>
      <c r="CS217" s="1183"/>
      <c r="CT217" s="1183"/>
      <c r="CU217" s="1183"/>
      <c r="CV217" s="1183"/>
      <c r="CW217" s="1183"/>
      <c r="CX217" s="1158"/>
      <c r="CY217" s="1158"/>
      <c r="CZ217" s="1158"/>
      <c r="DA217" s="1159"/>
      <c r="DB217" s="1156"/>
    </row>
    <row r="218" spans="2:106" s="1152" customFormat="1" ht="11.25" customHeight="1">
      <c r="B218" s="1157"/>
      <c r="C218" s="1183"/>
      <c r="D218" s="1183"/>
      <c r="E218" s="1183"/>
      <c r="F218" s="1183"/>
      <c r="G218" s="1183"/>
      <c r="H218" s="1183"/>
      <c r="I218" s="1183"/>
      <c r="J218" s="1183" t="s">
        <v>179</v>
      </c>
      <c r="K218" s="1183"/>
      <c r="L218" s="1183"/>
      <c r="M218" s="1183"/>
      <c r="N218" s="1183"/>
      <c r="O218" s="1183" t="s">
        <v>217</v>
      </c>
      <c r="P218" s="1183"/>
      <c r="Q218" s="1183"/>
      <c r="R218" s="1183" t="e">
        <f>TEXT(AT215+AM216+AM217,"#,##0.#######")</f>
        <v>#REF!</v>
      </c>
      <c r="S218" s="1183"/>
      <c r="T218" s="1183"/>
      <c r="U218" s="1183"/>
      <c r="V218" s="1183"/>
      <c r="W218" s="1183"/>
      <c r="X218" s="1183"/>
      <c r="Y218" s="1183"/>
      <c r="Z218" s="1183"/>
      <c r="AA218" s="1183"/>
      <c r="AB218" s="1183"/>
      <c r="AC218" s="1183"/>
      <c r="AD218" s="1183"/>
      <c r="AE218" s="1183"/>
      <c r="AF218" s="1183"/>
      <c r="AG218" s="1183"/>
      <c r="AH218" s="1183"/>
      <c r="AI218" s="1183"/>
      <c r="AJ218" s="1183"/>
      <c r="AK218" s="1183"/>
      <c r="AL218" s="1183"/>
      <c r="AM218" s="1183"/>
      <c r="AN218" s="1183"/>
      <c r="AO218" s="1183"/>
      <c r="AP218" s="1183"/>
      <c r="AQ218" s="1183"/>
      <c r="AR218" s="1183"/>
      <c r="AS218" s="1183"/>
      <c r="AT218" s="1183"/>
      <c r="AU218" s="1183"/>
      <c r="AV218" s="1183"/>
      <c r="AW218" s="1183"/>
      <c r="AX218" s="1183"/>
      <c r="AY218" s="1183"/>
      <c r="AZ218" s="1183"/>
      <c r="BA218" s="1183"/>
      <c r="BB218" s="1183"/>
      <c r="BC218" s="1183"/>
      <c r="BD218" s="1183"/>
      <c r="BE218" s="1183"/>
      <c r="BF218" s="1183"/>
      <c r="BG218" s="1183"/>
      <c r="BH218" s="1183"/>
      <c r="BI218" s="1183"/>
      <c r="BJ218" s="1183"/>
      <c r="BK218" s="1183"/>
      <c r="BL218" s="1183"/>
      <c r="BM218" s="1183"/>
      <c r="BN218" s="1183"/>
      <c r="BO218" s="1183"/>
      <c r="BP218" s="1183"/>
      <c r="BQ218" s="1183"/>
      <c r="BR218" s="1183"/>
      <c r="BS218" s="1183"/>
      <c r="BT218" s="1183"/>
      <c r="BU218" s="1183"/>
      <c r="BV218" s="1183"/>
      <c r="BW218" s="1183"/>
      <c r="BX218" s="1183"/>
      <c r="BY218" s="1183"/>
      <c r="BZ218" s="1183"/>
      <c r="CA218" s="1183"/>
      <c r="CB218" s="1183"/>
      <c r="CC218" s="1183"/>
      <c r="CD218" s="1183"/>
      <c r="CE218" s="1183"/>
      <c r="CF218" s="1183"/>
      <c r="CG218" s="1183"/>
      <c r="CH218" s="1183"/>
      <c r="CI218" s="1183"/>
      <c r="CJ218" s="1183"/>
      <c r="CK218" s="1183"/>
      <c r="CL218" s="1183"/>
      <c r="CM218" s="1183"/>
      <c r="CN218" s="1183"/>
      <c r="CO218" s="1183"/>
      <c r="CP218" s="1183"/>
      <c r="CQ218" s="1183"/>
      <c r="CR218" s="1183"/>
      <c r="CS218" s="1183"/>
      <c r="CT218" s="1183"/>
      <c r="CU218" s="1183"/>
      <c r="CV218" s="1183"/>
      <c r="CW218" s="1183"/>
      <c r="CX218" s="1158" t="e">
        <f>CY218+CZ218+DA218</f>
        <v>#REF!</v>
      </c>
      <c r="CY218" s="1158" t="str">
        <f>TEXT(AT215,"#,###.0")</f>
        <v>4,470.1</v>
      </c>
      <c r="CZ218" s="1158" t="e">
        <f>TEXT(AM216,"#,###.0")</f>
        <v>#REF!</v>
      </c>
      <c r="DA218" s="1159" t="str">
        <f>TEXT(AM217,"#,###.0")</f>
        <v>758.4</v>
      </c>
      <c r="DB218" s="1156"/>
    </row>
    <row r="219" spans="2:106" s="1152" customFormat="1" ht="11.25" customHeight="1">
      <c r="B219" s="1157"/>
      <c r="C219" s="1183"/>
      <c r="D219" s="1183"/>
      <c r="E219" s="1183"/>
      <c r="F219" s="1183"/>
      <c r="G219" s="1183"/>
      <c r="H219" s="1183"/>
      <c r="I219" s="1183"/>
      <c r="J219" s="1183"/>
      <c r="K219" s="1183"/>
      <c r="L219" s="1183"/>
      <c r="M219" s="1183"/>
      <c r="N219" s="1183"/>
      <c r="O219" s="1183"/>
      <c r="P219" s="1183"/>
      <c r="Q219" s="1183"/>
      <c r="R219" s="1183"/>
      <c r="S219" s="1183"/>
      <c r="T219" s="1183"/>
      <c r="U219" s="1183"/>
      <c r="V219" s="1183"/>
      <c r="W219" s="1183"/>
      <c r="X219" s="1183"/>
      <c r="Y219" s="1183"/>
      <c r="Z219" s="1183"/>
      <c r="AA219" s="1183"/>
      <c r="AB219" s="1183"/>
      <c r="AC219" s="1183"/>
      <c r="AD219" s="1183"/>
      <c r="AE219" s="1183"/>
      <c r="AF219" s="1183"/>
      <c r="AG219" s="1183"/>
      <c r="AH219" s="1183"/>
      <c r="AI219" s="1183"/>
      <c r="AJ219" s="1183"/>
      <c r="AK219" s="1183"/>
      <c r="AL219" s="1183"/>
      <c r="AM219" s="1183"/>
      <c r="AN219" s="1183"/>
      <c r="AO219" s="1183"/>
      <c r="AP219" s="1183"/>
      <c r="AQ219" s="1183"/>
      <c r="AR219" s="1183"/>
      <c r="AS219" s="1183"/>
      <c r="AT219" s="1183"/>
      <c r="AU219" s="1183"/>
      <c r="AV219" s="1183"/>
      <c r="AW219" s="1183"/>
      <c r="AX219" s="1183"/>
      <c r="AY219" s="1183"/>
      <c r="AZ219" s="1183"/>
      <c r="BA219" s="1183"/>
      <c r="BB219" s="1183"/>
      <c r="BC219" s="1183"/>
      <c r="BD219" s="1183"/>
      <c r="BE219" s="1183"/>
      <c r="BF219" s="1183"/>
      <c r="BG219" s="1183"/>
      <c r="BH219" s="1183"/>
      <c r="BI219" s="1183"/>
      <c r="BJ219" s="1183"/>
      <c r="BK219" s="1183"/>
      <c r="BL219" s="1183"/>
      <c r="BM219" s="1183"/>
      <c r="BN219" s="1183"/>
      <c r="BO219" s="1183"/>
      <c r="BP219" s="1183"/>
      <c r="BQ219" s="1183"/>
      <c r="BR219" s="1183"/>
      <c r="BS219" s="1183"/>
      <c r="BT219" s="1183"/>
      <c r="BU219" s="1183"/>
      <c r="BV219" s="1183"/>
      <c r="BW219" s="1183"/>
      <c r="BX219" s="1183"/>
      <c r="BY219" s="1183"/>
      <c r="BZ219" s="1183"/>
      <c r="CA219" s="1183"/>
      <c r="CB219" s="1183"/>
      <c r="CC219" s="1183"/>
      <c r="CD219" s="1183"/>
      <c r="CE219" s="1183"/>
      <c r="CF219" s="1183"/>
      <c r="CG219" s="1183"/>
      <c r="CH219" s="1183"/>
      <c r="CI219" s="1183"/>
      <c r="CJ219" s="1183"/>
      <c r="CK219" s="1183"/>
      <c r="CL219" s="1183"/>
      <c r="CM219" s="1183"/>
      <c r="CN219" s="1183"/>
      <c r="CO219" s="1183"/>
      <c r="CP219" s="1183"/>
      <c r="CQ219" s="1183"/>
      <c r="CR219" s="1183"/>
      <c r="CS219" s="1183"/>
      <c r="CT219" s="1183"/>
      <c r="CU219" s="1183"/>
      <c r="CV219" s="1183"/>
      <c r="CW219" s="1183"/>
      <c r="CX219" s="1158"/>
      <c r="CY219" s="1158"/>
      <c r="CZ219" s="1158"/>
      <c r="DA219" s="1159"/>
      <c r="DB219" s="1156"/>
    </row>
    <row r="220" spans="2:106" s="1152" customFormat="1" ht="11.25" customHeight="1">
      <c r="B220" s="1157"/>
      <c r="C220" s="1183"/>
      <c r="D220" s="1183" t="s">
        <v>1144</v>
      </c>
      <c r="E220" s="1183"/>
      <c r="F220" s="1183"/>
      <c r="G220" s="1183" t="s">
        <v>1035</v>
      </c>
      <c r="H220" s="1183"/>
      <c r="I220" s="1183"/>
      <c r="J220" s="1183"/>
      <c r="K220" s="1183" t="s">
        <v>179</v>
      </c>
      <c r="L220" s="1183"/>
      <c r="M220" s="1183"/>
      <c r="N220" s="1183"/>
      <c r="O220" s="1183"/>
      <c r="P220" s="1183"/>
      <c r="Q220" s="1183"/>
      <c r="R220" s="1183"/>
      <c r="S220" s="1183"/>
      <c r="T220" s="1183"/>
      <c r="U220" s="1183"/>
      <c r="V220" s="1183"/>
      <c r="W220" s="1183"/>
      <c r="X220" s="1183"/>
      <c r="Y220" s="1183"/>
      <c r="Z220" s="1183"/>
      <c r="AA220" s="1183"/>
      <c r="AB220" s="1183"/>
      <c r="AC220" s="1183"/>
      <c r="AD220" s="1183"/>
      <c r="AE220" s="1183"/>
      <c r="AF220" s="1183"/>
      <c r="AG220" s="1183"/>
      <c r="AH220" s="1183"/>
      <c r="AI220" s="1183"/>
      <c r="AJ220" s="1183"/>
      <c r="AK220" s="1183"/>
      <c r="AL220" s="1183"/>
      <c r="AM220" s="1183"/>
      <c r="AN220" s="1183"/>
      <c r="AO220" s="1183"/>
      <c r="AP220" s="1183"/>
      <c r="AQ220" s="1183"/>
      <c r="AR220" s="1183"/>
      <c r="AS220" s="1183"/>
      <c r="AT220" s="1183"/>
      <c r="AU220" s="1183"/>
      <c r="AV220" s="1183"/>
      <c r="AW220" s="1183"/>
      <c r="AX220" s="1183"/>
      <c r="AY220" s="1183"/>
      <c r="AZ220" s="1183"/>
      <c r="BA220" s="1183"/>
      <c r="BB220" s="1183"/>
      <c r="BC220" s="1183"/>
      <c r="BD220" s="1183"/>
      <c r="BE220" s="1183"/>
      <c r="BF220" s="1183"/>
      <c r="BG220" s="1183"/>
      <c r="BH220" s="1183"/>
      <c r="BI220" s="1183"/>
      <c r="BJ220" s="1183"/>
      <c r="BK220" s="1183"/>
      <c r="BL220" s="1183"/>
      <c r="BM220" s="1183"/>
      <c r="BN220" s="1183"/>
      <c r="BO220" s="1183"/>
      <c r="BP220" s="1183"/>
      <c r="BQ220" s="1183"/>
      <c r="BR220" s="1183"/>
      <c r="BS220" s="1183"/>
      <c r="BT220" s="1183"/>
      <c r="BU220" s="1183"/>
      <c r="BV220" s="1183"/>
      <c r="BW220" s="1183"/>
      <c r="BX220" s="1183"/>
      <c r="BY220" s="1183"/>
      <c r="BZ220" s="1183"/>
      <c r="CA220" s="1183"/>
      <c r="CB220" s="1183"/>
      <c r="CC220" s="1183"/>
      <c r="CD220" s="1183"/>
      <c r="CE220" s="1183"/>
      <c r="CF220" s="1183"/>
      <c r="CG220" s="1183"/>
      <c r="CH220" s="1183"/>
      <c r="CI220" s="1183"/>
      <c r="CJ220" s="1183"/>
      <c r="CK220" s="1183"/>
      <c r="CL220" s="1183"/>
      <c r="CM220" s="1183"/>
      <c r="CN220" s="1183"/>
      <c r="CO220" s="1183"/>
      <c r="CP220" s="1183"/>
      <c r="CQ220" s="1183"/>
      <c r="CR220" s="1183"/>
      <c r="CS220" s="1183"/>
      <c r="CT220" s="1183"/>
      <c r="CU220" s="1183"/>
      <c r="CV220" s="1183"/>
      <c r="CW220" s="1183"/>
      <c r="CX220" s="1158"/>
      <c r="CY220" s="1158"/>
      <c r="CZ220" s="1158"/>
      <c r="DA220" s="1159"/>
      <c r="DB220" s="1156"/>
    </row>
    <row r="221" spans="2:106" s="1152" customFormat="1" ht="11.25" customHeight="1">
      <c r="B221" s="1157"/>
      <c r="C221" s="1183"/>
      <c r="D221" s="1183"/>
      <c r="E221" s="1183"/>
      <c r="F221" s="1183"/>
      <c r="G221" s="1183"/>
      <c r="H221" s="1183"/>
      <c r="I221" s="1183"/>
      <c r="J221" s="1183"/>
      <c r="K221" s="1183"/>
      <c r="L221" s="1183"/>
      <c r="M221" s="1183"/>
      <c r="N221" s="1183"/>
      <c r="O221" s="1183"/>
      <c r="P221" s="1183"/>
      <c r="Q221" s="1183"/>
      <c r="R221" s="1183"/>
      <c r="S221" s="1183"/>
      <c r="T221" s="1183"/>
      <c r="U221" s="1183"/>
      <c r="V221" s="1183"/>
      <c r="W221" s="1183"/>
      <c r="X221" s="1183"/>
      <c r="Y221" s="1183"/>
      <c r="Z221" s="1183"/>
      <c r="AA221" s="1183"/>
      <c r="AB221" s="1183"/>
      <c r="AC221" s="1183"/>
      <c r="AD221" s="1183"/>
      <c r="AE221" s="1183"/>
      <c r="AF221" s="1183"/>
      <c r="AG221" s="1183"/>
      <c r="AH221" s="1183"/>
      <c r="AI221" s="1183"/>
      <c r="AJ221" s="1183"/>
      <c r="AK221" s="1183"/>
      <c r="AL221" s="1183"/>
      <c r="AM221" s="1183"/>
      <c r="AN221" s="1183"/>
      <c r="AO221" s="1183"/>
      <c r="AP221" s="1183"/>
      <c r="AQ221" s="1183"/>
      <c r="AR221" s="1183"/>
      <c r="AS221" s="1183"/>
      <c r="AT221" s="1183"/>
      <c r="AU221" s="1183"/>
      <c r="AV221" s="1183"/>
      <c r="AW221" s="1183"/>
      <c r="AX221" s="1183"/>
      <c r="AY221" s="1183"/>
      <c r="AZ221" s="1183"/>
      <c r="BA221" s="1183"/>
      <c r="BB221" s="1183"/>
      <c r="BC221" s="1183"/>
      <c r="BD221" s="1183"/>
      <c r="BE221" s="1183"/>
      <c r="BF221" s="1183"/>
      <c r="BG221" s="1183"/>
      <c r="BH221" s="1183"/>
      <c r="BI221" s="1183"/>
      <c r="BJ221" s="1183"/>
      <c r="BK221" s="1183"/>
      <c r="BL221" s="1183"/>
      <c r="BM221" s="1183"/>
      <c r="BN221" s="1183"/>
      <c r="BO221" s="1183"/>
      <c r="BP221" s="1183"/>
      <c r="BQ221" s="1183"/>
      <c r="BR221" s="1183"/>
      <c r="BS221" s="1183"/>
      <c r="BT221" s="1183"/>
      <c r="BU221" s="1183"/>
      <c r="BV221" s="1183"/>
      <c r="BW221" s="1183"/>
      <c r="BX221" s="1183"/>
      <c r="BY221" s="1183"/>
      <c r="BZ221" s="1183"/>
      <c r="CA221" s="1183"/>
      <c r="CB221" s="1183"/>
      <c r="CC221" s="1183"/>
      <c r="CD221" s="1183"/>
      <c r="CE221" s="1183"/>
      <c r="CF221" s="1183"/>
      <c r="CG221" s="1183"/>
      <c r="CH221" s="1183"/>
      <c r="CI221" s="1183"/>
      <c r="CJ221" s="1183"/>
      <c r="CK221" s="1183"/>
      <c r="CL221" s="1183"/>
      <c r="CM221" s="1183"/>
      <c r="CN221" s="1183"/>
      <c r="CO221" s="1183"/>
      <c r="CP221" s="1183"/>
      <c r="CQ221" s="1183"/>
      <c r="CR221" s="1183"/>
      <c r="CS221" s="1183"/>
      <c r="CT221" s="1183"/>
      <c r="CU221" s="1183"/>
      <c r="CV221" s="1183"/>
      <c r="CW221" s="1183"/>
      <c r="CX221" s="1158"/>
      <c r="CY221" s="1158"/>
      <c r="CZ221" s="1158"/>
      <c r="DA221" s="1159"/>
      <c r="DB221" s="1156"/>
    </row>
    <row r="222" spans="2:106" s="1152" customFormat="1" ht="11.25" customHeight="1">
      <c r="B222" s="1157"/>
      <c r="C222" s="1183"/>
      <c r="D222" s="1183"/>
      <c r="E222" s="1183"/>
      <c r="F222" s="1183"/>
      <c r="G222" s="1183"/>
      <c r="H222" s="1183" t="s">
        <v>899</v>
      </c>
      <c r="I222" s="1183"/>
      <c r="J222" s="1183"/>
      <c r="K222" s="1183"/>
      <c r="L222" s="1183"/>
      <c r="M222" s="1183"/>
      <c r="N222" s="1183"/>
      <c r="O222" s="1183" t="s">
        <v>217</v>
      </c>
      <c r="P222" s="1183"/>
      <c r="Q222" s="1183" t="str">
        <f>TEXT(CY185,"#,###.##")</f>
        <v>6,259.3</v>
      </c>
      <c r="R222" s="1183"/>
      <c r="S222" s="1183"/>
      <c r="T222" s="1183"/>
      <c r="U222" s="1183"/>
      <c r="V222" s="1183"/>
      <c r="W222" s="1183"/>
      <c r="X222" s="1183"/>
      <c r="Y222" s="1183" t="s">
        <v>209</v>
      </c>
      <c r="Z222" s="1183"/>
      <c r="AA222" s="1183" t="str">
        <f>TEXT(CY218,"#,###.##")</f>
        <v>4,470.1</v>
      </c>
      <c r="AB222" s="1183"/>
      <c r="AC222" s="1183"/>
      <c r="AD222" s="1183"/>
      <c r="AE222" s="1183"/>
      <c r="AF222" s="1183"/>
      <c r="AG222" s="1183"/>
      <c r="AH222" s="1183"/>
      <c r="AI222" s="1183" t="s">
        <v>227</v>
      </c>
      <c r="AJ222" s="1183"/>
      <c r="AK222" s="1183"/>
      <c r="AL222" s="1183" t="str">
        <f>TEXT(TRUNC(CY185+CY218,0),"#,##0")</f>
        <v>10,729</v>
      </c>
      <c r="AM222" s="1183"/>
      <c r="AN222" s="1183"/>
      <c r="AO222" s="1183"/>
      <c r="AP222" s="1183"/>
      <c r="AQ222" s="1183"/>
      <c r="AR222" s="1183"/>
      <c r="AS222" s="1183"/>
      <c r="AT222" s="1183"/>
      <c r="AU222" s="1183"/>
      <c r="AV222" s="1183"/>
      <c r="AW222" s="1183"/>
      <c r="AX222" s="1183"/>
      <c r="AY222" s="1183"/>
      <c r="AZ222" s="1183"/>
      <c r="BA222" s="1183"/>
      <c r="BB222" s="1183"/>
      <c r="BC222" s="1183"/>
      <c r="BD222" s="1183"/>
      <c r="BE222" s="1183"/>
      <c r="BF222" s="1183"/>
      <c r="BG222" s="1183"/>
      <c r="BH222" s="1183"/>
      <c r="BI222" s="1183"/>
      <c r="BJ222" s="1183"/>
      <c r="BK222" s="1183"/>
      <c r="BL222" s="1183"/>
      <c r="BM222" s="1183"/>
      <c r="BN222" s="1183"/>
      <c r="BO222" s="1183"/>
      <c r="BP222" s="1183"/>
      <c r="BQ222" s="1183"/>
      <c r="BR222" s="1183"/>
      <c r="BS222" s="1183"/>
      <c r="BT222" s="1183"/>
      <c r="BU222" s="1183"/>
      <c r="BV222" s="1183"/>
      <c r="BW222" s="1183"/>
      <c r="BX222" s="1183"/>
      <c r="BY222" s="1183"/>
      <c r="BZ222" s="1183"/>
      <c r="CA222" s="1183"/>
      <c r="CB222" s="1183"/>
      <c r="CC222" s="1183"/>
      <c r="CD222" s="1183"/>
      <c r="CE222" s="1183"/>
      <c r="CF222" s="1183"/>
      <c r="CG222" s="1183"/>
      <c r="CH222" s="1183"/>
      <c r="CI222" s="1183"/>
      <c r="CJ222" s="1183"/>
      <c r="CK222" s="1183"/>
      <c r="CL222" s="1183"/>
      <c r="CM222" s="1183"/>
      <c r="CN222" s="1183"/>
      <c r="CO222" s="1183"/>
      <c r="CP222" s="1183"/>
      <c r="CQ222" s="1183"/>
      <c r="CR222" s="1183"/>
      <c r="CS222" s="1183"/>
      <c r="CT222" s="1183"/>
      <c r="CU222" s="1183"/>
      <c r="CV222" s="1183"/>
      <c r="CW222" s="1183"/>
      <c r="CX222" s="1158"/>
      <c r="CY222" s="1158"/>
      <c r="CZ222" s="1158"/>
      <c r="DA222" s="1159"/>
      <c r="DB222" s="1156"/>
    </row>
    <row r="223" spans="2:106" s="1152" customFormat="1" ht="11.25" customHeight="1">
      <c r="B223" s="1157"/>
      <c r="C223" s="1183"/>
      <c r="D223" s="1183"/>
      <c r="E223" s="1183"/>
      <c r="F223" s="1183"/>
      <c r="G223" s="1183"/>
      <c r="H223" s="1183" t="s">
        <v>892</v>
      </c>
      <c r="I223" s="1183"/>
      <c r="J223" s="1183"/>
      <c r="K223" s="1183"/>
      <c r="L223" s="1183"/>
      <c r="M223" s="1183"/>
      <c r="N223" s="1183"/>
      <c r="O223" s="1183" t="s">
        <v>217</v>
      </c>
      <c r="P223" s="1183"/>
      <c r="Q223" s="1183" t="e">
        <f>TEXT(CZ175,"#,###.##")</f>
        <v>#REF!</v>
      </c>
      <c r="R223" s="1183"/>
      <c r="S223" s="1183"/>
      <c r="T223" s="1183"/>
      <c r="U223" s="1183" t="s">
        <v>209</v>
      </c>
      <c r="V223" s="1183"/>
      <c r="W223" s="1183" t="str">
        <f>TEXT(CZ188,"#,###.##")</f>
        <v>312.9</v>
      </c>
      <c r="X223" s="1183"/>
      <c r="Y223" s="1183"/>
      <c r="Z223" s="1183"/>
      <c r="AA223" s="1183"/>
      <c r="AB223" s="1183"/>
      <c r="AC223" s="1183" t="s">
        <v>209</v>
      </c>
      <c r="AD223" s="1183"/>
      <c r="AE223" s="1183" t="e">
        <f>TEXT(CZ218,"#,###.##")</f>
        <v>#REF!</v>
      </c>
      <c r="AF223" s="1183"/>
      <c r="AG223" s="1183"/>
      <c r="AH223" s="1183"/>
      <c r="AI223" s="1183"/>
      <c r="AJ223" s="1183"/>
      <c r="AK223" s="1183" t="s">
        <v>227</v>
      </c>
      <c r="AL223" s="1183"/>
      <c r="AM223" s="1183"/>
      <c r="AN223" s="1183" t="e">
        <f>TEXT(TRUNC(CZ175+CZ188+CZ218,0),"#,##0")</f>
        <v>#REF!</v>
      </c>
      <c r="AO223" s="1183"/>
      <c r="AP223" s="1183"/>
      <c r="AQ223" s="1183"/>
      <c r="AR223" s="1183"/>
      <c r="AS223" s="1183"/>
      <c r="AT223" s="1183"/>
      <c r="AU223" s="1183"/>
      <c r="AV223" s="1183"/>
      <c r="AW223" s="1183"/>
      <c r="AX223" s="1183"/>
      <c r="AY223" s="1183"/>
      <c r="AZ223" s="1183"/>
      <c r="BA223" s="1183"/>
      <c r="BB223" s="1183"/>
      <c r="BC223" s="1183"/>
      <c r="BD223" s="1183"/>
      <c r="BE223" s="1183"/>
      <c r="BF223" s="1183"/>
      <c r="BG223" s="1183"/>
      <c r="BH223" s="1183"/>
      <c r="BI223" s="1183"/>
      <c r="BJ223" s="1183"/>
      <c r="BK223" s="1183"/>
      <c r="BL223" s="1183"/>
      <c r="BM223" s="1183"/>
      <c r="BN223" s="1183"/>
      <c r="BO223" s="1183"/>
      <c r="BP223" s="1183"/>
      <c r="BQ223" s="1183"/>
      <c r="BR223" s="1183"/>
      <c r="BS223" s="1183"/>
      <c r="BT223" s="1183"/>
      <c r="BU223" s="1183"/>
      <c r="BV223" s="1183"/>
      <c r="BW223" s="1183"/>
      <c r="BX223" s="1183"/>
      <c r="BY223" s="1183"/>
      <c r="BZ223" s="1183"/>
      <c r="CA223" s="1183"/>
      <c r="CB223" s="1183"/>
      <c r="CC223" s="1183"/>
      <c r="CD223" s="1183"/>
      <c r="CE223" s="1183"/>
      <c r="CF223" s="1183"/>
      <c r="CG223" s="1183"/>
      <c r="CH223" s="1183"/>
      <c r="CI223" s="1183"/>
      <c r="CJ223" s="1183"/>
      <c r="CK223" s="1183"/>
      <c r="CL223" s="1183"/>
      <c r="CM223" s="1183"/>
      <c r="CN223" s="1183"/>
      <c r="CO223" s="1183"/>
      <c r="CP223" s="1183"/>
      <c r="CQ223" s="1183"/>
      <c r="CR223" s="1183"/>
      <c r="CS223" s="1183"/>
      <c r="CT223" s="1183"/>
      <c r="CU223" s="1183"/>
      <c r="CV223" s="1183"/>
      <c r="CW223" s="1183"/>
      <c r="CX223" s="1158"/>
      <c r="CY223" s="1158"/>
      <c r="CZ223" s="1158"/>
      <c r="DA223" s="1159"/>
      <c r="DB223" s="1156"/>
    </row>
    <row r="224" spans="2:106" s="1152" customFormat="1" ht="11.25" customHeight="1">
      <c r="B224" s="1157"/>
      <c r="C224" s="1183"/>
      <c r="D224" s="1183"/>
      <c r="E224" s="1183"/>
      <c r="F224" s="1183"/>
      <c r="G224" s="1183"/>
      <c r="H224" s="1183" t="s">
        <v>1022</v>
      </c>
      <c r="I224" s="1183"/>
      <c r="J224" s="1183"/>
      <c r="K224" s="1183"/>
      <c r="L224" s="1183" t="s">
        <v>1023</v>
      </c>
      <c r="M224" s="1183"/>
      <c r="N224" s="1183"/>
      <c r="O224" s="1183" t="s">
        <v>217</v>
      </c>
      <c r="P224" s="1183"/>
      <c r="Q224" s="1183" t="str">
        <f>TEXT(TRUNC(DA218,0),"#,##0")</f>
        <v>758</v>
      </c>
      <c r="R224" s="1183"/>
      <c r="S224" s="1183"/>
      <c r="T224" s="1183"/>
      <c r="U224" s="1183"/>
      <c r="V224" s="1183"/>
      <c r="W224" s="1183"/>
      <c r="X224" s="1183"/>
      <c r="Y224" s="1183"/>
      <c r="Z224" s="1183"/>
      <c r="AA224" s="1183"/>
      <c r="AB224" s="1183"/>
      <c r="AC224" s="1183"/>
      <c r="AD224" s="1183"/>
      <c r="AE224" s="1183"/>
      <c r="AF224" s="1183"/>
      <c r="AG224" s="1183"/>
      <c r="AH224" s="1183"/>
      <c r="AI224" s="1183"/>
      <c r="AJ224" s="1183"/>
      <c r="AK224" s="1183"/>
      <c r="AL224" s="1183"/>
      <c r="AM224" s="1183"/>
      <c r="AN224" s="1183"/>
      <c r="AO224" s="1183"/>
      <c r="AP224" s="1183"/>
      <c r="AQ224" s="1183"/>
      <c r="AR224" s="1183"/>
      <c r="AS224" s="1183"/>
      <c r="AT224" s="1183"/>
      <c r="AU224" s="1183"/>
      <c r="AV224" s="1183"/>
      <c r="AW224" s="1183"/>
      <c r="AX224" s="1183"/>
      <c r="AY224" s="1183"/>
      <c r="AZ224" s="1183"/>
      <c r="BA224" s="1183"/>
      <c r="BB224" s="1183"/>
      <c r="BC224" s="1183"/>
      <c r="BD224" s="1183"/>
      <c r="BE224" s="1183"/>
      <c r="BF224" s="1183"/>
      <c r="BG224" s="1183"/>
      <c r="BH224" s="1183"/>
      <c r="BI224" s="1183"/>
      <c r="BJ224" s="1183"/>
      <c r="BK224" s="1183"/>
      <c r="BL224" s="1183"/>
      <c r="BM224" s="1183"/>
      <c r="BN224" s="1183"/>
      <c r="BO224" s="1183"/>
      <c r="BP224" s="1183"/>
      <c r="BQ224" s="1183"/>
      <c r="BR224" s="1183"/>
      <c r="BS224" s="1183"/>
      <c r="BT224" s="1183"/>
      <c r="BU224" s="1183"/>
      <c r="BV224" s="1183"/>
      <c r="BW224" s="1183"/>
      <c r="BX224" s="1183"/>
      <c r="BY224" s="1183"/>
      <c r="BZ224" s="1183"/>
      <c r="CA224" s="1183"/>
      <c r="CB224" s="1183"/>
      <c r="CC224" s="1183"/>
      <c r="CD224" s="1183"/>
      <c r="CE224" s="1183"/>
      <c r="CF224" s="1183"/>
      <c r="CG224" s="1183"/>
      <c r="CH224" s="1183"/>
      <c r="CI224" s="1183"/>
      <c r="CJ224" s="1183"/>
      <c r="CK224" s="1183"/>
      <c r="CL224" s="1183"/>
      <c r="CM224" s="1183"/>
      <c r="CN224" s="1183"/>
      <c r="CO224" s="1183"/>
      <c r="CP224" s="1183"/>
      <c r="CQ224" s="1183"/>
      <c r="CR224" s="1183"/>
      <c r="CS224" s="1183"/>
      <c r="CT224" s="1183"/>
      <c r="CU224" s="1183"/>
      <c r="CV224" s="1183"/>
      <c r="CW224" s="1183"/>
      <c r="CX224" s="1158"/>
      <c r="CY224" s="1158"/>
      <c r="CZ224" s="1158"/>
      <c r="DA224" s="1159"/>
      <c r="DB224" s="1156"/>
    </row>
    <row r="225" spans="2:106" s="1152" customFormat="1" ht="11.25" customHeight="1">
      <c r="B225" s="1157"/>
      <c r="C225" s="1183"/>
      <c r="D225" s="1183"/>
      <c r="E225" s="1183"/>
      <c r="F225" s="1183"/>
      <c r="G225" s="1183"/>
      <c r="H225" s="1183"/>
      <c r="I225" s="1183"/>
      <c r="J225" s="1183" t="s">
        <v>179</v>
      </c>
      <c r="K225" s="1183"/>
      <c r="L225" s="1183"/>
      <c r="M225" s="1183"/>
      <c r="N225" s="1183"/>
      <c r="O225" s="1183" t="s">
        <v>217</v>
      </c>
      <c r="P225" s="1183"/>
      <c r="Q225" s="1183"/>
      <c r="R225" s="1183" t="e">
        <f>TEXT(AL222+AN223+Q224,"#,##0")</f>
        <v>#REF!</v>
      </c>
      <c r="S225" s="1183"/>
      <c r="T225" s="1183"/>
      <c r="U225" s="1183"/>
      <c r="V225" s="1183"/>
      <c r="W225" s="1183"/>
      <c r="X225" s="1183"/>
      <c r="Y225" s="1183"/>
      <c r="Z225" s="1183"/>
      <c r="AA225" s="1183"/>
      <c r="AB225" s="1183"/>
      <c r="AC225" s="1183"/>
      <c r="AD225" s="1183"/>
      <c r="AE225" s="1183"/>
      <c r="AF225" s="1183"/>
      <c r="AG225" s="1183"/>
      <c r="AH225" s="1183"/>
      <c r="AI225" s="1183"/>
      <c r="AJ225" s="1183"/>
      <c r="AK225" s="1183"/>
      <c r="AL225" s="1183"/>
      <c r="AM225" s="1183"/>
      <c r="AN225" s="1183"/>
      <c r="AO225" s="1183"/>
      <c r="AP225" s="1183"/>
      <c r="AQ225" s="1183"/>
      <c r="AR225" s="1183"/>
      <c r="AS225" s="1183"/>
      <c r="AT225" s="1183"/>
      <c r="AU225" s="1183"/>
      <c r="AV225" s="1183"/>
      <c r="AW225" s="1183"/>
      <c r="AX225" s="1183"/>
      <c r="AY225" s="1183"/>
      <c r="AZ225" s="1183"/>
      <c r="BA225" s="1183"/>
      <c r="BB225" s="1183"/>
      <c r="BC225" s="1183"/>
      <c r="BD225" s="1183"/>
      <c r="BE225" s="1183"/>
      <c r="BF225" s="1183"/>
      <c r="BG225" s="1183"/>
      <c r="BH225" s="1183"/>
      <c r="BI225" s="1183"/>
      <c r="BJ225" s="1183"/>
      <c r="BK225" s="1183"/>
      <c r="BL225" s="1183"/>
      <c r="BM225" s="1183"/>
      <c r="BN225" s="1183"/>
      <c r="BO225" s="1183"/>
      <c r="BP225" s="1183"/>
      <c r="BQ225" s="1183"/>
      <c r="BR225" s="1183"/>
      <c r="BS225" s="1183"/>
      <c r="BT225" s="1183"/>
      <c r="BU225" s="1183"/>
      <c r="BV225" s="1183"/>
      <c r="BW225" s="1183"/>
      <c r="BX225" s="1183"/>
      <c r="BY225" s="1183"/>
      <c r="BZ225" s="1183"/>
      <c r="CA225" s="1183"/>
      <c r="CB225" s="1183"/>
      <c r="CC225" s="1183"/>
      <c r="CD225" s="1183"/>
      <c r="CE225" s="1183"/>
      <c r="CF225" s="1183"/>
      <c r="CG225" s="1183"/>
      <c r="CH225" s="1183"/>
      <c r="CI225" s="1183"/>
      <c r="CJ225" s="1183"/>
      <c r="CK225" s="1183"/>
      <c r="CL225" s="1183"/>
      <c r="CM225" s="1183"/>
      <c r="CN225" s="1183"/>
      <c r="CO225" s="1183"/>
      <c r="CP225" s="1183"/>
      <c r="CQ225" s="1183"/>
      <c r="CR225" s="1183"/>
      <c r="CS225" s="1183"/>
      <c r="CT225" s="1183"/>
      <c r="CU225" s="1183"/>
      <c r="CV225" s="1183"/>
      <c r="CW225" s="1183"/>
      <c r="CX225" s="1160" t="e">
        <f>CY225+CZ225+DA225</f>
        <v>#REF!</v>
      </c>
      <c r="CY225" s="1158" t="str">
        <f>TEXT(AL222,"#,##0")</f>
        <v>10,729</v>
      </c>
      <c r="CZ225" s="1158" t="e">
        <f>TEXT(AN223,"#,##0")</f>
        <v>#REF!</v>
      </c>
      <c r="DA225" s="1159" t="str">
        <f>TEXT(Q224,"#,##0")</f>
        <v>758</v>
      </c>
      <c r="DB225" s="1156"/>
    </row>
    <row r="226" spans="2:106" ht="11.25" customHeight="1">
      <c r="B226" s="1105"/>
      <c r="C226" s="1165"/>
      <c r="D226" s="1165"/>
      <c r="E226" s="1165"/>
      <c r="F226" s="1165"/>
      <c r="G226" s="1165"/>
      <c r="H226" s="1165"/>
      <c r="I226" s="1165"/>
      <c r="J226" s="1165"/>
      <c r="K226" s="1165"/>
      <c r="L226" s="1165"/>
      <c r="M226" s="1165"/>
      <c r="N226" s="1165"/>
      <c r="O226" s="1165"/>
      <c r="P226" s="1165"/>
      <c r="Q226" s="1165"/>
      <c r="R226" s="1165"/>
      <c r="S226" s="1165"/>
      <c r="T226" s="1165"/>
      <c r="U226" s="1165"/>
      <c r="V226" s="1165"/>
      <c r="W226" s="1165"/>
      <c r="X226" s="1165"/>
      <c r="Y226" s="1165"/>
      <c r="Z226" s="1165"/>
      <c r="AA226" s="1165"/>
      <c r="AB226" s="1165"/>
      <c r="AC226" s="1165"/>
      <c r="AD226" s="1165"/>
      <c r="AE226" s="1165"/>
      <c r="AF226" s="1165"/>
      <c r="AG226" s="1165"/>
      <c r="AH226" s="1165"/>
      <c r="AI226" s="1165"/>
      <c r="AJ226" s="1165"/>
      <c r="AK226" s="1165"/>
      <c r="AL226" s="1165"/>
      <c r="AM226" s="1165"/>
      <c r="AN226" s="1165"/>
      <c r="AO226" s="1165"/>
      <c r="AP226" s="1165"/>
      <c r="AQ226" s="1165"/>
      <c r="AR226" s="1165"/>
      <c r="AS226" s="1165"/>
      <c r="AT226" s="1165"/>
      <c r="AU226" s="1165"/>
      <c r="AV226" s="1165"/>
      <c r="AW226" s="1165"/>
      <c r="AX226" s="1165"/>
      <c r="AY226" s="1165"/>
      <c r="AZ226" s="1165"/>
      <c r="BA226" s="1165"/>
      <c r="BB226" s="1165"/>
      <c r="BC226" s="1165"/>
      <c r="BD226" s="1165"/>
      <c r="BE226" s="1165"/>
      <c r="BF226" s="1165"/>
      <c r="BG226" s="1165"/>
      <c r="BH226" s="1165"/>
      <c r="BI226" s="1165"/>
      <c r="BJ226" s="1165"/>
      <c r="BK226" s="1165"/>
      <c r="BL226" s="1165"/>
      <c r="BM226" s="1165"/>
      <c r="BN226" s="1165"/>
      <c r="BO226" s="1165"/>
      <c r="BP226" s="1165"/>
      <c r="BQ226" s="1165"/>
      <c r="BR226" s="1165"/>
      <c r="BS226" s="1165"/>
      <c r="BT226" s="1165"/>
      <c r="BU226" s="1165"/>
      <c r="BV226" s="1165"/>
      <c r="BW226" s="1165"/>
      <c r="BX226" s="1165"/>
      <c r="BY226" s="1165"/>
      <c r="BZ226" s="1165"/>
      <c r="CA226" s="1165"/>
      <c r="CB226" s="1165"/>
      <c r="CC226" s="1165"/>
      <c r="CD226" s="1165"/>
      <c r="CE226" s="1165"/>
      <c r="CF226" s="1165"/>
      <c r="CG226" s="1165"/>
      <c r="CH226" s="1165"/>
      <c r="CI226" s="1165"/>
      <c r="CJ226" s="1165"/>
      <c r="CK226" s="1165"/>
      <c r="CL226" s="1165"/>
      <c r="CM226" s="1165"/>
      <c r="CN226" s="1165"/>
      <c r="CO226" s="1165"/>
      <c r="CP226" s="1165"/>
      <c r="CQ226" s="1165"/>
      <c r="CR226" s="1165"/>
      <c r="CS226" s="1165"/>
      <c r="CT226" s="1165"/>
      <c r="CU226" s="1165"/>
      <c r="CV226" s="1165"/>
      <c r="CW226" s="1165"/>
      <c r="CX226" s="1106"/>
      <c r="CY226" s="1106"/>
      <c r="CZ226" s="1106"/>
      <c r="DA226" s="1107"/>
      <c r="DB226" s="1104"/>
    </row>
    <row r="227" spans="2:106" ht="11.25" customHeight="1">
      <c r="B227" s="1105"/>
      <c r="C227" s="1165"/>
      <c r="D227" s="1165"/>
      <c r="E227" s="1165"/>
      <c r="F227" s="1165"/>
      <c r="G227" s="1165"/>
      <c r="H227" s="1165"/>
      <c r="I227" s="1165"/>
      <c r="J227" s="1165"/>
      <c r="K227" s="1165"/>
      <c r="L227" s="1165"/>
      <c r="M227" s="1165"/>
      <c r="N227" s="1165"/>
      <c r="O227" s="1165"/>
      <c r="P227" s="1165"/>
      <c r="Q227" s="1165"/>
      <c r="R227" s="1165"/>
      <c r="S227" s="1165"/>
      <c r="T227" s="1165"/>
      <c r="U227" s="1165"/>
      <c r="V227" s="1165"/>
      <c r="W227" s="1165"/>
      <c r="X227" s="1165"/>
      <c r="Y227" s="1165"/>
      <c r="Z227" s="1165"/>
      <c r="AA227" s="1165"/>
      <c r="AB227" s="1165"/>
      <c r="AC227" s="1165"/>
      <c r="AD227" s="1165"/>
      <c r="AE227" s="1165"/>
      <c r="AF227" s="1165"/>
      <c r="AG227" s="1165"/>
      <c r="AH227" s="1165"/>
      <c r="AI227" s="1165"/>
      <c r="AJ227" s="1165"/>
      <c r="AK227" s="1165"/>
      <c r="AL227" s="1165"/>
      <c r="AM227" s="1165"/>
      <c r="AN227" s="1165"/>
      <c r="AO227" s="1165"/>
      <c r="AP227" s="1165"/>
      <c r="AQ227" s="1165"/>
      <c r="AR227" s="1165"/>
      <c r="AS227" s="1165"/>
      <c r="AT227" s="1165"/>
      <c r="AU227" s="1165"/>
      <c r="AV227" s="1165"/>
      <c r="AW227" s="1165"/>
      <c r="AX227" s="1165"/>
      <c r="AY227" s="1165"/>
      <c r="AZ227" s="1165"/>
      <c r="BA227" s="1165"/>
      <c r="BB227" s="1165"/>
      <c r="BC227" s="1165"/>
      <c r="BD227" s="1165"/>
      <c r="BE227" s="1165"/>
      <c r="BF227" s="1165"/>
      <c r="BG227" s="1165"/>
      <c r="BH227" s="1165"/>
      <c r="BI227" s="1165"/>
      <c r="BJ227" s="1165"/>
      <c r="BK227" s="1165"/>
      <c r="BL227" s="1165"/>
      <c r="BM227" s="1165"/>
      <c r="BN227" s="1165"/>
      <c r="BO227" s="1165"/>
      <c r="BP227" s="1165"/>
      <c r="BQ227" s="1165"/>
      <c r="BR227" s="1165"/>
      <c r="BS227" s="1165"/>
      <c r="BT227" s="1165"/>
      <c r="BU227" s="1165"/>
      <c r="BV227" s="1165"/>
      <c r="BW227" s="1165"/>
      <c r="BX227" s="1165"/>
      <c r="BY227" s="1165"/>
      <c r="BZ227" s="1165"/>
      <c r="CA227" s="1165"/>
      <c r="CB227" s="1165"/>
      <c r="CC227" s="1165"/>
      <c r="CD227" s="1165"/>
      <c r="CE227" s="1165"/>
      <c r="CF227" s="1165"/>
      <c r="CG227" s="1165"/>
      <c r="CH227" s="1165"/>
      <c r="CI227" s="1165"/>
      <c r="CJ227" s="1165"/>
      <c r="CK227" s="1165"/>
      <c r="CL227" s="1165"/>
      <c r="CM227" s="1165"/>
      <c r="CN227" s="1165"/>
      <c r="CO227" s="1165"/>
      <c r="CP227" s="1165"/>
      <c r="CQ227" s="1165"/>
      <c r="CR227" s="1165"/>
      <c r="CS227" s="1165"/>
      <c r="CT227" s="1165"/>
      <c r="CU227" s="1165"/>
      <c r="CV227" s="1165"/>
      <c r="CW227" s="1165"/>
      <c r="CX227" s="1106"/>
      <c r="CY227" s="1106"/>
      <c r="CZ227" s="1106"/>
      <c r="DA227" s="1107"/>
      <c r="DB227" s="1104"/>
    </row>
    <row r="228" spans="2:106" ht="11.25" customHeight="1">
      <c r="B228" s="1105"/>
      <c r="C228" s="1165"/>
      <c r="D228" s="1165"/>
      <c r="E228" s="1165"/>
      <c r="F228" s="1165"/>
      <c r="G228" s="1165"/>
      <c r="H228" s="1165"/>
      <c r="I228" s="1165"/>
      <c r="J228" s="1165"/>
      <c r="K228" s="1165"/>
      <c r="L228" s="1165"/>
      <c r="M228" s="1165"/>
      <c r="N228" s="1165"/>
      <c r="O228" s="1165"/>
      <c r="P228" s="1165"/>
      <c r="Q228" s="1165"/>
      <c r="R228" s="1165"/>
      <c r="S228" s="1165"/>
      <c r="T228" s="1165"/>
      <c r="U228" s="1165"/>
      <c r="V228" s="1165"/>
      <c r="W228" s="1165"/>
      <c r="X228" s="1165"/>
      <c r="Y228" s="1165"/>
      <c r="Z228" s="1165"/>
      <c r="AA228" s="1165"/>
      <c r="AB228" s="1165"/>
      <c r="AC228" s="1165"/>
      <c r="AD228" s="1165"/>
      <c r="AE228" s="1165"/>
      <c r="AF228" s="1165"/>
      <c r="AG228" s="1165"/>
      <c r="AH228" s="1165"/>
      <c r="AI228" s="1165"/>
      <c r="AJ228" s="1165"/>
      <c r="AK228" s="1165"/>
      <c r="AL228" s="1165"/>
      <c r="AM228" s="1165"/>
      <c r="AN228" s="1165"/>
      <c r="AO228" s="1165"/>
      <c r="AP228" s="1165"/>
      <c r="AQ228" s="1165"/>
      <c r="AR228" s="1165"/>
      <c r="AS228" s="1165"/>
      <c r="AT228" s="1165"/>
      <c r="AU228" s="1165"/>
      <c r="AV228" s="1165"/>
      <c r="AW228" s="1165"/>
      <c r="AX228" s="1165"/>
      <c r="AY228" s="1165"/>
      <c r="AZ228" s="1165"/>
      <c r="BA228" s="1165"/>
      <c r="BB228" s="1165"/>
      <c r="BC228" s="1165"/>
      <c r="BD228" s="1165"/>
      <c r="BE228" s="1165"/>
      <c r="BF228" s="1165"/>
      <c r="BG228" s="1165"/>
      <c r="BH228" s="1165"/>
      <c r="BI228" s="1165"/>
      <c r="BJ228" s="1165"/>
      <c r="BK228" s="1165"/>
      <c r="BL228" s="1165"/>
      <c r="BM228" s="1165"/>
      <c r="BN228" s="1165"/>
      <c r="BO228" s="1165"/>
      <c r="BP228" s="1165"/>
      <c r="BQ228" s="1165"/>
      <c r="BR228" s="1165"/>
      <c r="BS228" s="1165"/>
      <c r="BT228" s="1165"/>
      <c r="BU228" s="1165"/>
      <c r="BV228" s="1165"/>
      <c r="BW228" s="1165"/>
      <c r="BX228" s="1165"/>
      <c r="BY228" s="1165"/>
      <c r="BZ228" s="1165"/>
      <c r="CA228" s="1165"/>
      <c r="CB228" s="1165"/>
      <c r="CC228" s="1165"/>
      <c r="CD228" s="1165"/>
      <c r="CE228" s="1165"/>
      <c r="CF228" s="1165"/>
      <c r="CG228" s="1165"/>
      <c r="CH228" s="1165"/>
      <c r="CI228" s="1165"/>
      <c r="CJ228" s="1165"/>
      <c r="CK228" s="1165"/>
      <c r="CL228" s="1165"/>
      <c r="CM228" s="1165"/>
      <c r="CN228" s="1165"/>
      <c r="CO228" s="1165"/>
      <c r="CP228" s="1165"/>
      <c r="CQ228" s="1165"/>
      <c r="CR228" s="1165"/>
      <c r="CS228" s="1165"/>
      <c r="CT228" s="1165"/>
      <c r="CU228" s="1165"/>
      <c r="CV228" s="1165"/>
      <c r="CW228" s="1165"/>
      <c r="CX228" s="1106"/>
      <c r="CY228" s="1106"/>
      <c r="CZ228" s="1106"/>
      <c r="DA228" s="1107"/>
      <c r="DB228" s="1104"/>
    </row>
    <row r="229" spans="2:106" ht="11.25" customHeight="1">
      <c r="B229" s="1105"/>
      <c r="C229" s="1165"/>
      <c r="D229" s="1165"/>
      <c r="E229" s="1165"/>
      <c r="F229" s="1165"/>
      <c r="G229" s="1165"/>
      <c r="H229" s="1165"/>
      <c r="I229" s="1165"/>
      <c r="J229" s="1165"/>
      <c r="K229" s="1165"/>
      <c r="L229" s="1165"/>
      <c r="M229" s="1165"/>
      <c r="N229" s="1165"/>
      <c r="O229" s="1165"/>
      <c r="P229" s="1165"/>
      <c r="Q229" s="1165"/>
      <c r="R229" s="1165"/>
      <c r="S229" s="1165"/>
      <c r="T229" s="1165"/>
      <c r="U229" s="1165"/>
      <c r="V229" s="1165"/>
      <c r="W229" s="1165"/>
      <c r="X229" s="1165"/>
      <c r="Y229" s="1165"/>
      <c r="Z229" s="1165"/>
      <c r="AA229" s="1165"/>
      <c r="AB229" s="1165"/>
      <c r="AC229" s="1165"/>
      <c r="AD229" s="1165"/>
      <c r="AE229" s="1165"/>
      <c r="AF229" s="1165"/>
      <c r="AG229" s="1165"/>
      <c r="AH229" s="1165"/>
      <c r="AI229" s="1165"/>
      <c r="AJ229" s="1165"/>
      <c r="AK229" s="1165"/>
      <c r="AL229" s="1165"/>
      <c r="AM229" s="1165"/>
      <c r="AN229" s="1165"/>
      <c r="AO229" s="1165"/>
      <c r="AP229" s="1165"/>
      <c r="AQ229" s="1165"/>
      <c r="AR229" s="1165"/>
      <c r="AS229" s="1165"/>
      <c r="AT229" s="1165"/>
      <c r="AU229" s="1165"/>
      <c r="AV229" s="1165"/>
      <c r="AW229" s="1165"/>
      <c r="AX229" s="1165"/>
      <c r="AY229" s="1165"/>
      <c r="AZ229" s="1165"/>
      <c r="BA229" s="1165"/>
      <c r="BB229" s="1165"/>
      <c r="BC229" s="1165"/>
      <c r="BD229" s="1165"/>
      <c r="BE229" s="1165"/>
      <c r="BF229" s="1165"/>
      <c r="BG229" s="1165"/>
      <c r="BH229" s="1165"/>
      <c r="BI229" s="1165"/>
      <c r="BJ229" s="1165"/>
      <c r="BK229" s="1165"/>
      <c r="BL229" s="1165"/>
      <c r="BM229" s="1165"/>
      <c r="BN229" s="1165"/>
      <c r="BO229" s="1165"/>
      <c r="BP229" s="1165"/>
      <c r="BQ229" s="1165"/>
      <c r="BR229" s="1165"/>
      <c r="BS229" s="1165"/>
      <c r="BT229" s="1165"/>
      <c r="BU229" s="1165"/>
      <c r="BV229" s="1165"/>
      <c r="BW229" s="1165"/>
      <c r="BX229" s="1165"/>
      <c r="BY229" s="1165"/>
      <c r="BZ229" s="1165"/>
      <c r="CA229" s="1165"/>
      <c r="CB229" s="1165"/>
      <c r="CC229" s="1165"/>
      <c r="CD229" s="1165"/>
      <c r="CE229" s="1165"/>
      <c r="CF229" s="1165"/>
      <c r="CG229" s="1165"/>
      <c r="CH229" s="1165"/>
      <c r="CI229" s="1165"/>
      <c r="CJ229" s="1165"/>
      <c r="CK229" s="1165"/>
      <c r="CL229" s="1165"/>
      <c r="CM229" s="1165"/>
      <c r="CN229" s="1165"/>
      <c r="CO229" s="1165"/>
      <c r="CP229" s="1165"/>
      <c r="CQ229" s="1165"/>
      <c r="CR229" s="1165"/>
      <c r="CS229" s="1165"/>
      <c r="CT229" s="1165"/>
      <c r="CU229" s="1165"/>
      <c r="CV229" s="1165"/>
      <c r="CW229" s="1165"/>
      <c r="CX229" s="1106"/>
      <c r="CY229" s="1106"/>
      <c r="CZ229" s="1106"/>
      <c r="DA229" s="1107"/>
      <c r="DB229" s="1104"/>
    </row>
    <row r="230" spans="2:106" ht="11.25" customHeight="1">
      <c r="B230" s="1105"/>
      <c r="C230" s="1165"/>
      <c r="D230" s="1165"/>
      <c r="E230" s="1165"/>
      <c r="F230" s="1165"/>
      <c r="G230" s="1165"/>
      <c r="H230" s="1165"/>
      <c r="I230" s="1165"/>
      <c r="J230" s="1165"/>
      <c r="K230" s="1165"/>
      <c r="L230" s="1165"/>
      <c r="M230" s="1165"/>
      <c r="N230" s="1165"/>
      <c r="O230" s="1165"/>
      <c r="P230" s="1165"/>
      <c r="Q230" s="1165"/>
      <c r="R230" s="1165"/>
      <c r="S230" s="1165"/>
      <c r="T230" s="1165"/>
      <c r="U230" s="1165"/>
      <c r="V230" s="1165"/>
      <c r="W230" s="1165"/>
      <c r="X230" s="1165"/>
      <c r="Y230" s="1165"/>
      <c r="Z230" s="1165"/>
      <c r="AA230" s="1165"/>
      <c r="AB230" s="1165"/>
      <c r="AC230" s="1165"/>
      <c r="AD230" s="1165"/>
      <c r="AE230" s="1165"/>
      <c r="AF230" s="1165"/>
      <c r="AG230" s="1165"/>
      <c r="AH230" s="1165"/>
      <c r="AI230" s="1165"/>
      <c r="AJ230" s="1165"/>
      <c r="AK230" s="1165"/>
      <c r="AL230" s="1165"/>
      <c r="AM230" s="1165"/>
      <c r="AN230" s="1165"/>
      <c r="AO230" s="1165"/>
      <c r="AP230" s="1165"/>
      <c r="AQ230" s="1165"/>
      <c r="AR230" s="1165"/>
      <c r="AS230" s="1165"/>
      <c r="AT230" s="1165"/>
      <c r="AU230" s="1165"/>
      <c r="AV230" s="1165"/>
      <c r="AW230" s="1165"/>
      <c r="AX230" s="1165"/>
      <c r="AY230" s="1165"/>
      <c r="AZ230" s="1165"/>
      <c r="BA230" s="1165"/>
      <c r="BB230" s="1165"/>
      <c r="BC230" s="1165"/>
      <c r="BD230" s="1165"/>
      <c r="BE230" s="1165"/>
      <c r="BF230" s="1165"/>
      <c r="BG230" s="1165"/>
      <c r="BH230" s="1165"/>
      <c r="BI230" s="1165"/>
      <c r="BJ230" s="1165"/>
      <c r="BK230" s="1165"/>
      <c r="BL230" s="1165"/>
      <c r="BM230" s="1165"/>
      <c r="BN230" s="1165"/>
      <c r="BO230" s="1165"/>
      <c r="BP230" s="1165"/>
      <c r="BQ230" s="1165"/>
      <c r="BR230" s="1165"/>
      <c r="BS230" s="1165"/>
      <c r="BT230" s="1165"/>
      <c r="BU230" s="1165"/>
      <c r="BV230" s="1165"/>
      <c r="BW230" s="1165"/>
      <c r="BX230" s="1165"/>
      <c r="BY230" s="1165"/>
      <c r="BZ230" s="1165"/>
      <c r="CA230" s="1165"/>
      <c r="CB230" s="1165"/>
      <c r="CC230" s="1165"/>
      <c r="CD230" s="1165"/>
      <c r="CE230" s="1165"/>
      <c r="CF230" s="1165"/>
      <c r="CG230" s="1165"/>
      <c r="CH230" s="1165"/>
      <c r="CI230" s="1165"/>
      <c r="CJ230" s="1165"/>
      <c r="CK230" s="1165"/>
      <c r="CL230" s="1165"/>
      <c r="CM230" s="1165"/>
      <c r="CN230" s="1165"/>
      <c r="CO230" s="1165"/>
      <c r="CP230" s="1165"/>
      <c r="CQ230" s="1165"/>
      <c r="CR230" s="1165"/>
      <c r="CS230" s="1165"/>
      <c r="CT230" s="1165"/>
      <c r="CU230" s="1165"/>
      <c r="CV230" s="1165"/>
      <c r="CW230" s="1165"/>
      <c r="CX230" s="1106"/>
      <c r="CY230" s="1106"/>
      <c r="CZ230" s="1106"/>
      <c r="DA230" s="1107"/>
      <c r="DB230" s="1104"/>
    </row>
    <row r="231" spans="2:106" ht="11.25" customHeight="1">
      <c r="B231" s="1105"/>
      <c r="C231" s="1165"/>
      <c r="D231" s="1165"/>
      <c r="E231" s="1165"/>
      <c r="F231" s="1165"/>
      <c r="G231" s="1165"/>
      <c r="H231" s="1165"/>
      <c r="I231" s="1165"/>
      <c r="J231" s="1165"/>
      <c r="K231" s="1165"/>
      <c r="L231" s="1165"/>
      <c r="M231" s="1165"/>
      <c r="N231" s="1165"/>
      <c r="O231" s="1165"/>
      <c r="P231" s="1165"/>
      <c r="Q231" s="1165"/>
      <c r="R231" s="1165"/>
      <c r="S231" s="1165"/>
      <c r="T231" s="1165"/>
      <c r="U231" s="1165"/>
      <c r="V231" s="1165"/>
      <c r="W231" s="1165"/>
      <c r="X231" s="1165"/>
      <c r="Y231" s="1165"/>
      <c r="Z231" s="1165"/>
      <c r="AA231" s="1165"/>
      <c r="AB231" s="1165"/>
      <c r="AC231" s="1165"/>
      <c r="AD231" s="1165"/>
      <c r="AE231" s="1165"/>
      <c r="AF231" s="1165"/>
      <c r="AG231" s="1165"/>
      <c r="AH231" s="1165"/>
      <c r="AI231" s="1165"/>
      <c r="AJ231" s="1165"/>
      <c r="AK231" s="1165"/>
      <c r="AL231" s="1165"/>
      <c r="AM231" s="1165"/>
      <c r="AN231" s="1165"/>
      <c r="AO231" s="1165"/>
      <c r="AP231" s="1165"/>
      <c r="AQ231" s="1165"/>
      <c r="AR231" s="1165"/>
      <c r="AS231" s="1165"/>
      <c r="AT231" s="1165"/>
      <c r="AU231" s="1165"/>
      <c r="AV231" s="1165"/>
      <c r="AW231" s="1165"/>
      <c r="AX231" s="1165"/>
      <c r="AY231" s="1165"/>
      <c r="AZ231" s="1165"/>
      <c r="BA231" s="1165"/>
      <c r="BB231" s="1165"/>
      <c r="BC231" s="1165"/>
      <c r="BD231" s="1165"/>
      <c r="BE231" s="1165"/>
      <c r="BF231" s="1165"/>
      <c r="BG231" s="1165"/>
      <c r="BH231" s="1165"/>
      <c r="BI231" s="1165"/>
      <c r="BJ231" s="1165"/>
      <c r="BK231" s="1165"/>
      <c r="BL231" s="1165"/>
      <c r="BM231" s="1165"/>
      <c r="BN231" s="1165"/>
      <c r="BO231" s="1165"/>
      <c r="BP231" s="1165"/>
      <c r="BQ231" s="1165"/>
      <c r="BR231" s="1165"/>
      <c r="BS231" s="1165"/>
      <c r="BT231" s="1165"/>
      <c r="BU231" s="1165"/>
      <c r="BV231" s="1165"/>
      <c r="BW231" s="1165"/>
      <c r="BX231" s="1165"/>
      <c r="BY231" s="1165"/>
      <c r="BZ231" s="1165"/>
      <c r="CA231" s="1165"/>
      <c r="CB231" s="1165"/>
      <c r="CC231" s="1165"/>
      <c r="CD231" s="1165"/>
      <c r="CE231" s="1165"/>
      <c r="CF231" s="1165"/>
      <c r="CG231" s="1165"/>
      <c r="CH231" s="1165"/>
      <c r="CI231" s="1165"/>
      <c r="CJ231" s="1165"/>
      <c r="CK231" s="1165"/>
      <c r="CL231" s="1165"/>
      <c r="CM231" s="1165"/>
      <c r="CN231" s="1165"/>
      <c r="CO231" s="1165"/>
      <c r="CP231" s="1165"/>
      <c r="CQ231" s="1165"/>
      <c r="CR231" s="1165"/>
      <c r="CS231" s="1165"/>
      <c r="CT231" s="1165"/>
      <c r="CU231" s="1165"/>
      <c r="CV231" s="1165"/>
      <c r="CW231" s="1165"/>
      <c r="CX231" s="1106"/>
      <c r="CY231" s="1106"/>
      <c r="CZ231" s="1106"/>
      <c r="DA231" s="1107"/>
      <c r="DB231" s="1104"/>
    </row>
    <row r="232" spans="2:106" ht="11.25" customHeight="1">
      <c r="B232" s="1105"/>
      <c r="C232" s="1165"/>
      <c r="D232" s="1165"/>
      <c r="E232" s="1165"/>
      <c r="F232" s="1165"/>
      <c r="G232" s="1165"/>
      <c r="H232" s="1165"/>
      <c r="I232" s="1165"/>
      <c r="J232" s="1165"/>
      <c r="K232" s="1165"/>
      <c r="L232" s="1165"/>
      <c r="M232" s="1165"/>
      <c r="N232" s="1165"/>
      <c r="O232" s="1165"/>
      <c r="P232" s="1165"/>
      <c r="Q232" s="1165"/>
      <c r="R232" s="1165"/>
      <c r="S232" s="1165"/>
      <c r="T232" s="1165"/>
      <c r="U232" s="1165"/>
      <c r="V232" s="1165"/>
      <c r="W232" s="1165"/>
      <c r="X232" s="1165"/>
      <c r="Y232" s="1165"/>
      <c r="Z232" s="1165"/>
      <c r="AA232" s="1165"/>
      <c r="AB232" s="1165"/>
      <c r="AC232" s="1165"/>
      <c r="AD232" s="1165"/>
      <c r="AE232" s="1165"/>
      <c r="AF232" s="1165"/>
      <c r="AG232" s="1165"/>
      <c r="AH232" s="1165"/>
      <c r="AI232" s="1165"/>
      <c r="AJ232" s="1165"/>
      <c r="AK232" s="1165"/>
      <c r="AL232" s="1165"/>
      <c r="AM232" s="1165"/>
      <c r="AN232" s="1165"/>
      <c r="AO232" s="1165"/>
      <c r="AP232" s="1165"/>
      <c r="AQ232" s="1165"/>
      <c r="AR232" s="1165"/>
      <c r="AS232" s="1165"/>
      <c r="AT232" s="1165"/>
      <c r="AU232" s="1165"/>
      <c r="AV232" s="1165"/>
      <c r="AW232" s="1165"/>
      <c r="AX232" s="1165"/>
      <c r="AY232" s="1165"/>
      <c r="AZ232" s="1165"/>
      <c r="BA232" s="1165"/>
      <c r="BB232" s="1165"/>
      <c r="BC232" s="1165"/>
      <c r="BD232" s="1165"/>
      <c r="BE232" s="1165"/>
      <c r="BF232" s="1165"/>
      <c r="BG232" s="1165"/>
      <c r="BH232" s="1165"/>
      <c r="BI232" s="1165"/>
      <c r="BJ232" s="1165"/>
      <c r="BK232" s="1165"/>
      <c r="BL232" s="1165"/>
      <c r="BM232" s="1165"/>
      <c r="BN232" s="1165"/>
      <c r="BO232" s="1165"/>
      <c r="BP232" s="1165"/>
      <c r="BQ232" s="1165"/>
      <c r="BR232" s="1165"/>
      <c r="BS232" s="1165"/>
      <c r="BT232" s="1165"/>
      <c r="BU232" s="1165"/>
      <c r="BV232" s="1165"/>
      <c r="BW232" s="1165"/>
      <c r="BX232" s="1165"/>
      <c r="BY232" s="1165"/>
      <c r="BZ232" s="1165"/>
      <c r="CA232" s="1165"/>
      <c r="CB232" s="1165"/>
      <c r="CC232" s="1165"/>
      <c r="CD232" s="1165"/>
      <c r="CE232" s="1165"/>
      <c r="CF232" s="1165"/>
      <c r="CG232" s="1165"/>
      <c r="CH232" s="1165"/>
      <c r="CI232" s="1165"/>
      <c r="CJ232" s="1165"/>
      <c r="CK232" s="1165"/>
      <c r="CL232" s="1165"/>
      <c r="CM232" s="1165"/>
      <c r="CN232" s="1165"/>
      <c r="CO232" s="1165"/>
      <c r="CP232" s="1165"/>
      <c r="CQ232" s="1165"/>
      <c r="CR232" s="1165"/>
      <c r="CS232" s="1165"/>
      <c r="CT232" s="1165"/>
      <c r="CU232" s="1165"/>
      <c r="CV232" s="1165"/>
      <c r="CW232" s="1165"/>
      <c r="CX232" s="1106"/>
      <c r="CY232" s="1106"/>
      <c r="CZ232" s="1106"/>
      <c r="DA232" s="1107"/>
      <c r="DB232" s="1104"/>
    </row>
    <row r="233" spans="2:106" ht="11.25" customHeight="1">
      <c r="B233" s="1105"/>
      <c r="C233" s="1165"/>
      <c r="D233" s="1165"/>
      <c r="E233" s="1165"/>
      <c r="F233" s="1165"/>
      <c r="G233" s="1165"/>
      <c r="H233" s="1165"/>
      <c r="I233" s="1165"/>
      <c r="J233" s="1165"/>
      <c r="K233" s="1165"/>
      <c r="L233" s="1165"/>
      <c r="M233" s="1165"/>
      <c r="N233" s="1165"/>
      <c r="O233" s="1165"/>
      <c r="P233" s="1165"/>
      <c r="Q233" s="1165"/>
      <c r="R233" s="1165"/>
      <c r="S233" s="1165"/>
      <c r="T233" s="1165"/>
      <c r="U233" s="1165"/>
      <c r="V233" s="1165"/>
      <c r="W233" s="1165"/>
      <c r="X233" s="1165"/>
      <c r="Y233" s="1165"/>
      <c r="Z233" s="1165"/>
      <c r="AA233" s="1165"/>
      <c r="AB233" s="1165"/>
      <c r="AC233" s="1165"/>
      <c r="AD233" s="1165"/>
      <c r="AE233" s="1165"/>
      <c r="AF233" s="1165"/>
      <c r="AG233" s="1165"/>
      <c r="AH233" s="1165"/>
      <c r="AI233" s="1165"/>
      <c r="AJ233" s="1165"/>
      <c r="AK233" s="1165"/>
      <c r="AL233" s="1165"/>
      <c r="AM233" s="1165"/>
      <c r="AN233" s="1165"/>
      <c r="AO233" s="1165"/>
      <c r="AP233" s="1165"/>
      <c r="AQ233" s="1165"/>
      <c r="AR233" s="1165"/>
      <c r="AS233" s="1165"/>
      <c r="AT233" s="1165"/>
      <c r="AU233" s="1165"/>
      <c r="AV233" s="1165"/>
      <c r="AW233" s="1165"/>
      <c r="AX233" s="1165"/>
      <c r="AY233" s="1165"/>
      <c r="AZ233" s="1165"/>
      <c r="BA233" s="1165"/>
      <c r="BB233" s="1165"/>
      <c r="BC233" s="1165"/>
      <c r="BD233" s="1165"/>
      <c r="BE233" s="1165"/>
      <c r="BF233" s="1165"/>
      <c r="BG233" s="1165"/>
      <c r="BH233" s="1165"/>
      <c r="BI233" s="1165"/>
      <c r="BJ233" s="1165"/>
      <c r="BK233" s="1165"/>
      <c r="BL233" s="1165"/>
      <c r="BM233" s="1165"/>
      <c r="BN233" s="1165"/>
      <c r="BO233" s="1165"/>
      <c r="BP233" s="1165"/>
      <c r="BQ233" s="1165"/>
      <c r="BR233" s="1165"/>
      <c r="BS233" s="1165"/>
      <c r="BT233" s="1165"/>
      <c r="BU233" s="1165"/>
      <c r="BV233" s="1165"/>
      <c r="BW233" s="1165"/>
      <c r="BX233" s="1165"/>
      <c r="BY233" s="1165"/>
      <c r="BZ233" s="1165"/>
      <c r="CA233" s="1165"/>
      <c r="CB233" s="1165"/>
      <c r="CC233" s="1165"/>
      <c r="CD233" s="1165"/>
      <c r="CE233" s="1165"/>
      <c r="CF233" s="1165"/>
      <c r="CG233" s="1165"/>
      <c r="CH233" s="1165"/>
      <c r="CI233" s="1165"/>
      <c r="CJ233" s="1165"/>
      <c r="CK233" s="1165"/>
      <c r="CL233" s="1165"/>
      <c r="CM233" s="1165"/>
      <c r="CN233" s="1165"/>
      <c r="CO233" s="1165"/>
      <c r="CP233" s="1165"/>
      <c r="CQ233" s="1165"/>
      <c r="CR233" s="1165"/>
      <c r="CS233" s="1165"/>
      <c r="CT233" s="1165"/>
      <c r="CU233" s="1165"/>
      <c r="CV233" s="1165"/>
      <c r="CW233" s="1165"/>
      <c r="CX233" s="1106"/>
      <c r="CY233" s="1106"/>
      <c r="CZ233" s="1106"/>
      <c r="DA233" s="1107"/>
      <c r="DB233" s="1104"/>
    </row>
    <row r="234" spans="2:106" ht="11.25" customHeight="1">
      <c r="B234" s="1105"/>
      <c r="C234" s="1165"/>
      <c r="D234" s="1165"/>
      <c r="E234" s="1165"/>
      <c r="F234" s="1165"/>
      <c r="G234" s="1165"/>
      <c r="H234" s="1165"/>
      <c r="I234" s="1165"/>
      <c r="J234" s="1165"/>
      <c r="K234" s="1165"/>
      <c r="L234" s="1165"/>
      <c r="M234" s="1165"/>
      <c r="N234" s="1165"/>
      <c r="O234" s="1165"/>
      <c r="P234" s="1165"/>
      <c r="Q234" s="1165"/>
      <c r="R234" s="1165"/>
      <c r="S234" s="1165"/>
      <c r="T234" s="1165"/>
      <c r="U234" s="1165"/>
      <c r="V234" s="1165"/>
      <c r="W234" s="1165"/>
      <c r="X234" s="1165"/>
      <c r="Y234" s="1165"/>
      <c r="Z234" s="1165"/>
      <c r="AA234" s="1165"/>
      <c r="AB234" s="1165"/>
      <c r="AC234" s="1165"/>
      <c r="AD234" s="1165"/>
      <c r="AE234" s="1165"/>
      <c r="AF234" s="1165"/>
      <c r="AG234" s="1165"/>
      <c r="AH234" s="1165"/>
      <c r="AI234" s="1165"/>
      <c r="AJ234" s="1165"/>
      <c r="AK234" s="1165"/>
      <c r="AL234" s="1165"/>
      <c r="AM234" s="1165"/>
      <c r="AN234" s="1165"/>
      <c r="AO234" s="1165"/>
      <c r="AP234" s="1165"/>
      <c r="AQ234" s="1165"/>
      <c r="AR234" s="1165"/>
      <c r="AS234" s="1165"/>
      <c r="AT234" s="1165"/>
      <c r="AU234" s="1165"/>
      <c r="AV234" s="1165"/>
      <c r="AW234" s="1165"/>
      <c r="AX234" s="1165"/>
      <c r="AY234" s="1165"/>
      <c r="AZ234" s="1165"/>
      <c r="BA234" s="1165"/>
      <c r="BB234" s="1165"/>
      <c r="BC234" s="1165"/>
      <c r="BD234" s="1165"/>
      <c r="BE234" s="1165"/>
      <c r="BF234" s="1165"/>
      <c r="BG234" s="1165"/>
      <c r="BH234" s="1165"/>
      <c r="BI234" s="1165"/>
      <c r="BJ234" s="1165"/>
      <c r="BK234" s="1165"/>
      <c r="BL234" s="1165"/>
      <c r="BM234" s="1165"/>
      <c r="BN234" s="1165"/>
      <c r="BO234" s="1165"/>
      <c r="BP234" s="1165"/>
      <c r="BQ234" s="1165"/>
      <c r="BR234" s="1165"/>
      <c r="BS234" s="1165"/>
      <c r="BT234" s="1165"/>
      <c r="BU234" s="1165"/>
      <c r="BV234" s="1165"/>
      <c r="BW234" s="1165"/>
      <c r="BX234" s="1165"/>
      <c r="BY234" s="1165"/>
      <c r="BZ234" s="1165"/>
      <c r="CA234" s="1165"/>
      <c r="CB234" s="1165"/>
      <c r="CC234" s="1165"/>
      <c r="CD234" s="1165"/>
      <c r="CE234" s="1165"/>
      <c r="CF234" s="1165"/>
      <c r="CG234" s="1165"/>
      <c r="CH234" s="1165"/>
      <c r="CI234" s="1165"/>
      <c r="CJ234" s="1165"/>
      <c r="CK234" s="1165"/>
      <c r="CL234" s="1165"/>
      <c r="CM234" s="1165"/>
      <c r="CN234" s="1165"/>
      <c r="CO234" s="1165"/>
      <c r="CP234" s="1165"/>
      <c r="CQ234" s="1165"/>
      <c r="CR234" s="1165"/>
      <c r="CS234" s="1165"/>
      <c r="CT234" s="1165"/>
      <c r="CU234" s="1165"/>
      <c r="CV234" s="1165"/>
      <c r="CW234" s="1165"/>
      <c r="CX234" s="1106"/>
      <c r="CY234" s="1106"/>
      <c r="CZ234" s="1106"/>
      <c r="DA234" s="1107"/>
      <c r="DB234" s="1104"/>
    </row>
    <row r="235" spans="2:106" ht="11.25" customHeight="1">
      <c r="B235" s="1105"/>
      <c r="C235" s="1165"/>
      <c r="D235" s="1165"/>
      <c r="E235" s="1165"/>
      <c r="F235" s="1165"/>
      <c r="G235" s="1165"/>
      <c r="H235" s="1165"/>
      <c r="I235" s="1165"/>
      <c r="J235" s="1165"/>
      <c r="K235" s="1165"/>
      <c r="L235" s="1165"/>
      <c r="M235" s="1165"/>
      <c r="N235" s="1165"/>
      <c r="O235" s="1165"/>
      <c r="P235" s="1165"/>
      <c r="Q235" s="1165"/>
      <c r="R235" s="1165"/>
      <c r="S235" s="1165"/>
      <c r="T235" s="1165"/>
      <c r="U235" s="1165"/>
      <c r="V235" s="1165"/>
      <c r="W235" s="1165"/>
      <c r="X235" s="1165"/>
      <c r="Y235" s="1165"/>
      <c r="Z235" s="1165"/>
      <c r="AA235" s="1165"/>
      <c r="AB235" s="1165"/>
      <c r="AC235" s="1165"/>
      <c r="AD235" s="1165"/>
      <c r="AE235" s="1165"/>
      <c r="AF235" s="1165"/>
      <c r="AG235" s="1165"/>
      <c r="AH235" s="1165"/>
      <c r="AI235" s="1165"/>
      <c r="AJ235" s="1165"/>
      <c r="AK235" s="1165"/>
      <c r="AL235" s="1165"/>
      <c r="AM235" s="1165"/>
      <c r="AN235" s="1165"/>
      <c r="AO235" s="1165"/>
      <c r="AP235" s="1165"/>
      <c r="AQ235" s="1165"/>
      <c r="AR235" s="1165"/>
      <c r="AS235" s="1165"/>
      <c r="AT235" s="1165"/>
      <c r="AU235" s="1165"/>
      <c r="AV235" s="1165"/>
      <c r="AW235" s="1165"/>
      <c r="AX235" s="1165"/>
      <c r="AY235" s="1165"/>
      <c r="AZ235" s="1165"/>
      <c r="BA235" s="1165"/>
      <c r="BB235" s="1165"/>
      <c r="BC235" s="1165"/>
      <c r="BD235" s="1165"/>
      <c r="BE235" s="1165"/>
      <c r="BF235" s="1165"/>
      <c r="BG235" s="1165"/>
      <c r="BH235" s="1165"/>
      <c r="BI235" s="1165"/>
      <c r="BJ235" s="1165"/>
      <c r="BK235" s="1165"/>
      <c r="BL235" s="1165"/>
      <c r="BM235" s="1165"/>
      <c r="BN235" s="1165"/>
      <c r="BO235" s="1165"/>
      <c r="BP235" s="1165"/>
      <c r="BQ235" s="1165"/>
      <c r="BR235" s="1165"/>
      <c r="BS235" s="1165"/>
      <c r="BT235" s="1165"/>
      <c r="BU235" s="1165"/>
      <c r="BV235" s="1165"/>
      <c r="BW235" s="1165"/>
      <c r="BX235" s="1165"/>
      <c r="BY235" s="1165"/>
      <c r="BZ235" s="1165"/>
      <c r="CA235" s="1165"/>
      <c r="CB235" s="1165"/>
      <c r="CC235" s="1165"/>
      <c r="CD235" s="1165"/>
      <c r="CE235" s="1165"/>
      <c r="CF235" s="1165"/>
      <c r="CG235" s="1165"/>
      <c r="CH235" s="1165"/>
      <c r="CI235" s="1165"/>
      <c r="CJ235" s="1165"/>
      <c r="CK235" s="1165"/>
      <c r="CL235" s="1165"/>
      <c r="CM235" s="1165"/>
      <c r="CN235" s="1165"/>
      <c r="CO235" s="1165"/>
      <c r="CP235" s="1165"/>
      <c r="CQ235" s="1165"/>
      <c r="CR235" s="1165"/>
      <c r="CS235" s="1165"/>
      <c r="CT235" s="1165"/>
      <c r="CU235" s="1165"/>
      <c r="CV235" s="1165"/>
      <c r="CW235" s="1165"/>
      <c r="CX235" s="1106"/>
      <c r="CY235" s="1106"/>
      <c r="CZ235" s="1106"/>
      <c r="DA235" s="1107"/>
      <c r="DB235" s="1104"/>
    </row>
    <row r="236" spans="2:106" ht="11.25" customHeight="1">
      <c r="B236" s="1105"/>
      <c r="C236" s="1165"/>
      <c r="D236" s="1165"/>
      <c r="E236" s="1165"/>
      <c r="F236" s="1165"/>
      <c r="G236" s="1165"/>
      <c r="H236" s="1165"/>
      <c r="I236" s="1165"/>
      <c r="J236" s="1165"/>
      <c r="K236" s="1165"/>
      <c r="L236" s="1165"/>
      <c r="M236" s="1165"/>
      <c r="N236" s="1165"/>
      <c r="O236" s="1165"/>
      <c r="P236" s="1165"/>
      <c r="Q236" s="1165"/>
      <c r="R236" s="1165"/>
      <c r="S236" s="1165"/>
      <c r="T236" s="1165"/>
      <c r="U236" s="1165"/>
      <c r="V236" s="1165"/>
      <c r="W236" s="1165"/>
      <c r="X236" s="1165"/>
      <c r="Y236" s="1165"/>
      <c r="Z236" s="1165"/>
      <c r="AA236" s="1165"/>
      <c r="AB236" s="1165"/>
      <c r="AC236" s="1165"/>
      <c r="AD236" s="1165"/>
      <c r="AE236" s="1165"/>
      <c r="AF236" s="1165"/>
      <c r="AG236" s="1165"/>
      <c r="AH236" s="1165"/>
      <c r="AI236" s="1165"/>
      <c r="AJ236" s="1165"/>
      <c r="AK236" s="1165"/>
      <c r="AL236" s="1165"/>
      <c r="AM236" s="1165"/>
      <c r="AN236" s="1165"/>
      <c r="AO236" s="1165"/>
      <c r="AP236" s="1165"/>
      <c r="AQ236" s="1165"/>
      <c r="AR236" s="1165"/>
      <c r="AS236" s="1165"/>
      <c r="AT236" s="1165"/>
      <c r="AU236" s="1165"/>
      <c r="AV236" s="1165"/>
      <c r="AW236" s="1165"/>
      <c r="AX236" s="1165"/>
      <c r="AY236" s="1165"/>
      <c r="AZ236" s="1165"/>
      <c r="BA236" s="1165"/>
      <c r="BB236" s="1165"/>
      <c r="BC236" s="1165"/>
      <c r="BD236" s="1165"/>
      <c r="BE236" s="1165"/>
      <c r="BF236" s="1165"/>
      <c r="BG236" s="1165"/>
      <c r="BH236" s="1165"/>
      <c r="BI236" s="1165"/>
      <c r="BJ236" s="1165"/>
      <c r="BK236" s="1165"/>
      <c r="BL236" s="1165"/>
      <c r="BM236" s="1165"/>
      <c r="BN236" s="1165"/>
      <c r="BO236" s="1165"/>
      <c r="BP236" s="1165"/>
      <c r="BQ236" s="1165"/>
      <c r="BR236" s="1165"/>
      <c r="BS236" s="1165"/>
      <c r="BT236" s="1165"/>
      <c r="BU236" s="1165"/>
      <c r="BV236" s="1165"/>
      <c r="BW236" s="1165"/>
      <c r="BX236" s="1165"/>
      <c r="BY236" s="1165"/>
      <c r="BZ236" s="1165"/>
      <c r="CA236" s="1165"/>
      <c r="CB236" s="1165"/>
      <c r="CC236" s="1165"/>
      <c r="CD236" s="1165"/>
      <c r="CE236" s="1165"/>
      <c r="CF236" s="1165"/>
      <c r="CG236" s="1165"/>
      <c r="CH236" s="1165"/>
      <c r="CI236" s="1165"/>
      <c r="CJ236" s="1165"/>
      <c r="CK236" s="1165"/>
      <c r="CL236" s="1165"/>
      <c r="CM236" s="1165"/>
      <c r="CN236" s="1165"/>
      <c r="CO236" s="1165"/>
      <c r="CP236" s="1165"/>
      <c r="CQ236" s="1165"/>
      <c r="CR236" s="1165"/>
      <c r="CS236" s="1165"/>
      <c r="CT236" s="1165"/>
      <c r="CU236" s="1165"/>
      <c r="CV236" s="1165"/>
      <c r="CW236" s="1165"/>
      <c r="CX236" s="1106"/>
      <c r="CY236" s="1106"/>
      <c r="CZ236" s="1106"/>
      <c r="DA236" s="1107"/>
      <c r="DB236" s="1104"/>
    </row>
    <row r="237" spans="2:106" ht="11.25" customHeight="1">
      <c r="B237" s="1105"/>
      <c r="C237" s="1165"/>
      <c r="D237" s="1165"/>
      <c r="E237" s="1165"/>
      <c r="F237" s="1165"/>
      <c r="G237" s="1165"/>
      <c r="H237" s="1165"/>
      <c r="I237" s="1165"/>
      <c r="J237" s="1165"/>
      <c r="K237" s="1165"/>
      <c r="L237" s="1165"/>
      <c r="M237" s="1165"/>
      <c r="N237" s="1165"/>
      <c r="O237" s="1165"/>
      <c r="P237" s="1165"/>
      <c r="Q237" s="1165"/>
      <c r="R237" s="1165"/>
      <c r="S237" s="1165"/>
      <c r="T237" s="1165"/>
      <c r="U237" s="1165"/>
      <c r="V237" s="1165"/>
      <c r="W237" s="1165"/>
      <c r="X237" s="1165"/>
      <c r="Y237" s="1165"/>
      <c r="Z237" s="1165"/>
      <c r="AA237" s="1165"/>
      <c r="AB237" s="1165"/>
      <c r="AC237" s="1165"/>
      <c r="AD237" s="1165"/>
      <c r="AE237" s="1165"/>
      <c r="AF237" s="1165"/>
      <c r="AG237" s="1165"/>
      <c r="AH237" s="1165"/>
      <c r="AI237" s="1165"/>
      <c r="AJ237" s="1165"/>
      <c r="AK237" s="1165"/>
      <c r="AL237" s="1165"/>
      <c r="AM237" s="1165"/>
      <c r="AN237" s="1165"/>
      <c r="AO237" s="1165"/>
      <c r="AP237" s="1165"/>
      <c r="AQ237" s="1165"/>
      <c r="AR237" s="1165"/>
      <c r="AS237" s="1165"/>
      <c r="AT237" s="1165"/>
      <c r="AU237" s="1165"/>
      <c r="AV237" s="1165"/>
      <c r="AW237" s="1165"/>
      <c r="AX237" s="1165"/>
      <c r="AY237" s="1165"/>
      <c r="AZ237" s="1165"/>
      <c r="BA237" s="1165"/>
      <c r="BB237" s="1165"/>
      <c r="BC237" s="1165"/>
      <c r="BD237" s="1165"/>
      <c r="BE237" s="1165"/>
      <c r="BF237" s="1165"/>
      <c r="BG237" s="1165"/>
      <c r="BH237" s="1165"/>
      <c r="BI237" s="1165"/>
      <c r="BJ237" s="1165"/>
      <c r="BK237" s="1165"/>
      <c r="BL237" s="1165"/>
      <c r="BM237" s="1165"/>
      <c r="BN237" s="1165"/>
      <c r="BO237" s="1165"/>
      <c r="BP237" s="1165"/>
      <c r="BQ237" s="1165"/>
      <c r="BR237" s="1165"/>
      <c r="BS237" s="1165"/>
      <c r="BT237" s="1165"/>
      <c r="BU237" s="1165"/>
      <c r="BV237" s="1165"/>
      <c r="BW237" s="1165"/>
      <c r="BX237" s="1165"/>
      <c r="BY237" s="1165"/>
      <c r="BZ237" s="1165"/>
      <c r="CA237" s="1165"/>
      <c r="CB237" s="1165"/>
      <c r="CC237" s="1165"/>
      <c r="CD237" s="1165"/>
      <c r="CE237" s="1165"/>
      <c r="CF237" s="1165"/>
      <c r="CG237" s="1165"/>
      <c r="CH237" s="1165"/>
      <c r="CI237" s="1165"/>
      <c r="CJ237" s="1165"/>
      <c r="CK237" s="1165"/>
      <c r="CL237" s="1165"/>
      <c r="CM237" s="1165"/>
      <c r="CN237" s="1165"/>
      <c r="CO237" s="1165"/>
      <c r="CP237" s="1165"/>
      <c r="CQ237" s="1165"/>
      <c r="CR237" s="1165"/>
      <c r="CS237" s="1165"/>
      <c r="CT237" s="1165"/>
      <c r="CU237" s="1165"/>
      <c r="CV237" s="1165"/>
      <c r="CW237" s="1165"/>
      <c r="CX237" s="1106"/>
      <c r="CY237" s="1106"/>
      <c r="CZ237" s="1106"/>
      <c r="DA237" s="1107"/>
      <c r="DB237" s="1104"/>
    </row>
    <row r="238" spans="2:106" ht="11.25" customHeight="1">
      <c r="B238" s="1105"/>
      <c r="C238" s="1165"/>
      <c r="D238" s="1165"/>
      <c r="E238" s="1165"/>
      <c r="F238" s="1165"/>
      <c r="G238" s="1165"/>
      <c r="H238" s="1165"/>
      <c r="I238" s="1165"/>
      <c r="J238" s="1165"/>
      <c r="K238" s="1165"/>
      <c r="L238" s="1165"/>
      <c r="M238" s="1165"/>
      <c r="N238" s="1165"/>
      <c r="O238" s="1165"/>
      <c r="P238" s="1165"/>
      <c r="Q238" s="1165"/>
      <c r="R238" s="1165"/>
      <c r="S238" s="1165"/>
      <c r="T238" s="1165"/>
      <c r="U238" s="1165"/>
      <c r="V238" s="1165"/>
      <c r="W238" s="1165"/>
      <c r="X238" s="1165"/>
      <c r="Y238" s="1165"/>
      <c r="Z238" s="1165"/>
      <c r="AA238" s="1165"/>
      <c r="AB238" s="1165"/>
      <c r="AC238" s="1165"/>
      <c r="AD238" s="1165"/>
      <c r="AE238" s="1165"/>
      <c r="AF238" s="1165"/>
      <c r="AG238" s="1165"/>
      <c r="AH238" s="1165"/>
      <c r="AI238" s="1165"/>
      <c r="AJ238" s="1165"/>
      <c r="AK238" s="1165"/>
      <c r="AL238" s="1165"/>
      <c r="AM238" s="1165"/>
      <c r="AN238" s="1165"/>
      <c r="AO238" s="1165"/>
      <c r="AP238" s="1165"/>
      <c r="AQ238" s="1165"/>
      <c r="AR238" s="1165"/>
      <c r="AS238" s="1165"/>
      <c r="AT238" s="1165"/>
      <c r="AU238" s="1165"/>
      <c r="AV238" s="1165"/>
      <c r="AW238" s="1165"/>
      <c r="AX238" s="1165"/>
      <c r="AY238" s="1165"/>
      <c r="AZ238" s="1165"/>
      <c r="BA238" s="1165"/>
      <c r="BB238" s="1165"/>
      <c r="BC238" s="1165"/>
      <c r="BD238" s="1165"/>
      <c r="BE238" s="1165"/>
      <c r="BF238" s="1165"/>
      <c r="BG238" s="1165"/>
      <c r="BH238" s="1165"/>
      <c r="BI238" s="1165"/>
      <c r="BJ238" s="1165"/>
      <c r="BK238" s="1165"/>
      <c r="BL238" s="1165"/>
      <c r="BM238" s="1165"/>
      <c r="BN238" s="1165"/>
      <c r="BO238" s="1165"/>
      <c r="BP238" s="1165"/>
      <c r="BQ238" s="1165"/>
      <c r="BR238" s="1165"/>
      <c r="BS238" s="1165"/>
      <c r="BT238" s="1165"/>
      <c r="BU238" s="1165"/>
      <c r="BV238" s="1165"/>
      <c r="BW238" s="1165"/>
      <c r="BX238" s="1165"/>
      <c r="BY238" s="1165"/>
      <c r="BZ238" s="1165"/>
      <c r="CA238" s="1165"/>
      <c r="CB238" s="1165"/>
      <c r="CC238" s="1165"/>
      <c r="CD238" s="1165"/>
      <c r="CE238" s="1165"/>
      <c r="CF238" s="1165"/>
      <c r="CG238" s="1165"/>
      <c r="CH238" s="1165"/>
      <c r="CI238" s="1165"/>
      <c r="CJ238" s="1165"/>
      <c r="CK238" s="1165"/>
      <c r="CL238" s="1165"/>
      <c r="CM238" s="1165"/>
      <c r="CN238" s="1165"/>
      <c r="CO238" s="1165"/>
      <c r="CP238" s="1165"/>
      <c r="CQ238" s="1165"/>
      <c r="CR238" s="1165"/>
      <c r="CS238" s="1165"/>
      <c r="CT238" s="1165"/>
      <c r="CU238" s="1165"/>
      <c r="CV238" s="1165"/>
      <c r="CW238" s="1165"/>
      <c r="CX238" s="1106"/>
      <c r="CY238" s="1106"/>
      <c r="CZ238" s="1106"/>
      <c r="DA238" s="1107"/>
      <c r="DB238" s="1104"/>
    </row>
    <row r="239" spans="2:106" ht="11.25" customHeight="1">
      <c r="B239" s="1105"/>
      <c r="C239" s="1165"/>
      <c r="D239" s="1165"/>
      <c r="E239" s="1165"/>
      <c r="F239" s="1165"/>
      <c r="G239" s="1165"/>
      <c r="H239" s="1165"/>
      <c r="I239" s="1165"/>
      <c r="J239" s="1165"/>
      <c r="K239" s="1165"/>
      <c r="L239" s="1165"/>
      <c r="M239" s="1165"/>
      <c r="N239" s="1165"/>
      <c r="O239" s="1165"/>
      <c r="P239" s="1165"/>
      <c r="Q239" s="1165"/>
      <c r="R239" s="1165"/>
      <c r="S239" s="1165"/>
      <c r="T239" s="1165"/>
      <c r="U239" s="1165"/>
      <c r="V239" s="1165"/>
      <c r="W239" s="1165"/>
      <c r="X239" s="1165"/>
      <c r="Y239" s="1165"/>
      <c r="Z239" s="1165"/>
      <c r="AA239" s="1165"/>
      <c r="AB239" s="1165"/>
      <c r="AC239" s="1165"/>
      <c r="AD239" s="1165"/>
      <c r="AE239" s="1165"/>
      <c r="AF239" s="1165"/>
      <c r="AG239" s="1165"/>
      <c r="AH239" s="1165"/>
      <c r="AI239" s="1165"/>
      <c r="AJ239" s="1165"/>
      <c r="AK239" s="1165"/>
      <c r="AL239" s="1165"/>
      <c r="AM239" s="1165"/>
      <c r="AN239" s="1165"/>
      <c r="AO239" s="1165"/>
      <c r="AP239" s="1165"/>
      <c r="AQ239" s="1165"/>
      <c r="AR239" s="1165"/>
      <c r="AS239" s="1165"/>
      <c r="AT239" s="1165"/>
      <c r="AU239" s="1165"/>
      <c r="AV239" s="1165"/>
      <c r="AW239" s="1165"/>
      <c r="AX239" s="1165"/>
      <c r="AY239" s="1165"/>
      <c r="AZ239" s="1165"/>
      <c r="BA239" s="1165"/>
      <c r="BB239" s="1165"/>
      <c r="BC239" s="1165"/>
      <c r="BD239" s="1165"/>
      <c r="BE239" s="1165"/>
      <c r="BF239" s="1165"/>
      <c r="BG239" s="1165"/>
      <c r="BH239" s="1165"/>
      <c r="BI239" s="1165"/>
      <c r="BJ239" s="1165"/>
      <c r="BK239" s="1165"/>
      <c r="BL239" s="1165"/>
      <c r="BM239" s="1165"/>
      <c r="BN239" s="1165"/>
      <c r="BO239" s="1165"/>
      <c r="BP239" s="1165"/>
      <c r="BQ239" s="1165"/>
      <c r="BR239" s="1165"/>
      <c r="BS239" s="1165"/>
      <c r="BT239" s="1165"/>
      <c r="BU239" s="1165"/>
      <c r="BV239" s="1165"/>
      <c r="BW239" s="1165"/>
      <c r="BX239" s="1165"/>
      <c r="BY239" s="1165"/>
      <c r="BZ239" s="1165"/>
      <c r="CA239" s="1165"/>
      <c r="CB239" s="1165"/>
      <c r="CC239" s="1165"/>
      <c r="CD239" s="1165"/>
      <c r="CE239" s="1165"/>
      <c r="CF239" s="1165"/>
      <c r="CG239" s="1165"/>
      <c r="CH239" s="1165"/>
      <c r="CI239" s="1165"/>
      <c r="CJ239" s="1165"/>
      <c r="CK239" s="1165"/>
      <c r="CL239" s="1165"/>
      <c r="CM239" s="1165"/>
      <c r="CN239" s="1165"/>
      <c r="CO239" s="1165"/>
      <c r="CP239" s="1165"/>
      <c r="CQ239" s="1165"/>
      <c r="CR239" s="1165"/>
      <c r="CS239" s="1165"/>
      <c r="CT239" s="1165"/>
      <c r="CU239" s="1165"/>
      <c r="CV239" s="1165"/>
      <c r="CW239" s="1165"/>
      <c r="CX239" s="1106"/>
      <c r="CY239" s="1106"/>
      <c r="CZ239" s="1106"/>
      <c r="DA239" s="1107"/>
      <c r="DB239" s="1104"/>
    </row>
    <row r="240" spans="2:106" ht="11.25" customHeight="1">
      <c r="B240" s="1105"/>
      <c r="C240" s="1165"/>
      <c r="D240" s="1165"/>
      <c r="E240" s="1165"/>
      <c r="F240" s="1165"/>
      <c r="G240" s="1165"/>
      <c r="H240" s="1165"/>
      <c r="I240" s="1165"/>
      <c r="J240" s="1165"/>
      <c r="K240" s="1165"/>
      <c r="L240" s="1165"/>
      <c r="M240" s="1165"/>
      <c r="N240" s="1165"/>
      <c r="O240" s="1165"/>
      <c r="P240" s="1165"/>
      <c r="Q240" s="1165"/>
      <c r="R240" s="1165"/>
      <c r="S240" s="1165"/>
      <c r="T240" s="1165"/>
      <c r="U240" s="1165"/>
      <c r="V240" s="1165"/>
      <c r="W240" s="1165"/>
      <c r="X240" s="1165"/>
      <c r="Y240" s="1165"/>
      <c r="Z240" s="1165"/>
      <c r="AA240" s="1165"/>
      <c r="AB240" s="1165"/>
      <c r="AC240" s="1165"/>
      <c r="AD240" s="1165"/>
      <c r="AE240" s="1165"/>
      <c r="AF240" s="1165"/>
      <c r="AG240" s="1165"/>
      <c r="AH240" s="1165"/>
      <c r="AI240" s="1165"/>
      <c r="AJ240" s="1165"/>
      <c r="AK240" s="1165"/>
      <c r="AL240" s="1165"/>
      <c r="AM240" s="1165"/>
      <c r="AN240" s="1165"/>
      <c r="AO240" s="1165"/>
      <c r="AP240" s="1165"/>
      <c r="AQ240" s="1165"/>
      <c r="AR240" s="1165"/>
      <c r="AS240" s="1165"/>
      <c r="AT240" s="1165"/>
      <c r="AU240" s="1165"/>
      <c r="AV240" s="1165"/>
      <c r="AW240" s="1165"/>
      <c r="AX240" s="1165"/>
      <c r="AY240" s="1165"/>
      <c r="AZ240" s="1165"/>
      <c r="BA240" s="1165"/>
      <c r="BB240" s="1165"/>
      <c r="BC240" s="1165"/>
      <c r="BD240" s="1165"/>
      <c r="BE240" s="1165"/>
      <c r="BF240" s="1165"/>
      <c r="BG240" s="1165"/>
      <c r="BH240" s="1165"/>
      <c r="BI240" s="1165"/>
      <c r="BJ240" s="1165"/>
      <c r="BK240" s="1165"/>
      <c r="BL240" s="1165"/>
      <c r="BM240" s="1165"/>
      <c r="BN240" s="1165"/>
      <c r="BO240" s="1165"/>
      <c r="BP240" s="1165"/>
      <c r="BQ240" s="1165"/>
      <c r="BR240" s="1165"/>
      <c r="BS240" s="1165"/>
      <c r="BT240" s="1165"/>
      <c r="BU240" s="1165"/>
      <c r="BV240" s="1165"/>
      <c r="BW240" s="1165"/>
      <c r="BX240" s="1165"/>
      <c r="BY240" s="1165"/>
      <c r="BZ240" s="1165"/>
      <c r="CA240" s="1165"/>
      <c r="CB240" s="1165"/>
      <c r="CC240" s="1165"/>
      <c r="CD240" s="1165"/>
      <c r="CE240" s="1165"/>
      <c r="CF240" s="1165"/>
      <c r="CG240" s="1165"/>
      <c r="CH240" s="1165"/>
      <c r="CI240" s="1165"/>
      <c r="CJ240" s="1165"/>
      <c r="CK240" s="1165"/>
      <c r="CL240" s="1165"/>
      <c r="CM240" s="1165"/>
      <c r="CN240" s="1165"/>
      <c r="CO240" s="1165"/>
      <c r="CP240" s="1165"/>
      <c r="CQ240" s="1165"/>
      <c r="CR240" s="1165"/>
      <c r="CS240" s="1165"/>
      <c r="CT240" s="1165"/>
      <c r="CU240" s="1165"/>
      <c r="CV240" s="1165"/>
      <c r="CW240" s="1165"/>
      <c r="CX240" s="1106"/>
      <c r="CY240" s="1106"/>
      <c r="CZ240" s="1106"/>
      <c r="DA240" s="1107"/>
      <c r="DB240" s="1104"/>
    </row>
    <row r="241" spans="2:106" ht="11.25" customHeight="1">
      <c r="B241" s="1105"/>
      <c r="C241" s="1165"/>
      <c r="D241" s="1165"/>
      <c r="E241" s="1165"/>
      <c r="F241" s="1165"/>
      <c r="G241" s="1165"/>
      <c r="H241" s="1165"/>
      <c r="I241" s="1165"/>
      <c r="J241" s="1165"/>
      <c r="K241" s="1165"/>
      <c r="L241" s="1165"/>
      <c r="M241" s="1165"/>
      <c r="N241" s="1165"/>
      <c r="O241" s="1165"/>
      <c r="P241" s="1165"/>
      <c r="Q241" s="1165"/>
      <c r="R241" s="1165"/>
      <c r="S241" s="1165"/>
      <c r="T241" s="1165"/>
      <c r="U241" s="1165"/>
      <c r="V241" s="1165"/>
      <c r="W241" s="1165"/>
      <c r="X241" s="1165"/>
      <c r="Y241" s="1165"/>
      <c r="Z241" s="1165"/>
      <c r="AA241" s="1165"/>
      <c r="AB241" s="1165"/>
      <c r="AC241" s="1165"/>
      <c r="AD241" s="1165"/>
      <c r="AE241" s="1165"/>
      <c r="AF241" s="1165"/>
      <c r="AG241" s="1165"/>
      <c r="AH241" s="1165"/>
      <c r="AI241" s="1165"/>
      <c r="AJ241" s="1165"/>
      <c r="AK241" s="1165"/>
      <c r="AL241" s="1165"/>
      <c r="AM241" s="1165"/>
      <c r="AN241" s="1165"/>
      <c r="AO241" s="1165"/>
      <c r="AP241" s="1165"/>
      <c r="AQ241" s="1165"/>
      <c r="AR241" s="1165"/>
      <c r="AS241" s="1165"/>
      <c r="AT241" s="1165"/>
      <c r="AU241" s="1165"/>
      <c r="AV241" s="1165"/>
      <c r="AW241" s="1165"/>
      <c r="AX241" s="1165"/>
      <c r="AY241" s="1165"/>
      <c r="AZ241" s="1165"/>
      <c r="BA241" s="1165"/>
      <c r="BB241" s="1165"/>
      <c r="BC241" s="1165"/>
      <c r="BD241" s="1165"/>
      <c r="BE241" s="1165"/>
      <c r="BF241" s="1165"/>
      <c r="BG241" s="1165"/>
      <c r="BH241" s="1165"/>
      <c r="BI241" s="1165"/>
      <c r="BJ241" s="1165"/>
      <c r="BK241" s="1165"/>
      <c r="BL241" s="1165"/>
      <c r="BM241" s="1165"/>
      <c r="BN241" s="1165"/>
      <c r="BO241" s="1165"/>
      <c r="BP241" s="1165"/>
      <c r="BQ241" s="1165"/>
      <c r="BR241" s="1165"/>
      <c r="BS241" s="1165"/>
      <c r="BT241" s="1165"/>
      <c r="BU241" s="1165"/>
      <c r="BV241" s="1165"/>
      <c r="BW241" s="1165"/>
      <c r="BX241" s="1165"/>
      <c r="BY241" s="1165"/>
      <c r="BZ241" s="1165"/>
      <c r="CA241" s="1165"/>
      <c r="CB241" s="1165"/>
      <c r="CC241" s="1165"/>
      <c r="CD241" s="1165"/>
      <c r="CE241" s="1165"/>
      <c r="CF241" s="1165"/>
      <c r="CG241" s="1165"/>
      <c r="CH241" s="1165"/>
      <c r="CI241" s="1165"/>
      <c r="CJ241" s="1165"/>
      <c r="CK241" s="1165"/>
      <c r="CL241" s="1165"/>
      <c r="CM241" s="1165"/>
      <c r="CN241" s="1165"/>
      <c r="CO241" s="1165"/>
      <c r="CP241" s="1165"/>
      <c r="CQ241" s="1165"/>
      <c r="CR241" s="1165"/>
      <c r="CS241" s="1165"/>
      <c r="CT241" s="1165"/>
      <c r="CU241" s="1165"/>
      <c r="CV241" s="1165"/>
      <c r="CW241" s="1165"/>
      <c r="CX241" s="1106"/>
      <c r="CY241" s="1106"/>
      <c r="CZ241" s="1106"/>
      <c r="DA241" s="1107"/>
      <c r="DB241" s="1104"/>
    </row>
    <row r="242" spans="2:106" ht="11.25" customHeight="1">
      <c r="B242" s="1105"/>
      <c r="C242" s="1165"/>
      <c r="D242" s="1165"/>
      <c r="E242" s="1165"/>
      <c r="F242" s="1165"/>
      <c r="G242" s="1165"/>
      <c r="H242" s="1165"/>
      <c r="I242" s="1165"/>
      <c r="J242" s="1165"/>
      <c r="K242" s="1165"/>
      <c r="L242" s="1165"/>
      <c r="M242" s="1165"/>
      <c r="N242" s="1165"/>
      <c r="O242" s="1165"/>
      <c r="P242" s="1165"/>
      <c r="Q242" s="1165"/>
      <c r="R242" s="1165"/>
      <c r="S242" s="1165"/>
      <c r="T242" s="1165"/>
      <c r="U242" s="1165"/>
      <c r="V242" s="1165"/>
      <c r="W242" s="1165"/>
      <c r="X242" s="1165"/>
      <c r="Y242" s="1165"/>
      <c r="Z242" s="1165"/>
      <c r="AA242" s="1165"/>
      <c r="AB242" s="1165"/>
      <c r="AC242" s="1165"/>
      <c r="AD242" s="1165"/>
      <c r="AE242" s="1165"/>
      <c r="AF242" s="1165"/>
      <c r="AG242" s="1165"/>
      <c r="AH242" s="1165"/>
      <c r="AI242" s="1165"/>
      <c r="AJ242" s="1165"/>
      <c r="AK242" s="1165"/>
      <c r="AL242" s="1165"/>
      <c r="AM242" s="1165"/>
      <c r="AN242" s="1165"/>
      <c r="AO242" s="1165"/>
      <c r="AP242" s="1165"/>
      <c r="AQ242" s="1165"/>
      <c r="AR242" s="1165"/>
      <c r="AS242" s="1165"/>
      <c r="AT242" s="1165"/>
      <c r="AU242" s="1165"/>
      <c r="AV242" s="1165"/>
      <c r="AW242" s="1165"/>
      <c r="AX242" s="1165"/>
      <c r="AY242" s="1165"/>
      <c r="AZ242" s="1165"/>
      <c r="BA242" s="1165"/>
      <c r="BB242" s="1165"/>
      <c r="BC242" s="1165"/>
      <c r="BD242" s="1165"/>
      <c r="BE242" s="1165"/>
      <c r="BF242" s="1165"/>
      <c r="BG242" s="1165"/>
      <c r="BH242" s="1165"/>
      <c r="BI242" s="1165"/>
      <c r="BJ242" s="1165"/>
      <c r="BK242" s="1165"/>
      <c r="BL242" s="1165"/>
      <c r="BM242" s="1165"/>
      <c r="BN242" s="1165"/>
      <c r="BO242" s="1165"/>
      <c r="BP242" s="1165"/>
      <c r="BQ242" s="1165"/>
      <c r="BR242" s="1165"/>
      <c r="BS242" s="1165"/>
      <c r="BT242" s="1165"/>
      <c r="BU242" s="1165"/>
      <c r="BV242" s="1165"/>
      <c r="BW242" s="1165"/>
      <c r="BX242" s="1165"/>
      <c r="BY242" s="1165"/>
      <c r="BZ242" s="1165"/>
      <c r="CA242" s="1165"/>
      <c r="CB242" s="1165"/>
      <c r="CC242" s="1165"/>
      <c r="CD242" s="1165"/>
      <c r="CE242" s="1165"/>
      <c r="CF242" s="1165"/>
      <c r="CG242" s="1165"/>
      <c r="CH242" s="1165"/>
      <c r="CI242" s="1165"/>
      <c r="CJ242" s="1165"/>
      <c r="CK242" s="1165"/>
      <c r="CL242" s="1165"/>
      <c r="CM242" s="1165"/>
      <c r="CN242" s="1165"/>
      <c r="CO242" s="1165"/>
      <c r="CP242" s="1165"/>
      <c r="CQ242" s="1165"/>
      <c r="CR242" s="1165"/>
      <c r="CS242" s="1165"/>
      <c r="CT242" s="1165"/>
      <c r="CU242" s="1165"/>
      <c r="CV242" s="1165"/>
      <c r="CW242" s="1165"/>
      <c r="CX242" s="1106"/>
      <c r="CY242" s="1106"/>
      <c r="CZ242" s="1106"/>
      <c r="DA242" s="1107"/>
      <c r="DB242" s="1104"/>
    </row>
    <row r="243" spans="2:106" ht="11.25" customHeight="1">
      <c r="B243" s="1105"/>
      <c r="C243" s="1165"/>
      <c r="D243" s="1165"/>
      <c r="E243" s="1165"/>
      <c r="F243" s="1165"/>
      <c r="G243" s="1165"/>
      <c r="H243" s="1165"/>
      <c r="I243" s="1165"/>
      <c r="J243" s="1165"/>
      <c r="K243" s="1165"/>
      <c r="L243" s="1165"/>
      <c r="M243" s="1165"/>
      <c r="N243" s="1165"/>
      <c r="O243" s="1165"/>
      <c r="P243" s="1165"/>
      <c r="Q243" s="1165"/>
      <c r="R243" s="1165"/>
      <c r="S243" s="1165"/>
      <c r="T243" s="1165"/>
      <c r="U243" s="1165"/>
      <c r="V243" s="1165"/>
      <c r="W243" s="1165"/>
      <c r="X243" s="1165"/>
      <c r="Y243" s="1165"/>
      <c r="Z243" s="1165"/>
      <c r="AA243" s="1165"/>
      <c r="AB243" s="1165"/>
      <c r="AC243" s="1165"/>
      <c r="AD243" s="1165"/>
      <c r="AE243" s="1165"/>
      <c r="AF243" s="1165"/>
      <c r="AG243" s="1165"/>
      <c r="AH243" s="1165"/>
      <c r="AI243" s="1165"/>
      <c r="AJ243" s="1165"/>
      <c r="AK243" s="1165"/>
      <c r="AL243" s="1165"/>
      <c r="AM243" s="1165"/>
      <c r="AN243" s="1165"/>
      <c r="AO243" s="1165"/>
      <c r="AP243" s="1165"/>
      <c r="AQ243" s="1165"/>
      <c r="AR243" s="1165"/>
      <c r="AS243" s="1165"/>
      <c r="AT243" s="1165"/>
      <c r="AU243" s="1165"/>
      <c r="AV243" s="1165"/>
      <c r="AW243" s="1165"/>
      <c r="AX243" s="1165"/>
      <c r="AY243" s="1165"/>
      <c r="AZ243" s="1165"/>
      <c r="BA243" s="1165"/>
      <c r="BB243" s="1165"/>
      <c r="BC243" s="1165"/>
      <c r="BD243" s="1165"/>
      <c r="BE243" s="1165"/>
      <c r="BF243" s="1165"/>
      <c r="BG243" s="1165"/>
      <c r="BH243" s="1165"/>
      <c r="BI243" s="1165"/>
      <c r="BJ243" s="1165"/>
      <c r="BK243" s="1165"/>
      <c r="BL243" s="1165"/>
      <c r="BM243" s="1165"/>
      <c r="BN243" s="1165"/>
      <c r="BO243" s="1165"/>
      <c r="BP243" s="1165"/>
      <c r="BQ243" s="1165"/>
      <c r="BR243" s="1165"/>
      <c r="BS243" s="1165"/>
      <c r="BT243" s="1165"/>
      <c r="BU243" s="1165"/>
      <c r="BV243" s="1165"/>
      <c r="BW243" s="1165"/>
      <c r="BX243" s="1165"/>
      <c r="BY243" s="1165"/>
      <c r="BZ243" s="1165"/>
      <c r="CA243" s="1165"/>
      <c r="CB243" s="1165"/>
      <c r="CC243" s="1165"/>
      <c r="CD243" s="1165"/>
      <c r="CE243" s="1165"/>
      <c r="CF243" s="1165"/>
      <c r="CG243" s="1165"/>
      <c r="CH243" s="1165"/>
      <c r="CI243" s="1165"/>
      <c r="CJ243" s="1165"/>
      <c r="CK243" s="1165"/>
      <c r="CL243" s="1165"/>
      <c r="CM243" s="1165"/>
      <c r="CN243" s="1165"/>
      <c r="CO243" s="1165"/>
      <c r="CP243" s="1165"/>
      <c r="CQ243" s="1165"/>
      <c r="CR243" s="1165"/>
      <c r="CS243" s="1165"/>
      <c r="CT243" s="1165"/>
      <c r="CU243" s="1165"/>
      <c r="CV243" s="1165"/>
      <c r="CW243" s="1165"/>
      <c r="CX243" s="1106"/>
      <c r="CY243" s="1106"/>
      <c r="CZ243" s="1106"/>
      <c r="DA243" s="1107"/>
      <c r="DB243" s="1104"/>
    </row>
    <row r="244" spans="2:106" ht="11.25" customHeight="1">
      <c r="B244" s="1105"/>
      <c r="C244" s="1165"/>
      <c r="D244" s="1165"/>
      <c r="E244" s="1165"/>
      <c r="F244" s="1165"/>
      <c r="G244" s="1165"/>
      <c r="H244" s="1165"/>
      <c r="I244" s="1165"/>
      <c r="J244" s="1165"/>
      <c r="K244" s="1165"/>
      <c r="L244" s="1165"/>
      <c r="M244" s="1165"/>
      <c r="N244" s="1165"/>
      <c r="O244" s="1165"/>
      <c r="P244" s="1165"/>
      <c r="Q244" s="1165"/>
      <c r="R244" s="1165"/>
      <c r="S244" s="1165"/>
      <c r="T244" s="1165"/>
      <c r="U244" s="1165"/>
      <c r="V244" s="1165"/>
      <c r="W244" s="1165"/>
      <c r="X244" s="1165"/>
      <c r="Y244" s="1165"/>
      <c r="Z244" s="1165"/>
      <c r="AA244" s="1165"/>
      <c r="AB244" s="1165"/>
      <c r="AC244" s="1165"/>
      <c r="AD244" s="1165"/>
      <c r="AE244" s="1165"/>
      <c r="AF244" s="1165"/>
      <c r="AG244" s="1165"/>
      <c r="AH244" s="1165"/>
      <c r="AI244" s="1165"/>
      <c r="AJ244" s="1165"/>
      <c r="AK244" s="1165"/>
      <c r="AL244" s="1165"/>
      <c r="AM244" s="1165"/>
      <c r="AN244" s="1165"/>
      <c r="AO244" s="1165"/>
      <c r="AP244" s="1165"/>
      <c r="AQ244" s="1165"/>
      <c r="AR244" s="1165"/>
      <c r="AS244" s="1165"/>
      <c r="AT244" s="1165"/>
      <c r="AU244" s="1165"/>
      <c r="AV244" s="1165"/>
      <c r="AW244" s="1165"/>
      <c r="AX244" s="1165"/>
      <c r="AY244" s="1165"/>
      <c r="AZ244" s="1165"/>
      <c r="BA244" s="1165"/>
      <c r="BB244" s="1165"/>
      <c r="BC244" s="1165"/>
      <c r="BD244" s="1165"/>
      <c r="BE244" s="1165"/>
      <c r="BF244" s="1165"/>
      <c r="BG244" s="1165"/>
      <c r="BH244" s="1165"/>
      <c r="BI244" s="1165"/>
      <c r="BJ244" s="1165"/>
      <c r="BK244" s="1165"/>
      <c r="BL244" s="1165"/>
      <c r="BM244" s="1165"/>
      <c r="BN244" s="1165"/>
      <c r="BO244" s="1165"/>
      <c r="BP244" s="1165"/>
      <c r="BQ244" s="1165"/>
      <c r="BR244" s="1165"/>
      <c r="BS244" s="1165"/>
      <c r="BT244" s="1165"/>
      <c r="BU244" s="1165"/>
      <c r="BV244" s="1165"/>
      <c r="BW244" s="1165"/>
      <c r="BX244" s="1165"/>
      <c r="BY244" s="1165"/>
      <c r="BZ244" s="1165"/>
      <c r="CA244" s="1165"/>
      <c r="CB244" s="1165"/>
      <c r="CC244" s="1165"/>
      <c r="CD244" s="1165"/>
      <c r="CE244" s="1165"/>
      <c r="CF244" s="1165"/>
      <c r="CG244" s="1165"/>
      <c r="CH244" s="1165"/>
      <c r="CI244" s="1165"/>
      <c r="CJ244" s="1165"/>
      <c r="CK244" s="1165"/>
      <c r="CL244" s="1165"/>
      <c r="CM244" s="1165"/>
      <c r="CN244" s="1165"/>
      <c r="CO244" s="1165"/>
      <c r="CP244" s="1165"/>
      <c r="CQ244" s="1165"/>
      <c r="CR244" s="1165"/>
      <c r="CS244" s="1165"/>
      <c r="CT244" s="1165"/>
      <c r="CU244" s="1165"/>
      <c r="CV244" s="1165"/>
      <c r="CW244" s="1165"/>
      <c r="CX244" s="1106"/>
      <c r="CY244" s="1106"/>
      <c r="CZ244" s="1106"/>
      <c r="DA244" s="1107"/>
      <c r="DB244" s="1104"/>
    </row>
    <row r="245" spans="2:106" ht="11.25" customHeight="1">
      <c r="B245" s="1105"/>
      <c r="C245" s="1165"/>
      <c r="D245" s="1165"/>
      <c r="E245" s="1165"/>
      <c r="F245" s="1165"/>
      <c r="G245" s="1165"/>
      <c r="H245" s="1165"/>
      <c r="I245" s="1165"/>
      <c r="J245" s="1165"/>
      <c r="K245" s="1165"/>
      <c r="L245" s="1165"/>
      <c r="M245" s="1165"/>
      <c r="N245" s="1165"/>
      <c r="O245" s="1165"/>
      <c r="P245" s="1165"/>
      <c r="Q245" s="1165"/>
      <c r="R245" s="1165"/>
      <c r="S245" s="1165"/>
      <c r="T245" s="1165"/>
      <c r="U245" s="1165"/>
      <c r="V245" s="1165"/>
      <c r="W245" s="1165"/>
      <c r="X245" s="1165"/>
      <c r="Y245" s="1165"/>
      <c r="Z245" s="1165"/>
      <c r="AA245" s="1165"/>
      <c r="AB245" s="1165"/>
      <c r="AC245" s="1165"/>
      <c r="AD245" s="1165"/>
      <c r="AE245" s="1165"/>
      <c r="AF245" s="1165"/>
      <c r="AG245" s="1165"/>
      <c r="AH245" s="1165"/>
      <c r="AI245" s="1165"/>
      <c r="AJ245" s="1165"/>
      <c r="AK245" s="1165"/>
      <c r="AL245" s="1165"/>
      <c r="AM245" s="1165"/>
      <c r="AN245" s="1165"/>
      <c r="AO245" s="1165"/>
      <c r="AP245" s="1165"/>
      <c r="AQ245" s="1165"/>
      <c r="AR245" s="1165"/>
      <c r="AS245" s="1165"/>
      <c r="AT245" s="1165"/>
      <c r="AU245" s="1165"/>
      <c r="AV245" s="1165"/>
      <c r="AW245" s="1165"/>
      <c r="AX245" s="1165"/>
      <c r="AY245" s="1165"/>
      <c r="AZ245" s="1165"/>
      <c r="BA245" s="1165"/>
      <c r="BB245" s="1165"/>
      <c r="BC245" s="1165"/>
      <c r="BD245" s="1165"/>
      <c r="BE245" s="1165"/>
      <c r="BF245" s="1165"/>
      <c r="BG245" s="1165"/>
      <c r="BH245" s="1165"/>
      <c r="BI245" s="1165"/>
      <c r="BJ245" s="1165"/>
      <c r="BK245" s="1165"/>
      <c r="BL245" s="1165"/>
      <c r="BM245" s="1165"/>
      <c r="BN245" s="1165"/>
      <c r="BO245" s="1165"/>
      <c r="BP245" s="1165"/>
      <c r="BQ245" s="1165"/>
      <c r="BR245" s="1165"/>
      <c r="BS245" s="1165"/>
      <c r="BT245" s="1165"/>
      <c r="BU245" s="1165"/>
      <c r="BV245" s="1165"/>
      <c r="BW245" s="1165"/>
      <c r="BX245" s="1165"/>
      <c r="BY245" s="1165"/>
      <c r="BZ245" s="1165"/>
      <c r="CA245" s="1165"/>
      <c r="CB245" s="1165"/>
      <c r="CC245" s="1165"/>
      <c r="CD245" s="1165"/>
      <c r="CE245" s="1165"/>
      <c r="CF245" s="1165"/>
      <c r="CG245" s="1165"/>
      <c r="CH245" s="1165"/>
      <c r="CI245" s="1165"/>
      <c r="CJ245" s="1165"/>
      <c r="CK245" s="1165"/>
      <c r="CL245" s="1165"/>
      <c r="CM245" s="1165"/>
      <c r="CN245" s="1165"/>
      <c r="CO245" s="1165"/>
      <c r="CP245" s="1165"/>
      <c r="CQ245" s="1165"/>
      <c r="CR245" s="1165"/>
      <c r="CS245" s="1165"/>
      <c r="CT245" s="1165"/>
      <c r="CU245" s="1165"/>
      <c r="CV245" s="1165"/>
      <c r="CW245" s="1165"/>
      <c r="CX245" s="1106"/>
      <c r="CY245" s="1106"/>
      <c r="CZ245" s="1106"/>
      <c r="DA245" s="1107"/>
      <c r="DB245" s="1104"/>
    </row>
    <row r="246" spans="2:106" ht="11.25" customHeight="1">
      <c r="B246" s="1105"/>
      <c r="C246" s="1165"/>
      <c r="D246" s="1165"/>
      <c r="E246" s="1165"/>
      <c r="F246" s="1165"/>
      <c r="G246" s="1165"/>
      <c r="H246" s="1165"/>
      <c r="I246" s="1165"/>
      <c r="J246" s="1165"/>
      <c r="K246" s="1165"/>
      <c r="L246" s="1165"/>
      <c r="M246" s="1165"/>
      <c r="N246" s="1165"/>
      <c r="O246" s="1165"/>
      <c r="P246" s="1165"/>
      <c r="Q246" s="1165"/>
      <c r="R246" s="1165"/>
      <c r="S246" s="1165"/>
      <c r="T246" s="1165"/>
      <c r="U246" s="1165"/>
      <c r="V246" s="1165"/>
      <c r="W246" s="1165"/>
      <c r="X246" s="1165"/>
      <c r="Y246" s="1165"/>
      <c r="Z246" s="1165"/>
      <c r="AA246" s="1165"/>
      <c r="AB246" s="1165"/>
      <c r="AC246" s="1165"/>
      <c r="AD246" s="1165"/>
      <c r="AE246" s="1165"/>
      <c r="AF246" s="1165"/>
      <c r="AG246" s="1165"/>
      <c r="AH246" s="1165"/>
      <c r="AI246" s="1165"/>
      <c r="AJ246" s="1165"/>
      <c r="AK246" s="1165"/>
      <c r="AL246" s="1165"/>
      <c r="AM246" s="1165"/>
      <c r="AN246" s="1165"/>
      <c r="AO246" s="1165"/>
      <c r="AP246" s="1165"/>
      <c r="AQ246" s="1165"/>
      <c r="AR246" s="1165"/>
      <c r="AS246" s="1165"/>
      <c r="AT246" s="1165"/>
      <c r="AU246" s="1165"/>
      <c r="AV246" s="1165"/>
      <c r="AW246" s="1165"/>
      <c r="AX246" s="1165"/>
      <c r="AY246" s="1165"/>
      <c r="AZ246" s="1165"/>
      <c r="BA246" s="1165"/>
      <c r="BB246" s="1165"/>
      <c r="BC246" s="1165"/>
      <c r="BD246" s="1165"/>
      <c r="BE246" s="1165"/>
      <c r="BF246" s="1165"/>
      <c r="BG246" s="1165"/>
      <c r="BH246" s="1165"/>
      <c r="BI246" s="1165"/>
      <c r="BJ246" s="1165"/>
      <c r="BK246" s="1165"/>
      <c r="BL246" s="1165"/>
      <c r="BM246" s="1165"/>
      <c r="BN246" s="1165"/>
      <c r="BO246" s="1165"/>
      <c r="BP246" s="1165"/>
      <c r="BQ246" s="1165"/>
      <c r="BR246" s="1165"/>
      <c r="BS246" s="1165"/>
      <c r="BT246" s="1165"/>
      <c r="BU246" s="1165"/>
      <c r="BV246" s="1165"/>
      <c r="BW246" s="1165"/>
      <c r="BX246" s="1165"/>
      <c r="BY246" s="1165"/>
      <c r="BZ246" s="1165"/>
      <c r="CA246" s="1165"/>
      <c r="CB246" s="1165"/>
      <c r="CC246" s="1165"/>
      <c r="CD246" s="1165"/>
      <c r="CE246" s="1165"/>
      <c r="CF246" s="1165"/>
      <c r="CG246" s="1165"/>
      <c r="CH246" s="1165"/>
      <c r="CI246" s="1165"/>
      <c r="CJ246" s="1165"/>
      <c r="CK246" s="1165"/>
      <c r="CL246" s="1165"/>
      <c r="CM246" s="1165"/>
      <c r="CN246" s="1165"/>
      <c r="CO246" s="1165"/>
      <c r="CP246" s="1165"/>
      <c r="CQ246" s="1165"/>
      <c r="CR246" s="1165"/>
      <c r="CS246" s="1165"/>
      <c r="CT246" s="1165"/>
      <c r="CU246" s="1165"/>
      <c r="CV246" s="1165"/>
      <c r="CW246" s="1165"/>
      <c r="CX246" s="1106"/>
      <c r="CY246" s="1106"/>
      <c r="CZ246" s="1106"/>
      <c r="DA246" s="1107"/>
      <c r="DB246" s="1104"/>
    </row>
    <row r="247" spans="2:106" ht="11.25" customHeight="1">
      <c r="B247" s="1105"/>
      <c r="C247" s="1165"/>
      <c r="D247" s="1165"/>
      <c r="E247" s="1165"/>
      <c r="F247" s="1165"/>
      <c r="G247" s="1165"/>
      <c r="H247" s="1165"/>
      <c r="I247" s="1165"/>
      <c r="J247" s="1165"/>
      <c r="K247" s="1165"/>
      <c r="L247" s="1165"/>
      <c r="M247" s="1165"/>
      <c r="N247" s="1165"/>
      <c r="O247" s="1165"/>
      <c r="P247" s="1165"/>
      <c r="Q247" s="1165"/>
      <c r="R247" s="1165"/>
      <c r="S247" s="1165"/>
      <c r="T247" s="1165"/>
      <c r="U247" s="1165"/>
      <c r="V247" s="1165"/>
      <c r="W247" s="1165"/>
      <c r="X247" s="1165"/>
      <c r="Y247" s="1165"/>
      <c r="Z247" s="1165"/>
      <c r="AA247" s="1165"/>
      <c r="AB247" s="1165"/>
      <c r="AC247" s="1165"/>
      <c r="AD247" s="1165"/>
      <c r="AE247" s="1165"/>
      <c r="AF247" s="1165"/>
      <c r="AG247" s="1165"/>
      <c r="AH247" s="1165"/>
      <c r="AI247" s="1165"/>
      <c r="AJ247" s="1165"/>
      <c r="AK247" s="1165"/>
      <c r="AL247" s="1165"/>
      <c r="AM247" s="1165"/>
      <c r="AN247" s="1165"/>
      <c r="AO247" s="1165"/>
      <c r="AP247" s="1165"/>
      <c r="AQ247" s="1165"/>
      <c r="AR247" s="1165"/>
      <c r="AS247" s="1165"/>
      <c r="AT247" s="1165"/>
      <c r="AU247" s="1165"/>
      <c r="AV247" s="1165"/>
      <c r="AW247" s="1165"/>
      <c r="AX247" s="1165"/>
      <c r="AY247" s="1165"/>
      <c r="AZ247" s="1165"/>
      <c r="BA247" s="1165"/>
      <c r="BB247" s="1165"/>
      <c r="BC247" s="1165"/>
      <c r="BD247" s="1165"/>
      <c r="BE247" s="1165"/>
      <c r="BF247" s="1165"/>
      <c r="BG247" s="1165"/>
      <c r="BH247" s="1165"/>
      <c r="BI247" s="1165"/>
      <c r="BJ247" s="1165"/>
      <c r="BK247" s="1165"/>
      <c r="BL247" s="1165"/>
      <c r="BM247" s="1165"/>
      <c r="BN247" s="1165"/>
      <c r="BO247" s="1165"/>
      <c r="BP247" s="1165"/>
      <c r="BQ247" s="1165"/>
      <c r="BR247" s="1165"/>
      <c r="BS247" s="1165"/>
      <c r="BT247" s="1165"/>
      <c r="BU247" s="1165"/>
      <c r="BV247" s="1165"/>
      <c r="BW247" s="1165"/>
      <c r="BX247" s="1165"/>
      <c r="BY247" s="1165"/>
      <c r="BZ247" s="1165"/>
      <c r="CA247" s="1165"/>
      <c r="CB247" s="1165"/>
      <c r="CC247" s="1165"/>
      <c r="CD247" s="1165"/>
      <c r="CE247" s="1165"/>
      <c r="CF247" s="1165"/>
      <c r="CG247" s="1165"/>
      <c r="CH247" s="1165"/>
      <c r="CI247" s="1165"/>
      <c r="CJ247" s="1165"/>
      <c r="CK247" s="1165"/>
      <c r="CL247" s="1165"/>
      <c r="CM247" s="1165"/>
      <c r="CN247" s="1165"/>
      <c r="CO247" s="1165"/>
      <c r="CP247" s="1165"/>
      <c r="CQ247" s="1165"/>
      <c r="CR247" s="1165"/>
      <c r="CS247" s="1165"/>
      <c r="CT247" s="1165"/>
      <c r="CU247" s="1165"/>
      <c r="CV247" s="1165"/>
      <c r="CW247" s="1165"/>
      <c r="CX247" s="1106"/>
      <c r="CY247" s="1106"/>
      <c r="CZ247" s="1106"/>
      <c r="DA247" s="1107"/>
      <c r="DB247" s="1104"/>
    </row>
    <row r="248" spans="2:106" ht="11.25" customHeight="1">
      <c r="B248" s="1105"/>
      <c r="C248" s="1165"/>
      <c r="D248" s="1165"/>
      <c r="E248" s="1165"/>
      <c r="F248" s="1165"/>
      <c r="G248" s="1165"/>
      <c r="H248" s="1165"/>
      <c r="I248" s="1165"/>
      <c r="J248" s="1165"/>
      <c r="K248" s="1165"/>
      <c r="L248" s="1165"/>
      <c r="M248" s="1165"/>
      <c r="N248" s="1165"/>
      <c r="O248" s="1165"/>
      <c r="P248" s="1165"/>
      <c r="Q248" s="1165"/>
      <c r="R248" s="1165"/>
      <c r="S248" s="1165"/>
      <c r="T248" s="1165"/>
      <c r="U248" s="1165"/>
      <c r="V248" s="1165"/>
      <c r="W248" s="1165"/>
      <c r="X248" s="1165"/>
      <c r="Y248" s="1165"/>
      <c r="Z248" s="1165"/>
      <c r="AA248" s="1165"/>
      <c r="AB248" s="1165"/>
      <c r="AC248" s="1165"/>
      <c r="AD248" s="1165"/>
      <c r="AE248" s="1165"/>
      <c r="AF248" s="1165"/>
      <c r="AG248" s="1165"/>
      <c r="AH248" s="1165"/>
      <c r="AI248" s="1165"/>
      <c r="AJ248" s="1165"/>
      <c r="AK248" s="1165"/>
      <c r="AL248" s="1165"/>
      <c r="AM248" s="1165"/>
      <c r="AN248" s="1165"/>
      <c r="AO248" s="1165"/>
      <c r="AP248" s="1165"/>
      <c r="AQ248" s="1165"/>
      <c r="AR248" s="1165"/>
      <c r="AS248" s="1165"/>
      <c r="AT248" s="1165"/>
      <c r="AU248" s="1165"/>
      <c r="AV248" s="1165"/>
      <c r="AW248" s="1165"/>
      <c r="AX248" s="1165"/>
      <c r="AY248" s="1165"/>
      <c r="AZ248" s="1165"/>
      <c r="BA248" s="1165"/>
      <c r="BB248" s="1165"/>
      <c r="BC248" s="1165"/>
      <c r="BD248" s="1165"/>
      <c r="BE248" s="1165"/>
      <c r="BF248" s="1165"/>
      <c r="BG248" s="1165"/>
      <c r="BH248" s="1165"/>
      <c r="BI248" s="1165"/>
      <c r="BJ248" s="1165"/>
      <c r="BK248" s="1165"/>
      <c r="BL248" s="1165"/>
      <c r="BM248" s="1165"/>
      <c r="BN248" s="1165"/>
      <c r="BO248" s="1165"/>
      <c r="BP248" s="1165"/>
      <c r="BQ248" s="1165"/>
      <c r="BR248" s="1165"/>
      <c r="BS248" s="1165"/>
      <c r="BT248" s="1165"/>
      <c r="BU248" s="1165"/>
      <c r="BV248" s="1165"/>
      <c r="BW248" s="1165"/>
      <c r="BX248" s="1165"/>
      <c r="BY248" s="1165"/>
      <c r="BZ248" s="1165"/>
      <c r="CA248" s="1165"/>
      <c r="CB248" s="1165"/>
      <c r="CC248" s="1165"/>
      <c r="CD248" s="1165"/>
      <c r="CE248" s="1165"/>
      <c r="CF248" s="1165"/>
      <c r="CG248" s="1165"/>
      <c r="CH248" s="1165"/>
      <c r="CI248" s="1165"/>
      <c r="CJ248" s="1165"/>
      <c r="CK248" s="1165"/>
      <c r="CL248" s="1165"/>
      <c r="CM248" s="1165"/>
      <c r="CN248" s="1165"/>
      <c r="CO248" s="1165"/>
      <c r="CP248" s="1165"/>
      <c r="CQ248" s="1165"/>
      <c r="CR248" s="1165"/>
      <c r="CS248" s="1165"/>
      <c r="CT248" s="1165"/>
      <c r="CU248" s="1165"/>
      <c r="CV248" s="1165"/>
      <c r="CW248" s="1165"/>
      <c r="CX248" s="1106"/>
      <c r="CY248" s="1106"/>
      <c r="CZ248" s="1106"/>
      <c r="DA248" s="1107"/>
      <c r="DB248" s="1104"/>
    </row>
    <row r="249" spans="2:106" ht="11.25" customHeight="1">
      <c r="B249" s="1105"/>
      <c r="C249" s="1165"/>
      <c r="D249" s="1165"/>
      <c r="E249" s="1165"/>
      <c r="F249" s="1165"/>
      <c r="G249" s="1165"/>
      <c r="H249" s="1165"/>
      <c r="I249" s="1165"/>
      <c r="J249" s="1165"/>
      <c r="K249" s="1165"/>
      <c r="L249" s="1165"/>
      <c r="M249" s="1165"/>
      <c r="N249" s="1165"/>
      <c r="O249" s="1165"/>
      <c r="P249" s="1165"/>
      <c r="Q249" s="1165"/>
      <c r="R249" s="1165"/>
      <c r="S249" s="1165"/>
      <c r="T249" s="1165"/>
      <c r="U249" s="1165"/>
      <c r="V249" s="1165"/>
      <c r="W249" s="1165"/>
      <c r="X249" s="1165"/>
      <c r="Y249" s="1165"/>
      <c r="Z249" s="1165"/>
      <c r="AA249" s="1165"/>
      <c r="AB249" s="1165"/>
      <c r="AC249" s="1165"/>
      <c r="AD249" s="1165"/>
      <c r="AE249" s="1165"/>
      <c r="AF249" s="1165"/>
      <c r="AG249" s="1165"/>
      <c r="AH249" s="1165"/>
      <c r="AI249" s="1165"/>
      <c r="AJ249" s="1165"/>
      <c r="AK249" s="1165"/>
      <c r="AL249" s="1165"/>
      <c r="AM249" s="1165"/>
      <c r="AN249" s="1165"/>
      <c r="AO249" s="1165"/>
      <c r="AP249" s="1165"/>
      <c r="AQ249" s="1165"/>
      <c r="AR249" s="1165"/>
      <c r="AS249" s="1165"/>
      <c r="AT249" s="1165"/>
      <c r="AU249" s="1165"/>
      <c r="AV249" s="1165"/>
      <c r="AW249" s="1165"/>
      <c r="AX249" s="1165"/>
      <c r="AY249" s="1165"/>
      <c r="AZ249" s="1165"/>
      <c r="BA249" s="1165"/>
      <c r="BB249" s="1165"/>
      <c r="BC249" s="1165"/>
      <c r="BD249" s="1165"/>
      <c r="BE249" s="1165"/>
      <c r="BF249" s="1165"/>
      <c r="BG249" s="1165"/>
      <c r="BH249" s="1165"/>
      <c r="BI249" s="1165"/>
      <c r="BJ249" s="1165"/>
      <c r="BK249" s="1165"/>
      <c r="BL249" s="1165"/>
      <c r="BM249" s="1165"/>
      <c r="BN249" s="1165"/>
      <c r="BO249" s="1165"/>
      <c r="BP249" s="1165"/>
      <c r="BQ249" s="1165"/>
      <c r="BR249" s="1165"/>
      <c r="BS249" s="1165"/>
      <c r="BT249" s="1165"/>
      <c r="BU249" s="1165"/>
      <c r="BV249" s="1165"/>
      <c r="BW249" s="1165"/>
      <c r="BX249" s="1165"/>
      <c r="BY249" s="1165"/>
      <c r="BZ249" s="1165"/>
      <c r="CA249" s="1165"/>
      <c r="CB249" s="1165"/>
      <c r="CC249" s="1165"/>
      <c r="CD249" s="1165"/>
      <c r="CE249" s="1165"/>
      <c r="CF249" s="1165"/>
      <c r="CG249" s="1165"/>
      <c r="CH249" s="1165"/>
      <c r="CI249" s="1165"/>
      <c r="CJ249" s="1165"/>
      <c r="CK249" s="1165"/>
      <c r="CL249" s="1165"/>
      <c r="CM249" s="1165"/>
      <c r="CN249" s="1165"/>
      <c r="CO249" s="1165"/>
      <c r="CP249" s="1165"/>
      <c r="CQ249" s="1165"/>
      <c r="CR249" s="1165"/>
      <c r="CS249" s="1165"/>
      <c r="CT249" s="1165"/>
      <c r="CU249" s="1165"/>
      <c r="CV249" s="1165"/>
      <c r="CW249" s="1165"/>
      <c r="CX249" s="1106"/>
      <c r="CY249" s="1106"/>
      <c r="CZ249" s="1106"/>
      <c r="DA249" s="1107"/>
      <c r="DB249" s="1104"/>
    </row>
    <row r="250" spans="2:106" ht="11.25" customHeight="1">
      <c r="B250" s="1105"/>
      <c r="C250" s="1165"/>
      <c r="D250" s="1165"/>
      <c r="E250" s="1165"/>
      <c r="F250" s="1165"/>
      <c r="G250" s="1165"/>
      <c r="H250" s="1165"/>
      <c r="I250" s="1165"/>
      <c r="J250" s="1165"/>
      <c r="K250" s="1165"/>
      <c r="L250" s="1165"/>
      <c r="M250" s="1165"/>
      <c r="N250" s="1165"/>
      <c r="O250" s="1165"/>
      <c r="P250" s="1165"/>
      <c r="Q250" s="1165"/>
      <c r="R250" s="1165"/>
      <c r="S250" s="1165"/>
      <c r="T250" s="1165"/>
      <c r="U250" s="1165"/>
      <c r="V250" s="1165"/>
      <c r="W250" s="1165"/>
      <c r="X250" s="1165"/>
      <c r="Y250" s="1165"/>
      <c r="Z250" s="1165"/>
      <c r="AA250" s="1165"/>
      <c r="AB250" s="1165"/>
      <c r="AC250" s="1165"/>
      <c r="AD250" s="1165"/>
      <c r="AE250" s="1165"/>
      <c r="AF250" s="1165"/>
      <c r="AG250" s="1165"/>
      <c r="AH250" s="1165"/>
      <c r="AI250" s="1165"/>
      <c r="AJ250" s="1165"/>
      <c r="AK250" s="1165"/>
      <c r="AL250" s="1165"/>
      <c r="AM250" s="1165"/>
      <c r="AN250" s="1165"/>
      <c r="AO250" s="1165"/>
      <c r="AP250" s="1165"/>
      <c r="AQ250" s="1165"/>
      <c r="AR250" s="1165"/>
      <c r="AS250" s="1165"/>
      <c r="AT250" s="1165"/>
      <c r="AU250" s="1165"/>
      <c r="AV250" s="1165"/>
      <c r="AW250" s="1165"/>
      <c r="AX250" s="1165"/>
      <c r="AY250" s="1165"/>
      <c r="AZ250" s="1165"/>
      <c r="BA250" s="1165"/>
      <c r="BB250" s="1165"/>
      <c r="BC250" s="1165"/>
      <c r="BD250" s="1165"/>
      <c r="BE250" s="1165"/>
      <c r="BF250" s="1165"/>
      <c r="BG250" s="1165"/>
      <c r="BH250" s="1165"/>
      <c r="BI250" s="1165"/>
      <c r="BJ250" s="1165"/>
      <c r="BK250" s="1165"/>
      <c r="BL250" s="1165"/>
      <c r="BM250" s="1165"/>
      <c r="BN250" s="1165"/>
      <c r="BO250" s="1165"/>
      <c r="BP250" s="1165"/>
      <c r="BQ250" s="1165"/>
      <c r="BR250" s="1165"/>
      <c r="BS250" s="1165"/>
      <c r="BT250" s="1165"/>
      <c r="BU250" s="1165"/>
      <c r="BV250" s="1165"/>
      <c r="BW250" s="1165"/>
      <c r="BX250" s="1165"/>
      <c r="BY250" s="1165"/>
      <c r="BZ250" s="1165"/>
      <c r="CA250" s="1165"/>
      <c r="CB250" s="1165"/>
      <c r="CC250" s="1165"/>
      <c r="CD250" s="1165"/>
      <c r="CE250" s="1165"/>
      <c r="CF250" s="1165"/>
      <c r="CG250" s="1165"/>
      <c r="CH250" s="1165"/>
      <c r="CI250" s="1165"/>
      <c r="CJ250" s="1165"/>
      <c r="CK250" s="1165"/>
      <c r="CL250" s="1165"/>
      <c r="CM250" s="1165"/>
      <c r="CN250" s="1165"/>
      <c r="CO250" s="1165"/>
      <c r="CP250" s="1165"/>
      <c r="CQ250" s="1165"/>
      <c r="CR250" s="1165"/>
      <c r="CS250" s="1165"/>
      <c r="CT250" s="1165"/>
      <c r="CU250" s="1165"/>
      <c r="CV250" s="1165"/>
      <c r="CW250" s="1165"/>
      <c r="CX250" s="1106"/>
      <c r="CY250" s="1106"/>
      <c r="CZ250" s="1106"/>
      <c r="DA250" s="1107"/>
      <c r="DB250" s="1104"/>
    </row>
    <row r="251" spans="2:106" ht="11.25" customHeight="1">
      <c r="B251" s="1105"/>
      <c r="C251" s="1165"/>
      <c r="D251" s="1165"/>
      <c r="E251" s="1165"/>
      <c r="F251" s="1165"/>
      <c r="G251" s="1165"/>
      <c r="H251" s="1165"/>
      <c r="I251" s="1165"/>
      <c r="J251" s="1165"/>
      <c r="K251" s="1165"/>
      <c r="L251" s="1165"/>
      <c r="M251" s="1165"/>
      <c r="N251" s="1165"/>
      <c r="O251" s="1165"/>
      <c r="P251" s="1165"/>
      <c r="Q251" s="1165"/>
      <c r="R251" s="1165"/>
      <c r="S251" s="1165"/>
      <c r="T251" s="1165"/>
      <c r="U251" s="1165"/>
      <c r="V251" s="1165"/>
      <c r="W251" s="1165"/>
      <c r="X251" s="1165"/>
      <c r="Y251" s="1165"/>
      <c r="Z251" s="1165"/>
      <c r="AA251" s="1165"/>
      <c r="AB251" s="1165"/>
      <c r="AC251" s="1165"/>
      <c r="AD251" s="1165"/>
      <c r="AE251" s="1165"/>
      <c r="AF251" s="1165"/>
      <c r="AG251" s="1165"/>
      <c r="AH251" s="1165"/>
      <c r="AI251" s="1165"/>
      <c r="AJ251" s="1165"/>
      <c r="AK251" s="1165"/>
      <c r="AL251" s="1165"/>
      <c r="AM251" s="1165"/>
      <c r="AN251" s="1165"/>
      <c r="AO251" s="1165"/>
      <c r="AP251" s="1165"/>
      <c r="AQ251" s="1165"/>
      <c r="AR251" s="1165"/>
      <c r="AS251" s="1165"/>
      <c r="AT251" s="1165"/>
      <c r="AU251" s="1165"/>
      <c r="AV251" s="1165"/>
      <c r="AW251" s="1165"/>
      <c r="AX251" s="1165"/>
      <c r="AY251" s="1165"/>
      <c r="AZ251" s="1165"/>
      <c r="BA251" s="1165"/>
      <c r="BB251" s="1165"/>
      <c r="BC251" s="1165"/>
      <c r="BD251" s="1165"/>
      <c r="BE251" s="1165"/>
      <c r="BF251" s="1165"/>
      <c r="BG251" s="1165"/>
      <c r="BH251" s="1165"/>
      <c r="BI251" s="1165"/>
      <c r="BJ251" s="1165"/>
      <c r="BK251" s="1165"/>
      <c r="BL251" s="1165"/>
      <c r="BM251" s="1165"/>
      <c r="BN251" s="1165"/>
      <c r="BO251" s="1165"/>
      <c r="BP251" s="1165"/>
      <c r="BQ251" s="1165"/>
      <c r="BR251" s="1165"/>
      <c r="BS251" s="1165"/>
      <c r="BT251" s="1165"/>
      <c r="BU251" s="1165"/>
      <c r="BV251" s="1165"/>
      <c r="BW251" s="1165"/>
      <c r="BX251" s="1165"/>
      <c r="BY251" s="1165"/>
      <c r="BZ251" s="1165"/>
      <c r="CA251" s="1165"/>
      <c r="CB251" s="1165"/>
      <c r="CC251" s="1165"/>
      <c r="CD251" s="1165"/>
      <c r="CE251" s="1165"/>
      <c r="CF251" s="1165"/>
      <c r="CG251" s="1165"/>
      <c r="CH251" s="1165"/>
      <c r="CI251" s="1165"/>
      <c r="CJ251" s="1165"/>
      <c r="CK251" s="1165"/>
      <c r="CL251" s="1165"/>
      <c r="CM251" s="1165"/>
      <c r="CN251" s="1165"/>
      <c r="CO251" s="1165"/>
      <c r="CP251" s="1165"/>
      <c r="CQ251" s="1165"/>
      <c r="CR251" s="1165"/>
      <c r="CS251" s="1165"/>
      <c r="CT251" s="1165"/>
      <c r="CU251" s="1165"/>
      <c r="CV251" s="1165"/>
      <c r="CW251" s="1165"/>
      <c r="CX251" s="1106"/>
      <c r="CY251" s="1106"/>
      <c r="CZ251" s="1106"/>
      <c r="DA251" s="1107"/>
      <c r="DB251" s="1104"/>
    </row>
    <row r="252" spans="2:106" ht="11.25" customHeight="1">
      <c r="B252" s="1105"/>
      <c r="C252" s="1165"/>
      <c r="D252" s="1165"/>
      <c r="E252" s="1165"/>
      <c r="F252" s="1165"/>
      <c r="G252" s="1165"/>
      <c r="H252" s="1165"/>
      <c r="I252" s="1165"/>
      <c r="J252" s="1165"/>
      <c r="K252" s="1165"/>
      <c r="L252" s="1165"/>
      <c r="M252" s="1165"/>
      <c r="N252" s="1165"/>
      <c r="O252" s="1165"/>
      <c r="P252" s="1165"/>
      <c r="Q252" s="1165"/>
      <c r="R252" s="1165"/>
      <c r="S252" s="1165"/>
      <c r="T252" s="1165"/>
      <c r="U252" s="1165"/>
      <c r="V252" s="1165"/>
      <c r="W252" s="1165"/>
      <c r="X252" s="1165"/>
      <c r="Y252" s="1165"/>
      <c r="Z252" s="1165"/>
      <c r="AA252" s="1165"/>
      <c r="AB252" s="1165"/>
      <c r="AC252" s="1165"/>
      <c r="AD252" s="1165"/>
      <c r="AE252" s="1165"/>
      <c r="AF252" s="1165"/>
      <c r="AG252" s="1165"/>
      <c r="AH252" s="1165"/>
      <c r="AI252" s="1165"/>
      <c r="AJ252" s="1165"/>
      <c r="AK252" s="1165"/>
      <c r="AL252" s="1165"/>
      <c r="AM252" s="1165"/>
      <c r="AN252" s="1165"/>
      <c r="AO252" s="1165"/>
      <c r="AP252" s="1165"/>
      <c r="AQ252" s="1165"/>
      <c r="AR252" s="1165"/>
      <c r="AS252" s="1165"/>
      <c r="AT252" s="1165"/>
      <c r="AU252" s="1165"/>
      <c r="AV252" s="1165"/>
      <c r="AW252" s="1165"/>
      <c r="AX252" s="1165"/>
      <c r="AY252" s="1165"/>
      <c r="AZ252" s="1165"/>
      <c r="BA252" s="1165"/>
      <c r="BB252" s="1165"/>
      <c r="BC252" s="1165"/>
      <c r="BD252" s="1165"/>
      <c r="BE252" s="1165"/>
      <c r="BF252" s="1165"/>
      <c r="BG252" s="1165"/>
      <c r="BH252" s="1165"/>
      <c r="BI252" s="1165"/>
      <c r="BJ252" s="1165"/>
      <c r="BK252" s="1165"/>
      <c r="BL252" s="1165"/>
      <c r="BM252" s="1165"/>
      <c r="BN252" s="1165"/>
      <c r="BO252" s="1165"/>
      <c r="BP252" s="1165"/>
      <c r="BQ252" s="1165"/>
      <c r="BR252" s="1165"/>
      <c r="BS252" s="1165"/>
      <c r="BT252" s="1165"/>
      <c r="BU252" s="1165"/>
      <c r="BV252" s="1165"/>
      <c r="BW252" s="1165"/>
      <c r="BX252" s="1165"/>
      <c r="BY252" s="1165"/>
      <c r="BZ252" s="1165"/>
      <c r="CA252" s="1165"/>
      <c r="CB252" s="1165"/>
      <c r="CC252" s="1165"/>
      <c r="CD252" s="1165"/>
      <c r="CE252" s="1165"/>
      <c r="CF252" s="1165"/>
      <c r="CG252" s="1165"/>
      <c r="CH252" s="1165"/>
      <c r="CI252" s="1165"/>
      <c r="CJ252" s="1165"/>
      <c r="CK252" s="1165"/>
      <c r="CL252" s="1165"/>
      <c r="CM252" s="1165"/>
      <c r="CN252" s="1165"/>
      <c r="CO252" s="1165"/>
      <c r="CP252" s="1165"/>
      <c r="CQ252" s="1165"/>
      <c r="CR252" s="1165"/>
      <c r="CS252" s="1165"/>
      <c r="CT252" s="1165"/>
      <c r="CU252" s="1165"/>
      <c r="CV252" s="1165"/>
      <c r="CW252" s="1165"/>
      <c r="CX252" s="1106"/>
      <c r="CY252" s="1106"/>
      <c r="CZ252" s="1106"/>
      <c r="DA252" s="1107"/>
      <c r="DB252" s="1104"/>
    </row>
    <row r="253" spans="2:106" ht="11.25" customHeight="1">
      <c r="B253" s="1105"/>
      <c r="C253" s="1165"/>
      <c r="D253" s="1165"/>
      <c r="E253" s="1165"/>
      <c r="F253" s="1165"/>
      <c r="G253" s="1165"/>
      <c r="H253" s="1165"/>
      <c r="I253" s="1165"/>
      <c r="J253" s="1165"/>
      <c r="K253" s="1165"/>
      <c r="L253" s="1165"/>
      <c r="M253" s="1165"/>
      <c r="N253" s="1165"/>
      <c r="O253" s="1165"/>
      <c r="P253" s="1165"/>
      <c r="Q253" s="1165"/>
      <c r="R253" s="1165"/>
      <c r="S253" s="1165"/>
      <c r="T253" s="1165"/>
      <c r="U253" s="1165"/>
      <c r="V253" s="1165"/>
      <c r="W253" s="1165"/>
      <c r="X253" s="1165"/>
      <c r="Y253" s="1165"/>
      <c r="Z253" s="1165"/>
      <c r="AA253" s="1165"/>
      <c r="AB253" s="1165"/>
      <c r="AC253" s="1165"/>
      <c r="AD253" s="1165"/>
      <c r="AE253" s="1165"/>
      <c r="AF253" s="1165"/>
      <c r="AG253" s="1165"/>
      <c r="AH253" s="1165"/>
      <c r="AI253" s="1165"/>
      <c r="AJ253" s="1165"/>
      <c r="AK253" s="1165"/>
      <c r="AL253" s="1165"/>
      <c r="AM253" s="1165"/>
      <c r="AN253" s="1165"/>
      <c r="AO253" s="1165"/>
      <c r="AP253" s="1165"/>
      <c r="AQ253" s="1165"/>
      <c r="AR253" s="1165"/>
      <c r="AS253" s="1165"/>
      <c r="AT253" s="1165"/>
      <c r="AU253" s="1165"/>
      <c r="AV253" s="1165"/>
      <c r="AW253" s="1165"/>
      <c r="AX253" s="1165"/>
      <c r="AY253" s="1165"/>
      <c r="AZ253" s="1165"/>
      <c r="BA253" s="1165"/>
      <c r="BB253" s="1165"/>
      <c r="BC253" s="1165"/>
      <c r="BD253" s="1165"/>
      <c r="BE253" s="1165"/>
      <c r="BF253" s="1165"/>
      <c r="BG253" s="1165"/>
      <c r="BH253" s="1165"/>
      <c r="BI253" s="1165"/>
      <c r="BJ253" s="1165"/>
      <c r="BK253" s="1165"/>
      <c r="BL253" s="1165"/>
      <c r="BM253" s="1165"/>
      <c r="BN253" s="1165"/>
      <c r="BO253" s="1165"/>
      <c r="BP253" s="1165"/>
      <c r="BQ253" s="1165"/>
      <c r="BR253" s="1165"/>
      <c r="BS253" s="1165"/>
      <c r="BT253" s="1165"/>
      <c r="BU253" s="1165"/>
      <c r="BV253" s="1165"/>
      <c r="BW253" s="1165"/>
      <c r="BX253" s="1165"/>
      <c r="BY253" s="1165"/>
      <c r="BZ253" s="1165"/>
      <c r="CA253" s="1165"/>
      <c r="CB253" s="1165"/>
      <c r="CC253" s="1165"/>
      <c r="CD253" s="1165"/>
      <c r="CE253" s="1165"/>
      <c r="CF253" s="1165"/>
      <c r="CG253" s="1165"/>
      <c r="CH253" s="1165"/>
      <c r="CI253" s="1165"/>
      <c r="CJ253" s="1165"/>
      <c r="CK253" s="1165"/>
      <c r="CL253" s="1165"/>
      <c r="CM253" s="1165"/>
      <c r="CN253" s="1165"/>
      <c r="CO253" s="1165"/>
      <c r="CP253" s="1165"/>
      <c r="CQ253" s="1165"/>
      <c r="CR253" s="1165"/>
      <c r="CS253" s="1165"/>
      <c r="CT253" s="1165"/>
      <c r="CU253" s="1165"/>
      <c r="CV253" s="1165"/>
      <c r="CW253" s="1165"/>
      <c r="CX253" s="1106"/>
      <c r="CY253" s="1106"/>
      <c r="CZ253" s="1106"/>
      <c r="DA253" s="1107"/>
      <c r="DB253" s="1104"/>
    </row>
    <row r="254" spans="2:106" ht="11.25" customHeight="1">
      <c r="B254" s="1105"/>
      <c r="C254" s="1165"/>
      <c r="D254" s="1165"/>
      <c r="E254" s="1165"/>
      <c r="F254" s="1165"/>
      <c r="G254" s="1165"/>
      <c r="H254" s="1165"/>
      <c r="I254" s="1165"/>
      <c r="J254" s="1165"/>
      <c r="K254" s="1165"/>
      <c r="L254" s="1165"/>
      <c r="M254" s="1165"/>
      <c r="N254" s="1165"/>
      <c r="O254" s="1165"/>
      <c r="P254" s="1165"/>
      <c r="Q254" s="1165"/>
      <c r="R254" s="1165"/>
      <c r="S254" s="1165"/>
      <c r="T254" s="1165"/>
      <c r="U254" s="1165"/>
      <c r="V254" s="1165"/>
      <c r="W254" s="1165"/>
      <c r="X254" s="1165"/>
      <c r="Y254" s="1165"/>
      <c r="Z254" s="1165"/>
      <c r="AA254" s="1165"/>
      <c r="AB254" s="1165"/>
      <c r="AC254" s="1165"/>
      <c r="AD254" s="1165"/>
      <c r="AE254" s="1165"/>
      <c r="AF254" s="1165"/>
      <c r="AG254" s="1165"/>
      <c r="AH254" s="1165"/>
      <c r="AI254" s="1165"/>
      <c r="AJ254" s="1165"/>
      <c r="AK254" s="1165"/>
      <c r="AL254" s="1165"/>
      <c r="AM254" s="1165"/>
      <c r="AN254" s="1165"/>
      <c r="AO254" s="1165"/>
      <c r="AP254" s="1165"/>
      <c r="AQ254" s="1165"/>
      <c r="AR254" s="1165"/>
      <c r="AS254" s="1165"/>
      <c r="AT254" s="1165"/>
      <c r="AU254" s="1165"/>
      <c r="AV254" s="1165"/>
      <c r="AW254" s="1165"/>
      <c r="AX254" s="1165"/>
      <c r="AY254" s="1165"/>
      <c r="AZ254" s="1165"/>
      <c r="BA254" s="1165"/>
      <c r="BB254" s="1165"/>
      <c r="BC254" s="1165"/>
      <c r="BD254" s="1165"/>
      <c r="BE254" s="1165"/>
      <c r="BF254" s="1165"/>
      <c r="BG254" s="1165"/>
      <c r="BH254" s="1165"/>
      <c r="BI254" s="1165"/>
      <c r="BJ254" s="1165"/>
      <c r="BK254" s="1165"/>
      <c r="BL254" s="1165"/>
      <c r="BM254" s="1165"/>
      <c r="BN254" s="1165"/>
      <c r="BO254" s="1165"/>
      <c r="BP254" s="1165"/>
      <c r="BQ254" s="1165"/>
      <c r="BR254" s="1165"/>
      <c r="BS254" s="1165"/>
      <c r="BT254" s="1165"/>
      <c r="BU254" s="1165"/>
      <c r="BV254" s="1165"/>
      <c r="BW254" s="1165"/>
      <c r="BX254" s="1165"/>
      <c r="BY254" s="1165"/>
      <c r="BZ254" s="1165"/>
      <c r="CA254" s="1165"/>
      <c r="CB254" s="1165"/>
      <c r="CC254" s="1165"/>
      <c r="CD254" s="1165"/>
      <c r="CE254" s="1165"/>
      <c r="CF254" s="1165"/>
      <c r="CG254" s="1165"/>
      <c r="CH254" s="1165"/>
      <c r="CI254" s="1165"/>
      <c r="CJ254" s="1165"/>
      <c r="CK254" s="1165"/>
      <c r="CL254" s="1165"/>
      <c r="CM254" s="1165"/>
      <c r="CN254" s="1165"/>
      <c r="CO254" s="1165"/>
      <c r="CP254" s="1165"/>
      <c r="CQ254" s="1165"/>
      <c r="CR254" s="1165"/>
      <c r="CS254" s="1165"/>
      <c r="CT254" s="1165"/>
      <c r="CU254" s="1165"/>
      <c r="CV254" s="1165"/>
      <c r="CW254" s="1165"/>
      <c r="CX254" s="1106"/>
      <c r="CY254" s="1106"/>
      <c r="CZ254" s="1106"/>
      <c r="DA254" s="1107"/>
      <c r="DB254" s="1104"/>
    </row>
    <row r="255" spans="2:106" ht="11.25" customHeight="1">
      <c r="B255" s="1105"/>
      <c r="C255" s="1165"/>
      <c r="D255" s="1165"/>
      <c r="E255" s="1165"/>
      <c r="F255" s="1165"/>
      <c r="G255" s="1165"/>
      <c r="H255" s="1165"/>
      <c r="I255" s="1165"/>
      <c r="J255" s="1165"/>
      <c r="K255" s="1165"/>
      <c r="L255" s="1165"/>
      <c r="M255" s="1165"/>
      <c r="N255" s="1165"/>
      <c r="O255" s="1165"/>
      <c r="P255" s="1165"/>
      <c r="Q255" s="1165"/>
      <c r="R255" s="1165"/>
      <c r="S255" s="1165"/>
      <c r="T255" s="1165"/>
      <c r="U255" s="1165"/>
      <c r="V255" s="1165"/>
      <c r="W255" s="1165"/>
      <c r="X255" s="1165"/>
      <c r="Y255" s="1165"/>
      <c r="Z255" s="1165"/>
      <c r="AA255" s="1165"/>
      <c r="AB255" s="1165"/>
      <c r="AC255" s="1165"/>
      <c r="AD255" s="1165"/>
      <c r="AE255" s="1165"/>
      <c r="AF255" s="1165"/>
      <c r="AG255" s="1165"/>
      <c r="AH255" s="1165"/>
      <c r="AI255" s="1165"/>
      <c r="AJ255" s="1165"/>
      <c r="AK255" s="1165"/>
      <c r="AL255" s="1165"/>
      <c r="AM255" s="1165"/>
      <c r="AN255" s="1165"/>
      <c r="AO255" s="1165"/>
      <c r="AP255" s="1165"/>
      <c r="AQ255" s="1165"/>
      <c r="AR255" s="1165"/>
      <c r="AS255" s="1165"/>
      <c r="AT255" s="1165"/>
      <c r="AU255" s="1165"/>
      <c r="AV255" s="1165"/>
      <c r="AW255" s="1165"/>
      <c r="AX255" s="1165"/>
      <c r="AY255" s="1165"/>
      <c r="AZ255" s="1165"/>
      <c r="BA255" s="1165"/>
      <c r="BB255" s="1165"/>
      <c r="BC255" s="1165"/>
      <c r="BD255" s="1165"/>
      <c r="BE255" s="1165"/>
      <c r="BF255" s="1165"/>
      <c r="BG255" s="1165"/>
      <c r="BH255" s="1165"/>
      <c r="BI255" s="1165"/>
      <c r="BJ255" s="1165"/>
      <c r="BK255" s="1165"/>
      <c r="BL255" s="1165"/>
      <c r="BM255" s="1165"/>
      <c r="BN255" s="1165"/>
      <c r="BO255" s="1165"/>
      <c r="BP255" s="1165"/>
      <c r="BQ255" s="1165"/>
      <c r="BR255" s="1165"/>
      <c r="BS255" s="1165"/>
      <c r="BT255" s="1165"/>
      <c r="BU255" s="1165"/>
      <c r="BV255" s="1165"/>
      <c r="BW255" s="1165"/>
      <c r="BX255" s="1165"/>
      <c r="BY255" s="1165"/>
      <c r="BZ255" s="1165"/>
      <c r="CA255" s="1165"/>
      <c r="CB255" s="1165"/>
      <c r="CC255" s="1165"/>
      <c r="CD255" s="1165"/>
      <c r="CE255" s="1165"/>
      <c r="CF255" s="1165"/>
      <c r="CG255" s="1165"/>
      <c r="CH255" s="1165"/>
      <c r="CI255" s="1165"/>
      <c r="CJ255" s="1165"/>
      <c r="CK255" s="1165"/>
      <c r="CL255" s="1165"/>
      <c r="CM255" s="1165"/>
      <c r="CN255" s="1165"/>
      <c r="CO255" s="1165"/>
      <c r="CP255" s="1165"/>
      <c r="CQ255" s="1165"/>
      <c r="CR255" s="1165"/>
      <c r="CS255" s="1165"/>
      <c r="CT255" s="1165"/>
      <c r="CU255" s="1165"/>
      <c r="CV255" s="1165"/>
      <c r="CW255" s="1165"/>
      <c r="CX255" s="1106"/>
      <c r="CY255" s="1106"/>
      <c r="CZ255" s="1106"/>
      <c r="DA255" s="1107"/>
      <c r="DB255" s="1104"/>
    </row>
    <row r="256" spans="2:106" ht="11.25" customHeight="1">
      <c r="B256" s="1105"/>
      <c r="C256" s="1165"/>
      <c r="D256" s="1165"/>
      <c r="E256" s="1165"/>
      <c r="F256" s="1165"/>
      <c r="G256" s="1165"/>
      <c r="H256" s="1165"/>
      <c r="I256" s="1165"/>
      <c r="J256" s="1165"/>
      <c r="K256" s="1165"/>
      <c r="L256" s="1165"/>
      <c r="M256" s="1165"/>
      <c r="N256" s="1165"/>
      <c r="O256" s="1165"/>
      <c r="P256" s="1165"/>
      <c r="Q256" s="1165"/>
      <c r="R256" s="1165"/>
      <c r="S256" s="1165"/>
      <c r="T256" s="1165"/>
      <c r="U256" s="1165"/>
      <c r="V256" s="1165"/>
      <c r="W256" s="1165"/>
      <c r="X256" s="1165"/>
      <c r="Y256" s="1165"/>
      <c r="Z256" s="1165"/>
      <c r="AA256" s="1165"/>
      <c r="AB256" s="1165"/>
      <c r="AC256" s="1165"/>
      <c r="AD256" s="1165"/>
      <c r="AE256" s="1165"/>
      <c r="AF256" s="1165"/>
      <c r="AG256" s="1165"/>
      <c r="AH256" s="1165"/>
      <c r="AI256" s="1165"/>
      <c r="AJ256" s="1165"/>
      <c r="AK256" s="1165"/>
      <c r="AL256" s="1165"/>
      <c r="AM256" s="1165"/>
      <c r="AN256" s="1165"/>
      <c r="AO256" s="1165"/>
      <c r="AP256" s="1165"/>
      <c r="AQ256" s="1165"/>
      <c r="AR256" s="1165"/>
      <c r="AS256" s="1165"/>
      <c r="AT256" s="1165"/>
      <c r="AU256" s="1165"/>
      <c r="AV256" s="1165"/>
      <c r="AW256" s="1165"/>
      <c r="AX256" s="1165"/>
      <c r="AY256" s="1165"/>
      <c r="AZ256" s="1165"/>
      <c r="BA256" s="1165"/>
      <c r="BB256" s="1165"/>
      <c r="BC256" s="1165"/>
      <c r="BD256" s="1165"/>
      <c r="BE256" s="1165"/>
      <c r="BF256" s="1165"/>
      <c r="BG256" s="1165"/>
      <c r="BH256" s="1165"/>
      <c r="BI256" s="1165"/>
      <c r="BJ256" s="1165"/>
      <c r="BK256" s="1165"/>
      <c r="BL256" s="1165"/>
      <c r="BM256" s="1165"/>
      <c r="BN256" s="1165"/>
      <c r="BO256" s="1165"/>
      <c r="BP256" s="1165"/>
      <c r="BQ256" s="1165"/>
      <c r="BR256" s="1165"/>
      <c r="BS256" s="1165"/>
      <c r="BT256" s="1165"/>
      <c r="BU256" s="1165"/>
      <c r="BV256" s="1165"/>
      <c r="BW256" s="1165"/>
      <c r="BX256" s="1165"/>
      <c r="BY256" s="1165"/>
      <c r="BZ256" s="1165"/>
      <c r="CA256" s="1165"/>
      <c r="CB256" s="1165"/>
      <c r="CC256" s="1165"/>
      <c r="CD256" s="1165"/>
      <c r="CE256" s="1165"/>
      <c r="CF256" s="1165"/>
      <c r="CG256" s="1165"/>
      <c r="CH256" s="1165"/>
      <c r="CI256" s="1165"/>
      <c r="CJ256" s="1165"/>
      <c r="CK256" s="1165"/>
      <c r="CL256" s="1165"/>
      <c r="CM256" s="1165"/>
      <c r="CN256" s="1165"/>
      <c r="CO256" s="1165"/>
      <c r="CP256" s="1165"/>
      <c r="CQ256" s="1165"/>
      <c r="CR256" s="1165"/>
      <c r="CS256" s="1165"/>
      <c r="CT256" s="1165"/>
      <c r="CU256" s="1165"/>
      <c r="CV256" s="1165"/>
      <c r="CW256" s="1165"/>
      <c r="CX256" s="1106"/>
      <c r="CY256" s="1106"/>
      <c r="CZ256" s="1106"/>
      <c r="DA256" s="1107"/>
      <c r="DB256" s="1104"/>
    </row>
    <row r="257" spans="2:106" ht="11.25" customHeight="1">
      <c r="B257" s="1105"/>
      <c r="C257" s="1165"/>
      <c r="D257" s="1165"/>
      <c r="E257" s="1165"/>
      <c r="F257" s="1165"/>
      <c r="G257" s="1165"/>
      <c r="H257" s="1165"/>
      <c r="I257" s="1165"/>
      <c r="J257" s="1165"/>
      <c r="K257" s="1165"/>
      <c r="L257" s="1165"/>
      <c r="M257" s="1165"/>
      <c r="N257" s="1165"/>
      <c r="O257" s="1165"/>
      <c r="P257" s="1165"/>
      <c r="Q257" s="1165"/>
      <c r="R257" s="1165"/>
      <c r="S257" s="1165"/>
      <c r="T257" s="1165"/>
      <c r="U257" s="1165"/>
      <c r="V257" s="1165"/>
      <c r="W257" s="1165"/>
      <c r="X257" s="1165"/>
      <c r="Y257" s="1165"/>
      <c r="Z257" s="1165"/>
      <c r="AA257" s="1165"/>
      <c r="AB257" s="1165"/>
      <c r="AC257" s="1165"/>
      <c r="AD257" s="1165"/>
      <c r="AE257" s="1165"/>
      <c r="AF257" s="1165"/>
      <c r="AG257" s="1165"/>
      <c r="AH257" s="1165"/>
      <c r="AI257" s="1165"/>
      <c r="AJ257" s="1165"/>
      <c r="AK257" s="1165"/>
      <c r="AL257" s="1165"/>
      <c r="AM257" s="1165"/>
      <c r="AN257" s="1165"/>
      <c r="AO257" s="1165"/>
      <c r="AP257" s="1165"/>
      <c r="AQ257" s="1165"/>
      <c r="AR257" s="1165"/>
      <c r="AS257" s="1165"/>
      <c r="AT257" s="1165"/>
      <c r="AU257" s="1165"/>
      <c r="AV257" s="1165"/>
      <c r="AW257" s="1165"/>
      <c r="AX257" s="1165"/>
      <c r="AY257" s="1165"/>
      <c r="AZ257" s="1165"/>
      <c r="BA257" s="1165"/>
      <c r="BB257" s="1165"/>
      <c r="BC257" s="1165"/>
      <c r="BD257" s="1165"/>
      <c r="BE257" s="1165"/>
      <c r="BF257" s="1165"/>
      <c r="BG257" s="1165"/>
      <c r="BH257" s="1165"/>
      <c r="BI257" s="1165"/>
      <c r="BJ257" s="1165"/>
      <c r="BK257" s="1165"/>
      <c r="BL257" s="1165"/>
      <c r="BM257" s="1165"/>
      <c r="BN257" s="1165"/>
      <c r="BO257" s="1165"/>
      <c r="BP257" s="1165"/>
      <c r="BQ257" s="1165"/>
      <c r="BR257" s="1165"/>
      <c r="BS257" s="1165"/>
      <c r="BT257" s="1165"/>
      <c r="BU257" s="1165"/>
      <c r="BV257" s="1165"/>
      <c r="BW257" s="1165"/>
      <c r="BX257" s="1165"/>
      <c r="BY257" s="1165"/>
      <c r="BZ257" s="1165"/>
      <c r="CA257" s="1165"/>
      <c r="CB257" s="1165"/>
      <c r="CC257" s="1165"/>
      <c r="CD257" s="1165"/>
      <c r="CE257" s="1165"/>
      <c r="CF257" s="1165"/>
      <c r="CG257" s="1165"/>
      <c r="CH257" s="1165"/>
      <c r="CI257" s="1165"/>
      <c r="CJ257" s="1165"/>
      <c r="CK257" s="1165"/>
      <c r="CL257" s="1165"/>
      <c r="CM257" s="1165"/>
      <c r="CN257" s="1165"/>
      <c r="CO257" s="1165"/>
      <c r="CP257" s="1165"/>
      <c r="CQ257" s="1165"/>
      <c r="CR257" s="1165"/>
      <c r="CS257" s="1165"/>
      <c r="CT257" s="1165"/>
      <c r="CU257" s="1165"/>
      <c r="CV257" s="1165"/>
      <c r="CW257" s="1165"/>
      <c r="CX257" s="1106"/>
      <c r="CY257" s="1106"/>
      <c r="CZ257" s="1106"/>
      <c r="DA257" s="1107"/>
      <c r="DB257" s="1104"/>
    </row>
    <row r="258" spans="2:106" ht="11.25" customHeight="1">
      <c r="B258" s="1105"/>
      <c r="C258" s="1165"/>
      <c r="D258" s="1165"/>
      <c r="E258" s="1165"/>
      <c r="F258" s="1165"/>
      <c r="G258" s="1165"/>
      <c r="H258" s="1165"/>
      <c r="I258" s="1165"/>
      <c r="J258" s="1165"/>
      <c r="K258" s="1165"/>
      <c r="L258" s="1165"/>
      <c r="M258" s="1165"/>
      <c r="N258" s="1165"/>
      <c r="O258" s="1165"/>
      <c r="P258" s="1165"/>
      <c r="Q258" s="1165"/>
      <c r="R258" s="1165"/>
      <c r="S258" s="1165"/>
      <c r="T258" s="1165"/>
      <c r="U258" s="1165"/>
      <c r="V258" s="1165"/>
      <c r="W258" s="1165"/>
      <c r="X258" s="1165"/>
      <c r="Y258" s="1165"/>
      <c r="Z258" s="1165"/>
      <c r="AA258" s="1165"/>
      <c r="AB258" s="1165"/>
      <c r="AC258" s="1165"/>
      <c r="AD258" s="1165"/>
      <c r="AE258" s="1165"/>
      <c r="AF258" s="1165"/>
      <c r="AG258" s="1165"/>
      <c r="AH258" s="1165"/>
      <c r="AI258" s="1165"/>
      <c r="AJ258" s="1165"/>
      <c r="AK258" s="1165"/>
      <c r="AL258" s="1165"/>
      <c r="AM258" s="1165"/>
      <c r="AN258" s="1165"/>
      <c r="AO258" s="1165"/>
      <c r="AP258" s="1165"/>
      <c r="AQ258" s="1165"/>
      <c r="AR258" s="1165"/>
      <c r="AS258" s="1165"/>
      <c r="AT258" s="1165"/>
      <c r="AU258" s="1165"/>
      <c r="AV258" s="1165"/>
      <c r="AW258" s="1165"/>
      <c r="AX258" s="1165"/>
      <c r="AY258" s="1165"/>
      <c r="AZ258" s="1165"/>
      <c r="BA258" s="1165"/>
      <c r="BB258" s="1165"/>
      <c r="BC258" s="1165"/>
      <c r="BD258" s="1165"/>
      <c r="BE258" s="1165"/>
      <c r="BF258" s="1165"/>
      <c r="BG258" s="1165"/>
      <c r="BH258" s="1165"/>
      <c r="BI258" s="1165"/>
      <c r="BJ258" s="1165"/>
      <c r="BK258" s="1165"/>
      <c r="BL258" s="1165"/>
      <c r="BM258" s="1165"/>
      <c r="BN258" s="1165"/>
      <c r="BO258" s="1165"/>
      <c r="BP258" s="1165"/>
      <c r="BQ258" s="1165"/>
      <c r="BR258" s="1165"/>
      <c r="BS258" s="1165"/>
      <c r="BT258" s="1165"/>
      <c r="BU258" s="1165"/>
      <c r="BV258" s="1165"/>
      <c r="BW258" s="1165"/>
      <c r="BX258" s="1165"/>
      <c r="BY258" s="1165"/>
      <c r="BZ258" s="1165"/>
      <c r="CA258" s="1165"/>
      <c r="CB258" s="1165"/>
      <c r="CC258" s="1165"/>
      <c r="CD258" s="1165"/>
      <c r="CE258" s="1165"/>
      <c r="CF258" s="1165"/>
      <c r="CG258" s="1165"/>
      <c r="CH258" s="1165"/>
      <c r="CI258" s="1165"/>
      <c r="CJ258" s="1165"/>
      <c r="CK258" s="1165"/>
      <c r="CL258" s="1165"/>
      <c r="CM258" s="1165"/>
      <c r="CN258" s="1165"/>
      <c r="CO258" s="1165"/>
      <c r="CP258" s="1165"/>
      <c r="CQ258" s="1165"/>
      <c r="CR258" s="1165"/>
      <c r="CS258" s="1165"/>
      <c r="CT258" s="1165"/>
      <c r="CU258" s="1165"/>
      <c r="CV258" s="1165"/>
      <c r="CW258" s="1165"/>
      <c r="CX258" s="1106"/>
      <c r="CY258" s="1106"/>
      <c r="CZ258" s="1106"/>
      <c r="DA258" s="1107"/>
      <c r="DB258" s="1104"/>
    </row>
    <row r="259" spans="2:106" ht="11.25" customHeight="1">
      <c r="B259" s="1105"/>
      <c r="C259" s="1165"/>
      <c r="D259" s="1165"/>
      <c r="E259" s="1165"/>
      <c r="F259" s="1165"/>
      <c r="G259" s="1165"/>
      <c r="H259" s="1165"/>
      <c r="I259" s="1165"/>
      <c r="J259" s="1165"/>
      <c r="K259" s="1165"/>
      <c r="L259" s="1165"/>
      <c r="M259" s="1165"/>
      <c r="N259" s="1165"/>
      <c r="O259" s="1165"/>
      <c r="P259" s="1165"/>
      <c r="Q259" s="1165"/>
      <c r="R259" s="1165"/>
      <c r="S259" s="1165"/>
      <c r="T259" s="1165"/>
      <c r="U259" s="1165"/>
      <c r="V259" s="1165"/>
      <c r="W259" s="1165"/>
      <c r="X259" s="1165"/>
      <c r="Y259" s="1165"/>
      <c r="Z259" s="1165"/>
      <c r="AA259" s="1165"/>
      <c r="AB259" s="1165"/>
      <c r="AC259" s="1165"/>
      <c r="AD259" s="1165"/>
      <c r="AE259" s="1165"/>
      <c r="AF259" s="1165"/>
      <c r="AG259" s="1165"/>
      <c r="AH259" s="1165"/>
      <c r="AI259" s="1165"/>
      <c r="AJ259" s="1165"/>
      <c r="AK259" s="1165"/>
      <c r="AL259" s="1165"/>
      <c r="AM259" s="1165"/>
      <c r="AN259" s="1165"/>
      <c r="AO259" s="1165"/>
      <c r="AP259" s="1165"/>
      <c r="AQ259" s="1165"/>
      <c r="AR259" s="1165"/>
      <c r="AS259" s="1165"/>
      <c r="AT259" s="1165"/>
      <c r="AU259" s="1165"/>
      <c r="AV259" s="1165"/>
      <c r="AW259" s="1165"/>
      <c r="AX259" s="1165"/>
      <c r="AY259" s="1165"/>
      <c r="AZ259" s="1165"/>
      <c r="BA259" s="1165"/>
      <c r="BB259" s="1165"/>
      <c r="BC259" s="1165"/>
      <c r="BD259" s="1165"/>
      <c r="BE259" s="1165"/>
      <c r="BF259" s="1165"/>
      <c r="BG259" s="1165"/>
      <c r="BH259" s="1165"/>
      <c r="BI259" s="1165"/>
      <c r="BJ259" s="1165"/>
      <c r="BK259" s="1165"/>
      <c r="BL259" s="1165"/>
      <c r="BM259" s="1165"/>
      <c r="BN259" s="1165"/>
      <c r="BO259" s="1165"/>
      <c r="BP259" s="1165"/>
      <c r="BQ259" s="1165"/>
      <c r="BR259" s="1165"/>
      <c r="BS259" s="1165"/>
      <c r="BT259" s="1165"/>
      <c r="BU259" s="1165"/>
      <c r="BV259" s="1165"/>
      <c r="BW259" s="1165"/>
      <c r="BX259" s="1165"/>
      <c r="BY259" s="1165"/>
      <c r="BZ259" s="1165"/>
      <c r="CA259" s="1165"/>
      <c r="CB259" s="1165"/>
      <c r="CC259" s="1165"/>
      <c r="CD259" s="1165"/>
      <c r="CE259" s="1165"/>
      <c r="CF259" s="1165"/>
      <c r="CG259" s="1165"/>
      <c r="CH259" s="1165"/>
      <c r="CI259" s="1165"/>
      <c r="CJ259" s="1165"/>
      <c r="CK259" s="1165"/>
      <c r="CL259" s="1165"/>
      <c r="CM259" s="1165"/>
      <c r="CN259" s="1165"/>
      <c r="CO259" s="1165"/>
      <c r="CP259" s="1165"/>
      <c r="CQ259" s="1165"/>
      <c r="CR259" s="1165"/>
      <c r="CS259" s="1165"/>
      <c r="CT259" s="1165"/>
      <c r="CU259" s="1165"/>
      <c r="CV259" s="1165"/>
      <c r="CW259" s="1165"/>
      <c r="CX259" s="1106"/>
      <c r="CY259" s="1106"/>
      <c r="CZ259" s="1106"/>
      <c r="DA259" s="1107"/>
      <c r="DB259" s="1104"/>
    </row>
    <row r="260" spans="2:106" ht="11.25" customHeight="1">
      <c r="B260" s="1105"/>
      <c r="C260" s="1165"/>
      <c r="D260" s="1165"/>
      <c r="E260" s="1165"/>
      <c r="F260" s="1165"/>
      <c r="G260" s="1165"/>
      <c r="H260" s="1165"/>
      <c r="I260" s="1165"/>
      <c r="J260" s="1165"/>
      <c r="K260" s="1165"/>
      <c r="L260" s="1165"/>
      <c r="M260" s="1165"/>
      <c r="N260" s="1165"/>
      <c r="O260" s="1165"/>
      <c r="P260" s="1165"/>
      <c r="Q260" s="1165"/>
      <c r="R260" s="1165"/>
      <c r="S260" s="1165"/>
      <c r="T260" s="1165"/>
      <c r="U260" s="1165"/>
      <c r="V260" s="1165"/>
      <c r="W260" s="1165"/>
      <c r="X260" s="1165"/>
      <c r="Y260" s="1165"/>
      <c r="Z260" s="1165"/>
      <c r="AA260" s="1165"/>
      <c r="AB260" s="1165"/>
      <c r="AC260" s="1165"/>
      <c r="AD260" s="1165"/>
      <c r="AE260" s="1165"/>
      <c r="AF260" s="1165"/>
      <c r="AG260" s="1165"/>
      <c r="AH260" s="1165"/>
      <c r="AI260" s="1165"/>
      <c r="AJ260" s="1165"/>
      <c r="AK260" s="1165"/>
      <c r="AL260" s="1165"/>
      <c r="AM260" s="1165"/>
      <c r="AN260" s="1165"/>
      <c r="AO260" s="1165"/>
      <c r="AP260" s="1165"/>
      <c r="AQ260" s="1165"/>
      <c r="AR260" s="1165"/>
      <c r="AS260" s="1165"/>
      <c r="AT260" s="1165"/>
      <c r="AU260" s="1165"/>
      <c r="AV260" s="1165"/>
      <c r="AW260" s="1165"/>
      <c r="AX260" s="1165"/>
      <c r="AY260" s="1165"/>
      <c r="AZ260" s="1165"/>
      <c r="BA260" s="1165"/>
      <c r="BB260" s="1165"/>
      <c r="BC260" s="1165"/>
      <c r="BD260" s="1165"/>
      <c r="BE260" s="1165"/>
      <c r="BF260" s="1165"/>
      <c r="BG260" s="1165"/>
      <c r="BH260" s="1165"/>
      <c r="BI260" s="1165"/>
      <c r="BJ260" s="1165"/>
      <c r="BK260" s="1165"/>
      <c r="BL260" s="1165"/>
      <c r="BM260" s="1165"/>
      <c r="BN260" s="1165"/>
      <c r="BO260" s="1165"/>
      <c r="BP260" s="1165"/>
      <c r="BQ260" s="1165"/>
      <c r="BR260" s="1165"/>
      <c r="BS260" s="1165"/>
      <c r="BT260" s="1165"/>
      <c r="BU260" s="1165"/>
      <c r="BV260" s="1165"/>
      <c r="BW260" s="1165"/>
      <c r="BX260" s="1165"/>
      <c r="BY260" s="1165"/>
      <c r="BZ260" s="1165"/>
      <c r="CA260" s="1165"/>
      <c r="CB260" s="1165"/>
      <c r="CC260" s="1165"/>
      <c r="CD260" s="1165"/>
      <c r="CE260" s="1165"/>
      <c r="CF260" s="1165"/>
      <c r="CG260" s="1165"/>
      <c r="CH260" s="1165"/>
      <c r="CI260" s="1165"/>
      <c r="CJ260" s="1165"/>
      <c r="CK260" s="1165"/>
      <c r="CL260" s="1165"/>
      <c r="CM260" s="1165"/>
      <c r="CN260" s="1165"/>
      <c r="CO260" s="1165"/>
      <c r="CP260" s="1165"/>
      <c r="CQ260" s="1165"/>
      <c r="CR260" s="1165"/>
      <c r="CS260" s="1165"/>
      <c r="CT260" s="1165"/>
      <c r="CU260" s="1165"/>
      <c r="CV260" s="1165"/>
      <c r="CW260" s="1165"/>
      <c r="CX260" s="1106"/>
      <c r="CY260" s="1106"/>
      <c r="CZ260" s="1106"/>
      <c r="DA260" s="1107"/>
      <c r="DB260" s="1104"/>
    </row>
    <row r="261" spans="2:106" ht="11.25" customHeight="1">
      <c r="B261" s="1105"/>
      <c r="C261" s="1165"/>
      <c r="D261" s="1165"/>
      <c r="E261" s="1165"/>
      <c r="F261" s="1165"/>
      <c r="G261" s="1165"/>
      <c r="H261" s="1165"/>
      <c r="I261" s="1165"/>
      <c r="J261" s="1165"/>
      <c r="K261" s="1165"/>
      <c r="L261" s="1165"/>
      <c r="M261" s="1165"/>
      <c r="N261" s="1165"/>
      <c r="O261" s="1165"/>
      <c r="P261" s="1165"/>
      <c r="Q261" s="1165"/>
      <c r="R261" s="1165"/>
      <c r="S261" s="1165"/>
      <c r="T261" s="1165"/>
      <c r="U261" s="1165"/>
      <c r="V261" s="1165"/>
      <c r="W261" s="1165"/>
      <c r="X261" s="1165"/>
      <c r="Y261" s="1165"/>
      <c r="Z261" s="1165"/>
      <c r="AA261" s="1165"/>
      <c r="AB261" s="1165"/>
      <c r="AC261" s="1165"/>
      <c r="AD261" s="1165"/>
      <c r="AE261" s="1165"/>
      <c r="AF261" s="1165"/>
      <c r="AG261" s="1165"/>
      <c r="AH261" s="1165"/>
      <c r="AI261" s="1165"/>
      <c r="AJ261" s="1165"/>
      <c r="AK261" s="1165"/>
      <c r="AL261" s="1165"/>
      <c r="AM261" s="1165"/>
      <c r="AN261" s="1165"/>
      <c r="AO261" s="1165"/>
      <c r="AP261" s="1165"/>
      <c r="AQ261" s="1165"/>
      <c r="AR261" s="1165"/>
      <c r="AS261" s="1165"/>
      <c r="AT261" s="1165"/>
      <c r="AU261" s="1165"/>
      <c r="AV261" s="1165"/>
      <c r="AW261" s="1165"/>
      <c r="AX261" s="1165"/>
      <c r="AY261" s="1165"/>
      <c r="AZ261" s="1165"/>
      <c r="BA261" s="1165"/>
      <c r="BB261" s="1165"/>
      <c r="BC261" s="1165"/>
      <c r="BD261" s="1165"/>
      <c r="BE261" s="1165"/>
      <c r="BF261" s="1165"/>
      <c r="BG261" s="1165"/>
      <c r="BH261" s="1165"/>
      <c r="BI261" s="1165"/>
      <c r="BJ261" s="1165"/>
      <c r="BK261" s="1165"/>
      <c r="BL261" s="1165"/>
      <c r="BM261" s="1165"/>
      <c r="BN261" s="1165"/>
      <c r="BO261" s="1165"/>
      <c r="BP261" s="1165"/>
      <c r="BQ261" s="1165"/>
      <c r="BR261" s="1165"/>
      <c r="BS261" s="1165"/>
      <c r="BT261" s="1165"/>
      <c r="BU261" s="1165"/>
      <c r="BV261" s="1165"/>
      <c r="BW261" s="1165"/>
      <c r="BX261" s="1165"/>
      <c r="BY261" s="1165"/>
      <c r="BZ261" s="1165"/>
      <c r="CA261" s="1165"/>
      <c r="CB261" s="1165"/>
      <c r="CC261" s="1165"/>
      <c r="CD261" s="1165"/>
      <c r="CE261" s="1165"/>
      <c r="CF261" s="1165"/>
      <c r="CG261" s="1165"/>
      <c r="CH261" s="1165"/>
      <c r="CI261" s="1165"/>
      <c r="CJ261" s="1165"/>
      <c r="CK261" s="1165"/>
      <c r="CL261" s="1165"/>
      <c r="CM261" s="1165"/>
      <c r="CN261" s="1165"/>
      <c r="CO261" s="1165"/>
      <c r="CP261" s="1165"/>
      <c r="CQ261" s="1165"/>
      <c r="CR261" s="1165"/>
      <c r="CS261" s="1165"/>
      <c r="CT261" s="1165"/>
      <c r="CU261" s="1165"/>
      <c r="CV261" s="1165"/>
      <c r="CW261" s="1165"/>
      <c r="CX261" s="1106"/>
      <c r="CY261" s="1106"/>
      <c r="CZ261" s="1106"/>
      <c r="DA261" s="1107"/>
      <c r="DB261" s="1104"/>
    </row>
    <row r="262" spans="2:106" ht="11.25" customHeight="1">
      <c r="B262" s="1105"/>
      <c r="C262" s="1165"/>
      <c r="D262" s="1165"/>
      <c r="E262" s="1165"/>
      <c r="F262" s="1165"/>
      <c r="G262" s="1165"/>
      <c r="H262" s="1165"/>
      <c r="I262" s="1165"/>
      <c r="J262" s="1165"/>
      <c r="K262" s="1165"/>
      <c r="L262" s="1165"/>
      <c r="M262" s="1165"/>
      <c r="N262" s="1165"/>
      <c r="O262" s="1165"/>
      <c r="P262" s="1165"/>
      <c r="Q262" s="1165"/>
      <c r="R262" s="1165"/>
      <c r="S262" s="1165"/>
      <c r="T262" s="1165"/>
      <c r="U262" s="1165"/>
      <c r="V262" s="1165"/>
      <c r="W262" s="1165"/>
      <c r="X262" s="1165"/>
      <c r="Y262" s="1165"/>
      <c r="Z262" s="1165"/>
      <c r="AA262" s="1165"/>
      <c r="AB262" s="1165"/>
      <c r="AC262" s="1165"/>
      <c r="AD262" s="1165"/>
      <c r="AE262" s="1165"/>
      <c r="AF262" s="1165"/>
      <c r="AG262" s="1165"/>
      <c r="AH262" s="1165"/>
      <c r="AI262" s="1165"/>
      <c r="AJ262" s="1165"/>
      <c r="AK262" s="1165"/>
      <c r="AL262" s="1165"/>
      <c r="AM262" s="1165"/>
      <c r="AN262" s="1165"/>
      <c r="AO262" s="1165"/>
      <c r="AP262" s="1165"/>
      <c r="AQ262" s="1165"/>
      <c r="AR262" s="1165"/>
      <c r="AS262" s="1165"/>
      <c r="AT262" s="1165"/>
      <c r="AU262" s="1165"/>
      <c r="AV262" s="1165"/>
      <c r="AW262" s="1165"/>
      <c r="AX262" s="1165"/>
      <c r="AY262" s="1165"/>
      <c r="AZ262" s="1165"/>
      <c r="BA262" s="1165"/>
      <c r="BB262" s="1165"/>
      <c r="BC262" s="1165"/>
      <c r="BD262" s="1165"/>
      <c r="BE262" s="1165"/>
      <c r="BF262" s="1165"/>
      <c r="BG262" s="1165"/>
      <c r="BH262" s="1165"/>
      <c r="BI262" s="1165"/>
      <c r="BJ262" s="1165"/>
      <c r="BK262" s="1165"/>
      <c r="BL262" s="1165"/>
      <c r="BM262" s="1165"/>
      <c r="BN262" s="1165"/>
      <c r="BO262" s="1165"/>
      <c r="BP262" s="1165"/>
      <c r="BQ262" s="1165"/>
      <c r="BR262" s="1165"/>
      <c r="BS262" s="1165"/>
      <c r="BT262" s="1165"/>
      <c r="BU262" s="1165"/>
      <c r="BV262" s="1165"/>
      <c r="BW262" s="1165"/>
      <c r="BX262" s="1165"/>
      <c r="BY262" s="1165"/>
      <c r="BZ262" s="1165"/>
      <c r="CA262" s="1165"/>
      <c r="CB262" s="1165"/>
      <c r="CC262" s="1165"/>
      <c r="CD262" s="1165"/>
      <c r="CE262" s="1165"/>
      <c r="CF262" s="1165"/>
      <c r="CG262" s="1165"/>
      <c r="CH262" s="1165"/>
      <c r="CI262" s="1165"/>
      <c r="CJ262" s="1165"/>
      <c r="CK262" s="1165"/>
      <c r="CL262" s="1165"/>
      <c r="CM262" s="1165"/>
      <c r="CN262" s="1165"/>
      <c r="CO262" s="1165"/>
      <c r="CP262" s="1165"/>
      <c r="CQ262" s="1165"/>
      <c r="CR262" s="1165"/>
      <c r="CS262" s="1165"/>
      <c r="CT262" s="1165"/>
      <c r="CU262" s="1165"/>
      <c r="CV262" s="1165"/>
      <c r="CW262" s="1165"/>
      <c r="CX262" s="1106"/>
      <c r="CY262" s="1106"/>
      <c r="CZ262" s="1106"/>
      <c r="DA262" s="1107"/>
      <c r="DB262" s="1104"/>
    </row>
    <row r="263" spans="2:106" ht="11.25" customHeight="1">
      <c r="B263" s="1105"/>
      <c r="C263" s="1165"/>
      <c r="D263" s="1165"/>
      <c r="E263" s="1165"/>
      <c r="F263" s="1165"/>
      <c r="G263" s="1165"/>
      <c r="H263" s="1165"/>
      <c r="I263" s="1165"/>
      <c r="J263" s="1165"/>
      <c r="K263" s="1165"/>
      <c r="L263" s="1165"/>
      <c r="M263" s="1165"/>
      <c r="N263" s="1165"/>
      <c r="O263" s="1165"/>
      <c r="P263" s="1165"/>
      <c r="Q263" s="1165"/>
      <c r="R263" s="1165"/>
      <c r="S263" s="1165"/>
      <c r="T263" s="1165"/>
      <c r="U263" s="1165"/>
      <c r="V263" s="1165"/>
      <c r="W263" s="1165"/>
      <c r="X263" s="1165"/>
      <c r="Y263" s="1165"/>
      <c r="Z263" s="1165"/>
      <c r="AA263" s="1165"/>
      <c r="AB263" s="1165"/>
      <c r="AC263" s="1165"/>
      <c r="AD263" s="1165"/>
      <c r="AE263" s="1165"/>
      <c r="AF263" s="1165"/>
      <c r="AG263" s="1165"/>
      <c r="AH263" s="1165"/>
      <c r="AI263" s="1165"/>
      <c r="AJ263" s="1165"/>
      <c r="AK263" s="1165"/>
      <c r="AL263" s="1165"/>
      <c r="AM263" s="1165"/>
      <c r="AN263" s="1165"/>
      <c r="AO263" s="1165"/>
      <c r="AP263" s="1165"/>
      <c r="AQ263" s="1165"/>
      <c r="AR263" s="1165"/>
      <c r="AS263" s="1165"/>
      <c r="AT263" s="1165"/>
      <c r="AU263" s="1165"/>
      <c r="AV263" s="1165"/>
      <c r="AW263" s="1165"/>
      <c r="AX263" s="1165"/>
      <c r="AY263" s="1165"/>
      <c r="AZ263" s="1165"/>
      <c r="BA263" s="1165"/>
      <c r="BB263" s="1165"/>
      <c r="BC263" s="1165"/>
      <c r="BD263" s="1165"/>
      <c r="BE263" s="1165"/>
      <c r="BF263" s="1165"/>
      <c r="BG263" s="1165"/>
      <c r="BH263" s="1165"/>
      <c r="BI263" s="1165"/>
      <c r="BJ263" s="1165"/>
      <c r="BK263" s="1165"/>
      <c r="BL263" s="1165"/>
      <c r="BM263" s="1165"/>
      <c r="BN263" s="1165"/>
      <c r="BO263" s="1165"/>
      <c r="BP263" s="1165"/>
      <c r="BQ263" s="1165"/>
      <c r="BR263" s="1165"/>
      <c r="BS263" s="1165"/>
      <c r="BT263" s="1165"/>
      <c r="BU263" s="1165"/>
      <c r="BV263" s="1165"/>
      <c r="BW263" s="1165"/>
      <c r="BX263" s="1165"/>
      <c r="BY263" s="1165"/>
      <c r="BZ263" s="1165"/>
      <c r="CA263" s="1165"/>
      <c r="CB263" s="1165"/>
      <c r="CC263" s="1165"/>
      <c r="CD263" s="1165"/>
      <c r="CE263" s="1165"/>
      <c r="CF263" s="1165"/>
      <c r="CG263" s="1165"/>
      <c r="CH263" s="1165"/>
      <c r="CI263" s="1165"/>
      <c r="CJ263" s="1165"/>
      <c r="CK263" s="1165"/>
      <c r="CL263" s="1165"/>
      <c r="CM263" s="1165"/>
      <c r="CN263" s="1165"/>
      <c r="CO263" s="1165"/>
      <c r="CP263" s="1165"/>
      <c r="CQ263" s="1165"/>
      <c r="CR263" s="1165"/>
      <c r="CS263" s="1165"/>
      <c r="CT263" s="1165"/>
      <c r="CU263" s="1165"/>
      <c r="CV263" s="1165"/>
      <c r="CW263" s="1165"/>
      <c r="CX263" s="1106"/>
      <c r="CY263" s="1106"/>
      <c r="CZ263" s="1106"/>
      <c r="DA263" s="1107"/>
      <c r="DB263" s="1104"/>
    </row>
    <row r="264" spans="2:106" ht="11.25" customHeight="1">
      <c r="B264" s="1105"/>
      <c r="C264" s="1165"/>
      <c r="D264" s="1165"/>
      <c r="E264" s="1165"/>
      <c r="F264" s="1165"/>
      <c r="G264" s="1165"/>
      <c r="H264" s="1165"/>
      <c r="I264" s="1165"/>
      <c r="J264" s="1165"/>
      <c r="K264" s="1165"/>
      <c r="L264" s="1165"/>
      <c r="M264" s="1165"/>
      <c r="N264" s="1165"/>
      <c r="O264" s="1165"/>
      <c r="P264" s="1165"/>
      <c r="Q264" s="1165"/>
      <c r="R264" s="1165"/>
      <c r="S264" s="1165"/>
      <c r="T264" s="1165"/>
      <c r="U264" s="1165"/>
      <c r="V264" s="1165"/>
      <c r="W264" s="1165"/>
      <c r="X264" s="1165"/>
      <c r="Y264" s="1165"/>
      <c r="Z264" s="1165"/>
      <c r="AA264" s="1165"/>
      <c r="AB264" s="1165"/>
      <c r="AC264" s="1165"/>
      <c r="AD264" s="1165"/>
      <c r="AE264" s="1165"/>
      <c r="AF264" s="1165"/>
      <c r="AG264" s="1165"/>
      <c r="AH264" s="1165"/>
      <c r="AI264" s="1165"/>
      <c r="AJ264" s="1165"/>
      <c r="AK264" s="1165"/>
      <c r="AL264" s="1165"/>
      <c r="AM264" s="1165"/>
      <c r="AN264" s="1165"/>
      <c r="AO264" s="1165"/>
      <c r="AP264" s="1165"/>
      <c r="AQ264" s="1165"/>
      <c r="AR264" s="1165"/>
      <c r="AS264" s="1165"/>
      <c r="AT264" s="1165"/>
      <c r="AU264" s="1165"/>
      <c r="AV264" s="1165"/>
      <c r="AW264" s="1165"/>
      <c r="AX264" s="1165"/>
      <c r="AY264" s="1165"/>
      <c r="AZ264" s="1165"/>
      <c r="BA264" s="1165"/>
      <c r="BB264" s="1165"/>
      <c r="BC264" s="1165"/>
      <c r="BD264" s="1165"/>
      <c r="BE264" s="1165"/>
      <c r="BF264" s="1165"/>
      <c r="BG264" s="1165"/>
      <c r="BH264" s="1165"/>
      <c r="BI264" s="1165"/>
      <c r="BJ264" s="1165"/>
      <c r="BK264" s="1165"/>
      <c r="BL264" s="1165"/>
      <c r="BM264" s="1165"/>
      <c r="BN264" s="1165"/>
      <c r="BO264" s="1165"/>
      <c r="BP264" s="1165"/>
      <c r="BQ264" s="1165"/>
      <c r="BR264" s="1165"/>
      <c r="BS264" s="1165"/>
      <c r="BT264" s="1165"/>
      <c r="BU264" s="1165"/>
      <c r="BV264" s="1165"/>
      <c r="BW264" s="1165"/>
      <c r="BX264" s="1165"/>
      <c r="BY264" s="1165"/>
      <c r="BZ264" s="1165"/>
      <c r="CA264" s="1165"/>
      <c r="CB264" s="1165"/>
      <c r="CC264" s="1165"/>
      <c r="CD264" s="1165"/>
      <c r="CE264" s="1165"/>
      <c r="CF264" s="1165"/>
      <c r="CG264" s="1165"/>
      <c r="CH264" s="1165"/>
      <c r="CI264" s="1165"/>
      <c r="CJ264" s="1165"/>
      <c r="CK264" s="1165"/>
      <c r="CL264" s="1165"/>
      <c r="CM264" s="1165"/>
      <c r="CN264" s="1165"/>
      <c r="CO264" s="1165"/>
      <c r="CP264" s="1165"/>
      <c r="CQ264" s="1165"/>
      <c r="CR264" s="1165"/>
      <c r="CS264" s="1165"/>
      <c r="CT264" s="1165"/>
      <c r="CU264" s="1165"/>
      <c r="CV264" s="1165"/>
      <c r="CW264" s="1165"/>
      <c r="CX264" s="1106"/>
      <c r="CY264" s="1106"/>
      <c r="CZ264" s="1106"/>
      <c r="DA264" s="1107"/>
      <c r="DB264" s="1104"/>
    </row>
    <row r="265" spans="2:106" ht="11.25" customHeight="1">
      <c r="B265" s="1105"/>
      <c r="C265" s="1165"/>
      <c r="D265" s="1165"/>
      <c r="E265" s="1165"/>
      <c r="F265" s="1165"/>
      <c r="G265" s="1165"/>
      <c r="H265" s="1165"/>
      <c r="I265" s="1165"/>
      <c r="J265" s="1165"/>
      <c r="K265" s="1165"/>
      <c r="L265" s="1165"/>
      <c r="M265" s="1165"/>
      <c r="N265" s="1165"/>
      <c r="O265" s="1165"/>
      <c r="P265" s="1165"/>
      <c r="Q265" s="1165"/>
      <c r="R265" s="1165"/>
      <c r="S265" s="1165"/>
      <c r="T265" s="1165"/>
      <c r="U265" s="1165"/>
      <c r="V265" s="1165"/>
      <c r="W265" s="1165"/>
      <c r="X265" s="1165"/>
      <c r="Y265" s="1165"/>
      <c r="Z265" s="1165"/>
      <c r="AA265" s="1165"/>
      <c r="AB265" s="1165"/>
      <c r="AC265" s="1165"/>
      <c r="AD265" s="1165"/>
      <c r="AE265" s="1165"/>
      <c r="AF265" s="1165"/>
      <c r="AG265" s="1165"/>
      <c r="AH265" s="1165"/>
      <c r="AI265" s="1165"/>
      <c r="AJ265" s="1165"/>
      <c r="AK265" s="1165"/>
      <c r="AL265" s="1165"/>
      <c r="AM265" s="1165"/>
      <c r="AN265" s="1165"/>
      <c r="AO265" s="1165"/>
      <c r="AP265" s="1165"/>
      <c r="AQ265" s="1165"/>
      <c r="AR265" s="1165"/>
      <c r="AS265" s="1165"/>
      <c r="AT265" s="1165"/>
      <c r="AU265" s="1165"/>
      <c r="AV265" s="1165"/>
      <c r="AW265" s="1165"/>
      <c r="AX265" s="1165"/>
      <c r="AY265" s="1165"/>
      <c r="AZ265" s="1165"/>
      <c r="BA265" s="1165"/>
      <c r="BB265" s="1165"/>
      <c r="BC265" s="1165"/>
      <c r="BD265" s="1165"/>
      <c r="BE265" s="1165"/>
      <c r="BF265" s="1165"/>
      <c r="BG265" s="1165"/>
      <c r="BH265" s="1165"/>
      <c r="BI265" s="1165"/>
      <c r="BJ265" s="1165"/>
      <c r="BK265" s="1165"/>
      <c r="BL265" s="1165"/>
      <c r="BM265" s="1165"/>
      <c r="BN265" s="1165"/>
      <c r="BO265" s="1165"/>
      <c r="BP265" s="1165"/>
      <c r="BQ265" s="1165"/>
      <c r="BR265" s="1165"/>
      <c r="BS265" s="1165"/>
      <c r="BT265" s="1165"/>
      <c r="BU265" s="1165"/>
      <c r="BV265" s="1165"/>
      <c r="BW265" s="1165"/>
      <c r="BX265" s="1165"/>
      <c r="BY265" s="1165"/>
      <c r="BZ265" s="1165"/>
      <c r="CA265" s="1165"/>
      <c r="CB265" s="1165"/>
      <c r="CC265" s="1165"/>
      <c r="CD265" s="1165"/>
      <c r="CE265" s="1165"/>
      <c r="CF265" s="1165"/>
      <c r="CG265" s="1165"/>
      <c r="CH265" s="1165"/>
      <c r="CI265" s="1165"/>
      <c r="CJ265" s="1165"/>
      <c r="CK265" s="1165"/>
      <c r="CL265" s="1165"/>
      <c r="CM265" s="1165"/>
      <c r="CN265" s="1165"/>
      <c r="CO265" s="1165"/>
      <c r="CP265" s="1165"/>
      <c r="CQ265" s="1165"/>
      <c r="CR265" s="1165"/>
      <c r="CS265" s="1165"/>
      <c r="CT265" s="1165"/>
      <c r="CU265" s="1165"/>
      <c r="CV265" s="1165"/>
      <c r="CW265" s="1165"/>
      <c r="CX265" s="1106"/>
      <c r="CY265" s="1106"/>
      <c r="CZ265" s="1106"/>
      <c r="DA265" s="1107"/>
      <c r="DB265" s="1104"/>
    </row>
    <row r="266" spans="2:106" ht="11.25" customHeight="1">
      <c r="B266" s="1105"/>
      <c r="C266" s="1165"/>
      <c r="D266" s="1165"/>
      <c r="E266" s="1165"/>
      <c r="F266" s="1165"/>
      <c r="G266" s="1165"/>
      <c r="H266" s="1165"/>
      <c r="I266" s="1165"/>
      <c r="J266" s="1165"/>
      <c r="K266" s="1165"/>
      <c r="L266" s="1165"/>
      <c r="M266" s="1165"/>
      <c r="N266" s="1165"/>
      <c r="O266" s="1165"/>
      <c r="P266" s="1165"/>
      <c r="Q266" s="1165"/>
      <c r="R266" s="1165"/>
      <c r="S266" s="1165"/>
      <c r="T266" s="1165"/>
      <c r="U266" s="1165"/>
      <c r="V266" s="1165"/>
      <c r="W266" s="1165"/>
      <c r="X266" s="1165"/>
      <c r="Y266" s="1165"/>
      <c r="Z266" s="1165"/>
      <c r="AA266" s="1165"/>
      <c r="AB266" s="1165"/>
      <c r="AC266" s="1165"/>
      <c r="AD266" s="1165"/>
      <c r="AE266" s="1165"/>
      <c r="AF266" s="1165"/>
      <c r="AG266" s="1165"/>
      <c r="AH266" s="1165"/>
      <c r="AI266" s="1165"/>
      <c r="AJ266" s="1165"/>
      <c r="AK266" s="1165"/>
      <c r="AL266" s="1165"/>
      <c r="AM266" s="1165"/>
      <c r="AN266" s="1165"/>
      <c r="AO266" s="1165"/>
      <c r="AP266" s="1165"/>
      <c r="AQ266" s="1165"/>
      <c r="AR266" s="1165"/>
      <c r="AS266" s="1165"/>
      <c r="AT266" s="1165"/>
      <c r="AU266" s="1165"/>
      <c r="AV266" s="1165"/>
      <c r="AW266" s="1165"/>
      <c r="AX266" s="1165"/>
      <c r="AY266" s="1165"/>
      <c r="AZ266" s="1165"/>
      <c r="BA266" s="1165"/>
      <c r="BB266" s="1165"/>
      <c r="BC266" s="1165"/>
      <c r="BD266" s="1165"/>
      <c r="BE266" s="1165"/>
      <c r="BF266" s="1165"/>
      <c r="BG266" s="1165"/>
      <c r="BH266" s="1165"/>
      <c r="BI266" s="1165"/>
      <c r="BJ266" s="1165"/>
      <c r="BK266" s="1165"/>
      <c r="BL266" s="1165"/>
      <c r="BM266" s="1165"/>
      <c r="BN266" s="1165"/>
      <c r="BO266" s="1165"/>
      <c r="BP266" s="1165"/>
      <c r="BQ266" s="1165"/>
      <c r="BR266" s="1165"/>
      <c r="BS266" s="1165"/>
      <c r="BT266" s="1165"/>
      <c r="BU266" s="1165"/>
      <c r="BV266" s="1165"/>
      <c r="BW266" s="1165"/>
      <c r="BX266" s="1165"/>
      <c r="BY266" s="1165"/>
      <c r="BZ266" s="1165"/>
      <c r="CA266" s="1165"/>
      <c r="CB266" s="1165"/>
      <c r="CC266" s="1165"/>
      <c r="CD266" s="1165"/>
      <c r="CE266" s="1165"/>
      <c r="CF266" s="1165"/>
      <c r="CG266" s="1165"/>
      <c r="CH266" s="1165"/>
      <c r="CI266" s="1165"/>
      <c r="CJ266" s="1165"/>
      <c r="CK266" s="1165"/>
      <c r="CL266" s="1165"/>
      <c r="CM266" s="1165"/>
      <c r="CN266" s="1165"/>
      <c r="CO266" s="1165"/>
      <c r="CP266" s="1165"/>
      <c r="CQ266" s="1165"/>
      <c r="CR266" s="1165"/>
      <c r="CS266" s="1165"/>
      <c r="CT266" s="1165"/>
      <c r="CU266" s="1165"/>
      <c r="CV266" s="1165"/>
      <c r="CW266" s="1165"/>
      <c r="CX266" s="1106"/>
      <c r="CY266" s="1106"/>
      <c r="CZ266" s="1106"/>
      <c r="DA266" s="1107"/>
      <c r="DB266" s="1104"/>
    </row>
    <row r="267" spans="2:106" ht="11.25" customHeight="1">
      <c r="B267" s="1105"/>
      <c r="C267" s="1165"/>
      <c r="D267" s="1165"/>
      <c r="E267" s="1165"/>
      <c r="F267" s="1165"/>
      <c r="G267" s="1165"/>
      <c r="H267" s="1165"/>
      <c r="I267" s="1165"/>
      <c r="J267" s="1165"/>
      <c r="K267" s="1165"/>
      <c r="L267" s="1165"/>
      <c r="M267" s="1165"/>
      <c r="N267" s="1165"/>
      <c r="O267" s="1165"/>
      <c r="P267" s="1165"/>
      <c r="Q267" s="1165"/>
      <c r="R267" s="1165"/>
      <c r="S267" s="1165"/>
      <c r="T267" s="1165"/>
      <c r="U267" s="1165"/>
      <c r="V267" s="1165"/>
      <c r="W267" s="1165"/>
      <c r="X267" s="1165"/>
      <c r="Y267" s="1165"/>
      <c r="Z267" s="1165"/>
      <c r="AA267" s="1165"/>
      <c r="AB267" s="1165"/>
      <c r="AC267" s="1165"/>
      <c r="AD267" s="1165"/>
      <c r="AE267" s="1165"/>
      <c r="AF267" s="1165"/>
      <c r="AG267" s="1165"/>
      <c r="AH267" s="1165"/>
      <c r="AI267" s="1165"/>
      <c r="AJ267" s="1165"/>
      <c r="AK267" s="1165"/>
      <c r="AL267" s="1165"/>
      <c r="AM267" s="1165"/>
      <c r="AN267" s="1165"/>
      <c r="AO267" s="1165"/>
      <c r="AP267" s="1165"/>
      <c r="AQ267" s="1165"/>
      <c r="AR267" s="1165"/>
      <c r="AS267" s="1165"/>
      <c r="AT267" s="1165"/>
      <c r="AU267" s="1165"/>
      <c r="AV267" s="1165"/>
      <c r="AW267" s="1165"/>
      <c r="AX267" s="1165"/>
      <c r="AY267" s="1165"/>
      <c r="AZ267" s="1165"/>
      <c r="BA267" s="1165"/>
      <c r="BB267" s="1165"/>
      <c r="BC267" s="1165"/>
      <c r="BD267" s="1165"/>
      <c r="BE267" s="1165"/>
      <c r="BF267" s="1165"/>
      <c r="BG267" s="1165"/>
      <c r="BH267" s="1165"/>
      <c r="BI267" s="1165"/>
      <c r="BJ267" s="1165"/>
      <c r="BK267" s="1165"/>
      <c r="BL267" s="1165"/>
      <c r="BM267" s="1165"/>
      <c r="BN267" s="1165"/>
      <c r="BO267" s="1165"/>
      <c r="BP267" s="1165"/>
      <c r="BQ267" s="1165"/>
      <c r="BR267" s="1165"/>
      <c r="BS267" s="1165"/>
      <c r="BT267" s="1165"/>
      <c r="BU267" s="1165"/>
      <c r="BV267" s="1165"/>
      <c r="BW267" s="1165"/>
      <c r="BX267" s="1165"/>
      <c r="BY267" s="1165"/>
      <c r="BZ267" s="1165"/>
      <c r="CA267" s="1165"/>
      <c r="CB267" s="1165"/>
      <c r="CC267" s="1165"/>
      <c r="CD267" s="1165"/>
      <c r="CE267" s="1165"/>
      <c r="CF267" s="1165"/>
      <c r="CG267" s="1165"/>
      <c r="CH267" s="1165"/>
      <c r="CI267" s="1165"/>
      <c r="CJ267" s="1165"/>
      <c r="CK267" s="1165"/>
      <c r="CL267" s="1165"/>
      <c r="CM267" s="1165"/>
      <c r="CN267" s="1165"/>
      <c r="CO267" s="1165"/>
      <c r="CP267" s="1165"/>
      <c r="CQ267" s="1165"/>
      <c r="CR267" s="1165"/>
      <c r="CS267" s="1165"/>
      <c r="CT267" s="1165"/>
      <c r="CU267" s="1165"/>
      <c r="CV267" s="1165"/>
      <c r="CW267" s="1165"/>
      <c r="CX267" s="1106"/>
      <c r="CY267" s="1106"/>
      <c r="CZ267" s="1106"/>
      <c r="DA267" s="1107"/>
      <c r="DB267" s="1104"/>
    </row>
    <row r="268" spans="2:106" ht="11.25" customHeight="1">
      <c r="B268" s="1105"/>
      <c r="C268" s="1165"/>
      <c r="D268" s="1165"/>
      <c r="E268" s="1165"/>
      <c r="F268" s="1165"/>
      <c r="G268" s="1165"/>
      <c r="H268" s="1165"/>
      <c r="I268" s="1165"/>
      <c r="J268" s="1165"/>
      <c r="K268" s="1165"/>
      <c r="L268" s="1165"/>
      <c r="M268" s="1165"/>
      <c r="N268" s="1165"/>
      <c r="O268" s="1165"/>
      <c r="P268" s="1165"/>
      <c r="Q268" s="1165"/>
      <c r="R268" s="1165"/>
      <c r="S268" s="1165"/>
      <c r="T268" s="1165"/>
      <c r="U268" s="1165"/>
      <c r="V268" s="1165"/>
      <c r="W268" s="1165"/>
      <c r="X268" s="1165"/>
      <c r="Y268" s="1165"/>
      <c r="Z268" s="1165"/>
      <c r="AA268" s="1165"/>
      <c r="AB268" s="1165"/>
      <c r="AC268" s="1165"/>
      <c r="AD268" s="1165"/>
      <c r="AE268" s="1165"/>
      <c r="AF268" s="1165"/>
      <c r="AG268" s="1165"/>
      <c r="AH268" s="1165"/>
      <c r="AI268" s="1165"/>
      <c r="AJ268" s="1165"/>
      <c r="AK268" s="1165"/>
      <c r="AL268" s="1165"/>
      <c r="AM268" s="1165"/>
      <c r="AN268" s="1165"/>
      <c r="AO268" s="1165"/>
      <c r="AP268" s="1165"/>
      <c r="AQ268" s="1165"/>
      <c r="AR268" s="1165"/>
      <c r="AS268" s="1165"/>
      <c r="AT268" s="1165"/>
      <c r="AU268" s="1165"/>
      <c r="AV268" s="1165"/>
      <c r="AW268" s="1165"/>
      <c r="AX268" s="1165"/>
      <c r="AY268" s="1165"/>
      <c r="AZ268" s="1165"/>
      <c r="BA268" s="1165"/>
      <c r="BB268" s="1165"/>
      <c r="BC268" s="1165"/>
      <c r="BD268" s="1165"/>
      <c r="BE268" s="1165"/>
      <c r="BF268" s="1165"/>
      <c r="BG268" s="1165"/>
      <c r="BH268" s="1165"/>
      <c r="BI268" s="1165"/>
      <c r="BJ268" s="1165"/>
      <c r="BK268" s="1165"/>
      <c r="BL268" s="1165"/>
      <c r="BM268" s="1165"/>
      <c r="BN268" s="1165"/>
      <c r="BO268" s="1165"/>
      <c r="BP268" s="1165"/>
      <c r="BQ268" s="1165"/>
      <c r="BR268" s="1165"/>
      <c r="BS268" s="1165"/>
      <c r="BT268" s="1165"/>
      <c r="BU268" s="1165"/>
      <c r="BV268" s="1165"/>
      <c r="BW268" s="1165"/>
      <c r="BX268" s="1165"/>
      <c r="BY268" s="1165"/>
      <c r="BZ268" s="1165"/>
      <c r="CA268" s="1165"/>
      <c r="CB268" s="1165"/>
      <c r="CC268" s="1165"/>
      <c r="CD268" s="1165"/>
      <c r="CE268" s="1165"/>
      <c r="CF268" s="1165"/>
      <c r="CG268" s="1165"/>
      <c r="CH268" s="1165"/>
      <c r="CI268" s="1165"/>
      <c r="CJ268" s="1165"/>
      <c r="CK268" s="1165"/>
      <c r="CL268" s="1165"/>
      <c r="CM268" s="1165"/>
      <c r="CN268" s="1165"/>
      <c r="CO268" s="1165"/>
      <c r="CP268" s="1165"/>
      <c r="CQ268" s="1165"/>
      <c r="CR268" s="1165"/>
      <c r="CS268" s="1165"/>
      <c r="CT268" s="1165"/>
      <c r="CU268" s="1165"/>
      <c r="CV268" s="1165"/>
      <c r="CW268" s="1165"/>
      <c r="CX268" s="1106"/>
      <c r="CY268" s="1106"/>
      <c r="CZ268" s="1106"/>
      <c r="DA268" s="1107"/>
      <c r="DB268" s="1104"/>
    </row>
    <row r="269" spans="2:106" ht="11.25" customHeight="1">
      <c r="B269" s="1105"/>
      <c r="C269" s="1165"/>
      <c r="D269" s="1165"/>
      <c r="E269" s="1165"/>
      <c r="F269" s="1165"/>
      <c r="G269" s="1165"/>
      <c r="H269" s="1165"/>
      <c r="I269" s="1165"/>
      <c r="J269" s="1165"/>
      <c r="K269" s="1165"/>
      <c r="L269" s="1165"/>
      <c r="M269" s="1165"/>
      <c r="N269" s="1165"/>
      <c r="O269" s="1165"/>
      <c r="P269" s="1165"/>
      <c r="Q269" s="1165"/>
      <c r="R269" s="1165"/>
      <c r="S269" s="1165"/>
      <c r="T269" s="1165"/>
      <c r="U269" s="1165"/>
      <c r="V269" s="1165"/>
      <c r="W269" s="1165"/>
      <c r="X269" s="1165"/>
      <c r="Y269" s="1165"/>
      <c r="Z269" s="1165"/>
      <c r="AA269" s="1165"/>
      <c r="AB269" s="1165"/>
      <c r="AC269" s="1165"/>
      <c r="AD269" s="1165"/>
      <c r="AE269" s="1165"/>
      <c r="AF269" s="1165"/>
      <c r="AG269" s="1165"/>
      <c r="AH269" s="1165"/>
      <c r="AI269" s="1165"/>
      <c r="AJ269" s="1165"/>
      <c r="AK269" s="1165"/>
      <c r="AL269" s="1165"/>
      <c r="AM269" s="1165"/>
      <c r="AN269" s="1165"/>
      <c r="AO269" s="1165"/>
      <c r="AP269" s="1165"/>
      <c r="AQ269" s="1165"/>
      <c r="AR269" s="1165"/>
      <c r="AS269" s="1165"/>
      <c r="AT269" s="1165"/>
      <c r="AU269" s="1165"/>
      <c r="AV269" s="1165"/>
      <c r="AW269" s="1165"/>
      <c r="AX269" s="1165"/>
      <c r="AY269" s="1165"/>
      <c r="AZ269" s="1165"/>
      <c r="BA269" s="1165"/>
      <c r="BB269" s="1165"/>
      <c r="BC269" s="1165"/>
      <c r="BD269" s="1165"/>
      <c r="BE269" s="1165"/>
      <c r="BF269" s="1165"/>
      <c r="BG269" s="1165"/>
      <c r="BH269" s="1165"/>
      <c r="BI269" s="1165"/>
      <c r="BJ269" s="1165"/>
      <c r="BK269" s="1165"/>
      <c r="BL269" s="1165"/>
      <c r="BM269" s="1165"/>
      <c r="BN269" s="1165"/>
      <c r="BO269" s="1165"/>
      <c r="BP269" s="1165"/>
      <c r="BQ269" s="1165"/>
      <c r="BR269" s="1165"/>
      <c r="BS269" s="1165"/>
      <c r="BT269" s="1165"/>
      <c r="BU269" s="1165"/>
      <c r="BV269" s="1165"/>
      <c r="BW269" s="1165"/>
      <c r="BX269" s="1165"/>
      <c r="BY269" s="1165"/>
      <c r="BZ269" s="1165"/>
      <c r="CA269" s="1165"/>
      <c r="CB269" s="1165"/>
      <c r="CC269" s="1165"/>
      <c r="CD269" s="1165"/>
      <c r="CE269" s="1165"/>
      <c r="CF269" s="1165"/>
      <c r="CG269" s="1165"/>
      <c r="CH269" s="1165"/>
      <c r="CI269" s="1165"/>
      <c r="CJ269" s="1165"/>
      <c r="CK269" s="1165"/>
      <c r="CL269" s="1165"/>
      <c r="CM269" s="1165"/>
      <c r="CN269" s="1165"/>
      <c r="CO269" s="1165"/>
      <c r="CP269" s="1165"/>
      <c r="CQ269" s="1165"/>
      <c r="CR269" s="1165"/>
      <c r="CS269" s="1165"/>
      <c r="CT269" s="1165"/>
      <c r="CU269" s="1165"/>
      <c r="CV269" s="1165"/>
      <c r="CW269" s="1165"/>
      <c r="CX269" s="1106"/>
      <c r="CY269" s="1106"/>
      <c r="CZ269" s="1106"/>
      <c r="DA269" s="1107"/>
      <c r="DB269" s="1104"/>
    </row>
    <row r="270" spans="2:106" ht="11.25" customHeight="1">
      <c r="B270" s="1105"/>
      <c r="C270" s="1165"/>
      <c r="D270" s="1165"/>
      <c r="E270" s="1165"/>
      <c r="F270" s="1165"/>
      <c r="G270" s="1165"/>
      <c r="H270" s="1165"/>
      <c r="I270" s="1165"/>
      <c r="J270" s="1165"/>
      <c r="K270" s="1165"/>
      <c r="L270" s="1165"/>
      <c r="M270" s="1165"/>
      <c r="N270" s="1165"/>
      <c r="O270" s="1165"/>
      <c r="P270" s="1165"/>
      <c r="Q270" s="1165"/>
      <c r="R270" s="1165"/>
      <c r="S270" s="1165"/>
      <c r="T270" s="1165"/>
      <c r="U270" s="1165"/>
      <c r="V270" s="1165"/>
      <c r="W270" s="1165"/>
      <c r="X270" s="1165"/>
      <c r="Y270" s="1165"/>
      <c r="Z270" s="1165"/>
      <c r="AA270" s="1165"/>
      <c r="AB270" s="1165"/>
      <c r="AC270" s="1165"/>
      <c r="AD270" s="1165"/>
      <c r="AE270" s="1165"/>
      <c r="AF270" s="1165"/>
      <c r="AG270" s="1165"/>
      <c r="AH270" s="1165"/>
      <c r="AI270" s="1165"/>
      <c r="AJ270" s="1165"/>
      <c r="AK270" s="1165"/>
      <c r="AL270" s="1165"/>
      <c r="AM270" s="1165"/>
      <c r="AN270" s="1165"/>
      <c r="AO270" s="1165"/>
      <c r="AP270" s="1165"/>
      <c r="AQ270" s="1165"/>
      <c r="AR270" s="1165"/>
      <c r="AS270" s="1165"/>
      <c r="AT270" s="1165"/>
      <c r="AU270" s="1165"/>
      <c r="AV270" s="1165"/>
      <c r="AW270" s="1165"/>
      <c r="AX270" s="1165"/>
      <c r="AY270" s="1165"/>
      <c r="AZ270" s="1165"/>
      <c r="BA270" s="1165"/>
      <c r="BB270" s="1165"/>
      <c r="BC270" s="1165"/>
      <c r="BD270" s="1165"/>
      <c r="BE270" s="1165"/>
      <c r="BF270" s="1165"/>
      <c r="BG270" s="1165"/>
      <c r="BH270" s="1165"/>
      <c r="BI270" s="1165"/>
      <c r="BJ270" s="1165"/>
      <c r="BK270" s="1165"/>
      <c r="BL270" s="1165"/>
      <c r="BM270" s="1165"/>
      <c r="BN270" s="1165"/>
      <c r="BO270" s="1165"/>
      <c r="BP270" s="1165"/>
      <c r="BQ270" s="1165"/>
      <c r="BR270" s="1165"/>
      <c r="BS270" s="1165"/>
      <c r="BT270" s="1165"/>
      <c r="BU270" s="1165"/>
      <c r="BV270" s="1165"/>
      <c r="BW270" s="1165"/>
      <c r="BX270" s="1165"/>
      <c r="BY270" s="1165"/>
      <c r="BZ270" s="1165"/>
      <c r="CA270" s="1165"/>
      <c r="CB270" s="1165"/>
      <c r="CC270" s="1165"/>
      <c r="CD270" s="1165"/>
      <c r="CE270" s="1165"/>
      <c r="CF270" s="1165"/>
      <c r="CG270" s="1165"/>
      <c r="CH270" s="1165"/>
      <c r="CI270" s="1165"/>
      <c r="CJ270" s="1165"/>
      <c r="CK270" s="1165"/>
      <c r="CL270" s="1165"/>
      <c r="CM270" s="1165"/>
      <c r="CN270" s="1165"/>
      <c r="CO270" s="1165"/>
      <c r="CP270" s="1165"/>
      <c r="CQ270" s="1165"/>
      <c r="CR270" s="1165"/>
      <c r="CS270" s="1165"/>
      <c r="CT270" s="1165"/>
      <c r="CU270" s="1165"/>
      <c r="CV270" s="1165"/>
      <c r="CW270" s="1165"/>
      <c r="CX270" s="1106"/>
      <c r="CY270" s="1106"/>
      <c r="CZ270" s="1106"/>
      <c r="DA270" s="1107"/>
      <c r="DB270" s="1104"/>
    </row>
    <row r="271" spans="2:106" ht="11.25" customHeight="1">
      <c r="B271" s="1105"/>
      <c r="C271" s="1165"/>
      <c r="D271" s="1165"/>
      <c r="E271" s="1165"/>
      <c r="F271" s="1165"/>
      <c r="G271" s="1165"/>
      <c r="H271" s="1165"/>
      <c r="I271" s="1165"/>
      <c r="J271" s="1165"/>
      <c r="K271" s="1165"/>
      <c r="L271" s="1165"/>
      <c r="M271" s="1165"/>
      <c r="N271" s="1165"/>
      <c r="O271" s="1165"/>
      <c r="P271" s="1165"/>
      <c r="Q271" s="1165"/>
      <c r="R271" s="1165"/>
      <c r="S271" s="1165"/>
      <c r="T271" s="1165"/>
      <c r="U271" s="1165"/>
      <c r="V271" s="1165"/>
      <c r="W271" s="1165"/>
      <c r="X271" s="1165"/>
      <c r="Y271" s="1165"/>
      <c r="Z271" s="1165"/>
      <c r="AA271" s="1165"/>
      <c r="AB271" s="1165"/>
      <c r="AC271" s="1165"/>
      <c r="AD271" s="1165"/>
      <c r="AE271" s="1165"/>
      <c r="AF271" s="1165"/>
      <c r="AG271" s="1165"/>
      <c r="AH271" s="1165"/>
      <c r="AI271" s="1165"/>
      <c r="AJ271" s="1165"/>
      <c r="AK271" s="1165"/>
      <c r="AL271" s="1165"/>
      <c r="AM271" s="1165"/>
      <c r="AN271" s="1165"/>
      <c r="AO271" s="1165"/>
      <c r="AP271" s="1165"/>
      <c r="AQ271" s="1165"/>
      <c r="AR271" s="1165"/>
      <c r="AS271" s="1165"/>
      <c r="AT271" s="1165"/>
      <c r="AU271" s="1165"/>
      <c r="AV271" s="1165"/>
      <c r="AW271" s="1165"/>
      <c r="AX271" s="1165"/>
      <c r="AY271" s="1165"/>
      <c r="AZ271" s="1165"/>
      <c r="BA271" s="1165"/>
      <c r="BB271" s="1165"/>
      <c r="BC271" s="1165"/>
      <c r="BD271" s="1165"/>
      <c r="BE271" s="1165"/>
      <c r="BF271" s="1165"/>
      <c r="BG271" s="1165"/>
      <c r="BH271" s="1165"/>
      <c r="BI271" s="1165"/>
      <c r="BJ271" s="1165"/>
      <c r="BK271" s="1165"/>
      <c r="BL271" s="1165"/>
      <c r="BM271" s="1165"/>
      <c r="BN271" s="1165"/>
      <c r="BO271" s="1165"/>
      <c r="BP271" s="1165"/>
      <c r="BQ271" s="1165"/>
      <c r="BR271" s="1165"/>
      <c r="BS271" s="1165"/>
      <c r="BT271" s="1165"/>
      <c r="BU271" s="1165"/>
      <c r="BV271" s="1165"/>
      <c r="BW271" s="1165"/>
      <c r="BX271" s="1165"/>
      <c r="BY271" s="1165"/>
      <c r="BZ271" s="1165"/>
      <c r="CA271" s="1165"/>
      <c r="CB271" s="1165"/>
      <c r="CC271" s="1165"/>
      <c r="CD271" s="1165"/>
      <c r="CE271" s="1165"/>
      <c r="CF271" s="1165"/>
      <c r="CG271" s="1165"/>
      <c r="CH271" s="1165"/>
      <c r="CI271" s="1165"/>
      <c r="CJ271" s="1165"/>
      <c r="CK271" s="1165"/>
      <c r="CL271" s="1165"/>
      <c r="CM271" s="1165"/>
      <c r="CN271" s="1165"/>
      <c r="CO271" s="1165"/>
      <c r="CP271" s="1165"/>
      <c r="CQ271" s="1165"/>
      <c r="CR271" s="1165"/>
      <c r="CS271" s="1165"/>
      <c r="CT271" s="1165"/>
      <c r="CU271" s="1165"/>
      <c r="CV271" s="1165"/>
      <c r="CW271" s="1165"/>
      <c r="CX271" s="1106"/>
      <c r="CY271" s="1106"/>
      <c r="CZ271" s="1106"/>
      <c r="DA271" s="1107"/>
      <c r="DB271" s="1104"/>
    </row>
    <row r="272" spans="2:106" ht="11.25" customHeight="1">
      <c r="B272" s="1105"/>
      <c r="C272" s="1165"/>
      <c r="D272" s="1165"/>
      <c r="E272" s="1165"/>
      <c r="F272" s="1165"/>
      <c r="G272" s="1165"/>
      <c r="H272" s="1165"/>
      <c r="I272" s="1165"/>
      <c r="J272" s="1165"/>
      <c r="K272" s="1165"/>
      <c r="L272" s="1165"/>
      <c r="M272" s="1165"/>
      <c r="N272" s="1165"/>
      <c r="O272" s="1165"/>
      <c r="P272" s="1165"/>
      <c r="Q272" s="1165"/>
      <c r="R272" s="1165"/>
      <c r="S272" s="1165"/>
      <c r="T272" s="1165"/>
      <c r="U272" s="1165"/>
      <c r="V272" s="1165"/>
      <c r="W272" s="1165"/>
      <c r="X272" s="1165"/>
      <c r="Y272" s="1165"/>
      <c r="Z272" s="1165"/>
      <c r="AA272" s="1165"/>
      <c r="AB272" s="1165"/>
      <c r="AC272" s="1165"/>
      <c r="AD272" s="1165"/>
      <c r="AE272" s="1165"/>
      <c r="AF272" s="1165"/>
      <c r="AG272" s="1165"/>
      <c r="AH272" s="1165"/>
      <c r="AI272" s="1165"/>
      <c r="AJ272" s="1165"/>
      <c r="AK272" s="1165"/>
      <c r="AL272" s="1165"/>
      <c r="AM272" s="1165"/>
      <c r="AN272" s="1165"/>
      <c r="AO272" s="1165"/>
      <c r="AP272" s="1165"/>
      <c r="AQ272" s="1165"/>
      <c r="AR272" s="1165"/>
      <c r="AS272" s="1165"/>
      <c r="AT272" s="1165"/>
      <c r="AU272" s="1165"/>
      <c r="AV272" s="1165"/>
      <c r="AW272" s="1165"/>
      <c r="AX272" s="1165"/>
      <c r="AY272" s="1165"/>
      <c r="AZ272" s="1165"/>
      <c r="BA272" s="1165"/>
      <c r="BB272" s="1165"/>
      <c r="BC272" s="1165"/>
      <c r="BD272" s="1165"/>
      <c r="BE272" s="1165"/>
      <c r="BF272" s="1165"/>
      <c r="BG272" s="1165"/>
      <c r="BH272" s="1165"/>
      <c r="BI272" s="1165"/>
      <c r="BJ272" s="1165"/>
      <c r="BK272" s="1165"/>
      <c r="BL272" s="1165"/>
      <c r="BM272" s="1165"/>
      <c r="BN272" s="1165"/>
      <c r="BO272" s="1165"/>
      <c r="BP272" s="1165"/>
      <c r="BQ272" s="1165"/>
      <c r="BR272" s="1165"/>
      <c r="BS272" s="1165"/>
      <c r="BT272" s="1165"/>
      <c r="BU272" s="1165"/>
      <c r="BV272" s="1165"/>
      <c r="BW272" s="1165"/>
      <c r="BX272" s="1165"/>
      <c r="BY272" s="1165"/>
      <c r="BZ272" s="1165"/>
      <c r="CA272" s="1165"/>
      <c r="CB272" s="1165"/>
      <c r="CC272" s="1165"/>
      <c r="CD272" s="1165"/>
      <c r="CE272" s="1165"/>
      <c r="CF272" s="1165"/>
      <c r="CG272" s="1165"/>
      <c r="CH272" s="1165"/>
      <c r="CI272" s="1165"/>
      <c r="CJ272" s="1165"/>
      <c r="CK272" s="1165"/>
      <c r="CL272" s="1165"/>
      <c r="CM272" s="1165"/>
      <c r="CN272" s="1165"/>
      <c r="CO272" s="1165"/>
      <c r="CP272" s="1165"/>
      <c r="CQ272" s="1165"/>
      <c r="CR272" s="1165"/>
      <c r="CS272" s="1165"/>
      <c r="CT272" s="1165"/>
      <c r="CU272" s="1165"/>
      <c r="CV272" s="1165"/>
      <c r="CW272" s="1165"/>
      <c r="CX272" s="1106"/>
      <c r="CY272" s="1106"/>
      <c r="CZ272" s="1106"/>
      <c r="DA272" s="1107"/>
      <c r="DB272" s="1104"/>
    </row>
    <row r="273" spans="2:106" ht="11.25" customHeight="1">
      <c r="B273" s="1105"/>
      <c r="C273" s="1165"/>
      <c r="D273" s="1165"/>
      <c r="E273" s="1165"/>
      <c r="F273" s="1165"/>
      <c r="G273" s="1165"/>
      <c r="H273" s="1165"/>
      <c r="I273" s="1165"/>
      <c r="J273" s="1165"/>
      <c r="K273" s="1165"/>
      <c r="L273" s="1165"/>
      <c r="M273" s="1165"/>
      <c r="N273" s="1165"/>
      <c r="O273" s="1165"/>
      <c r="P273" s="1165"/>
      <c r="Q273" s="1165"/>
      <c r="R273" s="1165"/>
      <c r="S273" s="1165"/>
      <c r="T273" s="1165"/>
      <c r="U273" s="1165"/>
      <c r="V273" s="1165"/>
      <c r="W273" s="1165"/>
      <c r="X273" s="1165"/>
      <c r="Y273" s="1165"/>
      <c r="Z273" s="1165"/>
      <c r="AA273" s="1165"/>
      <c r="AB273" s="1165"/>
      <c r="AC273" s="1165"/>
      <c r="AD273" s="1165"/>
      <c r="AE273" s="1165"/>
      <c r="AF273" s="1165"/>
      <c r="AG273" s="1165"/>
      <c r="AH273" s="1165"/>
      <c r="AI273" s="1165"/>
      <c r="AJ273" s="1165"/>
      <c r="AK273" s="1165"/>
      <c r="AL273" s="1165"/>
      <c r="AM273" s="1165"/>
      <c r="AN273" s="1165"/>
      <c r="AO273" s="1165"/>
      <c r="AP273" s="1165"/>
      <c r="AQ273" s="1165"/>
      <c r="AR273" s="1165"/>
      <c r="AS273" s="1165"/>
      <c r="AT273" s="1165"/>
      <c r="AU273" s="1165"/>
      <c r="AV273" s="1165"/>
      <c r="AW273" s="1165"/>
      <c r="AX273" s="1165"/>
      <c r="AY273" s="1165"/>
      <c r="AZ273" s="1165"/>
      <c r="BA273" s="1165"/>
      <c r="BB273" s="1165"/>
      <c r="BC273" s="1165"/>
      <c r="BD273" s="1165"/>
      <c r="BE273" s="1165"/>
      <c r="BF273" s="1165"/>
      <c r="BG273" s="1165"/>
      <c r="BH273" s="1165"/>
      <c r="BI273" s="1165"/>
      <c r="BJ273" s="1165"/>
      <c r="BK273" s="1165"/>
      <c r="BL273" s="1165"/>
      <c r="BM273" s="1165"/>
      <c r="BN273" s="1165"/>
      <c r="BO273" s="1165"/>
      <c r="BP273" s="1165"/>
      <c r="BQ273" s="1165"/>
      <c r="BR273" s="1165"/>
      <c r="BS273" s="1165"/>
      <c r="BT273" s="1165"/>
      <c r="BU273" s="1165"/>
      <c r="BV273" s="1165"/>
      <c r="BW273" s="1165"/>
      <c r="BX273" s="1165"/>
      <c r="BY273" s="1165"/>
      <c r="BZ273" s="1165"/>
      <c r="CA273" s="1165"/>
      <c r="CB273" s="1165"/>
      <c r="CC273" s="1165"/>
      <c r="CD273" s="1165"/>
      <c r="CE273" s="1165"/>
      <c r="CF273" s="1165"/>
      <c r="CG273" s="1165"/>
      <c r="CH273" s="1165"/>
      <c r="CI273" s="1165"/>
      <c r="CJ273" s="1165"/>
      <c r="CK273" s="1165"/>
      <c r="CL273" s="1165"/>
      <c r="CM273" s="1165"/>
      <c r="CN273" s="1165"/>
      <c r="CO273" s="1165"/>
      <c r="CP273" s="1165"/>
      <c r="CQ273" s="1165"/>
      <c r="CR273" s="1165"/>
      <c r="CS273" s="1165"/>
      <c r="CT273" s="1165"/>
      <c r="CU273" s="1165"/>
      <c r="CV273" s="1165"/>
      <c r="CW273" s="1165"/>
      <c r="CX273" s="1106"/>
      <c r="CY273" s="1106"/>
      <c r="CZ273" s="1106"/>
      <c r="DA273" s="1107"/>
      <c r="DB273" s="1104"/>
    </row>
    <row r="274" spans="2:106" ht="11.25" customHeight="1">
      <c r="B274" s="1105"/>
      <c r="C274" s="1165"/>
      <c r="D274" s="1165"/>
      <c r="E274" s="1165"/>
      <c r="F274" s="1165"/>
      <c r="G274" s="1165"/>
      <c r="H274" s="1165"/>
      <c r="I274" s="1165"/>
      <c r="J274" s="1165"/>
      <c r="K274" s="1165"/>
      <c r="L274" s="1165"/>
      <c r="M274" s="1165"/>
      <c r="N274" s="1165"/>
      <c r="O274" s="1165"/>
      <c r="P274" s="1165"/>
      <c r="Q274" s="1165"/>
      <c r="R274" s="1165"/>
      <c r="S274" s="1165"/>
      <c r="T274" s="1165"/>
      <c r="U274" s="1165"/>
      <c r="V274" s="1165"/>
      <c r="W274" s="1165"/>
      <c r="X274" s="1165"/>
      <c r="Y274" s="1165"/>
      <c r="Z274" s="1165"/>
      <c r="AA274" s="1165"/>
      <c r="AB274" s="1165"/>
      <c r="AC274" s="1165"/>
      <c r="AD274" s="1165"/>
      <c r="AE274" s="1165"/>
      <c r="AF274" s="1165"/>
      <c r="AG274" s="1165"/>
      <c r="AH274" s="1165"/>
      <c r="AI274" s="1165"/>
      <c r="AJ274" s="1165"/>
      <c r="AK274" s="1165"/>
      <c r="AL274" s="1165"/>
      <c r="AM274" s="1165"/>
      <c r="AN274" s="1165"/>
      <c r="AO274" s="1165"/>
      <c r="AP274" s="1165"/>
      <c r="AQ274" s="1165"/>
      <c r="AR274" s="1165"/>
      <c r="AS274" s="1165"/>
      <c r="AT274" s="1165"/>
      <c r="AU274" s="1165"/>
      <c r="AV274" s="1165"/>
      <c r="AW274" s="1165"/>
      <c r="AX274" s="1165"/>
      <c r="AY274" s="1165"/>
      <c r="AZ274" s="1165"/>
      <c r="BA274" s="1165"/>
      <c r="BB274" s="1165"/>
      <c r="BC274" s="1165"/>
      <c r="BD274" s="1165"/>
      <c r="BE274" s="1165"/>
      <c r="BF274" s="1165"/>
      <c r="BG274" s="1165"/>
      <c r="BH274" s="1165"/>
      <c r="BI274" s="1165"/>
      <c r="BJ274" s="1165"/>
      <c r="BK274" s="1165"/>
      <c r="BL274" s="1165"/>
      <c r="BM274" s="1165"/>
      <c r="BN274" s="1165"/>
      <c r="BO274" s="1165"/>
      <c r="BP274" s="1165"/>
      <c r="BQ274" s="1165"/>
      <c r="BR274" s="1165"/>
      <c r="BS274" s="1165"/>
      <c r="BT274" s="1165"/>
      <c r="BU274" s="1165"/>
      <c r="BV274" s="1165"/>
      <c r="BW274" s="1165"/>
      <c r="BX274" s="1165"/>
      <c r="BY274" s="1165"/>
      <c r="BZ274" s="1165"/>
      <c r="CA274" s="1165"/>
      <c r="CB274" s="1165"/>
      <c r="CC274" s="1165"/>
      <c r="CD274" s="1165"/>
      <c r="CE274" s="1165"/>
      <c r="CF274" s="1165"/>
      <c r="CG274" s="1165"/>
      <c r="CH274" s="1165"/>
      <c r="CI274" s="1165"/>
      <c r="CJ274" s="1165"/>
      <c r="CK274" s="1165"/>
      <c r="CL274" s="1165"/>
      <c r="CM274" s="1165"/>
      <c r="CN274" s="1165"/>
      <c r="CO274" s="1165"/>
      <c r="CP274" s="1165"/>
      <c r="CQ274" s="1165"/>
      <c r="CR274" s="1165"/>
      <c r="CS274" s="1165"/>
      <c r="CT274" s="1165"/>
      <c r="CU274" s="1165"/>
      <c r="CV274" s="1165"/>
      <c r="CW274" s="1165"/>
      <c r="CX274" s="1106"/>
      <c r="CY274" s="1106"/>
      <c r="CZ274" s="1106"/>
      <c r="DA274" s="1107"/>
      <c r="DB274" s="1104"/>
    </row>
    <row r="275" spans="2:106" ht="11.25" customHeight="1">
      <c r="B275" s="1105"/>
      <c r="C275" s="1165"/>
      <c r="D275" s="1165"/>
      <c r="E275" s="1165"/>
      <c r="F275" s="1165"/>
      <c r="G275" s="1165"/>
      <c r="H275" s="1165"/>
      <c r="I275" s="1165"/>
      <c r="J275" s="1165"/>
      <c r="K275" s="1165"/>
      <c r="L275" s="1165"/>
      <c r="M275" s="1165"/>
      <c r="N275" s="1165"/>
      <c r="O275" s="1165"/>
      <c r="P275" s="1165"/>
      <c r="Q275" s="1165"/>
      <c r="R275" s="1165"/>
      <c r="S275" s="1165"/>
      <c r="T275" s="1165"/>
      <c r="U275" s="1165"/>
      <c r="V275" s="1165"/>
      <c r="W275" s="1165"/>
      <c r="X275" s="1165"/>
      <c r="Y275" s="1165"/>
      <c r="Z275" s="1165"/>
      <c r="AA275" s="1165"/>
      <c r="AB275" s="1165"/>
      <c r="AC275" s="1165"/>
      <c r="AD275" s="1165"/>
      <c r="AE275" s="1165"/>
      <c r="AF275" s="1165"/>
      <c r="AG275" s="1165"/>
      <c r="AH275" s="1165"/>
      <c r="AI275" s="1165"/>
      <c r="AJ275" s="1165"/>
      <c r="AK275" s="1165"/>
      <c r="AL275" s="1165"/>
      <c r="AM275" s="1165"/>
      <c r="AN275" s="1165"/>
      <c r="AO275" s="1165"/>
      <c r="AP275" s="1165"/>
      <c r="AQ275" s="1165"/>
      <c r="AR275" s="1165"/>
      <c r="AS275" s="1165"/>
      <c r="AT275" s="1165"/>
      <c r="AU275" s="1165"/>
      <c r="AV275" s="1165"/>
      <c r="AW275" s="1165"/>
      <c r="AX275" s="1165"/>
      <c r="AY275" s="1165"/>
      <c r="AZ275" s="1165"/>
      <c r="BA275" s="1165"/>
      <c r="BB275" s="1165"/>
      <c r="BC275" s="1165"/>
      <c r="BD275" s="1165"/>
      <c r="BE275" s="1165"/>
      <c r="BF275" s="1165"/>
      <c r="BG275" s="1165"/>
      <c r="BH275" s="1165"/>
      <c r="BI275" s="1165"/>
      <c r="BJ275" s="1165"/>
      <c r="BK275" s="1165"/>
      <c r="BL275" s="1165"/>
      <c r="BM275" s="1165"/>
      <c r="BN275" s="1165"/>
      <c r="BO275" s="1165"/>
      <c r="BP275" s="1165"/>
      <c r="BQ275" s="1165"/>
      <c r="BR275" s="1165"/>
      <c r="BS275" s="1165"/>
      <c r="BT275" s="1165"/>
      <c r="BU275" s="1165"/>
      <c r="BV275" s="1165"/>
      <c r="BW275" s="1165"/>
      <c r="BX275" s="1165"/>
      <c r="BY275" s="1165"/>
      <c r="BZ275" s="1165"/>
      <c r="CA275" s="1165"/>
      <c r="CB275" s="1165"/>
      <c r="CC275" s="1165"/>
      <c r="CD275" s="1165"/>
      <c r="CE275" s="1165"/>
      <c r="CF275" s="1165"/>
      <c r="CG275" s="1165"/>
      <c r="CH275" s="1165"/>
      <c r="CI275" s="1165"/>
      <c r="CJ275" s="1165"/>
      <c r="CK275" s="1165"/>
      <c r="CL275" s="1165"/>
      <c r="CM275" s="1165"/>
      <c r="CN275" s="1165"/>
      <c r="CO275" s="1165"/>
      <c r="CP275" s="1165"/>
      <c r="CQ275" s="1165"/>
      <c r="CR275" s="1165"/>
      <c r="CS275" s="1165"/>
      <c r="CT275" s="1165"/>
      <c r="CU275" s="1165"/>
      <c r="CV275" s="1165"/>
      <c r="CW275" s="1165"/>
      <c r="CX275" s="1106"/>
      <c r="CY275" s="1106"/>
      <c r="CZ275" s="1106"/>
      <c r="DA275" s="1107"/>
      <c r="DB275" s="1104"/>
    </row>
    <row r="276" spans="2:106" ht="11.25" customHeight="1">
      <c r="B276" s="1109"/>
      <c r="C276" s="1184"/>
      <c r="D276" s="1184"/>
      <c r="E276" s="1184"/>
      <c r="F276" s="1184"/>
      <c r="G276" s="1184"/>
      <c r="H276" s="1184"/>
      <c r="I276" s="1184"/>
      <c r="J276" s="1184"/>
      <c r="K276" s="1184"/>
      <c r="L276" s="1184"/>
      <c r="M276" s="1184"/>
      <c r="N276" s="1184"/>
      <c r="O276" s="1184"/>
      <c r="P276" s="1184"/>
      <c r="Q276" s="1184"/>
      <c r="R276" s="1184"/>
      <c r="S276" s="1184"/>
      <c r="T276" s="1184"/>
      <c r="U276" s="1184"/>
      <c r="V276" s="1184"/>
      <c r="W276" s="1184"/>
      <c r="X276" s="1184"/>
      <c r="Y276" s="1184"/>
      <c r="Z276" s="1184"/>
      <c r="AA276" s="1184"/>
      <c r="AB276" s="1184"/>
      <c r="AC276" s="1184"/>
      <c r="AD276" s="1184"/>
      <c r="AE276" s="1184"/>
      <c r="AF276" s="1184"/>
      <c r="AG276" s="1184"/>
      <c r="AH276" s="1184"/>
      <c r="AI276" s="1184"/>
      <c r="AJ276" s="1184"/>
      <c r="AK276" s="1184"/>
      <c r="AL276" s="1184"/>
      <c r="AM276" s="1184"/>
      <c r="AN276" s="1184"/>
      <c r="AO276" s="1184"/>
      <c r="AP276" s="1184"/>
      <c r="AQ276" s="1184"/>
      <c r="AR276" s="1184"/>
      <c r="AS276" s="1184"/>
      <c r="AT276" s="1184"/>
      <c r="AU276" s="1184"/>
      <c r="AV276" s="1184"/>
      <c r="AW276" s="1184"/>
      <c r="AX276" s="1184"/>
      <c r="AY276" s="1184"/>
      <c r="AZ276" s="1184"/>
      <c r="BA276" s="1184"/>
      <c r="BB276" s="1184"/>
      <c r="BC276" s="1184"/>
      <c r="BD276" s="1184"/>
      <c r="BE276" s="1184"/>
      <c r="BF276" s="1184"/>
      <c r="BG276" s="1184"/>
      <c r="BH276" s="1184"/>
      <c r="BI276" s="1184"/>
      <c r="BJ276" s="1184"/>
      <c r="BK276" s="1184"/>
      <c r="BL276" s="1184"/>
      <c r="BM276" s="1184"/>
      <c r="BN276" s="1184"/>
      <c r="BO276" s="1184"/>
      <c r="BP276" s="1184"/>
      <c r="BQ276" s="1184"/>
      <c r="BR276" s="1184"/>
      <c r="BS276" s="1184"/>
      <c r="BT276" s="1184"/>
      <c r="BU276" s="1184"/>
      <c r="BV276" s="1184"/>
      <c r="BW276" s="1184"/>
      <c r="BX276" s="1184"/>
      <c r="BY276" s="1184"/>
      <c r="BZ276" s="1184"/>
      <c r="CA276" s="1184"/>
      <c r="CB276" s="1184"/>
      <c r="CC276" s="1184"/>
      <c r="CD276" s="1184"/>
      <c r="CE276" s="1184"/>
      <c r="CF276" s="1184"/>
      <c r="CG276" s="1184"/>
      <c r="CH276" s="1184"/>
      <c r="CI276" s="1184"/>
      <c r="CJ276" s="1184"/>
      <c r="CK276" s="1184"/>
      <c r="CL276" s="1184"/>
      <c r="CM276" s="1184"/>
      <c r="CN276" s="1184"/>
      <c r="CO276" s="1184"/>
      <c r="CP276" s="1184"/>
      <c r="CQ276" s="1184"/>
      <c r="CR276" s="1184"/>
      <c r="CS276" s="1184"/>
      <c r="CT276" s="1184"/>
      <c r="CU276" s="1184"/>
      <c r="CV276" s="1184"/>
      <c r="CW276" s="1184"/>
      <c r="CX276" s="1110"/>
      <c r="CY276" s="1110"/>
      <c r="CZ276" s="1110"/>
      <c r="DA276" s="1111"/>
      <c r="DB276" s="1104"/>
    </row>
    <row r="277" spans="2:106" ht="11.25" customHeight="1">
      <c r="B277" s="1097"/>
      <c r="C277" s="1097"/>
      <c r="D277" s="1097"/>
      <c r="E277" s="1097"/>
      <c r="F277" s="1097"/>
    </row>
  </sheetData>
  <mergeCells count="57">
    <mergeCell ref="AP105:AX105"/>
    <mergeCell ref="AT103:BA103"/>
    <mergeCell ref="T114:AB114"/>
    <mergeCell ref="T116:AB116"/>
    <mergeCell ref="AQ18:AW18"/>
    <mergeCell ref="AQ19:AW19"/>
    <mergeCell ref="AQ20:AW20"/>
    <mergeCell ref="AR48:AX48"/>
    <mergeCell ref="AR49:AX49"/>
    <mergeCell ref="P80:W80"/>
    <mergeCell ref="P81:W81"/>
    <mergeCell ref="P82:W82"/>
    <mergeCell ref="AR80:AX80"/>
    <mergeCell ref="AR81:AX81"/>
    <mergeCell ref="AR82:AX82"/>
    <mergeCell ref="T179:AB179"/>
    <mergeCell ref="T181:AB181"/>
    <mergeCell ref="T183:AB183"/>
    <mergeCell ref="P194:V194"/>
    <mergeCell ref="B1:DA2"/>
    <mergeCell ref="B3:CW3"/>
    <mergeCell ref="T25:AA25"/>
    <mergeCell ref="T68:AA68"/>
    <mergeCell ref="P18:W18"/>
    <mergeCell ref="P19:W19"/>
    <mergeCell ref="P20:W20"/>
    <mergeCell ref="P48:W48"/>
    <mergeCell ref="P49:W49"/>
    <mergeCell ref="P50:W50"/>
    <mergeCell ref="T55:AA55"/>
    <mergeCell ref="AR50:AX50"/>
    <mergeCell ref="T140:AB140"/>
    <mergeCell ref="T142:AB142"/>
    <mergeCell ref="P150:V150"/>
    <mergeCell ref="P151:V151"/>
    <mergeCell ref="P152:V152"/>
    <mergeCell ref="AJ150:AP150"/>
    <mergeCell ref="AJ151:AP151"/>
    <mergeCell ref="AJ152:AP152"/>
    <mergeCell ref="AJ175:AQ175"/>
    <mergeCell ref="P208:V208"/>
    <mergeCell ref="AK194:AQ194"/>
    <mergeCell ref="AK195:AQ195"/>
    <mergeCell ref="AK196:AQ196"/>
    <mergeCell ref="AK201:AQ201"/>
    <mergeCell ref="AK202:AQ202"/>
    <mergeCell ref="AK203:AQ203"/>
    <mergeCell ref="P195:V195"/>
    <mergeCell ref="P196:V196"/>
    <mergeCell ref="P201:V201"/>
    <mergeCell ref="P202:V202"/>
    <mergeCell ref="P203:V203"/>
    <mergeCell ref="P209:V209"/>
    <mergeCell ref="P210:V210"/>
    <mergeCell ref="AK208:AQ208"/>
    <mergeCell ref="AK209:AQ209"/>
    <mergeCell ref="AK210:AQ210"/>
  </mergeCells>
  <phoneticPr fontId="4" type="noConversion"/>
  <printOptions horizontalCentered="1" verticalCentered="1"/>
  <pageMargins left="0.51181102362204722" right="3.937007874015748E-2" top="0.94488188976377963" bottom="0.59055118110236227" header="0.51181102362204722" footer="0.51181102362204722"/>
  <pageSetup paperSize="9" scale="67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4"/>
  <dimension ref="A1:CQ594"/>
  <sheetViews>
    <sheetView view="pageBreakPreview" topLeftCell="A31" zoomScale="85" zoomScaleNormal="100" zoomScaleSheetLayoutView="85" workbookViewId="0">
      <selection activeCell="O35" sqref="O35"/>
    </sheetView>
  </sheetViews>
  <sheetFormatPr defaultColWidth="1.109375" defaultRowHeight="18" customHeight="1"/>
  <cols>
    <col min="1" max="6" width="1.88671875" style="73" customWidth="1"/>
    <col min="7" max="7" width="1.44140625" style="73" customWidth="1"/>
    <col min="8" max="11" width="1.109375" style="73" customWidth="1"/>
    <col min="12" max="12" width="1.44140625" style="73" customWidth="1"/>
    <col min="13" max="76" width="1.109375" style="73" customWidth="1"/>
    <col min="77" max="83" width="1.88671875" style="73" customWidth="1"/>
    <col min="84" max="94" width="1.109375" style="73" customWidth="1"/>
    <col min="95" max="95" width="7.33203125" style="73" bestFit="1" customWidth="1"/>
    <col min="96" max="97" width="1.109375" style="73"/>
    <col min="98" max="98" width="3.6640625" style="73" bestFit="1" customWidth="1"/>
    <col min="99" max="99" width="2.109375" style="73" bestFit="1" customWidth="1"/>
    <col min="100" max="16384" width="1.109375" style="73"/>
  </cols>
  <sheetData>
    <row r="1" spans="1:95" s="69" customFormat="1" ht="21.95" hidden="1" customHeight="1">
      <c r="A1" s="1550" t="s">
        <v>780</v>
      </c>
      <c r="B1" s="1551"/>
      <c r="C1" s="1551"/>
      <c r="D1" s="1551"/>
      <c r="E1" s="1551"/>
      <c r="F1" s="1551"/>
      <c r="G1" s="1551"/>
      <c r="H1" s="441"/>
      <c r="I1" s="441"/>
      <c r="J1" s="451" t="s">
        <v>796</v>
      </c>
      <c r="K1" s="443"/>
      <c r="L1" s="444"/>
      <c r="M1" s="444"/>
      <c r="N1" s="444"/>
      <c r="O1" s="444"/>
      <c r="P1" s="445"/>
      <c r="Q1" s="441"/>
      <c r="R1" s="441"/>
      <c r="S1" s="441"/>
      <c r="T1" s="441"/>
      <c r="U1" s="441"/>
      <c r="V1" s="441"/>
      <c r="W1" s="441"/>
      <c r="X1" s="441"/>
      <c r="Y1" s="441"/>
      <c r="Z1" s="441"/>
      <c r="AA1" s="441"/>
      <c r="AB1" s="441"/>
      <c r="AC1" s="441"/>
      <c r="AD1" s="441"/>
      <c r="AE1" s="445"/>
      <c r="AF1" s="445"/>
      <c r="AG1" s="446"/>
      <c r="AH1" s="446"/>
      <c r="AI1" s="446"/>
      <c r="AJ1" s="446"/>
      <c r="AK1" s="446"/>
      <c r="AL1" s="444"/>
      <c r="AM1" s="441"/>
      <c r="AN1" s="445"/>
      <c r="AO1" s="446"/>
      <c r="AP1" s="446"/>
      <c r="AQ1" s="446"/>
      <c r="AR1" s="446"/>
      <c r="AS1" s="446"/>
      <c r="AT1" s="445"/>
      <c r="AU1" s="441"/>
      <c r="AV1" s="447"/>
      <c r="AW1" s="441"/>
      <c r="AX1" s="445">
        <v>1</v>
      </c>
      <c r="AY1" s="448"/>
      <c r="AZ1" s="448"/>
      <c r="BA1" s="448"/>
      <c r="BB1" s="448"/>
      <c r="BC1" s="448"/>
      <c r="BD1" s="449"/>
      <c r="BE1" s="444" t="s">
        <v>206</v>
      </c>
      <c r="BF1" s="441"/>
      <c r="BG1" s="449"/>
      <c r="BH1" s="449"/>
      <c r="BI1" s="449"/>
      <c r="BJ1" s="449"/>
      <c r="BK1" s="441"/>
      <c r="BL1" s="441"/>
      <c r="BM1" s="441"/>
      <c r="BN1" s="441"/>
      <c r="BO1" s="441"/>
      <c r="BP1" s="441"/>
      <c r="BQ1" s="441"/>
      <c r="BR1" s="441"/>
      <c r="BS1" s="441"/>
      <c r="BT1" s="441"/>
      <c r="BU1" s="441"/>
      <c r="BV1" s="441"/>
      <c r="BW1" s="441"/>
      <c r="BX1" s="441"/>
      <c r="BY1" s="441"/>
      <c r="BZ1" s="441"/>
      <c r="CA1" s="441"/>
      <c r="CB1" s="441"/>
      <c r="CC1" s="441"/>
      <c r="CD1" s="441"/>
      <c r="CE1" s="450"/>
      <c r="CQ1"/>
    </row>
    <row r="2" spans="1:95" s="69" customFormat="1" ht="18" hidden="1" customHeight="1">
      <c r="A2" s="70"/>
      <c r="F2" s="71"/>
      <c r="G2" s="72"/>
      <c r="H2" s="73"/>
      <c r="I2" s="74"/>
      <c r="J2" s="74"/>
      <c r="K2" s="74"/>
      <c r="L2" s="74"/>
      <c r="M2" s="75"/>
      <c r="N2" s="75"/>
      <c r="O2" s="75"/>
      <c r="P2" s="76"/>
      <c r="Q2" s="71"/>
      <c r="R2" s="74"/>
      <c r="S2" s="75"/>
      <c r="T2" s="76"/>
      <c r="U2" s="76"/>
      <c r="V2" s="75"/>
      <c r="W2" s="74"/>
      <c r="X2" s="77"/>
      <c r="Y2" s="78"/>
      <c r="Z2" s="79"/>
      <c r="AA2" s="79"/>
      <c r="AB2" s="79"/>
      <c r="AC2" s="74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CE2" s="80"/>
    </row>
    <row r="3" spans="1:95" s="69" customFormat="1" ht="18" hidden="1" customHeight="1">
      <c r="A3" s="70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  <c r="AW3" s="71"/>
      <c r="AX3" s="71"/>
      <c r="AY3" s="71"/>
      <c r="AZ3" s="71"/>
      <c r="BA3" s="71"/>
      <c r="BB3" s="71"/>
      <c r="BC3" s="71"/>
      <c r="BD3" s="71"/>
      <c r="BE3" s="71"/>
      <c r="BF3" s="71"/>
      <c r="BG3" s="71"/>
      <c r="BH3" s="71"/>
      <c r="BI3" s="71"/>
      <c r="BJ3" s="71"/>
      <c r="BK3" s="71"/>
      <c r="BL3" s="71"/>
      <c r="BM3" s="71"/>
      <c r="BN3" s="71"/>
      <c r="BO3" s="71"/>
      <c r="BP3" s="71"/>
      <c r="BQ3" s="71"/>
      <c r="BR3" s="71"/>
      <c r="BT3" s="71"/>
      <c r="BU3" s="71"/>
      <c r="BV3" s="71"/>
      <c r="BW3" s="71"/>
      <c r="BX3" s="71"/>
      <c r="BY3" s="71"/>
      <c r="BZ3" s="71"/>
      <c r="CA3" s="71"/>
      <c r="CE3" s="80"/>
    </row>
    <row r="4" spans="1:95" s="69" customFormat="1" ht="18" hidden="1" customHeight="1">
      <c r="A4" s="70"/>
      <c r="F4" s="71"/>
      <c r="G4" s="71"/>
      <c r="H4" s="71"/>
      <c r="I4" s="71"/>
      <c r="J4" s="81" t="s">
        <v>81</v>
      </c>
      <c r="K4" s="71"/>
      <c r="L4" s="71"/>
      <c r="M4" s="82" t="s">
        <v>82</v>
      </c>
      <c r="N4" s="71"/>
      <c r="O4" s="1549">
        <v>0.5</v>
      </c>
      <c r="P4" s="1554"/>
      <c r="Q4" s="1554"/>
      <c r="R4" s="1554"/>
      <c r="S4" s="1554"/>
      <c r="T4" s="71"/>
      <c r="U4" s="71"/>
      <c r="V4" s="71"/>
      <c r="W4" s="71"/>
      <c r="X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81"/>
      <c r="AL4" s="71"/>
      <c r="AM4" s="71"/>
      <c r="AN4" s="71"/>
      <c r="AO4" s="71"/>
      <c r="AP4" s="71"/>
      <c r="AQ4" s="71"/>
      <c r="AR4" s="71"/>
      <c r="AS4" s="71"/>
      <c r="AT4" s="71"/>
      <c r="AU4" s="71"/>
      <c r="AV4" s="71"/>
      <c r="AW4" s="71"/>
      <c r="AX4" s="71"/>
      <c r="AY4" s="71"/>
      <c r="AZ4" s="8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71"/>
      <c r="BQ4" s="71"/>
      <c r="BR4" s="71"/>
      <c r="BS4" s="71"/>
      <c r="BT4" s="71"/>
      <c r="BU4" s="71"/>
      <c r="BV4" s="71"/>
      <c r="BW4" s="71"/>
      <c r="BX4" s="71"/>
      <c r="BY4" s="71"/>
      <c r="BZ4" s="71"/>
      <c r="CA4" s="71"/>
      <c r="CE4" s="80"/>
    </row>
    <row r="5" spans="1:95" s="69" customFormat="1" ht="18" hidden="1" customHeight="1">
      <c r="A5" s="70"/>
      <c r="F5" s="71"/>
      <c r="G5" s="71"/>
      <c r="H5" s="71"/>
      <c r="I5" s="71"/>
      <c r="J5" s="81"/>
      <c r="K5" s="71"/>
      <c r="L5" s="71"/>
      <c r="M5" s="71"/>
      <c r="N5" s="71"/>
      <c r="O5" s="79"/>
      <c r="P5" s="79"/>
      <c r="Q5" s="79"/>
      <c r="R5" s="79"/>
      <c r="S5" s="79"/>
      <c r="T5" s="71"/>
      <c r="U5" s="71"/>
      <c r="V5" s="71"/>
      <c r="W5" s="71"/>
      <c r="X5" s="71"/>
      <c r="Z5" s="83"/>
      <c r="AB5" s="71"/>
      <c r="AC5" s="71"/>
      <c r="AD5" s="71"/>
      <c r="AE5" s="7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71"/>
      <c r="AR5" s="71"/>
      <c r="AS5" s="71"/>
      <c r="AT5" s="71"/>
      <c r="AU5" s="71"/>
      <c r="AV5" s="71"/>
      <c r="AW5" s="71"/>
      <c r="AX5" s="81"/>
      <c r="AY5" s="81"/>
      <c r="AZ5" s="81"/>
      <c r="BA5" s="81"/>
      <c r="BB5" s="81"/>
      <c r="BC5" s="81"/>
      <c r="BD5" s="81"/>
      <c r="BE5" s="8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81"/>
      <c r="BY5" s="71"/>
      <c r="BZ5" s="71"/>
      <c r="CA5" s="71"/>
      <c r="CE5" s="80"/>
    </row>
    <row r="6" spans="1:95" s="69" customFormat="1" ht="18" hidden="1" customHeight="1">
      <c r="A6" s="70"/>
      <c r="F6" s="71"/>
      <c r="G6" s="71"/>
      <c r="H6" s="71"/>
      <c r="I6" s="71"/>
      <c r="J6" s="81"/>
      <c r="K6" s="71"/>
      <c r="L6" s="71"/>
      <c r="M6" s="82"/>
      <c r="N6" s="71"/>
      <c r="O6" s="84"/>
      <c r="P6" s="79"/>
      <c r="Q6" s="79"/>
      <c r="R6" s="79"/>
      <c r="S6" s="79"/>
      <c r="T6" s="71"/>
      <c r="U6" s="71"/>
      <c r="V6" s="71"/>
      <c r="W6" s="71"/>
      <c r="X6" s="71"/>
      <c r="AB6" s="71"/>
      <c r="AC6" s="71"/>
      <c r="AD6" s="71"/>
      <c r="AE6" s="71"/>
      <c r="AF6" s="81"/>
      <c r="AG6" s="71"/>
      <c r="AH6" s="71"/>
      <c r="AI6" s="71"/>
      <c r="AJ6" s="71"/>
      <c r="AK6" s="71"/>
      <c r="AL6" s="71"/>
      <c r="AM6" s="71"/>
      <c r="AN6" s="71"/>
      <c r="AO6" s="71"/>
      <c r="AP6" s="8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8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81"/>
      <c r="BY6" s="71"/>
      <c r="BZ6" s="71"/>
      <c r="CA6" s="71"/>
      <c r="CE6" s="80"/>
    </row>
    <row r="7" spans="1:95" s="69" customFormat="1" ht="18" hidden="1" customHeight="1">
      <c r="A7" s="70"/>
      <c r="F7" s="71"/>
      <c r="G7" s="71"/>
      <c r="H7" s="71"/>
      <c r="I7" s="71"/>
      <c r="J7" s="81" t="s">
        <v>86</v>
      </c>
      <c r="K7" s="71"/>
      <c r="M7" s="82" t="s">
        <v>82</v>
      </c>
      <c r="O7" s="1558">
        <v>0.3</v>
      </c>
      <c r="P7" s="1554"/>
      <c r="Q7" s="1554"/>
      <c r="R7" s="1554"/>
      <c r="S7" s="1554"/>
      <c r="T7" s="71"/>
      <c r="U7" s="71"/>
      <c r="V7" s="71"/>
      <c r="W7" s="71"/>
      <c r="X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CE7" s="80"/>
    </row>
    <row r="8" spans="1:95" s="69" customFormat="1" ht="18" hidden="1" customHeight="1">
      <c r="A8" s="70"/>
      <c r="F8" s="71"/>
      <c r="G8" s="71"/>
      <c r="H8" s="71"/>
      <c r="I8" s="71"/>
      <c r="J8" s="81"/>
      <c r="K8" s="71"/>
      <c r="L8" s="71"/>
      <c r="M8" s="82"/>
      <c r="N8" s="71"/>
      <c r="O8" s="79"/>
      <c r="P8" s="79"/>
      <c r="Q8" s="79"/>
      <c r="R8" s="79"/>
      <c r="S8" s="79"/>
      <c r="T8" s="71"/>
      <c r="U8" s="71"/>
      <c r="V8" s="71"/>
      <c r="W8" s="71"/>
      <c r="X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CE8" s="80"/>
    </row>
    <row r="9" spans="1:95" s="69" customFormat="1" ht="18" hidden="1" customHeight="1">
      <c r="A9" s="70"/>
      <c r="F9" s="71"/>
      <c r="G9" s="71"/>
      <c r="H9" s="71"/>
      <c r="I9" s="71"/>
      <c r="J9" s="81"/>
      <c r="K9" s="71"/>
      <c r="L9" s="71"/>
      <c r="M9" s="71"/>
      <c r="N9" s="71"/>
      <c r="O9" s="79"/>
      <c r="P9" s="79"/>
      <c r="Q9" s="79"/>
      <c r="R9" s="79"/>
      <c r="S9" s="79"/>
      <c r="T9" s="71"/>
      <c r="U9" s="71"/>
      <c r="V9" s="71"/>
      <c r="W9" s="71"/>
      <c r="X9" s="71"/>
      <c r="AB9" s="71"/>
      <c r="AC9" s="8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81"/>
      <c r="AQ9" s="71"/>
      <c r="AR9" s="71"/>
      <c r="AS9" s="71"/>
      <c r="AT9" s="71"/>
      <c r="AU9" s="81"/>
      <c r="AV9" s="81"/>
      <c r="AW9" s="81"/>
      <c r="AX9" s="8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CE9" s="80"/>
    </row>
    <row r="10" spans="1:95" s="69" customFormat="1" ht="18" hidden="1" customHeight="1">
      <c r="A10" s="70"/>
      <c r="F10" s="71"/>
      <c r="G10" s="71"/>
      <c r="H10" s="71"/>
      <c r="I10" s="71"/>
      <c r="J10" s="81" t="s">
        <v>87</v>
      </c>
      <c r="K10" s="71"/>
      <c r="M10" s="82" t="s">
        <v>82</v>
      </c>
      <c r="O10" s="1558">
        <v>0.3</v>
      </c>
      <c r="P10" s="1554"/>
      <c r="Q10" s="1554"/>
      <c r="R10" s="1554"/>
      <c r="S10" s="1554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8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81"/>
      <c r="BO10" s="71"/>
      <c r="BP10" s="71"/>
      <c r="BQ10" s="71"/>
      <c r="BR10" s="71"/>
      <c r="CE10" s="80"/>
    </row>
    <row r="11" spans="1:95" s="71" customFormat="1" ht="18" hidden="1" customHeight="1">
      <c r="A11" s="85"/>
      <c r="J11" s="81"/>
      <c r="O11" s="79"/>
      <c r="P11" s="79"/>
      <c r="Q11" s="79"/>
      <c r="R11" s="79"/>
      <c r="S11" s="79"/>
      <c r="AX11" s="81"/>
      <c r="BN11" s="81"/>
      <c r="CE11" s="86"/>
    </row>
    <row r="12" spans="1:95" s="71" customFormat="1" ht="18" hidden="1" customHeight="1">
      <c r="A12" s="85"/>
      <c r="J12" s="81"/>
      <c r="M12" s="82"/>
      <c r="O12" s="87"/>
      <c r="P12" s="79"/>
      <c r="Q12" s="79"/>
      <c r="R12" s="79"/>
      <c r="S12" s="79"/>
      <c r="AX12" s="81"/>
      <c r="BN12" s="81"/>
      <c r="CE12" s="86"/>
    </row>
    <row r="13" spans="1:95" s="71" customFormat="1" ht="18" hidden="1" customHeight="1">
      <c r="A13" s="85"/>
      <c r="AX13" s="81"/>
      <c r="BN13" s="81"/>
      <c r="CE13" s="86"/>
    </row>
    <row r="14" spans="1:95" s="71" customFormat="1" ht="18" hidden="1" customHeight="1">
      <c r="A14" s="85"/>
      <c r="J14" s="81"/>
      <c r="M14" s="82"/>
      <c r="O14" s="84"/>
      <c r="P14" s="79"/>
      <c r="Q14" s="79"/>
      <c r="R14" s="79"/>
      <c r="S14" s="79"/>
      <c r="AX14" s="81"/>
      <c r="BN14" s="81"/>
      <c r="CE14" s="86"/>
    </row>
    <row r="15" spans="1:95" s="71" customFormat="1" ht="18" hidden="1" customHeight="1">
      <c r="A15" s="85"/>
      <c r="AX15" s="81"/>
      <c r="CE15" s="86"/>
    </row>
    <row r="16" spans="1:95" s="71" customFormat="1" ht="18" hidden="1" customHeight="1">
      <c r="A16" s="85"/>
      <c r="CE16" s="86"/>
    </row>
    <row r="17" spans="1:95" s="71" customFormat="1" ht="18" hidden="1" customHeight="1">
      <c r="A17" s="85"/>
      <c r="G17" s="81"/>
      <c r="H17" s="71" t="s">
        <v>89</v>
      </c>
      <c r="K17" s="81" t="s">
        <v>90</v>
      </c>
      <c r="CE17" s="86"/>
    </row>
    <row r="18" spans="1:95" s="71" customFormat="1" ht="18" hidden="1" customHeight="1">
      <c r="A18" s="85"/>
      <c r="I18" s="81" t="s">
        <v>207</v>
      </c>
      <c r="L18" s="88"/>
      <c r="P18" s="73"/>
      <c r="R18" s="1544">
        <f>O4</f>
        <v>0.5</v>
      </c>
      <c r="S18" s="1552"/>
      <c r="T18" s="1552"/>
      <c r="U18" s="1552"/>
      <c r="V18" s="1552"/>
      <c r="W18" s="1552"/>
      <c r="X18" s="1552"/>
      <c r="Y18" s="81" t="s">
        <v>211</v>
      </c>
      <c r="Z18" s="1555">
        <f>O10+O7</f>
        <v>0.6</v>
      </c>
      <c r="AA18" s="1387"/>
      <c r="AB18" s="1387"/>
      <c r="AC18" s="1387"/>
      <c r="AD18" s="1387"/>
      <c r="AE18" s="1387"/>
      <c r="AF18" s="1387"/>
      <c r="AG18" s="1387"/>
      <c r="AH18" s="1387"/>
      <c r="AI18" s="1387"/>
      <c r="AJ18" s="1387"/>
      <c r="AK18" s="81" t="s">
        <v>211</v>
      </c>
      <c r="AM18" s="1544">
        <f>AX1</f>
        <v>1</v>
      </c>
      <c r="AN18" s="1552"/>
      <c r="AO18" s="1552"/>
      <c r="AP18" s="1552"/>
      <c r="AQ18" s="1552"/>
      <c r="AR18" s="79" t="s">
        <v>380</v>
      </c>
      <c r="AS18" s="79"/>
      <c r="AT18" s="1544">
        <f>ROUNDDOWN((R18+X18)*Z18*AM18,3)</f>
        <v>0.3</v>
      </c>
      <c r="AU18" s="1552"/>
      <c r="AV18" s="1552"/>
      <c r="AW18" s="1552"/>
      <c r="AX18" s="1552"/>
      <c r="AZ18" s="89" t="s">
        <v>212</v>
      </c>
      <c r="CE18" s="86"/>
    </row>
    <row r="19" spans="1:95" s="71" customFormat="1" ht="18" hidden="1" customHeight="1">
      <c r="A19" s="85"/>
      <c r="G19" s="81"/>
      <c r="K19" s="89"/>
      <c r="CE19" s="86"/>
    </row>
    <row r="20" spans="1:95" s="71" customFormat="1" ht="18" hidden="1" customHeight="1">
      <c r="A20" s="85"/>
      <c r="G20" s="81"/>
      <c r="H20" s="71" t="s">
        <v>381</v>
      </c>
      <c r="K20" s="89" t="s">
        <v>382</v>
      </c>
      <c r="CE20" s="86"/>
    </row>
    <row r="21" spans="1:95" s="71" customFormat="1" ht="18" hidden="1" customHeight="1">
      <c r="A21" s="85"/>
      <c r="H21" s="81"/>
      <c r="I21" s="81" t="s">
        <v>213</v>
      </c>
      <c r="K21" s="88"/>
      <c r="P21" s="71" t="s">
        <v>214</v>
      </c>
      <c r="R21" s="73" t="s">
        <v>383</v>
      </c>
      <c r="S21" s="79"/>
      <c r="T21" s="79"/>
      <c r="U21" s="79"/>
      <c r="V21" s="79"/>
      <c r="AE21" s="90"/>
      <c r="AF21" s="79" t="s">
        <v>384</v>
      </c>
      <c r="AG21" s="79"/>
      <c r="AH21" s="90">
        <f>AT18</f>
        <v>0.3</v>
      </c>
      <c r="AI21" s="79"/>
      <c r="AJ21" s="90"/>
      <c r="AK21" s="90"/>
      <c r="AL21" s="90"/>
      <c r="AM21" s="79" t="s">
        <v>214</v>
      </c>
      <c r="AN21" s="79"/>
      <c r="AO21" s="79">
        <f>AT29</f>
        <v>0</v>
      </c>
      <c r="AP21" s="90"/>
      <c r="AQ21" s="79"/>
      <c r="AR21" s="79"/>
      <c r="AS21" s="79"/>
      <c r="AT21" s="79" t="s">
        <v>384</v>
      </c>
      <c r="AU21" s="79"/>
      <c r="AV21" s="79">
        <f>ROUNDDOWN(AH21-AO21,3)</f>
        <v>0.3</v>
      </c>
      <c r="AW21" s="90"/>
      <c r="AX21" s="90"/>
      <c r="AY21" s="90"/>
      <c r="AZ21" s="90"/>
      <c r="BB21" s="89" t="s">
        <v>212</v>
      </c>
      <c r="CE21" s="86"/>
    </row>
    <row r="22" spans="1:95" s="71" customFormat="1" ht="18" hidden="1" customHeight="1">
      <c r="A22" s="85"/>
      <c r="G22" s="81"/>
      <c r="K22" s="89"/>
      <c r="CE22" s="86"/>
    </row>
    <row r="23" spans="1:95" s="71" customFormat="1" ht="18" hidden="1" customHeight="1">
      <c r="A23" s="85"/>
      <c r="G23" s="81"/>
      <c r="H23" s="71" t="s">
        <v>385</v>
      </c>
      <c r="K23" s="89" t="s">
        <v>386</v>
      </c>
      <c r="W23" s="71" t="s">
        <v>387</v>
      </c>
      <c r="Y23" s="79">
        <v>1</v>
      </c>
      <c r="Z23" s="79"/>
      <c r="AA23" s="79"/>
      <c r="AB23" s="79"/>
      <c r="AC23" s="71" t="s">
        <v>388</v>
      </c>
      <c r="AF23" s="71" t="s">
        <v>389</v>
      </c>
      <c r="CE23" s="86"/>
    </row>
    <row r="24" spans="1:95" s="71" customFormat="1" ht="18" hidden="1" customHeight="1">
      <c r="A24" s="85"/>
      <c r="G24" s="81"/>
      <c r="K24" s="89"/>
      <c r="Y24" s="79"/>
      <c r="Z24" s="79"/>
      <c r="AA24" s="79"/>
      <c r="AB24" s="79"/>
      <c r="CE24" s="86"/>
    </row>
    <row r="25" spans="1:95" s="71" customFormat="1" ht="18" hidden="1" customHeight="1">
      <c r="A25" s="85"/>
      <c r="G25" s="81"/>
      <c r="K25" s="89"/>
      <c r="Y25" s="79"/>
      <c r="Z25" s="79"/>
      <c r="AA25" s="79"/>
      <c r="AB25" s="79"/>
      <c r="CE25" s="86"/>
    </row>
    <row r="26" spans="1:95" s="71" customFormat="1" ht="18" hidden="1" customHeight="1">
      <c r="A26" s="85"/>
      <c r="G26" s="81"/>
      <c r="K26" s="89"/>
      <c r="Y26" s="79"/>
      <c r="Z26" s="79"/>
      <c r="AA26" s="79"/>
      <c r="AB26" s="79"/>
      <c r="CE26" s="86"/>
    </row>
    <row r="27" spans="1:95" s="71" customFormat="1" ht="18" hidden="1" customHeight="1">
      <c r="A27" s="85"/>
      <c r="G27" s="81"/>
      <c r="K27" s="89"/>
      <c r="Y27" s="79"/>
      <c r="Z27" s="79"/>
      <c r="AA27" s="79"/>
      <c r="AB27" s="79"/>
      <c r="CE27" s="86"/>
    </row>
    <row r="28" spans="1:95" s="71" customFormat="1" ht="18" hidden="1" customHeight="1">
      <c r="A28" s="85"/>
      <c r="G28" s="81"/>
      <c r="K28" s="89"/>
      <c r="Y28" s="79"/>
      <c r="Z28" s="79"/>
      <c r="AA28" s="79"/>
      <c r="AB28" s="79"/>
      <c r="CE28" s="86"/>
    </row>
    <row r="29" spans="1:95" s="71" customFormat="1" ht="18" hidden="1" customHeight="1">
      <c r="A29" s="85"/>
      <c r="H29" s="81"/>
      <c r="I29" s="81"/>
      <c r="L29" s="88"/>
      <c r="P29" s="73"/>
      <c r="R29" s="79"/>
      <c r="S29" s="79"/>
      <c r="T29" s="79"/>
      <c r="U29" s="79"/>
      <c r="V29" s="79"/>
      <c r="W29" s="79"/>
      <c r="X29" s="79"/>
      <c r="Y29" s="90"/>
      <c r="Z29" s="79"/>
      <c r="AA29" s="79"/>
      <c r="AB29" s="79"/>
      <c r="AC29" s="81"/>
      <c r="AF29" s="79"/>
      <c r="AG29" s="79"/>
      <c r="AH29" s="79"/>
      <c r="AI29" s="79"/>
      <c r="AJ29" s="79"/>
      <c r="AK29" s="81"/>
      <c r="AM29" s="79"/>
      <c r="AN29" s="79"/>
      <c r="AO29" s="91"/>
      <c r="AP29" s="79"/>
      <c r="AQ29" s="79"/>
      <c r="AR29" s="79"/>
      <c r="AS29" s="79"/>
      <c r="AT29" s="79"/>
      <c r="AU29" s="90"/>
      <c r="AV29" s="79"/>
      <c r="AW29" s="79"/>
      <c r="AX29" s="79"/>
      <c r="AZ29" s="89"/>
      <c r="CE29" s="86"/>
    </row>
    <row r="30" spans="1:95" s="71" customFormat="1" ht="18" hidden="1" customHeight="1">
      <c r="A30" s="92"/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3"/>
      <c r="BM30" s="93"/>
      <c r="BN30" s="93"/>
      <c r="BO30" s="93"/>
      <c r="BP30" s="93"/>
      <c r="BQ30" s="93"/>
      <c r="BR30" s="93"/>
      <c r="BS30" s="93"/>
      <c r="BT30" s="93"/>
      <c r="BU30" s="93"/>
      <c r="BV30" s="93"/>
      <c r="BW30" s="93"/>
      <c r="BX30" s="93"/>
      <c r="BY30" s="93"/>
      <c r="BZ30" s="93"/>
      <c r="CA30" s="93"/>
      <c r="CB30" s="93"/>
      <c r="CC30" s="93"/>
      <c r="CD30" s="93"/>
      <c r="CE30" s="94"/>
    </row>
    <row r="31" spans="1:95" s="69" customFormat="1" ht="21.95" customHeight="1">
      <c r="A31" s="1550" t="s">
        <v>780</v>
      </c>
      <c r="B31" s="1551"/>
      <c r="C31" s="1551"/>
      <c r="D31" s="1551"/>
      <c r="E31" s="1551"/>
      <c r="F31" s="1551"/>
      <c r="G31" s="1551"/>
      <c r="H31" s="441"/>
      <c r="I31" s="441"/>
      <c r="J31" s="451" t="s">
        <v>796</v>
      </c>
      <c r="K31" s="443"/>
      <c r="L31" s="444"/>
      <c r="M31" s="444"/>
      <c r="N31" s="444"/>
      <c r="O31" s="444"/>
      <c r="P31" s="445"/>
      <c r="Q31" s="441"/>
      <c r="R31" s="441"/>
      <c r="S31" s="441"/>
      <c r="T31" s="441"/>
      <c r="U31" s="441"/>
      <c r="V31" s="441"/>
      <c r="W31" s="441"/>
      <c r="X31" s="441"/>
      <c r="Y31" s="441"/>
      <c r="Z31" s="441"/>
      <c r="AA31" s="441"/>
      <c r="AB31" s="441"/>
      <c r="AC31" s="441"/>
      <c r="AD31" s="441"/>
      <c r="AE31" s="445"/>
      <c r="AF31" s="445"/>
      <c r="AG31" s="446"/>
      <c r="AH31" s="446"/>
      <c r="AI31" s="446"/>
      <c r="AJ31" s="446"/>
      <c r="AK31" s="446"/>
      <c r="AL31" s="444"/>
      <c r="AM31" s="441"/>
      <c r="AN31" s="445"/>
      <c r="AO31" s="446"/>
      <c r="AP31" s="446"/>
      <c r="AQ31" s="446"/>
      <c r="AR31" s="446"/>
      <c r="AS31" s="446"/>
      <c r="AT31" s="445"/>
      <c r="AU31" s="441"/>
      <c r="AV31" s="447"/>
      <c r="AW31" s="441"/>
      <c r="AX31" s="445">
        <v>1</v>
      </c>
      <c r="AY31" s="448"/>
      <c r="AZ31" s="448"/>
      <c r="BA31" s="448"/>
      <c r="BB31" s="448"/>
      <c r="BC31" s="448"/>
      <c r="BD31" s="449"/>
      <c r="BE31" s="444" t="s">
        <v>206</v>
      </c>
      <c r="BF31" s="441"/>
      <c r="BG31" s="449"/>
      <c r="BH31" s="449"/>
      <c r="BI31" s="449"/>
      <c r="BJ31" s="449"/>
      <c r="BK31" s="441"/>
      <c r="BL31" s="441"/>
      <c r="BM31" s="441"/>
      <c r="BN31" s="441"/>
      <c r="BO31" s="441"/>
      <c r="BP31" s="441"/>
      <c r="BQ31" s="441"/>
      <c r="BR31" s="441"/>
      <c r="BS31" s="441"/>
      <c r="BT31" s="441"/>
      <c r="BU31" s="441"/>
      <c r="BV31" s="441"/>
      <c r="BW31" s="441"/>
      <c r="BX31" s="441"/>
      <c r="BY31" s="441"/>
      <c r="BZ31" s="441"/>
      <c r="CA31" s="441"/>
      <c r="CB31" s="441"/>
      <c r="CC31" s="441"/>
      <c r="CD31" s="441"/>
      <c r="CE31" s="450"/>
      <c r="CQ31"/>
    </row>
    <row r="32" spans="1:95" s="69" customFormat="1" ht="18" customHeight="1">
      <c r="A32" s="70"/>
      <c r="F32" s="71"/>
      <c r="G32" s="72"/>
      <c r="H32" s="73"/>
      <c r="I32" s="74"/>
      <c r="J32" s="74"/>
      <c r="K32" s="74"/>
      <c r="L32" s="74"/>
      <c r="M32" s="75"/>
      <c r="N32" s="75"/>
      <c r="O32" s="75"/>
      <c r="P32" s="76"/>
      <c r="Q32" s="71"/>
      <c r="R32" s="74"/>
      <c r="S32" s="75"/>
      <c r="T32" s="76"/>
      <c r="U32" s="76"/>
      <c r="V32" s="75"/>
      <c r="W32" s="74"/>
      <c r="X32" s="77"/>
      <c r="Y32" s="78"/>
      <c r="Z32" s="79"/>
      <c r="AA32" s="79"/>
      <c r="AB32" s="79"/>
      <c r="AC32" s="74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CE32" s="80"/>
    </row>
    <row r="33" spans="1:83" s="69" customFormat="1" ht="18" customHeight="1">
      <c r="A33" s="70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  <c r="BT33" s="71"/>
      <c r="BU33" s="71"/>
      <c r="BV33" s="71"/>
      <c r="BW33" s="71"/>
      <c r="BX33" s="71"/>
      <c r="BY33" s="71"/>
      <c r="BZ33" s="71"/>
      <c r="CA33" s="71"/>
      <c r="CE33" s="80"/>
    </row>
    <row r="34" spans="1:83" s="69" customFormat="1" ht="18" customHeight="1">
      <c r="A34" s="70"/>
      <c r="F34" s="71"/>
      <c r="G34" s="71"/>
      <c r="H34" s="71"/>
      <c r="I34" s="71"/>
      <c r="J34" s="81" t="s">
        <v>81</v>
      </c>
      <c r="K34" s="71"/>
      <c r="L34" s="71"/>
      <c r="M34" s="82" t="s">
        <v>82</v>
      </c>
      <c r="N34" s="71"/>
      <c r="O34" s="1549">
        <v>0.6</v>
      </c>
      <c r="P34" s="1554"/>
      <c r="Q34" s="1554"/>
      <c r="R34" s="1554"/>
      <c r="S34" s="1554"/>
      <c r="T34" s="71"/>
      <c r="U34" s="71"/>
      <c r="V34" s="71"/>
      <c r="W34" s="71"/>
      <c r="X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8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8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  <c r="BR34" s="71"/>
      <c r="BS34" s="71"/>
      <c r="BT34" s="71"/>
      <c r="BU34" s="71"/>
      <c r="BV34" s="71"/>
      <c r="BW34" s="71"/>
      <c r="BX34" s="71"/>
      <c r="BY34" s="71"/>
      <c r="BZ34" s="71"/>
      <c r="CA34" s="71"/>
      <c r="CE34" s="80"/>
    </row>
    <row r="35" spans="1:83" s="69" customFormat="1" ht="18" customHeight="1">
      <c r="A35" s="70"/>
      <c r="F35" s="71"/>
      <c r="G35" s="71"/>
      <c r="H35" s="71"/>
      <c r="I35" s="71"/>
      <c r="J35" s="81"/>
      <c r="K35" s="71"/>
      <c r="L35" s="71"/>
      <c r="M35" s="71"/>
      <c r="N35" s="71"/>
      <c r="O35" s="79"/>
      <c r="P35" s="79"/>
      <c r="Q35" s="79"/>
      <c r="R35" s="79"/>
      <c r="S35" s="79"/>
      <c r="T35" s="71"/>
      <c r="U35" s="71"/>
      <c r="V35" s="71"/>
      <c r="W35" s="71"/>
      <c r="X35" s="71"/>
      <c r="Z35" s="83"/>
      <c r="AB35" s="71"/>
      <c r="AC35" s="71"/>
      <c r="AD35" s="71"/>
      <c r="AE35" s="7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71"/>
      <c r="AR35" s="71"/>
      <c r="AS35" s="71"/>
      <c r="AT35" s="71"/>
      <c r="AU35" s="71"/>
      <c r="AV35" s="71"/>
      <c r="AW35" s="71"/>
      <c r="AX35" s="81"/>
      <c r="AY35" s="81"/>
      <c r="AZ35" s="81"/>
      <c r="BA35" s="81"/>
      <c r="BB35" s="81"/>
      <c r="BC35" s="81"/>
      <c r="BD35" s="81"/>
      <c r="BE35" s="81"/>
      <c r="BF35" s="71"/>
      <c r="BG35" s="71"/>
      <c r="BH35" s="71"/>
      <c r="BI35" s="71"/>
      <c r="BJ35" s="71"/>
      <c r="BK35" s="71"/>
      <c r="BL35" s="71"/>
      <c r="BM35" s="71"/>
      <c r="BN35" s="71"/>
      <c r="BO35" s="71"/>
      <c r="BP35" s="81"/>
      <c r="BY35" s="71"/>
      <c r="BZ35" s="71"/>
      <c r="CA35" s="71"/>
      <c r="CE35" s="80"/>
    </row>
    <row r="36" spans="1:83" s="69" customFormat="1" ht="18" customHeight="1">
      <c r="A36" s="70"/>
      <c r="F36" s="71"/>
      <c r="G36" s="71"/>
      <c r="H36" s="71"/>
      <c r="I36" s="71"/>
      <c r="J36" s="81"/>
      <c r="K36" s="71"/>
      <c r="L36" s="71"/>
      <c r="M36" s="82"/>
      <c r="N36" s="71"/>
      <c r="O36" s="84"/>
      <c r="P36" s="79"/>
      <c r="Q36" s="79"/>
      <c r="R36" s="79"/>
      <c r="S36" s="79"/>
      <c r="T36" s="71"/>
      <c r="U36" s="71"/>
      <c r="V36" s="71"/>
      <c r="W36" s="71"/>
      <c r="X36" s="71"/>
      <c r="AB36" s="71"/>
      <c r="AC36" s="71"/>
      <c r="AD36" s="71"/>
      <c r="AE36" s="71"/>
      <c r="AF36" s="81"/>
      <c r="AG36" s="71"/>
      <c r="AH36" s="71"/>
      <c r="AI36" s="71"/>
      <c r="AJ36" s="71"/>
      <c r="AK36" s="71"/>
      <c r="AL36" s="71"/>
      <c r="AM36" s="71"/>
      <c r="AN36" s="71"/>
      <c r="AO36" s="71"/>
      <c r="AP36" s="8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8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81"/>
      <c r="BY36" s="71"/>
      <c r="BZ36" s="71"/>
      <c r="CA36" s="71"/>
      <c r="CE36" s="80"/>
    </row>
    <row r="37" spans="1:83" s="69" customFormat="1" ht="18" customHeight="1">
      <c r="A37" s="70"/>
      <c r="F37" s="71"/>
      <c r="G37" s="71"/>
      <c r="H37" s="71"/>
      <c r="I37" s="71"/>
      <c r="J37" s="81" t="s">
        <v>86</v>
      </c>
      <c r="K37" s="71"/>
      <c r="M37" s="82" t="s">
        <v>82</v>
      </c>
      <c r="O37" s="1558">
        <v>0.3</v>
      </c>
      <c r="P37" s="1554"/>
      <c r="Q37" s="1554"/>
      <c r="R37" s="1554"/>
      <c r="S37" s="1554"/>
      <c r="T37" s="71"/>
      <c r="U37" s="71"/>
      <c r="V37" s="71"/>
      <c r="W37" s="71"/>
      <c r="X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CE37" s="80"/>
    </row>
    <row r="38" spans="1:83" s="69" customFormat="1" ht="18" customHeight="1">
      <c r="A38" s="70"/>
      <c r="F38" s="71"/>
      <c r="G38" s="71"/>
      <c r="H38" s="71"/>
      <c r="I38" s="71"/>
      <c r="J38" s="81"/>
      <c r="K38" s="71"/>
      <c r="L38" s="71"/>
      <c r="M38" s="82"/>
      <c r="N38" s="71"/>
      <c r="O38" s="79"/>
      <c r="P38" s="79"/>
      <c r="Q38" s="79"/>
      <c r="R38" s="79"/>
      <c r="S38" s="79"/>
      <c r="T38" s="71"/>
      <c r="U38" s="71"/>
      <c r="V38" s="71"/>
      <c r="W38" s="71"/>
      <c r="X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CE38" s="80"/>
    </row>
    <row r="39" spans="1:83" s="69" customFormat="1" ht="18" customHeight="1">
      <c r="A39" s="70"/>
      <c r="F39" s="71"/>
      <c r="G39" s="71"/>
      <c r="H39" s="71"/>
      <c r="I39" s="71"/>
      <c r="J39" s="81"/>
      <c r="K39" s="71"/>
      <c r="L39" s="71"/>
      <c r="M39" s="71"/>
      <c r="N39" s="71"/>
      <c r="O39" s="79"/>
      <c r="P39" s="79"/>
      <c r="Q39" s="79"/>
      <c r="R39" s="79"/>
      <c r="S39" s="79"/>
      <c r="T39" s="71"/>
      <c r="U39" s="71"/>
      <c r="V39" s="71"/>
      <c r="W39" s="71"/>
      <c r="X39" s="71"/>
      <c r="AB39" s="71"/>
      <c r="AC39" s="8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81"/>
      <c r="AQ39" s="71"/>
      <c r="AR39" s="71"/>
      <c r="AS39" s="71"/>
      <c r="AT39" s="71"/>
      <c r="AU39" s="81"/>
      <c r="AV39" s="81"/>
      <c r="AW39" s="81"/>
      <c r="AX39" s="8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CE39" s="80"/>
    </row>
    <row r="40" spans="1:83" s="69" customFormat="1" ht="18" customHeight="1">
      <c r="A40" s="70"/>
      <c r="F40" s="71"/>
      <c r="G40" s="71"/>
      <c r="H40" s="71"/>
      <c r="I40" s="71"/>
      <c r="J40" s="81" t="s">
        <v>87</v>
      </c>
      <c r="K40" s="71"/>
      <c r="M40" s="82" t="s">
        <v>82</v>
      </c>
      <c r="O40" s="1558">
        <v>0.3</v>
      </c>
      <c r="P40" s="1554"/>
      <c r="Q40" s="1554"/>
      <c r="R40" s="1554"/>
      <c r="S40" s="1554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8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1"/>
      <c r="BM40" s="71"/>
      <c r="BN40" s="81"/>
      <c r="BO40" s="71"/>
      <c r="BP40" s="71"/>
      <c r="BQ40" s="71"/>
      <c r="BR40" s="71"/>
      <c r="CE40" s="80"/>
    </row>
    <row r="41" spans="1:83" s="71" customFormat="1" ht="18" customHeight="1">
      <c r="A41" s="85"/>
      <c r="J41" s="81"/>
      <c r="O41" s="79"/>
      <c r="P41" s="79"/>
      <c r="Q41" s="79"/>
      <c r="R41" s="79"/>
      <c r="S41" s="79"/>
      <c r="AX41" s="81"/>
      <c r="BN41" s="81"/>
      <c r="CE41" s="86"/>
    </row>
    <row r="42" spans="1:83" s="71" customFormat="1" ht="18" customHeight="1">
      <c r="A42" s="85"/>
      <c r="J42" s="81"/>
      <c r="M42" s="82"/>
      <c r="O42" s="87"/>
      <c r="P42" s="79"/>
      <c r="Q42" s="79"/>
      <c r="R42" s="79"/>
      <c r="S42" s="79"/>
      <c r="AX42" s="81"/>
      <c r="BN42" s="81"/>
      <c r="CE42" s="86"/>
    </row>
    <row r="43" spans="1:83" s="71" customFormat="1" ht="18" customHeight="1">
      <c r="A43" s="85"/>
      <c r="AX43" s="81"/>
      <c r="BN43" s="81"/>
      <c r="CE43" s="86"/>
    </row>
    <row r="44" spans="1:83" s="71" customFormat="1" ht="18" customHeight="1">
      <c r="A44" s="85"/>
      <c r="J44" s="81"/>
      <c r="M44" s="82"/>
      <c r="O44" s="84"/>
      <c r="P44" s="79"/>
      <c r="Q44" s="79"/>
      <c r="R44" s="79"/>
      <c r="S44" s="79"/>
      <c r="AX44" s="81"/>
      <c r="BN44" s="81"/>
      <c r="CE44" s="86"/>
    </row>
    <row r="45" spans="1:83" s="71" customFormat="1" ht="18" customHeight="1">
      <c r="A45" s="85"/>
      <c r="AX45" s="81"/>
      <c r="CE45" s="86"/>
    </row>
    <row r="46" spans="1:83" s="71" customFormat="1" ht="18" customHeight="1">
      <c r="A46" s="85"/>
      <c r="CE46" s="86"/>
    </row>
    <row r="47" spans="1:83" s="71" customFormat="1" ht="18" customHeight="1">
      <c r="A47" s="85"/>
      <c r="G47" s="81"/>
      <c r="H47" s="71" t="s">
        <v>89</v>
      </c>
      <c r="K47" s="81" t="s">
        <v>90</v>
      </c>
      <c r="CE47" s="86"/>
    </row>
    <row r="48" spans="1:83" s="71" customFormat="1" ht="18" customHeight="1">
      <c r="A48" s="85"/>
      <c r="I48" s="81" t="s">
        <v>207</v>
      </c>
      <c r="L48" s="88"/>
      <c r="P48" s="73"/>
      <c r="R48" s="1544">
        <f>O34</f>
        <v>0.6</v>
      </c>
      <c r="S48" s="1552"/>
      <c r="T48" s="1552"/>
      <c r="U48" s="1552"/>
      <c r="V48" s="1552"/>
      <c r="W48" s="1552"/>
      <c r="X48" s="1552"/>
      <c r="Y48" s="81" t="s">
        <v>211</v>
      </c>
      <c r="Z48" s="1555">
        <f>O40+O37</f>
        <v>0.6</v>
      </c>
      <c r="AA48" s="1387"/>
      <c r="AB48" s="1387"/>
      <c r="AC48" s="1387"/>
      <c r="AD48" s="1387"/>
      <c r="AE48" s="1387"/>
      <c r="AF48" s="1387"/>
      <c r="AG48" s="1387"/>
      <c r="AH48" s="1387"/>
      <c r="AI48" s="1387"/>
      <c r="AJ48" s="1387"/>
      <c r="AK48" s="81" t="s">
        <v>211</v>
      </c>
      <c r="AM48" s="1544">
        <f>AX31</f>
        <v>1</v>
      </c>
      <c r="AN48" s="1552"/>
      <c r="AO48" s="1552"/>
      <c r="AP48" s="1552"/>
      <c r="AQ48" s="1552"/>
      <c r="AR48" s="79" t="s">
        <v>380</v>
      </c>
      <c r="AS48" s="79"/>
      <c r="AT48" s="1544">
        <f>ROUNDDOWN((R48+X48)*Z48*AM48,3)</f>
        <v>0.36</v>
      </c>
      <c r="AU48" s="1552"/>
      <c r="AV48" s="1552"/>
      <c r="AW48" s="1552"/>
      <c r="AX48" s="1552"/>
      <c r="AZ48" s="89" t="s">
        <v>212</v>
      </c>
      <c r="CE48" s="86"/>
    </row>
    <row r="49" spans="1:83" s="71" customFormat="1" ht="18" customHeight="1">
      <c r="A49" s="85"/>
      <c r="G49" s="81"/>
      <c r="K49" s="89"/>
      <c r="CE49" s="86"/>
    </row>
    <row r="50" spans="1:83" s="71" customFormat="1" ht="18" customHeight="1">
      <c r="A50" s="85"/>
      <c r="G50" s="81"/>
      <c r="H50" s="71" t="s">
        <v>381</v>
      </c>
      <c r="K50" s="89" t="s">
        <v>382</v>
      </c>
      <c r="CE50" s="86"/>
    </row>
    <row r="51" spans="1:83" s="71" customFormat="1" ht="18" customHeight="1">
      <c r="A51" s="85"/>
      <c r="H51" s="81"/>
      <c r="I51" s="81" t="s">
        <v>213</v>
      </c>
      <c r="K51" s="88"/>
      <c r="P51" s="71" t="s">
        <v>214</v>
      </c>
      <c r="R51" s="73" t="s">
        <v>383</v>
      </c>
      <c r="S51" s="79"/>
      <c r="T51" s="79"/>
      <c r="U51" s="79"/>
      <c r="V51" s="79"/>
      <c r="AE51" s="90"/>
      <c r="AF51" s="79" t="s">
        <v>384</v>
      </c>
      <c r="AG51" s="79"/>
      <c r="AH51" s="90">
        <f>AT48</f>
        <v>0.36</v>
      </c>
      <c r="AI51" s="79"/>
      <c r="AJ51" s="90"/>
      <c r="AK51" s="90"/>
      <c r="AL51" s="90"/>
      <c r="AM51" s="79" t="s">
        <v>214</v>
      </c>
      <c r="AN51" s="79"/>
      <c r="AO51" s="79">
        <f>AT59</f>
        <v>0</v>
      </c>
      <c r="AP51" s="90"/>
      <c r="AQ51" s="79"/>
      <c r="AR51" s="79"/>
      <c r="AS51" s="79"/>
      <c r="AT51" s="79" t="s">
        <v>384</v>
      </c>
      <c r="AU51" s="79"/>
      <c r="AV51" s="79">
        <f>ROUNDDOWN(AH51-AO51,3)</f>
        <v>0.36</v>
      </c>
      <c r="AW51" s="90"/>
      <c r="AX51" s="90"/>
      <c r="AY51" s="90"/>
      <c r="AZ51" s="90"/>
      <c r="BB51" s="89" t="s">
        <v>212</v>
      </c>
      <c r="CE51" s="86"/>
    </row>
    <row r="52" spans="1:83" s="71" customFormat="1" ht="18" customHeight="1">
      <c r="A52" s="85"/>
      <c r="G52" s="81"/>
      <c r="K52" s="89"/>
      <c r="CE52" s="86"/>
    </row>
    <row r="53" spans="1:83" s="71" customFormat="1" ht="18" customHeight="1">
      <c r="A53" s="85"/>
      <c r="G53" s="81"/>
      <c r="H53" s="71" t="s">
        <v>385</v>
      </c>
      <c r="K53" s="89" t="s">
        <v>386</v>
      </c>
      <c r="W53" s="71" t="s">
        <v>387</v>
      </c>
      <c r="Y53" s="79">
        <v>1</v>
      </c>
      <c r="Z53" s="79"/>
      <c r="AA53" s="79"/>
      <c r="AB53" s="79"/>
      <c r="AC53" s="71" t="s">
        <v>388</v>
      </c>
      <c r="AF53" s="71" t="s">
        <v>389</v>
      </c>
      <c r="CE53" s="86"/>
    </row>
    <row r="54" spans="1:83" s="71" customFormat="1" ht="18" customHeight="1">
      <c r="A54" s="85"/>
      <c r="G54" s="81"/>
      <c r="K54" s="89"/>
      <c r="Y54" s="79"/>
      <c r="Z54" s="79"/>
      <c r="AA54" s="79"/>
      <c r="AB54" s="79"/>
      <c r="CE54" s="86"/>
    </row>
    <row r="55" spans="1:83" s="71" customFormat="1" ht="18" customHeight="1">
      <c r="A55" s="85"/>
      <c r="G55" s="81"/>
      <c r="K55" s="89"/>
      <c r="Y55" s="79"/>
      <c r="Z55" s="79"/>
      <c r="AA55" s="79"/>
      <c r="AB55" s="79"/>
      <c r="CE55" s="86"/>
    </row>
    <row r="56" spans="1:83" s="71" customFormat="1" ht="18" customHeight="1">
      <c r="A56" s="85"/>
      <c r="G56" s="81"/>
      <c r="K56" s="89"/>
      <c r="Y56" s="79"/>
      <c r="Z56" s="79"/>
      <c r="AA56" s="79"/>
      <c r="AB56" s="79"/>
      <c r="CE56" s="86"/>
    </row>
    <row r="57" spans="1:83" s="71" customFormat="1" ht="18" customHeight="1">
      <c r="A57" s="85"/>
      <c r="G57" s="81"/>
      <c r="K57" s="89"/>
      <c r="Y57" s="79"/>
      <c r="Z57" s="79"/>
      <c r="AA57" s="79"/>
      <c r="AB57" s="79"/>
      <c r="CE57" s="86"/>
    </row>
    <row r="58" spans="1:83" s="71" customFormat="1" ht="18" customHeight="1">
      <c r="A58" s="85"/>
      <c r="G58" s="81"/>
      <c r="K58" s="89"/>
      <c r="Y58" s="79"/>
      <c r="Z58" s="79"/>
      <c r="AA58" s="79"/>
      <c r="AB58" s="79"/>
      <c r="CE58" s="86"/>
    </row>
    <row r="59" spans="1:83" s="71" customFormat="1" ht="18" customHeight="1">
      <c r="A59" s="85"/>
      <c r="H59" s="81"/>
      <c r="I59" s="81"/>
      <c r="L59" s="88"/>
      <c r="P59" s="73"/>
      <c r="R59" s="79"/>
      <c r="S59" s="79"/>
      <c r="T59" s="79"/>
      <c r="U59" s="79"/>
      <c r="V59" s="79"/>
      <c r="W59" s="79"/>
      <c r="X59" s="79"/>
      <c r="Y59" s="90"/>
      <c r="Z59" s="79"/>
      <c r="AA59" s="79"/>
      <c r="AB59" s="79"/>
      <c r="AC59" s="81"/>
      <c r="AF59" s="79"/>
      <c r="AG59" s="79"/>
      <c r="AH59" s="79"/>
      <c r="AI59" s="79"/>
      <c r="AJ59" s="79"/>
      <c r="AK59" s="81"/>
      <c r="AM59" s="79"/>
      <c r="AN59" s="79"/>
      <c r="AO59" s="91"/>
      <c r="AP59" s="79"/>
      <c r="AQ59" s="79"/>
      <c r="AR59" s="79"/>
      <c r="AS59" s="79"/>
      <c r="AT59" s="79"/>
      <c r="AU59" s="90"/>
      <c r="AV59" s="79"/>
      <c r="AW59" s="79"/>
      <c r="AX59" s="79"/>
      <c r="AZ59" s="89"/>
      <c r="CE59" s="86"/>
    </row>
    <row r="60" spans="1:83" s="71" customFormat="1" ht="18" customHeight="1">
      <c r="A60" s="92"/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  <c r="AO60" s="93"/>
      <c r="AP60" s="93"/>
      <c r="AQ60" s="93"/>
      <c r="AR60" s="93"/>
      <c r="AS60" s="93"/>
      <c r="AT60" s="93"/>
      <c r="AU60" s="93"/>
      <c r="AV60" s="93"/>
      <c r="AW60" s="93"/>
      <c r="AX60" s="93"/>
      <c r="AY60" s="93"/>
      <c r="AZ60" s="93"/>
      <c r="BA60" s="93"/>
      <c r="BB60" s="93"/>
      <c r="BC60" s="93"/>
      <c r="BD60" s="93"/>
      <c r="BE60" s="93"/>
      <c r="BF60" s="93"/>
      <c r="BG60" s="93"/>
      <c r="BH60" s="93"/>
      <c r="BI60" s="93"/>
      <c r="BJ60" s="93"/>
      <c r="BK60" s="93"/>
      <c r="BL60" s="93"/>
      <c r="BM60" s="93"/>
      <c r="BN60" s="93"/>
      <c r="BO60" s="93"/>
      <c r="BP60" s="93"/>
      <c r="BQ60" s="93"/>
      <c r="BR60" s="93"/>
      <c r="BS60" s="93"/>
      <c r="BT60" s="93"/>
      <c r="BU60" s="93"/>
      <c r="BV60" s="93"/>
      <c r="BW60" s="93"/>
      <c r="BX60" s="93"/>
      <c r="BY60" s="93"/>
      <c r="BZ60" s="93"/>
      <c r="CA60" s="93"/>
      <c r="CB60" s="93"/>
      <c r="CC60" s="93"/>
      <c r="CD60" s="93"/>
      <c r="CE60" s="94"/>
    </row>
    <row r="61" spans="1:83" s="69" customFormat="1" ht="21.95" customHeight="1">
      <c r="A61" s="1547" t="s">
        <v>878</v>
      </c>
      <c r="B61" s="1548"/>
      <c r="C61" s="1548"/>
      <c r="D61" s="1548"/>
      <c r="E61" s="1548"/>
      <c r="F61" s="1548"/>
      <c r="G61" s="1548"/>
      <c r="H61" s="441"/>
      <c r="I61" s="441"/>
      <c r="J61" s="442" t="s">
        <v>408</v>
      </c>
      <c r="K61" s="443"/>
      <c r="L61" s="444"/>
      <c r="M61" s="444"/>
      <c r="N61" s="444"/>
      <c r="O61" s="444"/>
      <c r="P61" s="445"/>
      <c r="Q61" s="441"/>
      <c r="R61" s="441"/>
      <c r="S61" s="441"/>
      <c r="T61" s="441"/>
      <c r="U61" s="441"/>
      <c r="V61" s="441"/>
      <c r="W61" s="441"/>
      <c r="X61" s="441"/>
      <c r="Y61" s="441"/>
      <c r="Z61" s="441"/>
      <c r="AA61" s="441"/>
      <c r="AB61" s="441"/>
      <c r="AC61" s="441"/>
      <c r="AD61" s="441"/>
      <c r="AE61" s="445"/>
      <c r="AF61" s="445"/>
      <c r="AG61" s="446"/>
      <c r="AH61" s="446"/>
      <c r="AI61" s="446"/>
      <c r="AJ61" s="446"/>
      <c r="AK61" s="446"/>
      <c r="AL61" s="444"/>
      <c r="AM61" s="441"/>
      <c r="AN61" s="445"/>
      <c r="AO61" s="446"/>
      <c r="AP61" s="446"/>
      <c r="AQ61" s="446"/>
      <c r="AR61" s="446"/>
      <c r="AS61" s="446"/>
      <c r="AT61" s="445"/>
      <c r="AU61" s="441"/>
      <c r="AV61" s="447"/>
      <c r="AW61" s="441"/>
      <c r="AX61" s="445">
        <v>1</v>
      </c>
      <c r="AY61" s="448"/>
      <c r="AZ61" s="448"/>
      <c r="BA61" s="448"/>
      <c r="BB61" s="448"/>
      <c r="BC61" s="448"/>
      <c r="BD61" s="449"/>
      <c r="BE61" s="444" t="s">
        <v>206</v>
      </c>
      <c r="BF61" s="441"/>
      <c r="BG61" s="449"/>
      <c r="BH61" s="449"/>
      <c r="BI61" s="449"/>
      <c r="BJ61" s="449"/>
      <c r="BK61" s="441"/>
      <c r="BL61" s="441"/>
      <c r="BM61" s="441"/>
      <c r="BN61" s="441"/>
      <c r="BO61" s="441"/>
      <c r="BP61" s="441"/>
      <c r="BQ61" s="441"/>
      <c r="BR61" s="441"/>
      <c r="BS61" s="441"/>
      <c r="BT61" s="441"/>
      <c r="BU61" s="441"/>
      <c r="BV61" s="441"/>
      <c r="BW61" s="441"/>
      <c r="BX61" s="441"/>
      <c r="BY61" s="441"/>
      <c r="BZ61" s="441"/>
      <c r="CA61" s="441"/>
      <c r="CB61" s="441"/>
      <c r="CC61" s="441"/>
      <c r="CD61" s="441"/>
      <c r="CE61" s="450"/>
    </row>
    <row r="62" spans="1:83" s="69" customFormat="1" ht="18" customHeight="1">
      <c r="A62" s="103"/>
      <c r="B62" s="104"/>
      <c r="C62" s="104"/>
      <c r="D62" s="104"/>
      <c r="E62" s="104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4"/>
      <c r="Z62" s="105"/>
      <c r="AA62" s="105"/>
      <c r="AB62" s="105"/>
      <c r="AC62" s="105"/>
      <c r="AD62" s="105"/>
      <c r="AE62" s="105"/>
      <c r="AF62" s="105"/>
      <c r="AG62" s="105"/>
      <c r="AH62" s="105"/>
      <c r="AI62" s="105"/>
      <c r="AJ62" s="105"/>
      <c r="AK62" s="105"/>
      <c r="AL62" s="105"/>
      <c r="AM62" s="105"/>
      <c r="AN62" s="105"/>
      <c r="AO62" s="105"/>
      <c r="AP62" s="105"/>
      <c r="AQ62" s="105"/>
      <c r="AR62" s="105"/>
      <c r="AS62" s="105"/>
      <c r="AT62" s="105"/>
      <c r="AU62" s="105"/>
      <c r="AV62" s="105"/>
      <c r="AW62" s="105"/>
      <c r="AX62" s="105"/>
      <c r="AY62" s="105"/>
      <c r="AZ62" s="105"/>
      <c r="BA62" s="105"/>
      <c r="BB62" s="105"/>
      <c r="BC62" s="105"/>
      <c r="BD62" s="105"/>
      <c r="BE62" s="105"/>
      <c r="BF62" s="105"/>
      <c r="BG62" s="105"/>
      <c r="BH62" s="105"/>
      <c r="BI62" s="105"/>
      <c r="BJ62" s="105"/>
      <c r="BK62" s="105"/>
      <c r="BL62" s="105"/>
      <c r="BM62" s="105"/>
      <c r="BN62" s="105"/>
      <c r="BO62" s="105"/>
      <c r="BP62" s="105"/>
      <c r="BQ62" s="105"/>
      <c r="BR62" s="105"/>
      <c r="BS62" s="104"/>
      <c r="BT62" s="105"/>
      <c r="BU62" s="105"/>
      <c r="BV62" s="105"/>
      <c r="BW62" s="105"/>
      <c r="BX62" s="105"/>
      <c r="BY62" s="105"/>
      <c r="BZ62" s="105"/>
      <c r="CA62" s="105"/>
      <c r="CB62" s="104"/>
      <c r="CC62" s="104"/>
      <c r="CD62" s="104"/>
      <c r="CE62" s="106"/>
    </row>
    <row r="63" spans="1:83" s="69" customFormat="1" ht="18" customHeight="1">
      <c r="A63" s="70"/>
      <c r="F63" s="71"/>
      <c r="G63" s="71"/>
      <c r="H63" s="71"/>
      <c r="I63" s="71"/>
      <c r="J63" s="81" t="s">
        <v>409</v>
      </c>
      <c r="K63" s="71"/>
      <c r="L63" s="71"/>
      <c r="M63" s="82" t="s">
        <v>410</v>
      </c>
      <c r="N63" s="71"/>
      <c r="O63" s="95">
        <v>0.4</v>
      </c>
      <c r="P63" s="1549">
        <v>0.5</v>
      </c>
      <c r="Q63" s="1549"/>
      <c r="R63" s="1549"/>
      <c r="S63" s="1549"/>
      <c r="T63" s="71"/>
      <c r="U63" s="71"/>
      <c r="V63" s="71"/>
      <c r="W63" s="71"/>
      <c r="X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8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81"/>
      <c r="BA63" s="71"/>
      <c r="BB63" s="71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71"/>
      <c r="BW63" s="71"/>
      <c r="BX63" s="71"/>
      <c r="BY63" s="71"/>
      <c r="BZ63" s="71"/>
      <c r="CA63" s="71"/>
      <c r="CE63" s="80"/>
    </row>
    <row r="64" spans="1:83" s="69" customFormat="1" ht="18" customHeight="1">
      <c r="A64" s="70"/>
      <c r="F64" s="71"/>
      <c r="G64" s="71"/>
      <c r="H64" s="71"/>
      <c r="I64" s="71"/>
      <c r="J64" s="81"/>
      <c r="K64" s="71"/>
      <c r="L64" s="71"/>
      <c r="M64" s="71"/>
      <c r="N64" s="71"/>
      <c r="O64" s="95"/>
      <c r="P64" s="79"/>
      <c r="Q64" s="79"/>
      <c r="R64" s="79"/>
      <c r="S64" s="79"/>
      <c r="T64" s="71"/>
      <c r="U64" s="71"/>
      <c r="V64" s="71"/>
      <c r="W64" s="71"/>
      <c r="X64" s="71"/>
      <c r="Z64" s="83"/>
      <c r="AB64" s="71"/>
      <c r="AC64" s="71"/>
      <c r="AD64" s="71"/>
      <c r="AE64" s="7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71"/>
      <c r="AR64" s="71"/>
      <c r="AS64" s="71"/>
      <c r="AT64" s="71"/>
      <c r="AU64" s="71"/>
      <c r="AV64" s="71"/>
      <c r="AW64" s="71"/>
      <c r="AX64" s="81"/>
      <c r="AY64" s="81"/>
      <c r="AZ64" s="81"/>
      <c r="BA64" s="81"/>
      <c r="BB64" s="81"/>
      <c r="BC64" s="81"/>
      <c r="BD64" s="81"/>
      <c r="BE64" s="8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81"/>
      <c r="BY64" s="71"/>
      <c r="BZ64" s="71"/>
      <c r="CA64" s="71"/>
      <c r="CE64" s="80"/>
    </row>
    <row r="65" spans="1:83" s="69" customFormat="1" ht="18" customHeight="1">
      <c r="A65" s="70"/>
      <c r="F65" s="71"/>
      <c r="G65" s="71"/>
      <c r="H65" s="71"/>
      <c r="I65" s="71"/>
      <c r="J65" s="81" t="s">
        <v>411</v>
      </c>
      <c r="K65" s="71"/>
      <c r="L65" s="71"/>
      <c r="M65" s="82" t="s">
        <v>410</v>
      </c>
      <c r="N65" s="71"/>
      <c r="O65" s="95">
        <v>0.9</v>
      </c>
      <c r="P65" s="1549">
        <v>0.5</v>
      </c>
      <c r="Q65" s="1549"/>
      <c r="R65" s="1549"/>
      <c r="S65" s="1549"/>
      <c r="T65" s="71"/>
      <c r="U65" s="71"/>
      <c r="V65" s="71"/>
      <c r="W65" s="71"/>
      <c r="X65" s="71"/>
      <c r="AB65" s="71"/>
      <c r="AC65" s="71"/>
      <c r="AD65" s="71"/>
      <c r="AE65" s="71"/>
      <c r="AF65" s="81"/>
      <c r="AG65" s="71"/>
      <c r="AH65" s="71"/>
      <c r="AI65" s="71"/>
      <c r="AJ65" s="71"/>
      <c r="AK65" s="71"/>
      <c r="AL65" s="71"/>
      <c r="AM65" s="71"/>
      <c r="AN65" s="71"/>
      <c r="AO65" s="71"/>
      <c r="AP65" s="8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  <c r="BC65" s="71"/>
      <c r="BD65" s="71"/>
      <c r="BE65" s="8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81"/>
      <c r="BY65" s="71"/>
      <c r="BZ65" s="71"/>
      <c r="CA65" s="71"/>
      <c r="CE65" s="80"/>
    </row>
    <row r="66" spans="1:83" s="69" customFormat="1" ht="18" customHeight="1">
      <c r="A66" s="70"/>
      <c r="F66" s="71"/>
      <c r="G66" s="71"/>
      <c r="H66" s="71"/>
      <c r="I66" s="71"/>
      <c r="J66" s="81"/>
      <c r="K66" s="71"/>
      <c r="L66" s="71"/>
      <c r="M66" s="71"/>
      <c r="N66" s="71"/>
      <c r="O66" s="95"/>
      <c r="P66" s="79"/>
      <c r="Q66" s="79"/>
      <c r="R66" s="79"/>
      <c r="S66" s="79"/>
      <c r="T66" s="71"/>
      <c r="U66" s="71"/>
      <c r="V66" s="71"/>
      <c r="W66" s="71"/>
      <c r="X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CE66" s="80"/>
    </row>
    <row r="67" spans="1:83" s="69" customFormat="1" ht="18" customHeight="1">
      <c r="A67" s="70"/>
      <c r="F67" s="71"/>
      <c r="G67" s="71"/>
      <c r="H67" s="71"/>
      <c r="I67" s="71"/>
      <c r="J67" s="81" t="s">
        <v>412</v>
      </c>
      <c r="K67" s="71"/>
      <c r="L67" s="71"/>
      <c r="M67" s="82" t="s">
        <v>410</v>
      </c>
      <c r="N67" s="71"/>
      <c r="O67" s="95">
        <v>0.6</v>
      </c>
      <c r="P67" s="1549">
        <f>P69+P71+P73</f>
        <v>0.6</v>
      </c>
      <c r="Q67" s="1549"/>
      <c r="R67" s="1549"/>
      <c r="S67" s="1549"/>
      <c r="T67" s="71"/>
      <c r="U67" s="71"/>
      <c r="V67" s="71"/>
      <c r="W67" s="71"/>
      <c r="X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CE67" s="80"/>
    </row>
    <row r="68" spans="1:83" s="69" customFormat="1" ht="18" customHeight="1">
      <c r="A68" s="70"/>
      <c r="F68" s="71"/>
      <c r="G68" s="71"/>
      <c r="H68" s="71"/>
      <c r="I68" s="71"/>
      <c r="J68" s="81"/>
      <c r="K68" s="71"/>
      <c r="L68" s="71"/>
      <c r="M68" s="71"/>
      <c r="N68" s="71"/>
      <c r="O68" s="79"/>
      <c r="P68" s="79"/>
      <c r="Q68" s="79"/>
      <c r="R68" s="79"/>
      <c r="S68" s="79"/>
      <c r="T68" s="71"/>
      <c r="U68" s="71"/>
      <c r="V68" s="71"/>
      <c r="W68" s="71"/>
      <c r="X68" s="71"/>
      <c r="AB68" s="71"/>
      <c r="AC68" s="8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81"/>
      <c r="AQ68" s="71"/>
      <c r="AR68" s="71"/>
      <c r="AS68" s="71"/>
      <c r="AT68" s="71"/>
      <c r="AU68" s="81"/>
      <c r="AV68" s="81"/>
      <c r="AW68" s="81"/>
      <c r="AX68" s="8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CE68" s="80"/>
    </row>
    <row r="69" spans="1:83" s="69" customFormat="1" ht="18" customHeight="1">
      <c r="A69" s="70"/>
      <c r="F69" s="71"/>
      <c r="G69" s="71"/>
      <c r="H69" s="71"/>
      <c r="I69" s="71"/>
      <c r="J69" s="81" t="s">
        <v>413</v>
      </c>
      <c r="K69" s="71"/>
      <c r="M69" s="82" t="s">
        <v>410</v>
      </c>
      <c r="O69" s="79"/>
      <c r="P69" s="1549">
        <v>0.05</v>
      </c>
      <c r="Q69" s="1549"/>
      <c r="R69" s="1549"/>
      <c r="S69" s="1549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8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81"/>
      <c r="BO69" s="71"/>
      <c r="BP69" s="71"/>
      <c r="BQ69" s="71"/>
      <c r="BR69" s="71"/>
      <c r="CE69" s="80"/>
    </row>
    <row r="70" spans="1:83" s="71" customFormat="1" ht="18" customHeight="1">
      <c r="A70" s="85"/>
      <c r="J70" s="81"/>
      <c r="O70" s="79"/>
      <c r="P70" s="79"/>
      <c r="Q70" s="79"/>
      <c r="R70" s="79"/>
      <c r="S70" s="79"/>
      <c r="AX70" s="81"/>
      <c r="BN70" s="81"/>
      <c r="CE70" s="86"/>
    </row>
    <row r="71" spans="1:83" s="71" customFormat="1" ht="18" customHeight="1">
      <c r="A71" s="85"/>
      <c r="J71" s="81" t="s">
        <v>414</v>
      </c>
      <c r="M71" s="82" t="s">
        <v>410</v>
      </c>
      <c r="O71" s="79"/>
      <c r="P71" s="1549">
        <v>0.05</v>
      </c>
      <c r="Q71" s="1549"/>
      <c r="R71" s="1549"/>
      <c r="S71" s="1549"/>
      <c r="AX71" s="81"/>
      <c r="BN71" s="81"/>
      <c r="CE71" s="86"/>
    </row>
    <row r="72" spans="1:83" s="71" customFormat="1" ht="18" customHeight="1">
      <c r="A72" s="85"/>
      <c r="AX72" s="81"/>
      <c r="BN72" s="81"/>
      <c r="CE72" s="86"/>
    </row>
    <row r="73" spans="1:83" s="71" customFormat="1" ht="18" customHeight="1">
      <c r="A73" s="85"/>
      <c r="J73" s="81" t="s">
        <v>415</v>
      </c>
      <c r="M73" s="82" t="s">
        <v>410</v>
      </c>
      <c r="O73" s="79"/>
      <c r="P73" s="1549">
        <v>0.5</v>
      </c>
      <c r="Q73" s="1549"/>
      <c r="R73" s="1549"/>
      <c r="S73" s="1549"/>
      <c r="AX73" s="81"/>
      <c r="BN73" s="81"/>
      <c r="CE73" s="86"/>
    </row>
    <row r="74" spans="1:83" s="71" customFormat="1" ht="18" customHeight="1">
      <c r="A74" s="85"/>
      <c r="AX74" s="81"/>
      <c r="CE74" s="86"/>
    </row>
    <row r="75" spans="1:83" s="71" customFormat="1" ht="18" customHeight="1">
      <c r="A75" s="85"/>
      <c r="CE75" s="86"/>
    </row>
    <row r="76" spans="1:83" s="71" customFormat="1" ht="18" customHeight="1">
      <c r="A76" s="85"/>
      <c r="G76" s="81"/>
      <c r="H76" s="71" t="s">
        <v>416</v>
      </c>
      <c r="K76" s="81" t="s">
        <v>417</v>
      </c>
      <c r="CE76" s="86"/>
    </row>
    <row r="77" spans="1:83" s="71" customFormat="1" ht="18" customHeight="1">
      <c r="A77" s="85"/>
      <c r="I77" s="81"/>
      <c r="L77" s="1560">
        <f>P65</f>
        <v>0.5</v>
      </c>
      <c r="M77" s="1560"/>
      <c r="N77" s="1560"/>
      <c r="O77" s="71" t="s">
        <v>418</v>
      </c>
      <c r="P77" s="73"/>
      <c r="Q77" s="1544">
        <v>1</v>
      </c>
      <c r="R77" s="1544"/>
      <c r="S77" s="1544"/>
      <c r="T77" s="1544" t="s">
        <v>419</v>
      </c>
      <c r="U77" s="1544"/>
      <c r="V77" s="1544"/>
      <c r="W77" s="1553">
        <f>L77*Q77</f>
        <v>0.5</v>
      </c>
      <c r="X77" s="1553"/>
      <c r="Y77" s="1553"/>
      <c r="Z77" s="1553"/>
      <c r="AA77" s="89" t="s">
        <v>212</v>
      </c>
      <c r="AB77" s="90"/>
      <c r="AC77" s="81"/>
      <c r="AF77" s="79"/>
      <c r="AG77" s="79"/>
      <c r="AH77" s="79"/>
      <c r="AI77" s="89"/>
      <c r="AJ77" s="79"/>
      <c r="AK77" s="81"/>
      <c r="AM77" s="79"/>
      <c r="AN77" s="79"/>
      <c r="AO77" s="79"/>
      <c r="AP77" s="91"/>
      <c r="AQ77" s="79"/>
      <c r="AR77" s="79"/>
      <c r="AS77" s="79"/>
      <c r="AT77" s="79"/>
      <c r="AU77" s="90"/>
      <c r="AV77" s="79"/>
      <c r="AW77" s="79"/>
      <c r="AX77" s="79"/>
      <c r="AZ77" s="89"/>
      <c r="CE77" s="86"/>
    </row>
    <row r="78" spans="1:83" s="71" customFormat="1" ht="18" customHeight="1">
      <c r="A78" s="85"/>
      <c r="G78" s="81"/>
      <c r="K78" s="89"/>
      <c r="CE78" s="86"/>
    </row>
    <row r="79" spans="1:83" s="71" customFormat="1" ht="18" customHeight="1">
      <c r="A79" s="85"/>
      <c r="G79" s="81"/>
      <c r="H79" s="71" t="s">
        <v>381</v>
      </c>
      <c r="K79" s="81" t="s">
        <v>420</v>
      </c>
      <c r="CE79" s="86"/>
    </row>
    <row r="80" spans="1:83" s="71" customFormat="1" ht="18" customHeight="1">
      <c r="A80" s="85"/>
      <c r="I80" s="81"/>
      <c r="T80" s="1544" t="s">
        <v>401</v>
      </c>
      <c r="U80" s="1544"/>
      <c r="V80" s="1544"/>
      <c r="W80" s="1544">
        <f>W77</f>
        <v>0.5</v>
      </c>
      <c r="X80" s="1544"/>
      <c r="Y80" s="1544"/>
      <c r="Z80" s="1544"/>
      <c r="AA80" s="89" t="s">
        <v>212</v>
      </c>
      <c r="AB80" s="90"/>
      <c r="AC80" s="81"/>
      <c r="AF80" s="79"/>
      <c r="AG80" s="79"/>
      <c r="AH80" s="79"/>
      <c r="AI80" s="89"/>
      <c r="AJ80" s="79"/>
      <c r="AK80" s="81"/>
      <c r="AM80" s="79"/>
      <c r="AN80" s="79"/>
      <c r="AO80" s="79"/>
      <c r="AP80" s="91"/>
      <c r="AQ80" s="79"/>
      <c r="AR80" s="79"/>
      <c r="AS80" s="79"/>
      <c r="AT80" s="79"/>
      <c r="AU80" s="90"/>
      <c r="AV80" s="79"/>
      <c r="AW80" s="79"/>
      <c r="AX80" s="79"/>
      <c r="AZ80" s="89"/>
      <c r="CE80" s="86"/>
    </row>
    <row r="81" spans="1:83" s="71" customFormat="1" ht="18" customHeight="1">
      <c r="A81" s="85"/>
      <c r="G81" s="81"/>
      <c r="K81" s="89"/>
      <c r="CE81" s="86"/>
    </row>
    <row r="82" spans="1:83" s="71" customFormat="1" ht="18" customHeight="1">
      <c r="A82" s="85"/>
      <c r="G82" s="81"/>
      <c r="H82" s="71" t="s">
        <v>385</v>
      </c>
      <c r="K82" s="81" t="s">
        <v>421</v>
      </c>
      <c r="CE82" s="86"/>
    </row>
    <row r="83" spans="1:83" s="71" customFormat="1" ht="18" customHeight="1">
      <c r="A83" s="85"/>
      <c r="I83" s="81"/>
      <c r="L83" s="1544">
        <f>P71</f>
        <v>0.05</v>
      </c>
      <c r="M83" s="1552"/>
      <c r="N83" s="1552"/>
      <c r="O83" s="1552"/>
      <c r="P83" s="1544" t="s">
        <v>211</v>
      </c>
      <c r="Q83" s="1552"/>
      <c r="R83" s="1544">
        <f>P65</f>
        <v>0.5</v>
      </c>
      <c r="S83" s="1552"/>
      <c r="T83" s="1552"/>
      <c r="U83" s="1552"/>
      <c r="V83" s="1552"/>
      <c r="W83" s="1552"/>
      <c r="X83" s="1544" t="s">
        <v>211</v>
      </c>
      <c r="Y83" s="1544"/>
      <c r="Z83" s="1544">
        <f>AX61</f>
        <v>1</v>
      </c>
      <c r="AA83" s="1552"/>
      <c r="AB83" s="1552"/>
      <c r="AC83" s="1552"/>
      <c r="AD83" s="1552"/>
      <c r="AE83" s="79" t="s">
        <v>227</v>
      </c>
      <c r="AF83" s="79"/>
      <c r="AG83" s="1544">
        <f>ROUNDDOWN(L83*R83*Z83,3)</f>
        <v>2.5000000000000001E-2</v>
      </c>
      <c r="AH83" s="1552"/>
      <c r="AI83" s="1552"/>
      <c r="AJ83" s="1552"/>
      <c r="AK83" s="1552"/>
      <c r="AL83" s="1552"/>
      <c r="AM83" s="89" t="s">
        <v>212</v>
      </c>
      <c r="AN83" s="79"/>
      <c r="AO83" s="91"/>
      <c r="AV83" s="79"/>
      <c r="AW83" s="79"/>
      <c r="AX83" s="79"/>
      <c r="AZ83" s="89"/>
      <c r="CE83" s="86"/>
    </row>
    <row r="84" spans="1:83" s="71" customFormat="1" ht="18" customHeight="1">
      <c r="A84" s="85"/>
      <c r="G84" s="81"/>
      <c r="K84" s="89"/>
      <c r="CE84" s="86"/>
    </row>
    <row r="85" spans="1:83" s="71" customFormat="1" ht="18" customHeight="1">
      <c r="A85" s="85"/>
      <c r="G85" s="81"/>
      <c r="H85" s="71" t="s">
        <v>405</v>
      </c>
      <c r="K85" s="81" t="s">
        <v>402</v>
      </c>
      <c r="CE85" s="86"/>
    </row>
    <row r="86" spans="1:83" s="71" customFormat="1" ht="18" customHeight="1">
      <c r="A86" s="85"/>
      <c r="I86" s="81" t="s">
        <v>207</v>
      </c>
      <c r="L86" s="1561" t="s">
        <v>208</v>
      </c>
      <c r="M86" s="1387"/>
      <c r="N86" s="1387"/>
      <c r="O86" s="71" t="s">
        <v>403</v>
      </c>
      <c r="P86" s="73"/>
      <c r="R86" s="1544">
        <f>P63</f>
        <v>0.5</v>
      </c>
      <c r="S86" s="1552"/>
      <c r="T86" s="1552"/>
      <c r="U86" s="1552"/>
      <c r="V86" s="79"/>
      <c r="W86" s="79" t="s">
        <v>209</v>
      </c>
      <c r="X86" s="1544">
        <f>P65</f>
        <v>0.5</v>
      </c>
      <c r="Y86" s="1552"/>
      <c r="Z86" s="1552"/>
      <c r="AA86" s="1552"/>
      <c r="AB86" s="1552"/>
      <c r="AC86" s="81" t="s">
        <v>210</v>
      </c>
      <c r="AF86" s="1544">
        <f>P73</f>
        <v>0.5</v>
      </c>
      <c r="AG86" s="1544"/>
      <c r="AH86" s="1544"/>
      <c r="AI86" s="1544"/>
      <c r="AJ86" s="1544"/>
      <c r="AK86" s="81" t="s">
        <v>211</v>
      </c>
      <c r="AM86" s="1544">
        <f>AX61</f>
        <v>1</v>
      </c>
      <c r="AN86" s="1552"/>
      <c r="AO86" s="1552"/>
      <c r="AP86" s="1552"/>
      <c r="AQ86" s="1552"/>
      <c r="AR86" s="1544" t="s">
        <v>404</v>
      </c>
      <c r="AS86" s="1552"/>
      <c r="AT86" s="1544">
        <f>ROUNDDOWN((R86+X86)*AF86*AM86/2,3)</f>
        <v>0.25</v>
      </c>
      <c r="AU86" s="1552"/>
      <c r="AV86" s="1552"/>
      <c r="AW86" s="1552"/>
      <c r="AX86" s="1552"/>
      <c r="AZ86" s="89" t="s">
        <v>212</v>
      </c>
      <c r="CE86" s="86"/>
    </row>
    <row r="87" spans="1:83" s="71" customFormat="1" ht="18" customHeight="1">
      <c r="A87" s="85"/>
      <c r="G87" s="81"/>
      <c r="K87" s="89"/>
      <c r="CE87" s="86"/>
    </row>
    <row r="88" spans="1:83" s="71" customFormat="1" ht="18" customHeight="1">
      <c r="A88" s="85"/>
      <c r="G88" s="81"/>
      <c r="H88" s="71" t="s">
        <v>407</v>
      </c>
      <c r="K88" s="89" t="s">
        <v>422</v>
      </c>
      <c r="CE88" s="86"/>
    </row>
    <row r="89" spans="1:83" s="71" customFormat="1" ht="18" customHeight="1">
      <c r="A89" s="92"/>
      <c r="B89" s="93"/>
      <c r="C89" s="93"/>
      <c r="D89" s="93"/>
      <c r="E89" s="93"/>
      <c r="F89" s="93"/>
      <c r="G89" s="93"/>
      <c r="H89" s="96"/>
      <c r="I89" s="96" t="s">
        <v>213</v>
      </c>
      <c r="J89" s="93"/>
      <c r="K89" s="107"/>
      <c r="L89" s="93"/>
      <c r="M89" s="93"/>
      <c r="N89" s="93"/>
      <c r="O89" s="93"/>
      <c r="P89" s="93" t="s">
        <v>214</v>
      </c>
      <c r="Q89" s="93"/>
      <c r="R89" s="97" t="s">
        <v>423</v>
      </c>
      <c r="S89" s="101"/>
      <c r="T89" s="101"/>
      <c r="U89" s="101"/>
      <c r="V89" s="101"/>
      <c r="W89" s="93"/>
      <c r="X89" s="93"/>
      <c r="Y89" s="93"/>
      <c r="Z89" s="93"/>
      <c r="AA89" s="93"/>
      <c r="AB89" s="93"/>
      <c r="AC89" s="93"/>
      <c r="AD89" s="93"/>
      <c r="AE89" s="100"/>
      <c r="AF89" s="101" t="s">
        <v>401</v>
      </c>
      <c r="AG89" s="101"/>
      <c r="AH89" s="1556">
        <f>AT86</f>
        <v>0.25</v>
      </c>
      <c r="AI89" s="1557"/>
      <c r="AJ89" s="1557"/>
      <c r="AK89" s="1557"/>
      <c r="AL89" s="1557"/>
      <c r="AM89" s="101" t="s">
        <v>214</v>
      </c>
      <c r="AN89" s="101"/>
      <c r="AO89" s="1559">
        <v>0</v>
      </c>
      <c r="AP89" s="1557"/>
      <c r="AQ89" s="1557"/>
      <c r="AR89" s="1557"/>
      <c r="AS89" s="1557"/>
      <c r="AT89" s="101" t="s">
        <v>401</v>
      </c>
      <c r="AU89" s="101"/>
      <c r="AV89" s="1559">
        <f>ROUNDDOWN(AH89-AO89,3)</f>
        <v>0.25</v>
      </c>
      <c r="AW89" s="1557"/>
      <c r="AX89" s="1557"/>
      <c r="AY89" s="1557"/>
      <c r="AZ89" s="1557"/>
      <c r="BA89" s="93"/>
      <c r="BB89" s="99" t="s">
        <v>212</v>
      </c>
      <c r="BC89" s="93"/>
      <c r="BD89" s="93"/>
      <c r="BE89" s="93"/>
      <c r="BF89" s="93"/>
      <c r="BG89" s="93"/>
      <c r="BH89" s="93"/>
      <c r="BI89" s="93"/>
      <c r="BJ89" s="93"/>
      <c r="BK89" s="93"/>
      <c r="BL89" s="93"/>
      <c r="BM89" s="93"/>
      <c r="BN89" s="93"/>
      <c r="BO89" s="93"/>
      <c r="BP89" s="93"/>
      <c r="BQ89" s="93"/>
      <c r="BR89" s="93"/>
      <c r="BS89" s="93"/>
      <c r="BT89" s="93"/>
      <c r="BU89" s="93"/>
      <c r="BV89" s="93"/>
      <c r="BW89" s="93"/>
      <c r="BX89" s="93"/>
      <c r="BY89" s="93"/>
      <c r="BZ89" s="93"/>
      <c r="CA89" s="93"/>
      <c r="CB89" s="93"/>
      <c r="CC89" s="93"/>
      <c r="CD89" s="93"/>
      <c r="CE89" s="94"/>
    </row>
    <row r="90" spans="1:83" s="69" customFormat="1" ht="21.95" customHeight="1">
      <c r="A90" s="1547" t="s">
        <v>424</v>
      </c>
      <c r="B90" s="1548"/>
      <c r="C90" s="1548"/>
      <c r="D90" s="1548"/>
      <c r="E90" s="1548"/>
      <c r="F90" s="1548"/>
      <c r="G90" s="1548"/>
      <c r="H90" s="441"/>
      <c r="I90" s="441"/>
      <c r="J90" s="451" t="s">
        <v>863</v>
      </c>
      <c r="K90" s="443"/>
      <c r="L90" s="444"/>
      <c r="M90" s="444"/>
      <c r="N90" s="444"/>
      <c r="O90" s="444"/>
      <c r="P90" s="445"/>
      <c r="Q90" s="441"/>
      <c r="R90" s="441"/>
      <c r="S90" s="441"/>
      <c r="T90" s="441"/>
      <c r="U90" s="441"/>
      <c r="V90" s="441"/>
      <c r="W90" s="441"/>
      <c r="X90" s="441"/>
      <c r="Y90" s="441"/>
      <c r="Z90" s="441"/>
      <c r="AA90" s="441"/>
      <c r="AB90" s="441"/>
      <c r="AC90" s="441"/>
      <c r="AD90" s="441"/>
      <c r="AE90" s="445"/>
      <c r="AF90" s="445"/>
      <c r="AG90" s="446"/>
      <c r="AH90" s="446"/>
      <c r="AI90" s="446"/>
      <c r="AJ90" s="446"/>
      <c r="AK90" s="446"/>
      <c r="AL90" s="444"/>
      <c r="AM90" s="441"/>
      <c r="AN90" s="445"/>
      <c r="AO90" s="446"/>
      <c r="AP90" s="446"/>
      <c r="AQ90" s="446"/>
      <c r="AR90" s="446"/>
      <c r="AS90" s="446"/>
      <c r="AT90" s="445"/>
      <c r="AU90" s="441"/>
      <c r="AV90" s="447"/>
      <c r="AW90" s="441"/>
      <c r="AX90" s="445">
        <v>1</v>
      </c>
      <c r="AY90" s="448"/>
      <c r="AZ90" s="448"/>
      <c r="BA90" s="448"/>
      <c r="BB90" s="448"/>
      <c r="BC90" s="448"/>
      <c r="BD90" s="449"/>
      <c r="BE90" s="444" t="s">
        <v>206</v>
      </c>
      <c r="BF90" s="441"/>
      <c r="BG90" s="449"/>
      <c r="BH90" s="449"/>
      <c r="BI90" s="449"/>
      <c r="BJ90" s="449"/>
      <c r="BK90" s="441"/>
      <c r="BL90" s="441"/>
      <c r="BM90" s="441"/>
      <c r="BN90" s="441"/>
      <c r="BO90" s="441"/>
      <c r="BP90" s="441"/>
      <c r="BQ90" s="441"/>
      <c r="BR90" s="441"/>
      <c r="BS90" s="441"/>
      <c r="BT90" s="441"/>
      <c r="BU90" s="441"/>
      <c r="BV90" s="441"/>
      <c r="BW90" s="441"/>
      <c r="BX90" s="441"/>
      <c r="BY90" s="441"/>
      <c r="BZ90" s="441"/>
      <c r="CA90" s="441"/>
      <c r="CB90" s="441"/>
      <c r="CC90" s="441"/>
      <c r="CD90" s="441"/>
      <c r="CE90" s="450"/>
    </row>
    <row r="91" spans="1:83" s="69" customFormat="1" ht="11.25" customHeight="1">
      <c r="A91" s="108"/>
      <c r="B91" s="109"/>
      <c r="C91" s="110"/>
      <c r="D91" s="111"/>
      <c r="E91" s="111"/>
      <c r="F91" s="111"/>
      <c r="G91" s="111"/>
      <c r="H91" s="112"/>
      <c r="I91" s="112"/>
      <c r="J91" s="112"/>
      <c r="K91" s="113"/>
      <c r="L91" s="105"/>
      <c r="M91" s="111"/>
      <c r="N91" s="112"/>
      <c r="O91" s="113"/>
      <c r="P91" s="113"/>
      <c r="Q91" s="112"/>
      <c r="R91" s="111"/>
      <c r="S91" s="114"/>
      <c r="T91" s="115"/>
      <c r="U91" s="116"/>
      <c r="V91" s="116"/>
      <c r="W91" s="116"/>
      <c r="X91" s="111"/>
      <c r="Y91" s="105"/>
      <c r="Z91" s="105"/>
      <c r="AA91" s="105"/>
      <c r="AB91" s="105"/>
      <c r="AC91" s="105"/>
      <c r="AD91" s="105"/>
      <c r="AE91" s="105"/>
      <c r="AF91" s="105"/>
      <c r="AG91" s="105"/>
      <c r="AH91" s="105"/>
      <c r="AI91" s="105"/>
      <c r="AJ91" s="105"/>
      <c r="AK91" s="105"/>
      <c r="AL91" s="105"/>
      <c r="AM91" s="104"/>
      <c r="AN91" s="104"/>
      <c r="AO91" s="104"/>
      <c r="AP91" s="104"/>
      <c r="AQ91" s="104"/>
      <c r="AR91" s="104"/>
      <c r="AS91" s="104"/>
      <c r="AT91" s="104"/>
      <c r="AU91" s="104"/>
      <c r="AV91" s="104"/>
      <c r="AW91" s="104"/>
      <c r="AX91" s="104"/>
      <c r="AY91" s="104"/>
      <c r="AZ91" s="104"/>
      <c r="BA91" s="104"/>
      <c r="BB91" s="104"/>
      <c r="BC91" s="104"/>
      <c r="BD91" s="104"/>
      <c r="BE91" s="104"/>
      <c r="BF91" s="104"/>
      <c r="BG91" s="104"/>
      <c r="BH91" s="104"/>
      <c r="BI91" s="104"/>
      <c r="BJ91" s="104"/>
      <c r="BK91" s="104"/>
      <c r="BL91" s="104"/>
      <c r="BM91" s="104"/>
      <c r="BN91" s="104"/>
      <c r="BO91" s="104"/>
      <c r="BP91" s="104"/>
      <c r="BQ91" s="104"/>
      <c r="BR91" s="104"/>
      <c r="BS91" s="104"/>
      <c r="BT91" s="104"/>
      <c r="BU91" s="104"/>
      <c r="BV91" s="104"/>
      <c r="BW91" s="104"/>
      <c r="BX91" s="104"/>
      <c r="BY91" s="104"/>
      <c r="BZ91" s="104"/>
      <c r="CA91" s="104"/>
      <c r="CB91" s="104"/>
      <c r="CC91" s="104"/>
      <c r="CD91" s="104"/>
      <c r="CE91" s="106"/>
    </row>
    <row r="92" spans="1:83" s="69" customFormat="1" ht="14.1" customHeight="1">
      <c r="A92" s="85"/>
      <c r="B92" s="71"/>
      <c r="C92" s="71"/>
      <c r="D92" s="71"/>
      <c r="E92" s="81" t="s">
        <v>235</v>
      </c>
      <c r="F92" s="71"/>
      <c r="G92" s="71"/>
      <c r="H92" s="82" t="s">
        <v>217</v>
      </c>
      <c r="I92" s="71"/>
      <c r="J92" s="1549">
        <v>1</v>
      </c>
      <c r="K92" s="1545"/>
      <c r="L92" s="1545"/>
      <c r="M92" s="1545"/>
      <c r="N92" s="1545"/>
      <c r="O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CE92" s="80"/>
    </row>
    <row r="93" spans="1:83" s="69" customFormat="1" ht="14.1" customHeight="1">
      <c r="A93" s="85"/>
      <c r="B93" s="71"/>
      <c r="C93" s="71"/>
      <c r="D93" s="71"/>
      <c r="E93" s="81"/>
      <c r="F93" s="71"/>
      <c r="G93" s="71"/>
      <c r="H93" s="71"/>
      <c r="I93" s="71"/>
      <c r="J93" s="79"/>
      <c r="K93" s="79"/>
      <c r="L93" s="79"/>
      <c r="M93" s="79"/>
      <c r="N93" s="79"/>
      <c r="O93" s="71"/>
      <c r="P93" s="71"/>
      <c r="U93" s="71"/>
      <c r="V93" s="71"/>
      <c r="W93" s="71"/>
      <c r="X93" s="71"/>
      <c r="Y93" s="71"/>
      <c r="Z93" s="71"/>
      <c r="AA93" s="71"/>
      <c r="AB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  <c r="AV93" s="71"/>
      <c r="AW93" s="71"/>
      <c r="AX93" s="71"/>
      <c r="AY93" s="71"/>
      <c r="AZ93" s="71"/>
      <c r="BA93" s="71"/>
      <c r="BB93" s="71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CE93" s="80"/>
    </row>
    <row r="94" spans="1:83" s="69" customFormat="1" ht="14.1" customHeight="1">
      <c r="A94" s="85"/>
      <c r="B94" s="71"/>
      <c r="C94" s="71"/>
      <c r="D94" s="71"/>
      <c r="E94" s="81" t="s">
        <v>226</v>
      </c>
      <c r="F94" s="71"/>
      <c r="H94" s="82" t="s">
        <v>217</v>
      </c>
      <c r="J94" s="1549">
        <v>1</v>
      </c>
      <c r="K94" s="1545"/>
      <c r="L94" s="1545"/>
      <c r="M94" s="1545"/>
      <c r="N94" s="1545"/>
      <c r="O94" s="71"/>
      <c r="P94" s="71"/>
      <c r="Q94" s="71"/>
      <c r="R94" s="71"/>
      <c r="S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CE94" s="80"/>
    </row>
    <row r="95" spans="1:83" s="69" customFormat="1" ht="14.1" customHeight="1">
      <c r="A95" s="85"/>
      <c r="B95" s="71"/>
      <c r="C95" s="71"/>
      <c r="D95" s="71"/>
      <c r="N95" s="79"/>
      <c r="O95" s="71"/>
      <c r="P95" s="71"/>
      <c r="Q95" s="71"/>
      <c r="R95" s="71"/>
      <c r="S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8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71"/>
      <c r="AU95" s="81"/>
      <c r="AV95" s="71"/>
      <c r="AW95" s="71"/>
      <c r="AX95" s="71"/>
      <c r="AY95" s="71"/>
      <c r="AZ95" s="71"/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/>
      <c r="CE95" s="80"/>
    </row>
    <row r="96" spans="1:83" s="69" customFormat="1" ht="14.1" customHeight="1">
      <c r="A96" s="85"/>
      <c r="B96" s="71"/>
      <c r="C96" s="71"/>
      <c r="D96" s="71"/>
      <c r="E96" s="81" t="s">
        <v>236</v>
      </c>
      <c r="F96" s="71"/>
      <c r="H96" s="82" t="s">
        <v>217</v>
      </c>
      <c r="J96" s="1549">
        <v>0.05</v>
      </c>
      <c r="K96" s="1545"/>
      <c r="L96" s="1545"/>
      <c r="M96" s="1545"/>
      <c r="N96" s="1545"/>
      <c r="O96" s="71"/>
      <c r="P96" s="71"/>
      <c r="Q96" s="71"/>
      <c r="R96" s="71"/>
      <c r="S96" s="71"/>
      <c r="U96" s="83"/>
      <c r="W96" s="71"/>
      <c r="X96" s="71"/>
      <c r="Y96" s="71"/>
      <c r="Z96" s="71"/>
      <c r="AA96" s="81"/>
      <c r="AB96" s="81"/>
      <c r="AC96" s="81"/>
      <c r="AD96" s="81"/>
      <c r="AE96" s="81"/>
      <c r="AF96" s="81"/>
      <c r="AG96" s="81"/>
      <c r="AH96" s="81"/>
      <c r="AI96" s="81"/>
      <c r="AJ96" s="81"/>
      <c r="AK96" s="81"/>
      <c r="AL96" s="71"/>
      <c r="AM96" s="71"/>
      <c r="AN96" s="71"/>
      <c r="AO96" s="71"/>
      <c r="AP96" s="71"/>
      <c r="AQ96" s="71"/>
      <c r="AR96" s="71"/>
      <c r="AS96" s="81"/>
      <c r="AT96" s="81"/>
      <c r="AU96" s="81"/>
      <c r="AV96" s="81"/>
      <c r="AW96" s="81"/>
      <c r="AX96" s="81"/>
      <c r="AY96" s="81"/>
      <c r="AZ96" s="8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CE96" s="80"/>
    </row>
    <row r="97" spans="1:95" s="69" customFormat="1" ht="14.1" customHeight="1">
      <c r="A97" s="85"/>
      <c r="B97" s="71"/>
      <c r="C97" s="71"/>
      <c r="D97" s="71"/>
      <c r="E97" s="81"/>
      <c r="F97" s="71"/>
      <c r="G97" s="71"/>
      <c r="H97" s="71"/>
      <c r="I97" s="71"/>
      <c r="J97" s="79"/>
      <c r="K97" s="79"/>
      <c r="L97" s="79"/>
      <c r="M97" s="79"/>
      <c r="N97" s="71"/>
      <c r="O97" s="71"/>
      <c r="P97" s="71"/>
      <c r="Q97" s="71"/>
      <c r="R97" s="71"/>
      <c r="S97" s="71"/>
      <c r="W97" s="71"/>
      <c r="X97" s="71"/>
      <c r="Y97" s="71"/>
      <c r="Z97" s="71"/>
      <c r="AA97" s="81"/>
      <c r="AB97" s="71"/>
      <c r="AC97" s="71"/>
      <c r="AD97" s="71"/>
      <c r="AE97" s="71"/>
      <c r="AF97" s="71"/>
      <c r="AG97" s="71"/>
      <c r="AH97" s="71"/>
      <c r="AI97" s="71"/>
      <c r="AJ97" s="71"/>
      <c r="AK97" s="8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8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CE97" s="80"/>
    </row>
    <row r="98" spans="1:95" s="69" customFormat="1" ht="14.1" customHeight="1">
      <c r="A98" s="85"/>
      <c r="B98" s="71"/>
      <c r="C98" s="71"/>
      <c r="D98" s="71"/>
      <c r="E98" s="81" t="s">
        <v>237</v>
      </c>
      <c r="F98" s="71"/>
      <c r="G98" s="71"/>
      <c r="H98" s="82" t="s">
        <v>217</v>
      </c>
      <c r="I98" s="71"/>
      <c r="J98" s="1549">
        <v>0.1</v>
      </c>
      <c r="K98" s="1545"/>
      <c r="L98" s="1545"/>
      <c r="M98" s="1545"/>
      <c r="N98" s="1545"/>
      <c r="P98" s="71"/>
      <c r="Q98" s="71"/>
      <c r="R98" s="71"/>
      <c r="S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71"/>
      <c r="AU98" s="71"/>
      <c r="AV98" s="71"/>
      <c r="AW98" s="71"/>
      <c r="AX98" s="71"/>
      <c r="AY98" s="71"/>
      <c r="AZ98" s="71"/>
      <c r="BA98" s="71"/>
      <c r="BB98" s="71"/>
      <c r="BC98" s="71"/>
      <c r="BD98" s="71"/>
      <c r="BE98" s="71"/>
      <c r="BF98" s="71"/>
      <c r="BG98" s="71"/>
      <c r="BH98" s="71"/>
      <c r="BI98" s="71"/>
      <c r="BJ98" s="71"/>
      <c r="BK98" s="71"/>
      <c r="BL98" s="71"/>
      <c r="BM98" s="71"/>
      <c r="CE98" s="80"/>
      <c r="CQ98" s="881"/>
    </row>
    <row r="99" spans="1:95" s="69" customFormat="1" ht="14.1" customHeight="1">
      <c r="A99" s="85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O99" s="71"/>
      <c r="P99" s="71"/>
      <c r="Q99" s="71"/>
      <c r="R99" s="71"/>
      <c r="S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  <c r="AV99" s="71"/>
      <c r="AW99" s="71"/>
      <c r="AX99" s="71"/>
      <c r="AY99" s="71"/>
      <c r="AZ99" s="71"/>
      <c r="BA99" s="71"/>
      <c r="BB99" s="71"/>
      <c r="BC99" s="71"/>
      <c r="BD99" s="71"/>
      <c r="BE99" s="71"/>
      <c r="BF99" s="71"/>
      <c r="BG99" s="71"/>
      <c r="BH99" s="71"/>
      <c r="BI99" s="71"/>
      <c r="BJ99" s="71"/>
      <c r="BK99" s="71"/>
      <c r="BL99" s="71"/>
      <c r="BM99" s="71"/>
      <c r="CE99" s="80"/>
    </row>
    <row r="100" spans="1:95" s="69" customFormat="1" ht="14.1" customHeight="1">
      <c r="A100" s="85"/>
      <c r="B100" s="71"/>
      <c r="C100" s="71"/>
      <c r="D100" s="71"/>
      <c r="E100" s="81" t="s">
        <v>238</v>
      </c>
      <c r="F100" s="71"/>
      <c r="G100" s="71"/>
      <c r="H100" s="82" t="s">
        <v>217</v>
      </c>
      <c r="I100" s="71"/>
      <c r="J100" s="1549">
        <v>0.2</v>
      </c>
      <c r="K100" s="1545"/>
      <c r="L100" s="1545"/>
      <c r="M100" s="1545"/>
      <c r="N100" s="1545"/>
      <c r="O100" s="71"/>
      <c r="Q100" s="71"/>
      <c r="R100" s="71"/>
      <c r="S100" s="71"/>
      <c r="W100" s="71"/>
      <c r="X100" s="8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81"/>
      <c r="AL100" s="71"/>
      <c r="AM100" s="71"/>
      <c r="AN100" s="71"/>
      <c r="AO100" s="71"/>
      <c r="AP100" s="81"/>
      <c r="AQ100" s="81"/>
      <c r="AR100" s="81"/>
      <c r="AS100" s="8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CE100" s="80"/>
    </row>
    <row r="101" spans="1:95" s="69" customFormat="1" ht="14.1" customHeight="1">
      <c r="A101" s="85"/>
      <c r="B101" s="71"/>
      <c r="C101" s="71"/>
      <c r="D101" s="71"/>
      <c r="N101" s="71"/>
      <c r="O101" s="71"/>
      <c r="P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81"/>
      <c r="AT101" s="71"/>
      <c r="AU101" s="71"/>
      <c r="AV101" s="71"/>
      <c r="AW101" s="71"/>
      <c r="AX101" s="71"/>
      <c r="AY101" s="71"/>
      <c r="AZ101" s="71"/>
      <c r="BA101" s="71"/>
      <c r="BB101" s="71"/>
      <c r="BC101" s="71"/>
      <c r="BD101" s="71"/>
      <c r="BE101" s="71"/>
      <c r="BF101" s="71"/>
      <c r="BG101" s="71"/>
      <c r="BH101" s="71"/>
      <c r="BI101" s="81"/>
      <c r="BJ101" s="71"/>
      <c r="BK101" s="71"/>
      <c r="BL101" s="71"/>
      <c r="BM101" s="71"/>
      <c r="CE101" s="80"/>
    </row>
    <row r="102" spans="1:95" s="71" customFormat="1" ht="14.1" customHeight="1">
      <c r="A102" s="85"/>
      <c r="E102" s="81" t="s">
        <v>239</v>
      </c>
      <c r="H102" s="82" t="s">
        <v>217</v>
      </c>
      <c r="J102" s="1549">
        <f>J94-(J96+J98+J100)</f>
        <v>0.64999999999999991</v>
      </c>
      <c r="K102" s="1545"/>
      <c r="L102" s="1545"/>
      <c r="M102" s="1545"/>
      <c r="N102" s="1545"/>
      <c r="AS102" s="81"/>
      <c r="BI102" s="81"/>
      <c r="CE102" s="86"/>
    </row>
    <row r="103" spans="1:95" s="71" customFormat="1" ht="14.1" customHeight="1">
      <c r="A103" s="85"/>
      <c r="C103" s="71" t="s">
        <v>426</v>
      </c>
      <c r="P103" s="71" t="s">
        <v>217</v>
      </c>
      <c r="R103" s="1544">
        <f>J92</f>
        <v>1</v>
      </c>
      <c r="S103" s="1545"/>
      <c r="T103" s="1545"/>
      <c r="U103" s="1545"/>
      <c r="V103" s="79" t="s">
        <v>211</v>
      </c>
      <c r="W103" s="117"/>
      <c r="X103" s="1544">
        <v>1</v>
      </c>
      <c r="Y103" s="1545"/>
      <c r="Z103" s="1545"/>
      <c r="AA103" s="1545"/>
      <c r="AB103" s="1545"/>
      <c r="AC103" s="79" t="s">
        <v>227</v>
      </c>
      <c r="AD103" s="79"/>
      <c r="AE103" s="1544">
        <f>ROUNDDOWN(R103*X103,3)</f>
        <v>1</v>
      </c>
      <c r="AF103" s="1545"/>
      <c r="AG103" s="1545"/>
      <c r="AH103" s="1545"/>
      <c r="AI103" s="1545"/>
      <c r="AJ103" s="1545"/>
      <c r="AK103" s="71" t="s">
        <v>240</v>
      </c>
      <c r="AS103" s="81"/>
      <c r="BI103" s="81"/>
      <c r="CE103" s="86"/>
    </row>
    <row r="104" spans="1:95" s="71" customFormat="1" ht="14.1" customHeight="1">
      <c r="A104" s="85"/>
      <c r="B104" s="81"/>
      <c r="C104" s="532" t="s">
        <v>242</v>
      </c>
      <c r="D104" s="532"/>
      <c r="E104" s="532"/>
      <c r="F104" s="1540" t="s">
        <v>243</v>
      </c>
      <c r="G104" s="1462"/>
      <c r="H104" s="1462"/>
      <c r="I104" s="1462"/>
      <c r="J104" s="1462"/>
      <c r="K104" s="1462"/>
      <c r="L104" s="1462"/>
      <c r="M104" s="1462"/>
      <c r="N104" s="1462"/>
      <c r="O104" s="1462"/>
      <c r="P104" s="1462"/>
      <c r="Q104" s="1462"/>
      <c r="R104" s="1462"/>
      <c r="S104" s="1462"/>
      <c r="T104" s="1462"/>
      <c r="U104" s="1462"/>
      <c r="V104" s="1462"/>
      <c r="W104" s="1462"/>
      <c r="X104" s="1462"/>
      <c r="Y104" s="1462"/>
      <c r="Z104" s="1462"/>
      <c r="AA104" s="1462"/>
      <c r="AB104" s="1462"/>
      <c r="AC104" s="1462"/>
      <c r="AD104" s="1462"/>
      <c r="AE104" s="1462"/>
      <c r="AF104" s="1462"/>
      <c r="AG104" s="1462"/>
      <c r="AH104" s="1462"/>
      <c r="AI104" s="1462"/>
      <c r="AJ104" s="1462"/>
      <c r="AK104" s="1462"/>
      <c r="AL104" s="1462"/>
      <c r="AM104" s="1462"/>
      <c r="AN104" s="1462"/>
      <c r="AO104" s="1462"/>
      <c r="AP104" s="1462"/>
      <c r="AQ104" s="1462"/>
      <c r="AR104" s="1462"/>
      <c r="AS104" s="1462"/>
      <c r="AT104" s="1462"/>
      <c r="AU104" s="1462"/>
      <c r="AV104" s="1462"/>
      <c r="AW104" s="1462"/>
      <c r="AX104" s="1462"/>
      <c r="CE104" s="86"/>
    </row>
    <row r="105" spans="1:95" s="71" customFormat="1" ht="14.1" customHeight="1">
      <c r="A105" s="85"/>
      <c r="C105" s="532"/>
      <c r="D105" s="486"/>
      <c r="E105" s="532"/>
      <c r="F105" s="1541">
        <f>J96</f>
        <v>0.05</v>
      </c>
      <c r="G105" s="1546"/>
      <c r="H105" s="1546"/>
      <c r="I105" s="1546"/>
      <c r="J105" s="530" t="s">
        <v>211</v>
      </c>
      <c r="K105" s="531"/>
      <c r="L105" s="1541">
        <f>AE103</f>
        <v>1</v>
      </c>
      <c r="M105" s="1546"/>
      <c r="N105" s="1546"/>
      <c r="O105" s="1546"/>
      <c r="P105" s="1546"/>
      <c r="Q105" s="1546"/>
      <c r="R105" s="530" t="s">
        <v>211</v>
      </c>
      <c r="S105" s="530"/>
      <c r="T105" s="1541">
        <v>2.3199999999999998</v>
      </c>
      <c r="U105" s="1546"/>
      <c r="V105" s="1546"/>
      <c r="W105" s="1546"/>
      <c r="X105" s="1541" t="s">
        <v>227</v>
      </c>
      <c r="Y105" s="1541"/>
      <c r="Z105" s="1541">
        <f>ROUNDDOWN(F105*L105*T105,3)</f>
        <v>0.11600000000000001</v>
      </c>
      <c r="AA105" s="1546"/>
      <c r="AB105" s="1546"/>
      <c r="AC105" s="1546"/>
      <c r="AD105" s="1546"/>
      <c r="AE105" s="1546"/>
      <c r="AF105" s="532"/>
      <c r="AG105" s="530" t="s">
        <v>244</v>
      </c>
      <c r="AH105" s="533"/>
      <c r="AI105" s="532"/>
      <c r="AJ105" s="532"/>
      <c r="AK105" s="532"/>
      <c r="AL105" s="532"/>
      <c r="AM105" s="532"/>
      <c r="AN105" s="532"/>
      <c r="AO105" s="532"/>
      <c r="AP105" s="534"/>
      <c r="AQ105" s="532"/>
      <c r="AR105" s="532"/>
      <c r="AS105" s="532"/>
      <c r="AT105" s="532"/>
      <c r="AU105" s="535"/>
      <c r="AV105" s="532"/>
      <c r="AW105" s="532"/>
      <c r="AX105" s="532"/>
      <c r="CE105" s="86"/>
    </row>
    <row r="106" spans="1:95" s="71" customFormat="1" ht="14.1" customHeight="1">
      <c r="A106" s="85"/>
      <c r="B106" s="81"/>
      <c r="C106" s="532" t="s">
        <v>245</v>
      </c>
      <c r="D106" s="532"/>
      <c r="E106" s="532"/>
      <c r="F106" s="1540" t="s">
        <v>246</v>
      </c>
      <c r="G106" s="1462"/>
      <c r="H106" s="1462"/>
      <c r="I106" s="1462"/>
      <c r="J106" s="1462"/>
      <c r="K106" s="1462"/>
      <c r="L106" s="1462"/>
      <c r="M106" s="1462"/>
      <c r="N106" s="1462"/>
      <c r="O106" s="1462"/>
      <c r="P106" s="1462"/>
      <c r="Q106" s="1462"/>
      <c r="R106" s="1462"/>
      <c r="S106" s="1462"/>
      <c r="T106" s="1462"/>
      <c r="U106" s="1462"/>
      <c r="V106" s="1462"/>
      <c r="W106" s="1462"/>
      <c r="X106" s="1462"/>
      <c r="Y106" s="1462"/>
      <c r="Z106" s="1462"/>
      <c r="AA106" s="1462"/>
      <c r="AB106" s="1462"/>
      <c r="AC106" s="1462"/>
      <c r="AD106" s="1462"/>
      <c r="AE106" s="1462"/>
      <c r="AF106" s="1462"/>
      <c r="AG106" s="1462"/>
      <c r="AH106" s="1462"/>
      <c r="AI106" s="1462"/>
      <c r="AJ106" s="1462"/>
      <c r="AK106" s="1462"/>
      <c r="AL106" s="1462"/>
      <c r="AM106" s="1462"/>
      <c r="AN106" s="1462"/>
      <c r="AO106" s="1462"/>
      <c r="AP106" s="1462"/>
      <c r="AQ106" s="1462"/>
      <c r="AR106" s="1462"/>
      <c r="AS106" s="1462"/>
      <c r="AT106" s="1462"/>
      <c r="AU106" s="1462"/>
      <c r="AV106" s="1462"/>
      <c r="AW106" s="1462"/>
      <c r="AX106" s="1462"/>
      <c r="CE106" s="86"/>
    </row>
    <row r="107" spans="1:95" s="71" customFormat="1" ht="14.1" customHeight="1">
      <c r="A107" s="85"/>
      <c r="C107" s="532"/>
      <c r="D107" s="486"/>
      <c r="E107" s="532"/>
      <c r="F107" s="1541">
        <f>J98</f>
        <v>0.1</v>
      </c>
      <c r="G107" s="1546"/>
      <c r="H107" s="1546"/>
      <c r="I107" s="1546"/>
      <c r="J107" s="530" t="s">
        <v>211</v>
      </c>
      <c r="K107" s="531"/>
      <c r="L107" s="1541">
        <f>AE103</f>
        <v>1</v>
      </c>
      <c r="M107" s="1546"/>
      <c r="N107" s="1546"/>
      <c r="O107" s="1546"/>
      <c r="P107" s="1546"/>
      <c r="Q107" s="1546"/>
      <c r="R107" s="530" t="s">
        <v>211</v>
      </c>
      <c r="S107" s="530"/>
      <c r="T107" s="1541">
        <v>2.3199999999999998</v>
      </c>
      <c r="U107" s="1546"/>
      <c r="V107" s="1546"/>
      <c r="W107" s="1546"/>
      <c r="X107" s="1541" t="s">
        <v>227</v>
      </c>
      <c r="Y107" s="1541"/>
      <c r="Z107" s="1541">
        <f>ROUNDDOWN(F107*L107*T107,3)</f>
        <v>0.23200000000000001</v>
      </c>
      <c r="AA107" s="1546"/>
      <c r="AB107" s="1546"/>
      <c r="AC107" s="1546"/>
      <c r="AD107" s="1546"/>
      <c r="AE107" s="1546"/>
      <c r="AF107" s="532"/>
      <c r="AG107" s="530" t="s">
        <v>244</v>
      </c>
      <c r="AH107" s="533"/>
      <c r="AI107" s="532"/>
      <c r="AJ107" s="532"/>
      <c r="AK107" s="532"/>
      <c r="AL107" s="532"/>
      <c r="AM107" s="532"/>
      <c r="AN107" s="532"/>
      <c r="AO107" s="532"/>
      <c r="AP107" s="534"/>
      <c r="AQ107" s="532"/>
      <c r="AR107" s="532"/>
      <c r="AS107" s="532"/>
      <c r="AT107" s="532"/>
      <c r="AU107" s="535"/>
      <c r="AV107" s="532"/>
      <c r="AW107" s="532"/>
      <c r="AX107" s="532"/>
      <c r="CE107" s="86"/>
    </row>
    <row r="108" spans="1:95" s="71" customFormat="1" ht="14.1" customHeight="1">
      <c r="A108" s="85"/>
      <c r="B108" s="81"/>
      <c r="C108" s="532" t="s">
        <v>247</v>
      </c>
      <c r="D108" s="532"/>
      <c r="E108" s="532"/>
      <c r="F108" s="1540" t="s">
        <v>699</v>
      </c>
      <c r="G108" s="1462"/>
      <c r="H108" s="1462"/>
      <c r="I108" s="1462"/>
      <c r="J108" s="1462"/>
      <c r="K108" s="1462"/>
      <c r="L108" s="1462"/>
      <c r="M108" s="1462"/>
      <c r="N108" s="1462"/>
      <c r="O108" s="1462"/>
      <c r="P108" s="1462"/>
      <c r="Q108" s="1462"/>
      <c r="R108" s="1462"/>
      <c r="S108" s="1462"/>
      <c r="T108" s="1462"/>
      <c r="U108" s="1462"/>
      <c r="V108" s="1462"/>
      <c r="W108" s="1462"/>
      <c r="X108" s="1462"/>
      <c r="Y108" s="1462"/>
      <c r="Z108" s="1462"/>
      <c r="AA108" s="1462"/>
      <c r="AB108" s="1462"/>
      <c r="AC108" s="1462"/>
      <c r="AD108" s="1462"/>
      <c r="AE108" s="1462"/>
      <c r="AF108" s="1462"/>
      <c r="AG108" s="1462"/>
      <c r="AH108" s="1462"/>
      <c r="AI108" s="1462"/>
      <c r="AJ108" s="1462"/>
      <c r="AK108" s="1462"/>
      <c r="AL108" s="1462"/>
      <c r="AM108" s="1462"/>
      <c r="AN108" s="1462"/>
      <c r="AO108" s="1462"/>
      <c r="AP108" s="1462"/>
      <c r="AQ108" s="1462"/>
      <c r="AR108" s="1462"/>
      <c r="AS108" s="1462"/>
      <c r="AT108" s="1462"/>
      <c r="AU108" s="1462"/>
      <c r="AV108" s="1462"/>
      <c r="AW108" s="1462"/>
      <c r="AX108" s="1462"/>
      <c r="CE108" s="86"/>
    </row>
    <row r="109" spans="1:95" s="71" customFormat="1" ht="14.1" customHeight="1">
      <c r="A109" s="85"/>
      <c r="C109" s="532"/>
      <c r="D109" s="486"/>
      <c r="E109" s="532"/>
      <c r="F109" s="1541">
        <f>J100</f>
        <v>0.2</v>
      </c>
      <c r="G109" s="1541"/>
      <c r="H109" s="1541"/>
      <c r="I109" s="1541"/>
      <c r="J109" s="530" t="s">
        <v>211</v>
      </c>
      <c r="K109" s="530"/>
      <c r="L109" s="1541">
        <f>AE103</f>
        <v>1</v>
      </c>
      <c r="M109" s="1541"/>
      <c r="N109" s="1541"/>
      <c r="O109" s="1541"/>
      <c r="P109" s="1541"/>
      <c r="Q109" s="531" t="s">
        <v>211</v>
      </c>
      <c r="R109" s="531"/>
      <c r="S109" s="1541">
        <v>1.175</v>
      </c>
      <c r="T109" s="1541"/>
      <c r="U109" s="1541"/>
      <c r="V109" s="1541"/>
      <c r="W109" s="530" t="s">
        <v>249</v>
      </c>
      <c r="X109" s="530"/>
      <c r="Y109" s="1541">
        <v>0.95</v>
      </c>
      <c r="Z109" s="1541"/>
      <c r="AA109" s="1541"/>
      <c r="AB109" s="1541"/>
      <c r="AC109" s="1541" t="s">
        <v>227</v>
      </c>
      <c r="AD109" s="1541"/>
      <c r="AE109" s="1541">
        <f>ROUNDDOWN(F109*L109*S109/Y109,3)</f>
        <v>0.247</v>
      </c>
      <c r="AF109" s="1541"/>
      <c r="AG109" s="1541"/>
      <c r="AH109" s="1541"/>
      <c r="AI109" s="1541"/>
      <c r="AJ109" s="1541"/>
      <c r="AK109" s="1541"/>
      <c r="AL109" s="466" t="s">
        <v>212</v>
      </c>
      <c r="AM109" s="533"/>
      <c r="AN109" s="532"/>
      <c r="AO109" s="532"/>
      <c r="AP109" s="532"/>
      <c r="AQ109" s="532"/>
      <c r="AR109" s="532"/>
      <c r="AS109" s="532"/>
      <c r="AT109" s="532"/>
      <c r="AU109" s="532"/>
      <c r="AV109" s="532"/>
      <c r="AW109" s="532"/>
      <c r="AX109" s="532"/>
      <c r="CE109" s="86"/>
    </row>
    <row r="110" spans="1:95" s="71" customFormat="1" ht="14.1" customHeight="1">
      <c r="A110" s="85"/>
      <c r="B110" s="81"/>
      <c r="C110" s="532" t="s">
        <v>250</v>
      </c>
      <c r="D110" s="532"/>
      <c r="E110" s="532"/>
      <c r="F110" s="1540" t="s">
        <v>251</v>
      </c>
      <c r="G110" s="1462"/>
      <c r="H110" s="1462"/>
      <c r="I110" s="1462"/>
      <c r="J110" s="1462"/>
      <c r="K110" s="1462"/>
      <c r="L110" s="1462"/>
      <c r="M110" s="1462"/>
      <c r="N110" s="1462"/>
      <c r="O110" s="1462"/>
      <c r="P110" s="1462"/>
      <c r="Q110" s="1462"/>
      <c r="R110" s="1462"/>
      <c r="S110" s="1462"/>
      <c r="T110" s="1462"/>
      <c r="U110" s="1462"/>
      <c r="V110" s="1462"/>
      <c r="W110" s="1462"/>
      <c r="X110" s="1462"/>
      <c r="Y110" s="1462"/>
      <c r="Z110" s="1462"/>
      <c r="AA110" s="1462"/>
      <c r="AB110" s="1462"/>
      <c r="AC110" s="1462"/>
      <c r="AD110" s="1462"/>
      <c r="AE110" s="1462"/>
      <c r="AF110" s="1462"/>
      <c r="AG110" s="1462"/>
      <c r="AH110" s="1462"/>
      <c r="AI110" s="1462"/>
      <c r="AJ110" s="1462"/>
      <c r="AK110" s="1462"/>
      <c r="AL110" s="1462"/>
      <c r="AM110" s="1462"/>
      <c r="AN110" s="1462"/>
      <c r="AO110" s="1462"/>
      <c r="AP110" s="1462"/>
      <c r="AQ110" s="1462"/>
      <c r="AR110" s="1462"/>
      <c r="AS110" s="1462"/>
      <c r="AT110" s="1462"/>
      <c r="AU110" s="1462"/>
      <c r="AV110" s="1462"/>
      <c r="AW110" s="1462"/>
      <c r="AX110" s="1462"/>
      <c r="CE110" s="86"/>
    </row>
    <row r="111" spans="1:95" s="71" customFormat="1" ht="14.1" customHeight="1">
      <c r="A111" s="85"/>
      <c r="C111" s="532"/>
      <c r="D111" s="486"/>
      <c r="E111" s="532"/>
      <c r="F111" s="1541">
        <f>AE103</f>
        <v>1</v>
      </c>
      <c r="G111" s="1541"/>
      <c r="H111" s="1541"/>
      <c r="I111" s="1541"/>
      <c r="J111" s="1541"/>
      <c r="K111" s="531" t="s">
        <v>249</v>
      </c>
      <c r="L111" s="531"/>
      <c r="M111" s="1541">
        <v>100</v>
      </c>
      <c r="N111" s="1541"/>
      <c r="O111" s="1541"/>
      <c r="P111" s="1541"/>
      <c r="Q111" s="530" t="s">
        <v>211</v>
      </c>
      <c r="R111" s="530"/>
      <c r="S111" s="1541">
        <v>30</v>
      </c>
      <c r="T111" s="1541"/>
      <c r="U111" s="1541"/>
      <c r="V111" s="1541"/>
      <c r="W111" s="532" t="s">
        <v>252</v>
      </c>
      <c r="X111" s="532"/>
      <c r="Y111" s="532"/>
      <c r="Z111" s="532"/>
      <c r="AA111" s="531" t="s">
        <v>249</v>
      </c>
      <c r="AB111" s="530"/>
      <c r="AC111" s="1541">
        <v>200</v>
      </c>
      <c r="AD111" s="1541"/>
      <c r="AE111" s="1541"/>
      <c r="AF111" s="1541"/>
      <c r="AG111" s="1541" t="s">
        <v>227</v>
      </c>
      <c r="AH111" s="1541"/>
      <c r="AI111" s="1543">
        <f>ROUNDDOWN(F111/M111*S111/AC111,4)</f>
        <v>1.5E-3</v>
      </c>
      <c r="AJ111" s="1543"/>
      <c r="AK111" s="1543"/>
      <c r="AL111" s="1543"/>
      <c r="AM111" s="1543"/>
      <c r="AN111" s="1543"/>
      <c r="AO111" s="532"/>
      <c r="AP111" s="530" t="s">
        <v>253</v>
      </c>
      <c r="AQ111" s="533"/>
      <c r="AR111" s="532"/>
      <c r="AS111" s="532"/>
      <c r="AT111" s="532"/>
      <c r="AU111" s="532"/>
      <c r="AV111" s="532"/>
      <c r="AW111" s="532"/>
      <c r="AX111" s="532"/>
      <c r="CE111" s="86"/>
    </row>
    <row r="112" spans="1:95" s="71" customFormat="1" ht="14.1" customHeight="1">
      <c r="A112" s="85"/>
      <c r="B112" s="81"/>
      <c r="C112" s="532" t="s">
        <v>254</v>
      </c>
      <c r="D112" s="532"/>
      <c r="E112" s="532"/>
      <c r="F112" s="1540" t="s">
        <v>255</v>
      </c>
      <c r="G112" s="1462"/>
      <c r="H112" s="1462"/>
      <c r="I112" s="1462"/>
      <c r="J112" s="1462"/>
      <c r="K112" s="1462"/>
      <c r="L112" s="1462"/>
      <c r="M112" s="1462"/>
      <c r="N112" s="1462"/>
      <c r="O112" s="1462"/>
      <c r="P112" s="1462"/>
      <c r="Q112" s="1462"/>
      <c r="R112" s="1462"/>
      <c r="S112" s="1462"/>
      <c r="T112" s="1462"/>
      <c r="U112" s="1462"/>
      <c r="V112" s="1462"/>
      <c r="W112" s="1462"/>
      <c r="X112" s="1462"/>
      <c r="Y112" s="1462"/>
      <c r="Z112" s="1462"/>
      <c r="AA112" s="1462"/>
      <c r="AB112" s="1462"/>
      <c r="AC112" s="1462"/>
      <c r="AD112" s="1462"/>
      <c r="AE112" s="1462"/>
      <c r="AF112" s="1462"/>
      <c r="AG112" s="1462"/>
      <c r="AH112" s="1462"/>
      <c r="AI112" s="1462"/>
      <c r="AJ112" s="1462"/>
      <c r="AK112" s="1462"/>
      <c r="AL112" s="1462"/>
      <c r="AM112" s="1462"/>
      <c r="AN112" s="1462"/>
      <c r="AO112" s="1462"/>
      <c r="AP112" s="1462"/>
      <c r="AQ112" s="1462"/>
      <c r="AR112" s="1462"/>
      <c r="AS112" s="1462"/>
      <c r="AT112" s="1462"/>
      <c r="AU112" s="1462"/>
      <c r="AV112" s="1462"/>
      <c r="AW112" s="1462"/>
      <c r="AX112" s="1462"/>
      <c r="CE112" s="86"/>
    </row>
    <row r="113" spans="1:83" s="71" customFormat="1" ht="14.1" customHeight="1">
      <c r="A113" s="85"/>
      <c r="C113" s="532"/>
      <c r="D113" s="486"/>
      <c r="E113" s="532"/>
      <c r="F113" s="1541">
        <f>AE103</f>
        <v>1</v>
      </c>
      <c r="G113" s="1541"/>
      <c r="H113" s="1541"/>
      <c r="I113" s="1541"/>
      <c r="J113" s="1541"/>
      <c r="K113" s="531" t="s">
        <v>249</v>
      </c>
      <c r="L113" s="531"/>
      <c r="M113" s="1541">
        <v>100</v>
      </c>
      <c r="N113" s="1541"/>
      <c r="O113" s="1541"/>
      <c r="P113" s="1541"/>
      <c r="Q113" s="530" t="s">
        <v>211</v>
      </c>
      <c r="R113" s="530"/>
      <c r="S113" s="1541">
        <v>75</v>
      </c>
      <c r="T113" s="1541"/>
      <c r="U113" s="1541"/>
      <c r="V113" s="1541"/>
      <c r="W113" s="532" t="s">
        <v>252</v>
      </c>
      <c r="X113" s="532"/>
      <c r="Y113" s="532"/>
      <c r="Z113" s="532"/>
      <c r="AA113" s="531" t="s">
        <v>249</v>
      </c>
      <c r="AB113" s="530"/>
      <c r="AC113" s="1541">
        <v>200</v>
      </c>
      <c r="AD113" s="1541"/>
      <c r="AE113" s="1541"/>
      <c r="AF113" s="1541"/>
      <c r="AG113" s="1541" t="s">
        <v>227</v>
      </c>
      <c r="AH113" s="1541"/>
      <c r="AI113" s="1541">
        <f>ROUNDDOWN(F113/M113*S113/AC113,3)</f>
        <v>3.0000000000000001E-3</v>
      </c>
      <c r="AJ113" s="1541"/>
      <c r="AK113" s="1541"/>
      <c r="AL113" s="1541"/>
      <c r="AM113" s="1541"/>
      <c r="AN113" s="1541"/>
      <c r="AO113" s="532"/>
      <c r="AP113" s="530" t="s">
        <v>253</v>
      </c>
      <c r="AQ113" s="533"/>
      <c r="AR113" s="532"/>
      <c r="AS113" s="532"/>
      <c r="AT113" s="532"/>
      <c r="AU113" s="532"/>
      <c r="AV113" s="532"/>
      <c r="AW113" s="532"/>
      <c r="AX113" s="532"/>
      <c r="CE113" s="86"/>
    </row>
    <row r="114" spans="1:83" s="71" customFormat="1" ht="14.1" customHeight="1">
      <c r="A114" s="85"/>
      <c r="B114" s="81"/>
      <c r="C114" s="532" t="s">
        <v>256</v>
      </c>
      <c r="D114" s="532"/>
      <c r="E114" s="532"/>
      <c r="F114" s="1540" t="s">
        <v>230</v>
      </c>
      <c r="G114" s="1462"/>
      <c r="H114" s="1462"/>
      <c r="I114" s="1462"/>
      <c r="J114" s="1462"/>
      <c r="K114" s="1462"/>
      <c r="L114" s="1462"/>
      <c r="M114" s="1462"/>
      <c r="N114" s="1462"/>
      <c r="O114" s="1462"/>
      <c r="P114" s="1462"/>
      <c r="Q114" s="1462"/>
      <c r="R114" s="1462"/>
      <c r="S114" s="1462"/>
      <c r="T114" s="1462"/>
      <c r="U114" s="1462"/>
      <c r="V114" s="1462"/>
      <c r="W114" s="1462"/>
      <c r="X114" s="1462"/>
      <c r="Y114" s="1462"/>
      <c r="Z114" s="1462"/>
      <c r="AA114" s="1462"/>
      <c r="AB114" s="1462"/>
      <c r="AC114" s="1462"/>
      <c r="AD114" s="1462"/>
      <c r="AE114" s="1462"/>
      <c r="AF114" s="1462"/>
      <c r="AG114" s="1462"/>
      <c r="AH114" s="1462"/>
      <c r="AI114" s="1462"/>
      <c r="AJ114" s="1462"/>
      <c r="AK114" s="1462"/>
      <c r="AL114" s="1462"/>
      <c r="AM114" s="1462"/>
      <c r="AN114" s="1462"/>
      <c r="AO114" s="1462"/>
      <c r="AP114" s="1462"/>
      <c r="AQ114" s="1462"/>
      <c r="AR114" s="1462"/>
      <c r="AS114" s="1462"/>
      <c r="AT114" s="1462"/>
      <c r="AU114" s="1462"/>
      <c r="AV114" s="1462"/>
      <c r="AW114" s="1462"/>
      <c r="AX114" s="1462"/>
      <c r="CE114" s="86"/>
    </row>
    <row r="115" spans="1:83" s="71" customFormat="1" ht="14.1" customHeight="1">
      <c r="A115" s="85"/>
      <c r="C115" s="532"/>
      <c r="D115" s="532"/>
      <c r="E115" s="532"/>
      <c r="F115" s="1541">
        <f>X103</f>
        <v>1</v>
      </c>
      <c r="G115" s="1541"/>
      <c r="H115" s="1541"/>
      <c r="I115" s="1541"/>
      <c r="J115" s="1541"/>
      <c r="K115" s="1541"/>
      <c r="L115" s="530" t="s">
        <v>211</v>
      </c>
      <c r="M115" s="530"/>
      <c r="N115" s="1541">
        <v>2</v>
      </c>
      <c r="O115" s="1541"/>
      <c r="P115" s="1541"/>
      <c r="Q115" s="530" t="s">
        <v>227</v>
      </c>
      <c r="R115" s="530"/>
      <c r="S115" s="1541">
        <f>F115*N115</f>
        <v>2</v>
      </c>
      <c r="T115" s="1541"/>
      <c r="U115" s="1541"/>
      <c r="V115" s="1541"/>
      <c r="W115" s="1541"/>
      <c r="X115" s="1541"/>
      <c r="Y115" s="466" t="s">
        <v>257</v>
      </c>
      <c r="Z115" s="530"/>
      <c r="AA115" s="530"/>
      <c r="AB115" s="530"/>
      <c r="AC115" s="530"/>
      <c r="AD115" s="530"/>
      <c r="AE115" s="530"/>
      <c r="AF115" s="530"/>
      <c r="AG115" s="530"/>
      <c r="AH115" s="530"/>
      <c r="AI115" s="530"/>
      <c r="AJ115" s="530"/>
      <c r="AK115" s="530"/>
      <c r="AL115" s="530"/>
      <c r="AM115" s="530"/>
      <c r="AN115" s="530"/>
      <c r="AO115" s="530"/>
      <c r="AP115" s="530"/>
      <c r="AQ115" s="530"/>
      <c r="AR115" s="530"/>
      <c r="AS115" s="530"/>
      <c r="AT115" s="530"/>
      <c r="AU115" s="530"/>
      <c r="AV115" s="530"/>
      <c r="AW115" s="532"/>
      <c r="AX115" s="532"/>
      <c r="CE115" s="86"/>
    </row>
    <row r="116" spans="1:83" s="71" customFormat="1" ht="14.1" customHeight="1">
      <c r="A116" s="85"/>
      <c r="B116" s="81"/>
      <c r="C116" s="532" t="s">
        <v>258</v>
      </c>
      <c r="D116" s="532"/>
      <c r="E116" s="532"/>
      <c r="F116" s="1540" t="s">
        <v>700</v>
      </c>
      <c r="G116" s="1462"/>
      <c r="H116" s="1462"/>
      <c r="I116" s="1462"/>
      <c r="J116" s="1462"/>
      <c r="K116" s="1462"/>
      <c r="L116" s="1462"/>
      <c r="M116" s="1462"/>
      <c r="N116" s="1462"/>
      <c r="O116" s="1462"/>
      <c r="P116" s="1462"/>
      <c r="Q116" s="1462"/>
      <c r="R116" s="1462"/>
      <c r="S116" s="1462"/>
      <c r="T116" s="1462"/>
      <c r="U116" s="1462"/>
      <c r="V116" s="1462"/>
      <c r="W116" s="1462"/>
      <c r="X116" s="1462"/>
      <c r="Y116" s="1462"/>
      <c r="Z116" s="1462"/>
      <c r="AA116" s="1462"/>
      <c r="AB116" s="1462"/>
      <c r="AC116" s="1462"/>
      <c r="AD116" s="1462"/>
      <c r="AE116" s="1462"/>
      <c r="AF116" s="1462"/>
      <c r="AG116" s="1462"/>
      <c r="AH116" s="1462"/>
      <c r="AI116" s="1462"/>
      <c r="AJ116" s="1462"/>
      <c r="AK116" s="1462"/>
      <c r="AL116" s="1462"/>
      <c r="AM116" s="1462"/>
      <c r="AN116" s="1462"/>
      <c r="AO116" s="1462"/>
      <c r="AP116" s="1462"/>
      <c r="AQ116" s="1462"/>
      <c r="AR116" s="1462"/>
      <c r="AS116" s="1462"/>
      <c r="AT116" s="1462"/>
      <c r="AU116" s="1462"/>
      <c r="AV116" s="1462"/>
      <c r="AW116" s="1462"/>
      <c r="AX116" s="1462"/>
      <c r="CE116" s="86"/>
    </row>
    <row r="117" spans="1:83" s="71" customFormat="1" ht="14.1" customHeight="1">
      <c r="A117" s="85"/>
      <c r="C117" s="532"/>
      <c r="D117" s="532"/>
      <c r="E117" s="532"/>
      <c r="F117" s="1541">
        <f>AE103</f>
        <v>1</v>
      </c>
      <c r="G117" s="1541"/>
      <c r="H117" s="1541"/>
      <c r="I117" s="1541"/>
      <c r="J117" s="1541"/>
      <c r="K117" s="1541"/>
      <c r="L117" s="530" t="s">
        <v>211</v>
      </c>
      <c r="M117" s="530"/>
      <c r="N117" s="1541">
        <f>J96+J98</f>
        <v>0.15000000000000002</v>
      </c>
      <c r="O117" s="1541"/>
      <c r="P117" s="1541"/>
      <c r="Q117" s="1541"/>
      <c r="R117" s="1541"/>
      <c r="S117" s="1541" t="s">
        <v>227</v>
      </c>
      <c r="T117" s="1541"/>
      <c r="U117" s="1541">
        <f>ROUNDDOWN(F117*N117,3)</f>
        <v>0.15</v>
      </c>
      <c r="V117" s="1541"/>
      <c r="W117" s="1541"/>
      <c r="X117" s="1541"/>
      <c r="Y117" s="1541"/>
      <c r="Z117" s="1541"/>
      <c r="AA117" s="466" t="s">
        <v>212</v>
      </c>
      <c r="AB117" s="530"/>
      <c r="AC117" s="530"/>
      <c r="AD117" s="530"/>
      <c r="AE117" s="530"/>
      <c r="AF117" s="530"/>
      <c r="AG117" s="530"/>
      <c r="AH117" s="530"/>
      <c r="AI117" s="530"/>
      <c r="AJ117" s="530"/>
      <c r="AK117" s="530"/>
      <c r="AL117" s="530"/>
      <c r="AM117" s="530"/>
      <c r="AN117" s="530"/>
      <c r="AO117" s="530"/>
      <c r="AP117" s="530"/>
      <c r="AQ117" s="530"/>
      <c r="AR117" s="530"/>
      <c r="AS117" s="530"/>
      <c r="AT117" s="530"/>
      <c r="AU117" s="530"/>
      <c r="AV117" s="530"/>
      <c r="AW117" s="532"/>
      <c r="AX117" s="532"/>
      <c r="CE117" s="86"/>
    </row>
    <row r="118" spans="1:83" s="71" customFormat="1" ht="14.1" customHeight="1">
      <c r="A118" s="85"/>
      <c r="B118" s="81"/>
      <c r="C118" s="532" t="s">
        <v>259</v>
      </c>
      <c r="D118" s="532"/>
      <c r="E118" s="532"/>
      <c r="F118" s="1540" t="s">
        <v>260</v>
      </c>
      <c r="G118" s="1462"/>
      <c r="H118" s="1462"/>
      <c r="I118" s="1462"/>
      <c r="J118" s="1462"/>
      <c r="K118" s="1462"/>
      <c r="L118" s="1462"/>
      <c r="M118" s="1462"/>
      <c r="N118" s="1462"/>
      <c r="O118" s="1462"/>
      <c r="P118" s="1462"/>
      <c r="Q118" s="1462"/>
      <c r="R118" s="1462"/>
      <c r="S118" s="1462"/>
      <c r="T118" s="1462"/>
      <c r="U118" s="1462"/>
      <c r="V118" s="1462"/>
      <c r="W118" s="1462"/>
      <c r="X118" s="1462"/>
      <c r="Y118" s="1462"/>
      <c r="Z118" s="1462"/>
      <c r="AA118" s="1462"/>
      <c r="AB118" s="1462"/>
      <c r="AC118" s="1462"/>
      <c r="AD118" s="1462"/>
      <c r="AE118" s="1462"/>
      <c r="AF118" s="1462"/>
      <c r="AG118" s="1462"/>
      <c r="AH118" s="1462"/>
      <c r="AI118" s="1462"/>
      <c r="AJ118" s="1462"/>
      <c r="AK118" s="1462"/>
      <c r="AL118" s="1462"/>
      <c r="AM118" s="1462"/>
      <c r="AN118" s="1462"/>
      <c r="AO118" s="1462"/>
      <c r="AP118" s="1462"/>
      <c r="AQ118" s="1462"/>
      <c r="AR118" s="1462"/>
      <c r="AS118" s="1462"/>
      <c r="AT118" s="1462"/>
      <c r="AU118" s="1462"/>
      <c r="AV118" s="1462"/>
      <c r="AW118" s="1462"/>
      <c r="AX118" s="1462"/>
      <c r="CE118" s="86"/>
    </row>
    <row r="119" spans="1:83" s="71" customFormat="1" ht="14.1" customHeight="1">
      <c r="A119" s="85"/>
      <c r="C119" s="532"/>
      <c r="D119" s="532"/>
      <c r="E119" s="532"/>
      <c r="F119" s="1541">
        <f>F117</f>
        <v>1</v>
      </c>
      <c r="G119" s="1541"/>
      <c r="H119" s="1541"/>
      <c r="I119" s="1541"/>
      <c r="J119" s="1541"/>
      <c r="K119" s="1541"/>
      <c r="L119" s="530" t="s">
        <v>211</v>
      </c>
      <c r="M119" s="530"/>
      <c r="N119" s="1541">
        <f>N117</f>
        <v>0.15000000000000002</v>
      </c>
      <c r="O119" s="1541"/>
      <c r="P119" s="1541"/>
      <c r="Q119" s="1541"/>
      <c r="R119" s="1541"/>
      <c r="S119" s="530" t="s">
        <v>211</v>
      </c>
      <c r="T119" s="530"/>
      <c r="U119" s="1541">
        <v>2.3199999999999998</v>
      </c>
      <c r="V119" s="1541"/>
      <c r="W119" s="1541"/>
      <c r="X119" s="1541"/>
      <c r="Y119" s="1541"/>
      <c r="Z119" s="1541" t="s">
        <v>227</v>
      </c>
      <c r="AA119" s="1541"/>
      <c r="AB119" s="1541">
        <f>ROUNDDOWN(F119*N119*U119,3)</f>
        <v>0.34799999999999998</v>
      </c>
      <c r="AC119" s="1541"/>
      <c r="AD119" s="1541"/>
      <c r="AE119" s="1541"/>
      <c r="AF119" s="1541"/>
      <c r="AG119" s="1541"/>
      <c r="AH119" s="466" t="s">
        <v>244</v>
      </c>
      <c r="AI119" s="530"/>
      <c r="AJ119" s="530"/>
      <c r="AK119" s="530"/>
      <c r="AL119" s="530"/>
      <c r="AM119" s="530"/>
      <c r="AN119" s="532"/>
      <c r="AO119" s="532"/>
      <c r="AP119" s="532"/>
      <c r="AQ119" s="532"/>
      <c r="AR119" s="530"/>
      <c r="AS119" s="530"/>
      <c r="AT119" s="530"/>
      <c r="AU119" s="530"/>
      <c r="AV119" s="530"/>
      <c r="AW119" s="532"/>
      <c r="AX119" s="532"/>
      <c r="CE119" s="86"/>
    </row>
    <row r="120" spans="1:83" s="71" customFormat="1" ht="14.1" customHeight="1">
      <c r="A120" s="85"/>
      <c r="B120" s="81"/>
      <c r="C120" s="532" t="s">
        <v>261</v>
      </c>
      <c r="D120" s="532"/>
      <c r="E120" s="532"/>
      <c r="F120" s="1540" t="s">
        <v>90</v>
      </c>
      <c r="G120" s="1462"/>
      <c r="H120" s="1462"/>
      <c r="I120" s="1462"/>
      <c r="J120" s="1462"/>
      <c r="K120" s="1462"/>
      <c r="L120" s="1462"/>
      <c r="M120" s="1462"/>
      <c r="N120" s="1462"/>
      <c r="O120" s="1462"/>
      <c r="P120" s="1462"/>
      <c r="Q120" s="1462"/>
      <c r="R120" s="1462"/>
      <c r="S120" s="1462"/>
      <c r="T120" s="1462"/>
      <c r="U120" s="1462"/>
      <c r="V120" s="1462"/>
      <c r="W120" s="1462"/>
      <c r="X120" s="1462"/>
      <c r="Y120" s="1462"/>
      <c r="Z120" s="1462"/>
      <c r="AA120" s="1462"/>
      <c r="AB120" s="1462"/>
      <c r="AC120" s="1462"/>
      <c r="AD120" s="1462"/>
      <c r="AE120" s="1462"/>
      <c r="AF120" s="1462"/>
      <c r="AG120" s="1462"/>
      <c r="AH120" s="1462"/>
      <c r="AI120" s="1462"/>
      <c r="AJ120" s="1462"/>
      <c r="AK120" s="1462"/>
      <c r="AL120" s="1462"/>
      <c r="AM120" s="1462"/>
      <c r="AN120" s="1462"/>
      <c r="AO120" s="1462"/>
      <c r="AP120" s="1462"/>
      <c r="AQ120" s="1462"/>
      <c r="AR120" s="1462"/>
      <c r="AS120" s="1462"/>
      <c r="AT120" s="1462"/>
      <c r="AU120" s="1462"/>
      <c r="AV120" s="1462"/>
      <c r="AW120" s="1462"/>
      <c r="AX120" s="1462"/>
      <c r="CE120" s="86"/>
    </row>
    <row r="121" spans="1:83" s="71" customFormat="1" ht="14.1" customHeight="1">
      <c r="A121" s="85"/>
      <c r="C121" s="532"/>
      <c r="D121" s="486"/>
      <c r="E121" s="532"/>
      <c r="F121" s="1541">
        <f>J102</f>
        <v>0.64999999999999991</v>
      </c>
      <c r="G121" s="1541"/>
      <c r="H121" s="1541"/>
      <c r="I121" s="1541"/>
      <c r="J121" s="530" t="s">
        <v>211</v>
      </c>
      <c r="K121" s="531"/>
      <c r="L121" s="1541">
        <f>AE103</f>
        <v>1</v>
      </c>
      <c r="M121" s="1541"/>
      <c r="N121" s="1541"/>
      <c r="O121" s="1541"/>
      <c r="P121" s="1541"/>
      <c r="Q121" s="1541"/>
      <c r="R121" s="1541" t="s">
        <v>227</v>
      </c>
      <c r="S121" s="1541"/>
      <c r="T121" s="1542">
        <f>ROUNDDOWN(F121*L121,3)</f>
        <v>0.65</v>
      </c>
      <c r="U121" s="1542"/>
      <c r="V121" s="1542"/>
      <c r="W121" s="1542"/>
      <c r="X121" s="1542"/>
      <c r="Y121" s="1542"/>
      <c r="Z121" s="466" t="s">
        <v>212</v>
      </c>
      <c r="AA121" s="530"/>
      <c r="AB121" s="533"/>
      <c r="AC121" s="532"/>
      <c r="AD121" s="532"/>
      <c r="AE121" s="532"/>
      <c r="AF121" s="532"/>
      <c r="AG121" s="532"/>
      <c r="AH121" s="532"/>
      <c r="AI121" s="532"/>
      <c r="AJ121" s="532"/>
      <c r="AK121" s="532"/>
      <c r="AL121" s="532"/>
      <c r="AM121" s="532"/>
      <c r="AN121" s="532"/>
      <c r="AO121" s="532"/>
      <c r="AP121" s="534"/>
      <c r="AQ121" s="532"/>
      <c r="AR121" s="532"/>
      <c r="AS121" s="532"/>
      <c r="AT121" s="532"/>
      <c r="AU121" s="535"/>
      <c r="AV121" s="532"/>
      <c r="AW121" s="532"/>
      <c r="AX121" s="532"/>
      <c r="CE121" s="86"/>
    </row>
    <row r="122" spans="1:83" s="71" customFormat="1" ht="14.1" customHeight="1">
      <c r="A122" s="85"/>
      <c r="B122" s="81"/>
      <c r="C122" s="532" t="s">
        <v>262</v>
      </c>
      <c r="D122" s="532"/>
      <c r="E122" s="532"/>
      <c r="F122" s="1540" t="s">
        <v>701</v>
      </c>
      <c r="G122" s="1462"/>
      <c r="H122" s="1462"/>
      <c r="I122" s="1462"/>
      <c r="J122" s="1462"/>
      <c r="K122" s="1462"/>
      <c r="L122" s="1462"/>
      <c r="M122" s="1462"/>
      <c r="N122" s="1462"/>
      <c r="O122" s="1462"/>
      <c r="P122" s="1462"/>
      <c r="Q122" s="1462"/>
      <c r="R122" s="1462"/>
      <c r="S122" s="1462"/>
      <c r="T122" s="1462"/>
      <c r="U122" s="1462"/>
      <c r="V122" s="1462"/>
      <c r="W122" s="1462"/>
      <c r="X122" s="1462"/>
      <c r="Y122" s="1462"/>
      <c r="Z122" s="1462"/>
      <c r="AA122" s="1462"/>
      <c r="AB122" s="1462"/>
      <c r="AC122" s="1462"/>
      <c r="AD122" s="1462"/>
      <c r="AE122" s="1462"/>
      <c r="AF122" s="1462"/>
      <c r="AG122" s="1462"/>
      <c r="AH122" s="1462"/>
      <c r="AI122" s="1462"/>
      <c r="AJ122" s="1462"/>
      <c r="AK122" s="1462"/>
      <c r="AL122" s="1462"/>
      <c r="AM122" s="1462"/>
      <c r="AN122" s="1462"/>
      <c r="AO122" s="1462"/>
      <c r="AP122" s="1462"/>
      <c r="AQ122" s="1462"/>
      <c r="AR122" s="1462"/>
      <c r="AS122" s="1462"/>
      <c r="AT122" s="1462"/>
      <c r="AU122" s="1462"/>
      <c r="AV122" s="1462"/>
      <c r="AW122" s="1462"/>
      <c r="AX122" s="1462"/>
      <c r="CE122" s="86"/>
    </row>
    <row r="123" spans="1:83" s="71" customFormat="1" ht="14.1" customHeight="1">
      <c r="A123" s="85"/>
      <c r="B123" s="81"/>
      <c r="C123" s="532"/>
      <c r="D123" s="532"/>
      <c r="E123" s="532"/>
      <c r="F123" s="530" t="s">
        <v>227</v>
      </c>
      <c r="G123" s="530"/>
      <c r="H123" s="1541">
        <f>T121</f>
        <v>0.65</v>
      </c>
      <c r="I123" s="1541"/>
      <c r="J123" s="1541"/>
      <c r="K123" s="1541"/>
      <c r="L123" s="1541"/>
      <c r="M123" s="1541"/>
      <c r="N123" s="466" t="s">
        <v>212</v>
      </c>
      <c r="O123" s="530"/>
      <c r="P123" s="533"/>
      <c r="Q123" s="532"/>
      <c r="R123" s="532"/>
      <c r="S123" s="532"/>
      <c r="T123" s="532"/>
      <c r="U123" s="532"/>
      <c r="V123" s="532"/>
      <c r="W123" s="532"/>
      <c r="X123" s="532"/>
      <c r="Y123" s="532"/>
      <c r="Z123" s="532"/>
      <c r="AA123" s="532"/>
      <c r="AB123" s="532"/>
      <c r="AC123" s="532"/>
      <c r="AD123" s="532"/>
      <c r="AE123" s="532"/>
      <c r="AF123" s="532"/>
      <c r="AG123" s="532"/>
      <c r="AH123" s="532"/>
      <c r="AI123" s="532"/>
      <c r="AJ123" s="532"/>
      <c r="AK123" s="532"/>
      <c r="AL123" s="532"/>
      <c r="AM123" s="532"/>
      <c r="AN123" s="532"/>
      <c r="AO123" s="532"/>
      <c r="AP123" s="532"/>
      <c r="AQ123" s="532"/>
      <c r="AR123" s="532"/>
      <c r="AS123" s="532"/>
      <c r="AT123" s="532"/>
      <c r="AU123" s="532"/>
      <c r="AV123" s="532"/>
      <c r="AW123" s="532"/>
      <c r="AX123" s="532"/>
      <c r="CE123" s="86"/>
    </row>
    <row r="124" spans="1:83" s="71" customFormat="1" ht="14.1" customHeight="1">
      <c r="A124" s="85"/>
      <c r="B124" s="81"/>
      <c r="F124" s="79"/>
      <c r="G124" s="79"/>
      <c r="H124" s="79"/>
      <c r="I124" s="79"/>
      <c r="J124" s="79"/>
      <c r="K124" s="79"/>
      <c r="L124" s="79"/>
      <c r="M124" s="79"/>
      <c r="N124" s="89"/>
      <c r="O124" s="79"/>
      <c r="P124" s="91"/>
      <c r="CE124" s="86"/>
    </row>
    <row r="125" spans="1:83" s="71" customFormat="1" ht="14.1" customHeight="1">
      <c r="A125" s="85"/>
      <c r="F125" s="89"/>
      <c r="T125" s="79"/>
      <c r="U125" s="79"/>
      <c r="V125" s="79"/>
      <c r="W125" s="79"/>
      <c r="CE125" s="86"/>
    </row>
    <row r="126" spans="1:83" s="71" customFormat="1" ht="14.1" customHeight="1">
      <c r="A126" s="92"/>
      <c r="B126" s="93"/>
      <c r="C126" s="93"/>
      <c r="D126" s="93"/>
      <c r="E126" s="93"/>
      <c r="F126" s="93"/>
      <c r="G126" s="93"/>
      <c r="H126" s="96"/>
      <c r="I126" s="96"/>
      <c r="J126" s="93"/>
      <c r="K126" s="93"/>
      <c r="L126" s="107"/>
      <c r="M126" s="93"/>
      <c r="N126" s="93"/>
      <c r="O126" s="93"/>
      <c r="P126" s="97"/>
      <c r="Q126" s="93"/>
      <c r="R126" s="101"/>
      <c r="S126" s="101"/>
      <c r="T126" s="101"/>
      <c r="U126" s="101"/>
      <c r="V126" s="101"/>
      <c r="W126" s="101"/>
      <c r="X126" s="101"/>
      <c r="Y126" s="100"/>
      <c r="Z126" s="101"/>
      <c r="AA126" s="101"/>
      <c r="AB126" s="101"/>
      <c r="AC126" s="96"/>
      <c r="AD126" s="93"/>
      <c r="AE126" s="93"/>
      <c r="AF126" s="101"/>
      <c r="AG126" s="101"/>
      <c r="AH126" s="101"/>
      <c r="AI126" s="101"/>
      <c r="AJ126" s="101"/>
      <c r="AK126" s="96"/>
      <c r="AL126" s="93"/>
      <c r="AM126" s="101"/>
      <c r="AN126" s="101"/>
      <c r="AO126" s="102"/>
      <c r="AP126" s="101"/>
      <c r="AQ126" s="101"/>
      <c r="AR126" s="101"/>
      <c r="AS126" s="101"/>
      <c r="AT126" s="101"/>
      <c r="AU126" s="100"/>
      <c r="AV126" s="101"/>
      <c r="AW126" s="101"/>
      <c r="AX126" s="101"/>
      <c r="AY126" s="93"/>
      <c r="AZ126" s="99"/>
      <c r="BA126" s="93"/>
      <c r="BB126" s="93"/>
      <c r="BC126" s="93"/>
      <c r="BD126" s="93"/>
      <c r="BE126" s="93"/>
      <c r="BF126" s="93"/>
      <c r="BG126" s="93"/>
      <c r="BH126" s="93"/>
      <c r="BI126" s="93"/>
      <c r="BJ126" s="93"/>
      <c r="BK126" s="93"/>
      <c r="BL126" s="93"/>
      <c r="BM126" s="93"/>
      <c r="BN126" s="93"/>
      <c r="BO126" s="93"/>
      <c r="BP126" s="93"/>
      <c r="BQ126" s="93"/>
      <c r="BR126" s="93"/>
      <c r="BS126" s="93"/>
      <c r="BT126" s="93"/>
      <c r="BU126" s="93"/>
      <c r="BV126" s="93"/>
      <c r="BW126" s="93"/>
      <c r="BX126" s="93"/>
      <c r="BY126" s="93"/>
      <c r="BZ126" s="93"/>
      <c r="CA126" s="93"/>
      <c r="CB126" s="93"/>
      <c r="CC126" s="93"/>
      <c r="CD126" s="93"/>
      <c r="CE126" s="94"/>
    </row>
    <row r="127" spans="1:83" s="69" customFormat="1" ht="21.95" customHeight="1">
      <c r="A127" s="1550" t="s">
        <v>733</v>
      </c>
      <c r="B127" s="1551"/>
      <c r="C127" s="1551"/>
      <c r="D127" s="1551"/>
      <c r="E127" s="1551"/>
      <c r="F127" s="1551"/>
      <c r="G127" s="1551"/>
      <c r="H127" s="441"/>
      <c r="I127" s="441"/>
      <c r="J127" s="451" t="s">
        <v>859</v>
      </c>
      <c r="K127" s="443"/>
      <c r="L127" s="444"/>
      <c r="M127" s="444"/>
      <c r="N127" s="444"/>
      <c r="O127" s="444"/>
      <c r="P127" s="445"/>
      <c r="Q127" s="441"/>
      <c r="R127" s="441"/>
      <c r="S127" s="441"/>
      <c r="T127" s="441"/>
      <c r="U127" s="441"/>
      <c r="V127" s="441"/>
      <c r="W127" s="441"/>
      <c r="X127" s="441"/>
      <c r="Y127" s="441"/>
      <c r="Z127" s="441"/>
      <c r="AA127" s="441"/>
      <c r="AB127" s="441"/>
      <c r="AC127" s="441"/>
      <c r="AD127" s="441"/>
      <c r="AE127" s="445"/>
      <c r="AF127" s="445"/>
      <c r="AG127" s="446"/>
      <c r="AH127" s="446"/>
      <c r="AI127" s="446"/>
      <c r="AJ127" s="446"/>
      <c r="AK127" s="446"/>
      <c r="AL127" s="444"/>
      <c r="AM127" s="441"/>
      <c r="AN127" s="445"/>
      <c r="AO127" s="446"/>
      <c r="AP127" s="446"/>
      <c r="AQ127" s="446"/>
      <c r="AR127" s="446"/>
      <c r="AS127" s="446"/>
      <c r="AT127" s="445"/>
      <c r="AU127" s="441"/>
      <c r="AV127" s="447"/>
      <c r="AW127" s="441"/>
      <c r="AX127" s="445">
        <v>1</v>
      </c>
      <c r="AY127" s="448"/>
      <c r="AZ127" s="448"/>
      <c r="BA127" s="448"/>
      <c r="BB127" s="448"/>
      <c r="BC127" s="448"/>
      <c r="BD127" s="449"/>
      <c r="BE127" s="444" t="s">
        <v>206</v>
      </c>
      <c r="BF127" s="441"/>
      <c r="BG127" s="449"/>
      <c r="BH127" s="449"/>
      <c r="BI127" s="449"/>
      <c r="BJ127" s="449"/>
      <c r="BK127" s="441"/>
      <c r="BL127" s="441"/>
      <c r="BM127" s="441"/>
      <c r="BN127" s="441"/>
      <c r="BO127" s="441"/>
      <c r="BP127" s="441"/>
      <c r="BQ127" s="441"/>
      <c r="BR127" s="441"/>
      <c r="BS127" s="441"/>
      <c r="BT127" s="441"/>
      <c r="BU127" s="441"/>
      <c r="BV127" s="441"/>
      <c r="BW127" s="441"/>
      <c r="BX127" s="441"/>
      <c r="BY127" s="441"/>
      <c r="BZ127" s="441"/>
      <c r="CA127" s="441"/>
      <c r="CB127" s="441"/>
      <c r="CC127" s="441"/>
      <c r="CD127" s="441"/>
      <c r="CE127" s="450"/>
    </row>
    <row r="128" spans="1:83" s="69" customFormat="1" ht="18" customHeight="1">
      <c r="A128" s="70"/>
      <c r="F128" s="71"/>
      <c r="G128" s="72"/>
      <c r="H128" s="73"/>
      <c r="I128" s="74"/>
      <c r="J128" s="74"/>
      <c r="K128" s="74"/>
      <c r="L128" s="74"/>
      <c r="M128" s="75"/>
      <c r="N128" s="75"/>
      <c r="O128" s="75"/>
      <c r="P128" s="76"/>
      <c r="Q128" s="71"/>
      <c r="R128" s="74"/>
      <c r="S128" s="75"/>
      <c r="T128" s="76"/>
      <c r="U128" s="76"/>
      <c r="V128" s="75"/>
      <c r="W128" s="74"/>
      <c r="X128" s="77"/>
      <c r="Y128" s="78"/>
      <c r="Z128" s="79"/>
      <c r="AA128" s="79"/>
      <c r="AB128" s="79"/>
      <c r="AC128" s="74"/>
      <c r="AD128" s="71"/>
      <c r="AE128" s="71"/>
      <c r="AF128" s="71"/>
      <c r="AG128" s="71"/>
      <c r="AH128" s="71"/>
      <c r="AI128" s="71"/>
      <c r="AJ128" s="71"/>
      <c r="AK128" s="71"/>
      <c r="AL128" s="71"/>
      <c r="AM128" s="71"/>
      <c r="AN128" s="71"/>
      <c r="AO128" s="71"/>
      <c r="AP128" s="71"/>
      <c r="AQ128" s="71"/>
      <c r="CE128" s="80"/>
    </row>
    <row r="129" spans="1:83" s="69" customFormat="1" ht="18" customHeight="1">
      <c r="A129" s="70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Z129" s="71"/>
      <c r="AA129" s="71"/>
      <c r="AB129" s="71"/>
      <c r="AC129" s="71"/>
      <c r="AD129" s="71"/>
      <c r="AE129" s="71"/>
      <c r="AF129" s="71"/>
      <c r="AG129" s="71"/>
      <c r="AH129" s="71"/>
      <c r="AI129" s="71"/>
      <c r="AJ129" s="71"/>
      <c r="AK129" s="71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  <c r="AV129" s="71"/>
      <c r="AW129" s="71"/>
      <c r="AX129" s="71"/>
      <c r="AY129" s="71"/>
      <c r="AZ129" s="71"/>
      <c r="BA129" s="71"/>
      <c r="BB129" s="71"/>
      <c r="BC129" s="71"/>
      <c r="BD129" s="71"/>
      <c r="BE129" s="71"/>
      <c r="BF129" s="71"/>
      <c r="BG129" s="71"/>
      <c r="BH129" s="71"/>
      <c r="BI129" s="71"/>
      <c r="BJ129" s="71"/>
      <c r="BK129" s="71"/>
      <c r="BL129" s="71"/>
      <c r="BM129" s="71"/>
      <c r="BN129" s="71"/>
      <c r="BO129" s="71"/>
      <c r="BP129" s="71"/>
      <c r="BQ129" s="71"/>
      <c r="BR129" s="71"/>
      <c r="BT129" s="71"/>
      <c r="BU129" s="71"/>
      <c r="BV129" s="71"/>
      <c r="BW129" s="71"/>
      <c r="BX129" s="71"/>
      <c r="BY129" s="71"/>
      <c r="BZ129" s="71"/>
      <c r="CA129" s="71"/>
      <c r="CE129" s="80"/>
    </row>
    <row r="130" spans="1:83" s="69" customFormat="1" ht="18" customHeight="1">
      <c r="A130" s="70"/>
      <c r="F130" s="71"/>
      <c r="G130" s="71"/>
      <c r="H130" s="71"/>
      <c r="I130" s="71"/>
      <c r="J130" s="81" t="s">
        <v>390</v>
      </c>
      <c r="K130" s="71"/>
      <c r="L130" s="71"/>
      <c r="M130" s="82" t="s">
        <v>391</v>
      </c>
      <c r="N130" s="71"/>
      <c r="O130" s="1549">
        <v>0.5</v>
      </c>
      <c r="P130" s="1545"/>
      <c r="Q130" s="1545"/>
      <c r="R130" s="1545"/>
      <c r="S130" s="1545"/>
      <c r="T130" s="71"/>
      <c r="U130" s="71"/>
      <c r="V130" s="71"/>
      <c r="W130" s="71"/>
      <c r="X130" s="71"/>
      <c r="Z130" s="71"/>
      <c r="AA130" s="71"/>
      <c r="AB130" s="71"/>
      <c r="AC130" s="71"/>
      <c r="AD130" s="71"/>
      <c r="AE130" s="71"/>
      <c r="AF130" s="71"/>
      <c r="AG130" s="71"/>
      <c r="AH130" s="71"/>
      <c r="AI130" s="71"/>
      <c r="AJ130" s="71"/>
      <c r="AK130" s="81"/>
      <c r="AL130" s="71"/>
      <c r="AM130" s="71"/>
      <c r="AN130" s="71"/>
      <c r="AO130" s="71"/>
      <c r="AP130" s="71"/>
      <c r="AQ130" s="71"/>
      <c r="AR130" s="71"/>
      <c r="AS130" s="71"/>
      <c r="AT130" s="71"/>
      <c r="AU130" s="71"/>
      <c r="AV130" s="71"/>
      <c r="AW130" s="71"/>
      <c r="AX130" s="71"/>
      <c r="AY130" s="71"/>
      <c r="AZ130" s="81"/>
      <c r="BA130" s="71"/>
      <c r="BB130" s="71"/>
      <c r="BC130" s="71"/>
      <c r="BD130" s="71"/>
      <c r="BE130" s="71"/>
      <c r="BF130" s="71"/>
      <c r="BG130" s="71"/>
      <c r="BH130" s="71"/>
      <c r="BI130" s="71"/>
      <c r="BJ130" s="71"/>
      <c r="BK130" s="71"/>
      <c r="BL130" s="71"/>
      <c r="BM130" s="71"/>
      <c r="BN130" s="71"/>
      <c r="BO130" s="71"/>
      <c r="BP130" s="71"/>
      <c r="BQ130" s="71"/>
      <c r="BR130" s="71"/>
      <c r="BS130" s="71"/>
      <c r="BT130" s="71"/>
      <c r="BU130" s="71"/>
      <c r="BV130" s="71"/>
      <c r="BW130" s="71"/>
      <c r="BX130" s="71"/>
      <c r="BY130" s="71"/>
      <c r="BZ130" s="71"/>
      <c r="CA130" s="71"/>
      <c r="CE130" s="80"/>
    </row>
    <row r="131" spans="1:83" s="69" customFormat="1" ht="18" customHeight="1">
      <c r="A131" s="70"/>
      <c r="F131" s="71"/>
      <c r="G131" s="71"/>
      <c r="H131" s="71"/>
      <c r="I131" s="71"/>
      <c r="J131" s="81"/>
      <c r="K131" s="71"/>
      <c r="L131" s="71"/>
      <c r="M131" s="71"/>
      <c r="N131" s="71"/>
      <c r="O131" s="95"/>
      <c r="P131" s="79"/>
      <c r="Q131" s="79"/>
      <c r="R131" s="79"/>
      <c r="S131" s="79"/>
      <c r="T131" s="71"/>
      <c r="U131" s="71"/>
      <c r="V131" s="71"/>
      <c r="W131" s="71"/>
      <c r="X131" s="71"/>
      <c r="Z131" s="83"/>
      <c r="AB131" s="71"/>
      <c r="AC131" s="71"/>
      <c r="AD131" s="71"/>
      <c r="AE131" s="71"/>
      <c r="AF131" s="81"/>
      <c r="AG131" s="81"/>
      <c r="AH131" s="81"/>
      <c r="AI131" s="81"/>
      <c r="AJ131" s="81"/>
      <c r="AK131" s="81"/>
      <c r="AL131" s="81"/>
      <c r="AM131" s="81"/>
      <c r="AN131" s="81"/>
      <c r="AO131" s="81"/>
      <c r="AP131" s="81"/>
      <c r="AQ131" s="71"/>
      <c r="AR131" s="71"/>
      <c r="AS131" s="71"/>
      <c r="AT131" s="71"/>
      <c r="AU131" s="71"/>
      <c r="AV131" s="71"/>
      <c r="AW131" s="71"/>
      <c r="AX131" s="81"/>
      <c r="AY131" s="81"/>
      <c r="AZ131" s="81"/>
      <c r="BA131" s="81"/>
      <c r="BB131" s="81"/>
      <c r="BC131" s="81"/>
      <c r="BD131" s="81"/>
      <c r="BE131" s="81"/>
      <c r="BF131" s="71"/>
      <c r="BG131" s="71"/>
      <c r="BH131" s="71"/>
      <c r="BI131" s="71"/>
      <c r="BJ131" s="71"/>
      <c r="BK131" s="71"/>
      <c r="BL131" s="71"/>
      <c r="BM131" s="71"/>
      <c r="BN131" s="71"/>
      <c r="BO131" s="71"/>
      <c r="BP131" s="81"/>
      <c r="BY131" s="71"/>
      <c r="BZ131" s="71"/>
      <c r="CA131" s="71"/>
      <c r="CE131" s="80"/>
    </row>
    <row r="132" spans="1:83" s="69" customFormat="1" ht="18" customHeight="1">
      <c r="A132" s="70"/>
      <c r="F132" s="71"/>
      <c r="G132" s="71"/>
      <c r="H132" s="71"/>
      <c r="I132" s="71"/>
      <c r="J132" s="81" t="s">
        <v>392</v>
      </c>
      <c r="K132" s="71"/>
      <c r="L132" s="71"/>
      <c r="M132" s="82" t="s">
        <v>391</v>
      </c>
      <c r="N132" s="71"/>
      <c r="O132" s="1549">
        <v>1</v>
      </c>
      <c r="P132" s="1545"/>
      <c r="Q132" s="1545"/>
      <c r="R132" s="1545"/>
      <c r="S132" s="1545"/>
      <c r="T132" s="71"/>
      <c r="U132" s="71"/>
      <c r="V132" s="71"/>
      <c r="W132" s="71"/>
      <c r="X132" s="71"/>
      <c r="AB132" s="71"/>
      <c r="AC132" s="71"/>
      <c r="AD132" s="71"/>
      <c r="AE132" s="71"/>
      <c r="AF132" s="81"/>
      <c r="AG132" s="71"/>
      <c r="AH132" s="71"/>
      <c r="AI132" s="71"/>
      <c r="AJ132" s="71"/>
      <c r="AK132" s="71"/>
      <c r="AL132" s="71"/>
      <c r="AM132" s="71"/>
      <c r="AN132" s="71"/>
      <c r="AO132" s="71"/>
      <c r="AP132" s="81"/>
      <c r="AQ132" s="71"/>
      <c r="AR132" s="71"/>
      <c r="AS132" s="71"/>
      <c r="AT132" s="71"/>
      <c r="AU132" s="71"/>
      <c r="AV132" s="71"/>
      <c r="AW132" s="71"/>
      <c r="AX132" s="71"/>
      <c r="AY132" s="71"/>
      <c r="AZ132" s="71"/>
      <c r="BA132" s="71"/>
      <c r="BB132" s="71"/>
      <c r="BC132" s="71"/>
      <c r="BD132" s="71"/>
      <c r="BE132" s="81"/>
      <c r="BF132" s="71"/>
      <c r="BG132" s="71"/>
      <c r="BH132" s="71"/>
      <c r="BI132" s="71"/>
      <c r="BJ132" s="71"/>
      <c r="BK132" s="71"/>
      <c r="BL132" s="71"/>
      <c r="BM132" s="71"/>
      <c r="BN132" s="71"/>
      <c r="BO132" s="71"/>
      <c r="BP132" s="81"/>
      <c r="BY132" s="71"/>
      <c r="BZ132" s="71"/>
      <c r="CA132" s="71"/>
      <c r="CE132" s="80"/>
    </row>
    <row r="133" spans="1:83" s="69" customFormat="1" ht="18" customHeight="1">
      <c r="A133" s="70"/>
      <c r="F133" s="71"/>
      <c r="G133" s="71"/>
      <c r="H133" s="71"/>
      <c r="I133" s="71"/>
      <c r="J133" s="81"/>
      <c r="K133" s="71"/>
      <c r="L133" s="71"/>
      <c r="M133" s="71"/>
      <c r="N133" s="71"/>
      <c r="O133" s="95"/>
      <c r="P133" s="79"/>
      <c r="Q133" s="79"/>
      <c r="R133" s="79"/>
      <c r="S133" s="79"/>
      <c r="T133" s="71"/>
      <c r="U133" s="71"/>
      <c r="V133" s="71"/>
      <c r="W133" s="71"/>
      <c r="X133" s="71"/>
      <c r="AB133" s="71"/>
      <c r="AC133" s="71"/>
      <c r="AD133" s="71"/>
      <c r="AE133" s="71"/>
      <c r="AF133" s="71"/>
      <c r="AG133" s="71"/>
      <c r="AH133" s="71"/>
      <c r="AI133" s="71"/>
      <c r="AJ133" s="71"/>
      <c r="AK133" s="71"/>
      <c r="AL133" s="71"/>
      <c r="AM133" s="71"/>
      <c r="AN133" s="71"/>
      <c r="AO133" s="71"/>
      <c r="AP133" s="71"/>
      <c r="AQ133" s="71"/>
      <c r="AR133" s="71"/>
      <c r="AS133" s="71"/>
      <c r="AT133" s="71"/>
      <c r="AU133" s="71"/>
      <c r="AV133" s="71"/>
      <c r="AW133" s="71"/>
      <c r="AX133" s="71"/>
      <c r="AY133" s="71"/>
      <c r="AZ133" s="71"/>
      <c r="BA133" s="71"/>
      <c r="BB133" s="71"/>
      <c r="BC133" s="71"/>
      <c r="BD133" s="71"/>
      <c r="BE133" s="71"/>
      <c r="BF133" s="71"/>
      <c r="BG133" s="71"/>
      <c r="BH133" s="71"/>
      <c r="BI133" s="71"/>
      <c r="BJ133" s="71"/>
      <c r="BK133" s="71"/>
      <c r="BL133" s="71"/>
      <c r="BM133" s="71"/>
      <c r="BN133" s="71"/>
      <c r="BO133" s="71"/>
      <c r="CE133" s="80"/>
    </row>
    <row r="134" spans="1:83" s="69" customFormat="1" ht="18" customHeight="1">
      <c r="A134" s="70"/>
      <c r="F134" s="71"/>
      <c r="G134" s="71"/>
      <c r="H134" s="71"/>
      <c r="I134" s="71"/>
      <c r="J134" s="81" t="s">
        <v>393</v>
      </c>
      <c r="K134" s="71"/>
      <c r="L134" s="71"/>
      <c r="M134" s="82" t="s">
        <v>391</v>
      </c>
      <c r="N134" s="71"/>
      <c r="O134" s="1549">
        <v>1</v>
      </c>
      <c r="P134" s="1545"/>
      <c r="Q134" s="1545"/>
      <c r="R134" s="1545"/>
      <c r="S134" s="1545"/>
      <c r="T134" s="71"/>
      <c r="U134" s="71"/>
      <c r="V134" s="71"/>
      <c r="W134" s="71"/>
      <c r="X134" s="71"/>
      <c r="AB134" s="71"/>
      <c r="AC134" s="71"/>
      <c r="AD134" s="71"/>
      <c r="AE134" s="71"/>
      <c r="AF134" s="71"/>
      <c r="AG134" s="71"/>
      <c r="AH134" s="71"/>
      <c r="AI134" s="71"/>
      <c r="AJ134" s="71"/>
      <c r="AK134" s="71"/>
      <c r="AL134" s="71"/>
      <c r="AM134" s="71"/>
      <c r="AN134" s="71"/>
      <c r="AO134" s="71"/>
      <c r="AP134" s="71"/>
      <c r="AQ134" s="71"/>
      <c r="AR134" s="71"/>
      <c r="AS134" s="71"/>
      <c r="AT134" s="71"/>
      <c r="AU134" s="71"/>
      <c r="AV134" s="71"/>
      <c r="AW134" s="71"/>
      <c r="AX134" s="71"/>
      <c r="AY134" s="71"/>
      <c r="AZ134" s="71"/>
      <c r="BA134" s="71"/>
      <c r="BB134" s="71"/>
      <c r="BC134" s="71"/>
      <c r="BD134" s="71"/>
      <c r="BE134" s="71"/>
      <c r="BF134" s="71"/>
      <c r="BG134" s="71"/>
      <c r="BH134" s="71"/>
      <c r="BI134" s="71"/>
      <c r="BJ134" s="71"/>
      <c r="BK134" s="71"/>
      <c r="BL134" s="71"/>
      <c r="BM134" s="71"/>
      <c r="BN134" s="71"/>
      <c r="BO134" s="71"/>
      <c r="CE134" s="80"/>
    </row>
    <row r="135" spans="1:83" s="69" customFormat="1" ht="18" customHeight="1">
      <c r="A135" s="70"/>
      <c r="F135" s="71"/>
      <c r="G135" s="71"/>
      <c r="H135" s="71"/>
      <c r="I135" s="71"/>
      <c r="J135" s="81"/>
      <c r="K135" s="71"/>
      <c r="L135" s="71"/>
      <c r="M135" s="71"/>
      <c r="N135" s="71"/>
      <c r="O135" s="79"/>
      <c r="P135" s="79"/>
      <c r="Q135" s="79"/>
      <c r="R135" s="79"/>
      <c r="S135" s="79"/>
      <c r="T135" s="71"/>
      <c r="U135" s="71"/>
      <c r="V135" s="71"/>
      <c r="W135" s="71"/>
      <c r="X135" s="71"/>
      <c r="AB135" s="71"/>
      <c r="AC135" s="81"/>
      <c r="AD135" s="71"/>
      <c r="AE135" s="71"/>
      <c r="AF135" s="71"/>
      <c r="AG135" s="71"/>
      <c r="AH135" s="71"/>
      <c r="AI135" s="71"/>
      <c r="AJ135" s="71"/>
      <c r="AK135" s="71"/>
      <c r="AL135" s="71"/>
      <c r="AM135" s="71"/>
      <c r="AN135" s="71"/>
      <c r="AO135" s="71"/>
      <c r="AP135" s="81"/>
      <c r="AQ135" s="71"/>
      <c r="AR135" s="71"/>
      <c r="AS135" s="71"/>
      <c r="AT135" s="71"/>
      <c r="AU135" s="81"/>
      <c r="AV135" s="81"/>
      <c r="AW135" s="81"/>
      <c r="AX135" s="81"/>
      <c r="AY135" s="71"/>
      <c r="AZ135" s="71"/>
      <c r="BA135" s="71"/>
      <c r="BB135" s="71"/>
      <c r="BC135" s="71"/>
      <c r="BD135" s="71"/>
      <c r="BE135" s="71"/>
      <c r="BF135" s="71"/>
      <c r="BG135" s="71"/>
      <c r="BH135" s="71"/>
      <c r="BI135" s="71"/>
      <c r="BJ135" s="71"/>
      <c r="BK135" s="71"/>
      <c r="BL135" s="71"/>
      <c r="BM135" s="71"/>
      <c r="BN135" s="71"/>
      <c r="BO135" s="71"/>
      <c r="BP135" s="71"/>
      <c r="BQ135" s="71"/>
      <c r="BR135" s="71"/>
      <c r="CE135" s="80"/>
    </row>
    <row r="136" spans="1:83" s="69" customFormat="1" ht="18" customHeight="1">
      <c r="A136" s="70"/>
      <c r="F136" s="71"/>
      <c r="G136" s="71"/>
      <c r="H136" s="71"/>
      <c r="I136" s="71"/>
      <c r="J136" s="81" t="s">
        <v>394</v>
      </c>
      <c r="K136" s="71"/>
      <c r="M136" s="82" t="s">
        <v>391</v>
      </c>
      <c r="O136" s="1549">
        <v>0.2</v>
      </c>
      <c r="P136" s="1545"/>
      <c r="Q136" s="1545"/>
      <c r="R136" s="1545"/>
      <c r="S136" s="1545"/>
      <c r="AB136" s="71"/>
      <c r="AC136" s="71"/>
      <c r="AD136" s="71"/>
      <c r="AE136" s="71"/>
      <c r="AF136" s="71"/>
      <c r="AG136" s="71"/>
      <c r="AH136" s="71"/>
      <c r="AI136" s="71"/>
      <c r="AJ136" s="71"/>
      <c r="AK136" s="71"/>
      <c r="AL136" s="71"/>
      <c r="AM136" s="71"/>
      <c r="AN136" s="71"/>
      <c r="AO136" s="71"/>
      <c r="AP136" s="71"/>
      <c r="AQ136" s="71"/>
      <c r="AR136" s="71"/>
      <c r="AS136" s="71"/>
      <c r="AT136" s="71"/>
      <c r="AU136" s="71"/>
      <c r="AV136" s="71"/>
      <c r="AW136" s="71"/>
      <c r="AX136" s="81"/>
      <c r="AY136" s="71"/>
      <c r="AZ136" s="71"/>
      <c r="BA136" s="71"/>
      <c r="BB136" s="71"/>
      <c r="BC136" s="71"/>
      <c r="BD136" s="71"/>
      <c r="BE136" s="71"/>
      <c r="BF136" s="71"/>
      <c r="BG136" s="71"/>
      <c r="BH136" s="71"/>
      <c r="BI136" s="71"/>
      <c r="BJ136" s="71"/>
      <c r="BK136" s="71"/>
      <c r="BL136" s="71"/>
      <c r="BM136" s="71"/>
      <c r="BN136" s="81"/>
      <c r="BO136" s="71"/>
      <c r="BP136" s="71"/>
      <c r="BQ136" s="71"/>
      <c r="BR136" s="71"/>
      <c r="CE136" s="80"/>
    </row>
    <row r="137" spans="1:83" s="71" customFormat="1" ht="18" customHeight="1">
      <c r="A137" s="85"/>
      <c r="J137" s="81"/>
      <c r="O137" s="79"/>
      <c r="P137" s="79"/>
      <c r="Q137" s="79"/>
      <c r="R137" s="79"/>
      <c r="S137" s="79"/>
      <c r="AX137" s="81"/>
      <c r="BN137" s="81"/>
      <c r="CE137" s="86"/>
    </row>
    <row r="138" spans="1:83" s="71" customFormat="1" ht="18" customHeight="1">
      <c r="A138" s="85"/>
      <c r="J138" s="81" t="s">
        <v>395</v>
      </c>
      <c r="M138" s="82" t="s">
        <v>391</v>
      </c>
      <c r="O138" s="1549">
        <v>1</v>
      </c>
      <c r="P138" s="1545"/>
      <c r="Q138" s="1545"/>
      <c r="R138" s="1545"/>
      <c r="S138" s="1545"/>
      <c r="AX138" s="81"/>
      <c r="BN138" s="81"/>
      <c r="CE138" s="86"/>
    </row>
    <row r="139" spans="1:83" s="71" customFormat="1" ht="18" customHeight="1">
      <c r="A139" s="85"/>
      <c r="AX139" s="81"/>
      <c r="BN139" s="81"/>
      <c r="CE139" s="86"/>
    </row>
    <row r="140" spans="1:83" s="71" customFormat="1" ht="18" customHeight="1">
      <c r="A140" s="85"/>
      <c r="J140" s="81"/>
      <c r="M140" s="82"/>
      <c r="O140" s="1549"/>
      <c r="P140" s="1545"/>
      <c r="Q140" s="1545"/>
      <c r="R140" s="1545"/>
      <c r="S140" s="1545"/>
      <c r="AX140" s="81"/>
      <c r="BN140" s="81"/>
      <c r="CE140" s="86"/>
    </row>
    <row r="141" spans="1:83" s="71" customFormat="1" ht="18" customHeight="1">
      <c r="A141" s="85"/>
      <c r="AX141" s="81"/>
      <c r="CE141" s="86"/>
    </row>
    <row r="142" spans="1:83" s="71" customFormat="1" ht="18" customHeight="1">
      <c r="A142" s="85"/>
      <c r="CE142" s="86"/>
    </row>
    <row r="143" spans="1:83" s="71" customFormat="1" ht="18" customHeight="1">
      <c r="A143" s="85"/>
      <c r="G143" s="81"/>
      <c r="H143" s="71" t="s">
        <v>397</v>
      </c>
      <c r="K143" s="81" t="s">
        <v>398</v>
      </c>
      <c r="CE143" s="86"/>
    </row>
    <row r="144" spans="1:83" s="71" customFormat="1" ht="18" customHeight="1">
      <c r="A144" s="85"/>
      <c r="I144" s="81"/>
      <c r="L144" s="1560">
        <f>$O$132</f>
        <v>1</v>
      </c>
      <c r="M144" s="1560"/>
      <c r="N144" s="1560"/>
      <c r="O144" s="71" t="s">
        <v>399</v>
      </c>
      <c r="P144" s="73"/>
      <c r="Q144" s="1544">
        <v>2</v>
      </c>
      <c r="R144" s="1544"/>
      <c r="S144" s="1544"/>
      <c r="T144" s="71" t="s">
        <v>399</v>
      </c>
      <c r="U144" s="73"/>
      <c r="V144" s="1544">
        <f>$AX$127</f>
        <v>1</v>
      </c>
      <c r="W144" s="1544"/>
      <c r="X144" s="1544"/>
      <c r="Y144" s="82" t="s">
        <v>384</v>
      </c>
      <c r="Z144" s="1544">
        <f>L144*Q144*V144</f>
        <v>2</v>
      </c>
      <c r="AA144" s="1544"/>
      <c r="AB144" s="1544"/>
      <c r="AC144" s="1544"/>
      <c r="AD144" s="1544"/>
      <c r="AE144" s="1544"/>
      <c r="AF144" s="466" t="s">
        <v>546</v>
      </c>
      <c r="AG144" s="90"/>
      <c r="AH144" s="81"/>
      <c r="AK144" s="79"/>
      <c r="AL144" s="79"/>
      <c r="AM144" s="79"/>
      <c r="AN144" s="89"/>
      <c r="AO144" s="79"/>
      <c r="AP144" s="91"/>
      <c r="AQ144" s="79"/>
      <c r="AR144" s="79"/>
      <c r="AS144" s="79"/>
      <c r="AT144" s="79"/>
      <c r="AU144" s="90"/>
      <c r="AV144" s="79"/>
      <c r="AW144" s="79"/>
      <c r="AX144" s="79"/>
      <c r="AZ144" s="89"/>
      <c r="CE144" s="86"/>
    </row>
    <row r="145" spans="1:83" s="71" customFormat="1" ht="18" customHeight="1">
      <c r="A145" s="85"/>
      <c r="G145" s="81"/>
      <c r="K145" s="89"/>
      <c r="CE145" s="86"/>
    </row>
    <row r="146" spans="1:83" s="71" customFormat="1" ht="18" customHeight="1">
      <c r="A146" s="85"/>
      <c r="G146" s="81"/>
      <c r="H146" s="71" t="s">
        <v>381</v>
      </c>
      <c r="K146" s="486" t="s">
        <v>615</v>
      </c>
      <c r="CE146" s="86"/>
    </row>
    <row r="147" spans="1:83" s="71" customFormat="1" ht="18" customHeight="1">
      <c r="A147" s="85"/>
      <c r="I147" s="81"/>
      <c r="L147" s="1560">
        <f>$O$132</f>
        <v>1</v>
      </c>
      <c r="M147" s="1560"/>
      <c r="N147" s="1560"/>
      <c r="O147" s="71" t="s">
        <v>400</v>
      </c>
      <c r="P147" s="73"/>
      <c r="Q147" s="1544">
        <f>$O$136</f>
        <v>0.2</v>
      </c>
      <c r="R147" s="1544"/>
      <c r="S147" s="1544"/>
      <c r="T147" s="71" t="s">
        <v>400</v>
      </c>
      <c r="U147" s="73"/>
      <c r="V147" s="1544">
        <f>$AX$127</f>
        <v>1</v>
      </c>
      <c r="W147" s="1544"/>
      <c r="X147" s="1544"/>
      <c r="Y147" s="82" t="s">
        <v>401</v>
      </c>
      <c r="Z147" s="1544">
        <f>L147*Q147*V147</f>
        <v>0.2</v>
      </c>
      <c r="AA147" s="1544"/>
      <c r="AB147" s="1544"/>
      <c r="AC147" s="1544"/>
      <c r="AD147" s="1544"/>
      <c r="AE147" s="1544"/>
      <c r="AF147" s="466" t="s">
        <v>547</v>
      </c>
      <c r="AG147" s="90"/>
      <c r="AH147" s="81"/>
      <c r="AK147" s="79"/>
      <c r="AL147" s="79"/>
      <c r="AM147" s="79"/>
      <c r="AN147" s="89"/>
      <c r="AO147" s="79"/>
      <c r="AP147" s="91"/>
      <c r="AQ147" s="79"/>
      <c r="AR147" s="79"/>
      <c r="AS147" s="79"/>
      <c r="AT147" s="79"/>
      <c r="AU147" s="90"/>
      <c r="AV147" s="79"/>
      <c r="AW147" s="79"/>
      <c r="AX147" s="79"/>
      <c r="AZ147" s="89"/>
      <c r="CE147" s="86"/>
    </row>
    <row r="148" spans="1:83" s="71" customFormat="1" ht="18" customHeight="1">
      <c r="A148" s="85"/>
      <c r="G148" s="81"/>
      <c r="K148" s="89"/>
      <c r="CE148" s="86"/>
    </row>
    <row r="149" spans="1:83" s="71" customFormat="1" ht="18" customHeight="1">
      <c r="A149" s="85"/>
      <c r="G149" s="81"/>
      <c r="H149" s="71" t="s">
        <v>385</v>
      </c>
      <c r="K149" s="81" t="s">
        <v>402</v>
      </c>
      <c r="CE149" s="86"/>
    </row>
    <row r="150" spans="1:83" s="71" customFormat="1" ht="18" customHeight="1">
      <c r="A150" s="85"/>
      <c r="I150" s="81" t="s">
        <v>207</v>
      </c>
      <c r="L150" s="88" t="s">
        <v>208</v>
      </c>
      <c r="O150" s="71" t="s">
        <v>403</v>
      </c>
      <c r="P150" s="73"/>
      <c r="R150" s="1544">
        <f>$O$130</f>
        <v>0.5</v>
      </c>
      <c r="S150" s="1545"/>
      <c r="T150" s="1545"/>
      <c r="U150" s="1545"/>
      <c r="V150" s="1545"/>
      <c r="W150" s="79" t="s">
        <v>209</v>
      </c>
      <c r="X150" s="1544">
        <f>$O$132</f>
        <v>1</v>
      </c>
      <c r="Y150" s="1545"/>
      <c r="Z150" s="1545"/>
      <c r="AA150" s="1545"/>
      <c r="AB150" s="90"/>
      <c r="AC150" s="81" t="s">
        <v>210</v>
      </c>
      <c r="AF150" s="1544">
        <f>$O$138</f>
        <v>1</v>
      </c>
      <c r="AG150" s="1544"/>
      <c r="AH150" s="1544"/>
      <c r="AI150" s="1544"/>
      <c r="AJ150" s="1544"/>
      <c r="AK150" s="81" t="s">
        <v>211</v>
      </c>
      <c r="AM150" s="79">
        <f>$AX$127</f>
        <v>1</v>
      </c>
      <c r="AN150" s="79"/>
      <c r="AO150" s="79"/>
      <c r="AP150" s="91"/>
      <c r="AQ150" s="79"/>
      <c r="AR150" s="79" t="s">
        <v>404</v>
      </c>
      <c r="AS150" s="79"/>
      <c r="AT150" s="1544">
        <f>ROUNDDOWN((R150+X150)*AF150*AM150/2,3)</f>
        <v>0.75</v>
      </c>
      <c r="AU150" s="1545"/>
      <c r="AV150" s="1545"/>
      <c r="AW150" s="1545"/>
      <c r="AX150" s="1545"/>
      <c r="AY150" s="1545"/>
      <c r="AZ150" s="89" t="s">
        <v>212</v>
      </c>
      <c r="CE150" s="86"/>
    </row>
    <row r="151" spans="1:83" s="71" customFormat="1" ht="18" customHeight="1">
      <c r="A151" s="85"/>
      <c r="G151" s="81"/>
      <c r="K151" s="89"/>
      <c r="CE151" s="86"/>
    </row>
    <row r="152" spans="1:83" s="71" customFormat="1" ht="18" customHeight="1">
      <c r="A152" s="85"/>
      <c r="G152" s="81"/>
      <c r="H152" s="71" t="s">
        <v>405</v>
      </c>
      <c r="K152" s="89" t="s">
        <v>406</v>
      </c>
      <c r="CE152" s="86"/>
    </row>
    <row r="153" spans="1:83" s="71" customFormat="1" ht="18" customHeight="1">
      <c r="A153" s="85"/>
      <c r="H153" s="81"/>
      <c r="I153" s="81" t="s">
        <v>207</v>
      </c>
      <c r="L153" s="88" t="s">
        <v>208</v>
      </c>
      <c r="O153" s="71" t="s">
        <v>403</v>
      </c>
      <c r="P153" s="73"/>
      <c r="R153" s="1544">
        <f>$O$130</f>
        <v>0.5</v>
      </c>
      <c r="S153" s="1545"/>
      <c r="T153" s="1545"/>
      <c r="U153" s="1545"/>
      <c r="V153" s="1545"/>
      <c r="W153" s="79" t="s">
        <v>209</v>
      </c>
      <c r="X153" s="1544">
        <f>$O$132</f>
        <v>1</v>
      </c>
      <c r="Y153" s="1545"/>
      <c r="Z153" s="1545"/>
      <c r="AA153" s="1545"/>
      <c r="AB153" s="1545"/>
      <c r="AC153" s="81" t="s">
        <v>210</v>
      </c>
      <c r="AF153" s="1544">
        <f>O138</f>
        <v>1</v>
      </c>
      <c r="AG153" s="1544"/>
      <c r="AH153" s="1544"/>
      <c r="AI153" s="1544"/>
      <c r="AJ153" s="1544"/>
      <c r="AK153" s="81" t="s">
        <v>211</v>
      </c>
      <c r="AM153" s="1544">
        <f>$AX$127</f>
        <v>1</v>
      </c>
      <c r="AN153" s="1545"/>
      <c r="AO153" s="1545"/>
      <c r="AP153" s="1545"/>
      <c r="AQ153" s="1545"/>
      <c r="AR153" s="79" t="s">
        <v>404</v>
      </c>
      <c r="AS153" s="79"/>
      <c r="AT153" s="1544">
        <f>ROUNDDOWN((R153+X153)*AF153*AM153/2,3)</f>
        <v>0.75</v>
      </c>
      <c r="AU153" s="1545"/>
      <c r="AV153" s="1545"/>
      <c r="AW153" s="1545"/>
      <c r="AX153" s="1545"/>
      <c r="AY153" s="1545"/>
      <c r="AZ153" s="89" t="s">
        <v>212</v>
      </c>
      <c r="CE153" s="86"/>
    </row>
    <row r="154" spans="1:83" s="71" customFormat="1" ht="18" customHeight="1">
      <c r="A154" s="85"/>
      <c r="G154" s="81"/>
      <c r="K154" s="81"/>
      <c r="CE154" s="86"/>
    </row>
    <row r="155" spans="1:83" s="71" customFormat="1" ht="18" customHeight="1">
      <c r="A155" s="85"/>
      <c r="H155" s="71" t="s">
        <v>407</v>
      </c>
      <c r="K155" s="486" t="s">
        <v>616</v>
      </c>
      <c r="AU155" s="90"/>
      <c r="AV155" s="79"/>
      <c r="AW155" s="79"/>
      <c r="AX155" s="79"/>
      <c r="AZ155" s="89"/>
      <c r="CE155" s="86"/>
    </row>
    <row r="156" spans="1:83" s="71" customFormat="1" ht="18" customHeight="1">
      <c r="A156" s="92"/>
      <c r="B156" s="93"/>
      <c r="C156" s="93"/>
      <c r="D156" s="93"/>
      <c r="E156" s="93"/>
      <c r="F156" s="93"/>
      <c r="G156" s="96"/>
      <c r="H156" s="93"/>
      <c r="I156" s="96"/>
      <c r="J156" s="93"/>
      <c r="K156" s="93"/>
      <c r="L156" s="1563">
        <f>$O$132</f>
        <v>1</v>
      </c>
      <c r="M156" s="1563"/>
      <c r="N156" s="1563"/>
      <c r="O156" s="93" t="s">
        <v>400</v>
      </c>
      <c r="P156" s="97"/>
      <c r="Q156" s="1559">
        <f>$O$136</f>
        <v>0.2</v>
      </c>
      <c r="R156" s="1559"/>
      <c r="S156" s="1559"/>
      <c r="T156" s="93" t="s">
        <v>400</v>
      </c>
      <c r="U156" s="97"/>
      <c r="V156" s="1559">
        <f>$AX$127</f>
        <v>1</v>
      </c>
      <c r="W156" s="1559"/>
      <c r="X156" s="1559"/>
      <c r="Y156" s="98" t="s">
        <v>401</v>
      </c>
      <c r="Z156" s="1559">
        <f>L156*Q156*V156</f>
        <v>0.2</v>
      </c>
      <c r="AA156" s="1559"/>
      <c r="AB156" s="1559"/>
      <c r="AC156" s="1559"/>
      <c r="AD156" s="1559"/>
      <c r="AE156" s="1559"/>
      <c r="AF156" s="99" t="s">
        <v>212</v>
      </c>
      <c r="AG156" s="100"/>
      <c r="AH156" s="96"/>
      <c r="AI156" s="93"/>
      <c r="AJ156" s="93"/>
      <c r="AK156" s="101"/>
      <c r="AL156" s="101"/>
      <c r="AM156" s="101"/>
      <c r="AN156" s="99"/>
      <c r="AO156" s="101"/>
      <c r="AP156" s="102"/>
      <c r="AQ156" s="101"/>
      <c r="AR156" s="101"/>
      <c r="AS156" s="101"/>
      <c r="AT156" s="101"/>
      <c r="AU156" s="93"/>
      <c r="AV156" s="93"/>
      <c r="AW156" s="93"/>
      <c r="AX156" s="93"/>
      <c r="AY156" s="93"/>
      <c r="AZ156" s="93"/>
      <c r="BA156" s="93"/>
      <c r="BB156" s="93"/>
      <c r="BC156" s="93"/>
      <c r="BD156" s="93"/>
      <c r="BE156" s="93"/>
      <c r="BF156" s="93"/>
      <c r="BG156" s="93"/>
      <c r="BH156" s="93"/>
      <c r="BI156" s="93"/>
      <c r="BJ156" s="93"/>
      <c r="BK156" s="93"/>
      <c r="BL156" s="93"/>
      <c r="BM156" s="93"/>
      <c r="BN156" s="93"/>
      <c r="BO156" s="93"/>
      <c r="BP156" s="93"/>
      <c r="BQ156" s="93"/>
      <c r="BR156" s="93"/>
      <c r="BS156" s="93"/>
      <c r="BT156" s="93"/>
      <c r="BU156" s="93"/>
      <c r="BV156" s="93"/>
      <c r="BW156" s="93"/>
      <c r="BX156" s="93"/>
      <c r="BY156" s="93"/>
      <c r="BZ156" s="93"/>
      <c r="CA156" s="93"/>
      <c r="CB156" s="93"/>
      <c r="CC156" s="93"/>
      <c r="CD156" s="93"/>
      <c r="CE156" s="94"/>
    </row>
    <row r="157" spans="1:83" s="69" customFormat="1" ht="21.95" customHeight="1">
      <c r="A157" s="1547" t="s">
        <v>424</v>
      </c>
      <c r="B157" s="1548"/>
      <c r="C157" s="1548"/>
      <c r="D157" s="1548"/>
      <c r="E157" s="1548"/>
      <c r="F157" s="1548"/>
      <c r="G157" s="1548"/>
      <c r="H157" s="441"/>
      <c r="I157" s="441"/>
      <c r="J157" s="451" t="s">
        <v>844</v>
      </c>
      <c r="K157" s="443"/>
      <c r="L157" s="444"/>
      <c r="M157" s="444"/>
      <c r="N157" s="444"/>
      <c r="O157" s="444"/>
      <c r="P157" s="445"/>
      <c r="Q157" s="441"/>
      <c r="R157" s="441"/>
      <c r="S157" s="441"/>
      <c r="T157" s="441"/>
      <c r="U157" s="441"/>
      <c r="V157" s="441"/>
      <c r="W157" s="441"/>
      <c r="X157" s="441"/>
      <c r="Y157" s="441"/>
      <c r="Z157" s="441"/>
      <c r="AA157" s="441"/>
      <c r="AB157" s="441"/>
      <c r="AC157" s="441"/>
      <c r="AD157" s="441"/>
      <c r="AE157" s="445"/>
      <c r="AF157" s="445"/>
      <c r="AG157" s="446"/>
      <c r="AH157" s="446"/>
      <c r="AI157" s="446"/>
      <c r="AJ157" s="446"/>
      <c r="AK157" s="446"/>
      <c r="AL157" s="444"/>
      <c r="AM157" s="441"/>
      <c r="AN157" s="445"/>
      <c r="AO157" s="446"/>
      <c r="AP157" s="446"/>
      <c r="AQ157" s="446"/>
      <c r="AR157" s="446"/>
      <c r="AS157" s="446"/>
      <c r="AT157" s="445"/>
      <c r="AU157" s="441"/>
      <c r="AV157" s="447"/>
      <c r="AW157" s="441"/>
      <c r="AX157" s="445">
        <v>1</v>
      </c>
      <c r="AY157" s="448"/>
      <c r="AZ157" s="448"/>
      <c r="BA157" s="448"/>
      <c r="BB157" s="448"/>
      <c r="BC157" s="448"/>
      <c r="BD157" s="449"/>
      <c r="BE157" s="444" t="s">
        <v>206</v>
      </c>
      <c r="BF157" s="441"/>
      <c r="BG157" s="449"/>
      <c r="BH157" s="449"/>
      <c r="BI157" s="449"/>
      <c r="BJ157" s="449"/>
      <c r="BK157" s="441"/>
      <c r="BL157" s="441"/>
      <c r="BM157" s="441"/>
      <c r="BN157" s="441"/>
      <c r="BO157" s="441"/>
      <c r="BP157" s="441"/>
      <c r="BQ157" s="441"/>
      <c r="BR157" s="441"/>
      <c r="BS157" s="441"/>
      <c r="BT157" s="441"/>
      <c r="BU157" s="441"/>
      <c r="BV157" s="441"/>
      <c r="BW157" s="441"/>
      <c r="BX157" s="441"/>
      <c r="BY157" s="441"/>
      <c r="BZ157" s="441"/>
      <c r="CA157" s="441"/>
      <c r="CB157" s="441"/>
      <c r="CC157" s="441"/>
      <c r="CD157" s="441"/>
      <c r="CE157" s="450"/>
    </row>
    <row r="158" spans="1:83" s="69" customFormat="1" ht="18" customHeight="1">
      <c r="A158" s="103"/>
      <c r="B158" s="104"/>
      <c r="C158" s="104"/>
      <c r="D158" s="104"/>
      <c r="E158" s="104"/>
      <c r="F158" s="105"/>
      <c r="G158" s="105"/>
      <c r="H158" s="105"/>
      <c r="I158" s="105"/>
      <c r="J158" s="105"/>
      <c r="K158" s="105"/>
      <c r="L158" s="105"/>
      <c r="M158" s="105"/>
      <c r="N158" s="105"/>
      <c r="O158" s="105"/>
      <c r="P158" s="105"/>
      <c r="Q158" s="105"/>
      <c r="R158" s="105"/>
      <c r="S158" s="105"/>
      <c r="T158" s="105"/>
      <c r="U158" s="105"/>
      <c r="V158" s="105"/>
      <c r="W158" s="105"/>
      <c r="X158" s="105"/>
      <c r="Y158" s="104"/>
      <c r="Z158" s="105"/>
      <c r="AA158" s="105"/>
      <c r="AB158" s="105"/>
      <c r="AC158" s="105"/>
      <c r="AD158" s="105"/>
      <c r="AE158" s="105"/>
      <c r="AF158" s="105"/>
      <c r="AG158" s="105"/>
      <c r="AH158" s="105"/>
      <c r="AI158" s="105"/>
      <c r="AJ158" s="105"/>
      <c r="AK158" s="105"/>
      <c r="AL158" s="105"/>
      <c r="AM158" s="105"/>
      <c r="AN158" s="105"/>
      <c r="AO158" s="105"/>
      <c r="AP158" s="105"/>
      <c r="AQ158" s="105"/>
      <c r="AR158" s="105"/>
      <c r="AS158" s="105"/>
      <c r="AT158" s="105"/>
      <c r="AU158" s="105"/>
      <c r="AV158" s="105"/>
      <c r="AW158" s="105"/>
      <c r="AX158" s="105"/>
      <c r="AY158" s="105"/>
      <c r="AZ158" s="105"/>
      <c r="BA158" s="105"/>
      <c r="BB158" s="105"/>
      <c r="BC158" s="105"/>
      <c r="BD158" s="105"/>
      <c r="BE158" s="105"/>
      <c r="BF158" s="105"/>
      <c r="BG158" s="105"/>
      <c r="BH158" s="105"/>
      <c r="BI158" s="105"/>
      <c r="BJ158" s="105"/>
      <c r="BK158" s="105"/>
      <c r="BL158" s="105"/>
      <c r="BM158" s="105"/>
      <c r="BN158" s="105"/>
      <c r="BO158" s="105"/>
      <c r="BP158" s="105"/>
      <c r="BQ158" s="105"/>
      <c r="BR158" s="105"/>
      <c r="BS158" s="104"/>
      <c r="BT158" s="105"/>
      <c r="BU158" s="105"/>
      <c r="BV158" s="105"/>
      <c r="BW158" s="105"/>
      <c r="BX158" s="105"/>
      <c r="BY158" s="105"/>
      <c r="BZ158" s="105"/>
      <c r="CA158" s="105"/>
      <c r="CB158" s="104"/>
      <c r="CC158" s="104"/>
      <c r="CD158" s="104"/>
      <c r="CE158" s="106"/>
    </row>
    <row r="159" spans="1:83" s="69" customFormat="1" ht="18" customHeight="1">
      <c r="A159" s="70"/>
      <c r="F159" s="71"/>
      <c r="G159" s="71"/>
      <c r="H159" s="71"/>
      <c r="I159" s="71"/>
      <c r="J159" s="81" t="s">
        <v>84</v>
      </c>
      <c r="K159" s="71"/>
      <c r="L159" s="71"/>
      <c r="M159" s="82" t="s">
        <v>82</v>
      </c>
      <c r="N159" s="71"/>
      <c r="O159" s="95">
        <v>0.4</v>
      </c>
      <c r="P159" s="1549">
        <v>0.5</v>
      </c>
      <c r="Q159" s="1549"/>
      <c r="R159" s="1549"/>
      <c r="S159" s="1549"/>
      <c r="T159" s="71"/>
      <c r="U159" s="71"/>
      <c r="V159" s="71"/>
      <c r="W159" s="71"/>
      <c r="X159" s="71"/>
      <c r="Z159" s="71"/>
      <c r="AA159" s="71"/>
      <c r="AB159" s="71"/>
      <c r="AC159" s="71"/>
      <c r="AD159" s="71"/>
      <c r="AE159" s="71"/>
      <c r="AF159" s="71"/>
      <c r="AG159" s="71"/>
      <c r="AH159" s="71"/>
      <c r="AI159" s="71"/>
      <c r="AJ159" s="71"/>
      <c r="AK159" s="81"/>
      <c r="AL159" s="71"/>
      <c r="AM159" s="71"/>
      <c r="AN159" s="71"/>
      <c r="AO159" s="71"/>
      <c r="AP159" s="71"/>
      <c r="AQ159" s="71"/>
      <c r="AR159" s="71"/>
      <c r="AS159" s="71"/>
      <c r="AT159" s="71"/>
      <c r="AU159" s="71"/>
      <c r="AV159" s="71"/>
      <c r="AW159" s="71"/>
      <c r="AX159" s="71"/>
      <c r="AY159" s="71"/>
      <c r="AZ159" s="81"/>
      <c r="BA159" s="71"/>
      <c r="BB159" s="71"/>
      <c r="BC159" s="71"/>
      <c r="BD159" s="71"/>
      <c r="BE159" s="71"/>
      <c r="BF159" s="71"/>
      <c r="BG159" s="71"/>
      <c r="BH159" s="71"/>
      <c r="BI159" s="71"/>
      <c r="BJ159" s="71"/>
      <c r="BK159" s="71"/>
      <c r="BL159" s="71"/>
      <c r="BM159" s="71"/>
      <c r="BN159" s="71"/>
      <c r="BO159" s="71"/>
      <c r="BP159" s="71"/>
      <c r="BQ159" s="71"/>
      <c r="BR159" s="71"/>
      <c r="BS159" s="71"/>
      <c r="BT159" s="71"/>
      <c r="BU159" s="71"/>
      <c r="BV159" s="71"/>
      <c r="BW159" s="71"/>
      <c r="BX159" s="71"/>
      <c r="BY159" s="71"/>
      <c r="BZ159" s="71"/>
      <c r="CA159" s="71"/>
      <c r="CE159" s="80"/>
    </row>
    <row r="160" spans="1:83" s="69" customFormat="1" ht="18" customHeight="1">
      <c r="A160" s="70"/>
      <c r="F160" s="71"/>
      <c r="G160" s="71"/>
      <c r="H160" s="71"/>
      <c r="I160" s="71"/>
      <c r="J160" s="81"/>
      <c r="K160" s="71"/>
      <c r="L160" s="71"/>
      <c r="M160" s="71"/>
      <c r="N160" s="71"/>
      <c r="O160" s="95"/>
      <c r="P160" s="79"/>
      <c r="Q160" s="79"/>
      <c r="R160" s="79"/>
      <c r="S160" s="79"/>
      <c r="T160" s="71"/>
      <c r="U160" s="71"/>
      <c r="V160" s="71"/>
      <c r="W160" s="71"/>
      <c r="X160" s="71"/>
      <c r="Z160" s="83"/>
      <c r="AB160" s="71"/>
      <c r="AC160" s="71"/>
      <c r="AD160" s="71"/>
      <c r="AE160" s="71"/>
      <c r="AF160" s="81"/>
      <c r="AG160" s="81"/>
      <c r="AH160" s="81"/>
      <c r="AI160" s="81"/>
      <c r="AJ160" s="81"/>
      <c r="AK160" s="81"/>
      <c r="AL160" s="81"/>
      <c r="AM160" s="81"/>
      <c r="AN160" s="81"/>
      <c r="AO160" s="81"/>
      <c r="AP160" s="81"/>
      <c r="AQ160" s="71"/>
      <c r="AR160" s="71"/>
      <c r="AS160" s="71"/>
      <c r="AT160" s="71"/>
      <c r="AU160" s="71"/>
      <c r="AV160" s="71"/>
      <c r="AW160" s="71"/>
      <c r="AX160" s="81"/>
      <c r="AY160" s="81"/>
      <c r="AZ160" s="81"/>
      <c r="BA160" s="81"/>
      <c r="BB160" s="81"/>
      <c r="BC160" s="81"/>
      <c r="BD160" s="81"/>
      <c r="BE160" s="81"/>
      <c r="BF160" s="71"/>
      <c r="BG160" s="71"/>
      <c r="BH160" s="71"/>
      <c r="BI160" s="71"/>
      <c r="BJ160" s="71"/>
      <c r="BK160" s="71"/>
      <c r="BL160" s="71"/>
      <c r="BM160" s="71"/>
      <c r="BN160" s="71"/>
      <c r="BO160" s="71"/>
      <c r="BP160" s="81"/>
      <c r="BY160" s="71"/>
      <c r="BZ160" s="71"/>
      <c r="CA160" s="71"/>
      <c r="CE160" s="80"/>
    </row>
    <row r="161" spans="1:83" s="69" customFormat="1" ht="18" customHeight="1">
      <c r="A161" s="70"/>
      <c r="F161" s="71"/>
      <c r="G161" s="71"/>
      <c r="H161" s="71"/>
      <c r="I161" s="71"/>
      <c r="J161" s="81" t="s">
        <v>85</v>
      </c>
      <c r="K161" s="71"/>
      <c r="L161" s="71"/>
      <c r="M161" s="82" t="s">
        <v>82</v>
      </c>
      <c r="N161" s="71"/>
      <c r="O161" s="95">
        <v>0.9</v>
      </c>
      <c r="P161" s="1549">
        <v>1</v>
      </c>
      <c r="Q161" s="1549"/>
      <c r="R161" s="1549"/>
      <c r="S161" s="1549"/>
      <c r="T161" s="71"/>
      <c r="U161" s="71"/>
      <c r="V161" s="71"/>
      <c r="W161" s="71"/>
      <c r="X161" s="71"/>
      <c r="AB161" s="71"/>
      <c r="AC161" s="71"/>
      <c r="AD161" s="71"/>
      <c r="AE161" s="71"/>
      <c r="AF161" s="81"/>
      <c r="AG161" s="71"/>
      <c r="AH161" s="71"/>
      <c r="AI161" s="71"/>
      <c r="AJ161" s="71"/>
      <c r="AK161" s="71"/>
      <c r="AL161" s="71"/>
      <c r="AM161" s="71"/>
      <c r="AN161" s="71"/>
      <c r="AO161" s="71"/>
      <c r="AP161" s="81"/>
      <c r="AQ161" s="71"/>
      <c r="AR161" s="71"/>
      <c r="AS161" s="71"/>
      <c r="AT161" s="71"/>
      <c r="AU161" s="71"/>
      <c r="AV161" s="71"/>
      <c r="AW161" s="71"/>
      <c r="AX161" s="71"/>
      <c r="AY161" s="71"/>
      <c r="AZ161" s="71"/>
      <c r="BA161" s="71"/>
      <c r="BB161" s="71"/>
      <c r="BC161" s="71"/>
      <c r="BD161" s="71"/>
      <c r="BE161" s="81"/>
      <c r="BF161" s="71"/>
      <c r="BG161" s="71"/>
      <c r="BH161" s="71"/>
      <c r="BI161" s="71"/>
      <c r="BJ161" s="71"/>
      <c r="BK161" s="71"/>
      <c r="BL161" s="71"/>
      <c r="BM161" s="71"/>
      <c r="BN161" s="71"/>
      <c r="BO161" s="71"/>
      <c r="BP161" s="81"/>
      <c r="BY161" s="71"/>
      <c r="BZ161" s="71"/>
      <c r="CA161" s="71"/>
      <c r="CE161" s="80"/>
    </row>
    <row r="162" spans="1:83" s="69" customFormat="1" ht="18" customHeight="1">
      <c r="A162" s="70"/>
      <c r="F162" s="71"/>
      <c r="G162" s="71"/>
      <c r="H162" s="71"/>
      <c r="I162" s="71"/>
      <c r="J162" s="81"/>
      <c r="K162" s="71"/>
      <c r="L162" s="71"/>
      <c r="M162" s="71"/>
      <c r="N162" s="71"/>
      <c r="O162" s="95"/>
      <c r="P162" s="79"/>
      <c r="Q162" s="79"/>
      <c r="R162" s="79"/>
      <c r="S162" s="79"/>
      <c r="T162" s="71"/>
      <c r="U162" s="71"/>
      <c r="V162" s="71"/>
      <c r="W162" s="71"/>
      <c r="X162" s="71"/>
      <c r="AB162" s="71"/>
      <c r="AC162" s="71"/>
      <c r="AD162" s="71"/>
      <c r="AE162" s="71"/>
      <c r="AF162" s="71"/>
      <c r="AG162" s="71"/>
      <c r="AH162" s="71"/>
      <c r="AI162" s="71"/>
      <c r="AJ162" s="71"/>
      <c r="AK162" s="71"/>
      <c r="AL162" s="71"/>
      <c r="AM162" s="71"/>
      <c r="AN162" s="71"/>
      <c r="AO162" s="71"/>
      <c r="AP162" s="71"/>
      <c r="AQ162" s="71"/>
      <c r="AR162" s="71"/>
      <c r="AS162" s="71"/>
      <c r="AT162" s="71"/>
      <c r="AU162" s="71"/>
      <c r="AV162" s="71"/>
      <c r="AW162" s="71"/>
      <c r="AX162" s="71"/>
      <c r="AY162" s="71"/>
      <c r="AZ162" s="71"/>
      <c r="BA162" s="71"/>
      <c r="BB162" s="71"/>
      <c r="BC162" s="71"/>
      <c r="BD162" s="71"/>
      <c r="BE162" s="71"/>
      <c r="BF162" s="71"/>
      <c r="BG162" s="71"/>
      <c r="BH162" s="71"/>
      <c r="BI162" s="71"/>
      <c r="BJ162" s="71"/>
      <c r="BK162" s="71"/>
      <c r="BL162" s="71"/>
      <c r="BM162" s="71"/>
      <c r="BN162" s="71"/>
      <c r="BO162" s="71"/>
      <c r="CE162" s="80"/>
    </row>
    <row r="163" spans="1:83" s="69" customFormat="1" ht="18" customHeight="1">
      <c r="A163" s="70"/>
      <c r="F163" s="71"/>
      <c r="G163" s="71"/>
      <c r="H163" s="71"/>
      <c r="I163" s="71"/>
      <c r="J163" s="81" t="s">
        <v>393</v>
      </c>
      <c r="K163" s="71"/>
      <c r="L163" s="71"/>
      <c r="M163" s="82" t="s">
        <v>82</v>
      </c>
      <c r="N163" s="71"/>
      <c r="O163" s="95">
        <v>0.6</v>
      </c>
      <c r="P163" s="1549">
        <f>P165+P167+P169</f>
        <v>0.6</v>
      </c>
      <c r="Q163" s="1549"/>
      <c r="R163" s="1549"/>
      <c r="S163" s="1549"/>
      <c r="T163" s="71"/>
      <c r="U163" s="71"/>
      <c r="V163" s="71"/>
      <c r="W163" s="71"/>
      <c r="X163" s="71"/>
      <c r="AB163" s="71"/>
      <c r="AC163" s="71"/>
      <c r="AD163" s="71"/>
      <c r="AE163" s="71"/>
      <c r="AF163" s="71"/>
      <c r="AG163" s="71"/>
      <c r="AH163" s="71"/>
      <c r="AI163" s="71"/>
      <c r="AJ163" s="71"/>
      <c r="AK163" s="71"/>
      <c r="AL163" s="71"/>
      <c r="AM163" s="71"/>
      <c r="AN163" s="71"/>
      <c r="AO163" s="71"/>
      <c r="AP163" s="71"/>
      <c r="AQ163" s="71"/>
      <c r="AR163" s="71"/>
      <c r="AS163" s="71"/>
      <c r="AT163" s="71"/>
      <c r="AU163" s="71"/>
      <c r="AV163" s="71"/>
      <c r="AW163" s="71"/>
      <c r="AX163" s="71"/>
      <c r="AY163" s="71"/>
      <c r="AZ163" s="71"/>
      <c r="BA163" s="71"/>
      <c r="BB163" s="71"/>
      <c r="BC163" s="71"/>
      <c r="BD163" s="71"/>
      <c r="BE163" s="71"/>
      <c r="BF163" s="71"/>
      <c r="BG163" s="71"/>
      <c r="BH163" s="71"/>
      <c r="BI163" s="71"/>
      <c r="BJ163" s="71"/>
      <c r="BK163" s="71"/>
      <c r="BL163" s="71"/>
      <c r="BM163" s="71"/>
      <c r="BN163" s="71"/>
      <c r="BO163" s="71"/>
      <c r="CE163" s="80"/>
    </row>
    <row r="164" spans="1:83" s="69" customFormat="1" ht="18" customHeight="1">
      <c r="A164" s="70"/>
      <c r="F164" s="71"/>
      <c r="G164" s="71"/>
      <c r="H164" s="71"/>
      <c r="I164" s="71"/>
      <c r="J164" s="81"/>
      <c r="K164" s="71"/>
      <c r="L164" s="71"/>
      <c r="M164" s="71"/>
      <c r="N164" s="71"/>
      <c r="O164" s="79"/>
      <c r="P164" s="79"/>
      <c r="Q164" s="79"/>
      <c r="R164" s="79"/>
      <c r="S164" s="79"/>
      <c r="T164" s="71"/>
      <c r="U164" s="71"/>
      <c r="V164" s="71"/>
      <c r="W164" s="71"/>
      <c r="X164" s="71"/>
      <c r="AB164" s="71"/>
      <c r="AC164" s="81"/>
      <c r="AD164" s="71"/>
      <c r="AE164" s="71"/>
      <c r="AF164" s="71"/>
      <c r="AG164" s="71"/>
      <c r="AH164" s="71"/>
      <c r="AI164" s="71"/>
      <c r="AJ164" s="71"/>
      <c r="AK164" s="71"/>
      <c r="AL164" s="71"/>
      <c r="AM164" s="71"/>
      <c r="AN164" s="71"/>
      <c r="AO164" s="71"/>
      <c r="AP164" s="81"/>
      <c r="AQ164" s="71"/>
      <c r="AR164" s="71"/>
      <c r="AS164" s="71"/>
      <c r="AT164" s="71"/>
      <c r="AU164" s="81"/>
      <c r="AV164" s="81"/>
      <c r="AW164" s="81"/>
      <c r="AX164" s="81"/>
      <c r="AY164" s="71"/>
      <c r="AZ164" s="71"/>
      <c r="BA164" s="71"/>
      <c r="BB164" s="71"/>
      <c r="BC164" s="71"/>
      <c r="BD164" s="71"/>
      <c r="BE164" s="71"/>
      <c r="BF164" s="71"/>
      <c r="BG164" s="71"/>
      <c r="BH164" s="71"/>
      <c r="BI164" s="71"/>
      <c r="BJ164" s="71"/>
      <c r="BK164" s="71"/>
      <c r="BL164" s="71"/>
      <c r="BM164" s="71"/>
      <c r="BN164" s="71"/>
      <c r="BO164" s="71"/>
      <c r="BP164" s="71"/>
      <c r="BQ164" s="71"/>
      <c r="BR164" s="71"/>
      <c r="CE164" s="80"/>
    </row>
    <row r="165" spans="1:83" s="69" customFormat="1" ht="18" customHeight="1">
      <c r="A165" s="70"/>
      <c r="F165" s="71"/>
      <c r="G165" s="71"/>
      <c r="H165" s="71"/>
      <c r="I165" s="71"/>
      <c r="J165" s="81" t="s">
        <v>86</v>
      </c>
      <c r="K165" s="71"/>
      <c r="M165" s="82" t="s">
        <v>82</v>
      </c>
      <c r="O165" s="79"/>
      <c r="P165" s="1549">
        <v>0.05</v>
      </c>
      <c r="Q165" s="1549"/>
      <c r="R165" s="1549"/>
      <c r="S165" s="1549"/>
      <c r="AB165" s="71"/>
      <c r="AC165" s="71"/>
      <c r="AD165" s="71"/>
      <c r="AE165" s="71"/>
      <c r="AF165" s="71"/>
      <c r="AG165" s="71"/>
      <c r="AH165" s="71"/>
      <c r="AI165" s="71"/>
      <c r="AJ165" s="71"/>
      <c r="AK165" s="71"/>
      <c r="AL165" s="71"/>
      <c r="AM165" s="71"/>
      <c r="AN165" s="71"/>
      <c r="AO165" s="71"/>
      <c r="AP165" s="71"/>
      <c r="AQ165" s="71"/>
      <c r="AR165" s="71"/>
      <c r="AS165" s="71"/>
      <c r="AT165" s="71"/>
      <c r="AU165" s="71"/>
      <c r="AV165" s="71"/>
      <c r="AW165" s="71"/>
      <c r="AX165" s="81"/>
      <c r="AY165" s="71"/>
      <c r="AZ165" s="71"/>
      <c r="BA165" s="71"/>
      <c r="BB165" s="71"/>
      <c r="BC165" s="71"/>
      <c r="BD165" s="71"/>
      <c r="BE165" s="71"/>
      <c r="BF165" s="71"/>
      <c r="BG165" s="71"/>
      <c r="BH165" s="71"/>
      <c r="BI165" s="71"/>
      <c r="BJ165" s="71"/>
      <c r="BK165" s="71"/>
      <c r="BL165" s="71"/>
      <c r="BM165" s="71"/>
      <c r="BN165" s="81"/>
      <c r="BO165" s="71"/>
      <c r="BP165" s="71"/>
      <c r="BQ165" s="71"/>
      <c r="BR165" s="71"/>
      <c r="CE165" s="80"/>
    </row>
    <row r="166" spans="1:83" s="71" customFormat="1" ht="18" customHeight="1">
      <c r="A166" s="85"/>
      <c r="J166" s="81"/>
      <c r="O166" s="79"/>
      <c r="P166" s="79"/>
      <c r="Q166" s="79"/>
      <c r="R166" s="79"/>
      <c r="S166" s="79"/>
      <c r="AX166" s="81"/>
      <c r="BN166" s="81"/>
      <c r="CE166" s="86"/>
    </row>
    <row r="167" spans="1:83" s="71" customFormat="1" ht="18" customHeight="1">
      <c r="A167" s="85"/>
      <c r="J167" s="81" t="s">
        <v>87</v>
      </c>
      <c r="M167" s="82" t="s">
        <v>82</v>
      </c>
      <c r="O167" s="79"/>
      <c r="P167" s="1549">
        <v>0.05</v>
      </c>
      <c r="Q167" s="1549"/>
      <c r="R167" s="1549"/>
      <c r="S167" s="1549"/>
      <c r="AX167" s="81"/>
      <c r="BN167" s="81"/>
      <c r="CE167" s="86"/>
    </row>
    <row r="168" spans="1:83" s="71" customFormat="1" ht="18" customHeight="1">
      <c r="A168" s="85"/>
      <c r="AX168" s="81"/>
      <c r="BN168" s="81"/>
      <c r="CE168" s="86"/>
    </row>
    <row r="169" spans="1:83" s="71" customFormat="1" ht="18" customHeight="1">
      <c r="A169" s="85"/>
      <c r="J169" s="81" t="s">
        <v>88</v>
      </c>
      <c r="M169" s="82" t="s">
        <v>82</v>
      </c>
      <c r="O169" s="79"/>
      <c r="P169" s="1549">
        <v>0.5</v>
      </c>
      <c r="Q169" s="1549"/>
      <c r="R169" s="1549"/>
      <c r="S169" s="1549"/>
      <c r="AX169" s="81"/>
      <c r="BN169" s="81"/>
      <c r="CE169" s="86"/>
    </row>
    <row r="170" spans="1:83" s="71" customFormat="1" ht="18" customHeight="1">
      <c r="A170" s="85"/>
      <c r="AX170" s="81"/>
      <c r="CE170" s="86"/>
    </row>
    <row r="171" spans="1:83" s="71" customFormat="1" ht="18" customHeight="1">
      <c r="A171" s="85"/>
      <c r="CE171" s="86"/>
    </row>
    <row r="172" spans="1:83" s="71" customFormat="1" ht="18" customHeight="1">
      <c r="A172" s="85"/>
      <c r="G172" s="81"/>
      <c r="H172" s="71" t="s">
        <v>89</v>
      </c>
      <c r="K172" s="486" t="s">
        <v>845</v>
      </c>
      <c r="CE172" s="86"/>
    </row>
    <row r="173" spans="1:83" s="71" customFormat="1" ht="18" customHeight="1">
      <c r="A173" s="85"/>
      <c r="I173" s="81"/>
      <c r="L173" s="1560">
        <f>P161</f>
        <v>1</v>
      </c>
      <c r="M173" s="1560"/>
      <c r="N173" s="1560"/>
      <c r="O173" s="71" t="s">
        <v>399</v>
      </c>
      <c r="P173" s="73"/>
      <c r="Q173" s="1544">
        <v>1</v>
      </c>
      <c r="R173" s="1544"/>
      <c r="S173" s="1544"/>
      <c r="T173" s="1544" t="s">
        <v>91</v>
      </c>
      <c r="U173" s="1544"/>
      <c r="V173" s="1544"/>
      <c r="W173" s="1553">
        <f>L173*Q173</f>
        <v>1</v>
      </c>
      <c r="X173" s="1553"/>
      <c r="Y173" s="1553"/>
      <c r="Z173" s="1553"/>
      <c r="AA173" s="89" t="s">
        <v>212</v>
      </c>
      <c r="AB173" s="90"/>
      <c r="AC173" s="81"/>
      <c r="AF173" s="79"/>
      <c r="AG173" s="79"/>
      <c r="AH173" s="79"/>
      <c r="AI173" s="89"/>
      <c r="AJ173" s="79"/>
      <c r="AK173" s="81"/>
      <c r="AM173" s="79"/>
      <c r="AN173" s="79"/>
      <c r="AO173" s="79"/>
      <c r="AP173" s="91"/>
      <c r="AQ173" s="79"/>
      <c r="AR173" s="79"/>
      <c r="AS173" s="79"/>
      <c r="AT173" s="79"/>
      <c r="AU173" s="90"/>
      <c r="AV173" s="79"/>
      <c r="AW173" s="79"/>
      <c r="AX173" s="79"/>
      <c r="AZ173" s="89"/>
      <c r="CE173" s="86"/>
    </row>
    <row r="174" spans="1:83" s="71" customFormat="1" ht="18" customHeight="1">
      <c r="A174" s="85"/>
      <c r="G174" s="81"/>
      <c r="K174" s="89"/>
      <c r="CE174" s="86"/>
    </row>
    <row r="175" spans="1:83" s="71" customFormat="1" ht="18" customHeight="1">
      <c r="A175" s="85"/>
      <c r="G175" s="81"/>
      <c r="H175" s="71" t="s">
        <v>381</v>
      </c>
      <c r="K175" s="486" t="s">
        <v>846</v>
      </c>
      <c r="CE175" s="86"/>
    </row>
    <row r="176" spans="1:83" s="71" customFormat="1" ht="18" customHeight="1">
      <c r="A176" s="85"/>
      <c r="I176" s="81"/>
      <c r="T176" s="1544" t="s">
        <v>91</v>
      </c>
      <c r="U176" s="1544"/>
      <c r="V176" s="1544"/>
      <c r="W176" s="1544">
        <f>W173</f>
        <v>1</v>
      </c>
      <c r="X176" s="1544"/>
      <c r="Y176" s="1544"/>
      <c r="Z176" s="1544"/>
      <c r="AA176" s="89" t="s">
        <v>212</v>
      </c>
      <c r="AB176" s="90"/>
      <c r="AC176" s="81"/>
      <c r="AF176" s="79"/>
      <c r="AG176" s="79"/>
      <c r="AH176" s="79"/>
      <c r="AI176" s="89"/>
      <c r="AJ176" s="79"/>
      <c r="AK176" s="81"/>
      <c r="AM176" s="79"/>
      <c r="AN176" s="79"/>
      <c r="AO176" s="79"/>
      <c r="AP176" s="91"/>
      <c r="AQ176" s="79"/>
      <c r="AR176" s="79"/>
      <c r="AS176" s="79"/>
      <c r="AT176" s="79"/>
      <c r="AU176" s="90"/>
      <c r="AV176" s="79"/>
      <c r="AW176" s="79"/>
      <c r="AX176" s="79"/>
      <c r="AZ176" s="89"/>
      <c r="CE176" s="86"/>
    </row>
    <row r="177" spans="1:83" s="71" customFormat="1" ht="18" customHeight="1">
      <c r="A177" s="85"/>
      <c r="G177" s="81"/>
      <c r="K177" s="89"/>
      <c r="CE177" s="86"/>
    </row>
    <row r="178" spans="1:83" s="71" customFormat="1" ht="18" customHeight="1">
      <c r="A178" s="85"/>
      <c r="G178" s="81"/>
      <c r="H178" s="71" t="s">
        <v>385</v>
      </c>
      <c r="K178" s="81" t="s">
        <v>421</v>
      </c>
      <c r="CE178" s="86"/>
    </row>
    <row r="179" spans="1:83" s="71" customFormat="1" ht="18" customHeight="1">
      <c r="A179" s="85"/>
      <c r="I179" s="81"/>
      <c r="L179" s="1544">
        <f>P167</f>
        <v>0.05</v>
      </c>
      <c r="M179" s="1552"/>
      <c r="N179" s="1552"/>
      <c r="O179" s="1552"/>
      <c r="P179" s="1544" t="s">
        <v>211</v>
      </c>
      <c r="Q179" s="1552"/>
      <c r="R179" s="1544">
        <f>P161</f>
        <v>1</v>
      </c>
      <c r="S179" s="1552"/>
      <c r="T179" s="1552"/>
      <c r="U179" s="1552"/>
      <c r="V179" s="1552"/>
      <c r="W179" s="1552"/>
      <c r="X179" s="1544" t="s">
        <v>211</v>
      </c>
      <c r="Y179" s="1544"/>
      <c r="Z179" s="1544">
        <f>AX157</f>
        <v>1</v>
      </c>
      <c r="AA179" s="1552"/>
      <c r="AB179" s="1552"/>
      <c r="AC179" s="1552"/>
      <c r="AD179" s="1552"/>
      <c r="AE179" s="79" t="s">
        <v>227</v>
      </c>
      <c r="AF179" s="79"/>
      <c r="AG179" s="1544">
        <f>ROUNDDOWN(L179*R179*Z179,3)</f>
        <v>0.05</v>
      </c>
      <c r="AH179" s="1552"/>
      <c r="AI179" s="1552"/>
      <c r="AJ179" s="1552"/>
      <c r="AK179" s="1552"/>
      <c r="AL179" s="1552"/>
      <c r="AM179" s="89" t="s">
        <v>212</v>
      </c>
      <c r="AN179" s="79"/>
      <c r="AO179" s="91"/>
      <c r="AV179" s="79"/>
      <c r="AW179" s="79"/>
      <c r="AX179" s="79"/>
      <c r="AZ179" s="89"/>
      <c r="CE179" s="86"/>
    </row>
    <row r="180" spans="1:83" s="71" customFormat="1" ht="18" customHeight="1">
      <c r="A180" s="85"/>
      <c r="G180" s="81"/>
      <c r="K180" s="89"/>
      <c r="CE180" s="86"/>
    </row>
    <row r="181" spans="1:83" s="71" customFormat="1" ht="18" customHeight="1">
      <c r="A181" s="85"/>
      <c r="G181" s="81"/>
      <c r="H181" s="71" t="s">
        <v>405</v>
      </c>
      <c r="K181" s="81" t="s">
        <v>90</v>
      </c>
      <c r="CE181" s="86"/>
    </row>
    <row r="182" spans="1:83" s="71" customFormat="1" ht="18" customHeight="1">
      <c r="A182" s="85"/>
      <c r="I182" s="81" t="s">
        <v>207</v>
      </c>
      <c r="L182" s="1561" t="s">
        <v>208</v>
      </c>
      <c r="M182" s="1387"/>
      <c r="N182" s="1387"/>
      <c r="O182" s="71" t="s">
        <v>403</v>
      </c>
      <c r="P182" s="73"/>
      <c r="R182" s="1544">
        <f>P159</f>
        <v>0.5</v>
      </c>
      <c r="S182" s="1552"/>
      <c r="T182" s="1552"/>
      <c r="U182" s="1552"/>
      <c r="V182" s="79"/>
      <c r="W182" s="79" t="s">
        <v>209</v>
      </c>
      <c r="X182" s="1544">
        <f>P161</f>
        <v>1</v>
      </c>
      <c r="Y182" s="1552"/>
      <c r="Z182" s="1552"/>
      <c r="AA182" s="1552"/>
      <c r="AB182" s="1552"/>
      <c r="AC182" s="81" t="s">
        <v>210</v>
      </c>
      <c r="AF182" s="1544">
        <f>P169</f>
        <v>0.5</v>
      </c>
      <c r="AG182" s="1544"/>
      <c r="AH182" s="1544"/>
      <c r="AI182" s="1544"/>
      <c r="AJ182" s="1544"/>
      <c r="AK182" s="81" t="s">
        <v>211</v>
      </c>
      <c r="AM182" s="1544">
        <f>AX157</f>
        <v>1</v>
      </c>
      <c r="AN182" s="1552"/>
      <c r="AO182" s="1552"/>
      <c r="AP182" s="1552"/>
      <c r="AQ182" s="1552"/>
      <c r="AR182" s="1544" t="s">
        <v>91</v>
      </c>
      <c r="AS182" s="1552"/>
      <c r="AT182" s="1544">
        <f>ROUNDDOWN((R182+X182)*AF182*AM182/2,3)</f>
        <v>0.375</v>
      </c>
      <c r="AU182" s="1552"/>
      <c r="AV182" s="1552"/>
      <c r="AW182" s="1552"/>
      <c r="AX182" s="1552"/>
      <c r="AZ182" s="89" t="s">
        <v>212</v>
      </c>
      <c r="CE182" s="86"/>
    </row>
    <row r="183" spans="1:83" s="71" customFormat="1" ht="18" customHeight="1">
      <c r="A183" s="85"/>
      <c r="G183" s="81"/>
      <c r="K183" s="89"/>
      <c r="CE183" s="86"/>
    </row>
    <row r="184" spans="1:83" s="71" customFormat="1" ht="18" customHeight="1">
      <c r="A184" s="85"/>
      <c r="G184" s="81"/>
      <c r="H184" s="71" t="s">
        <v>407</v>
      </c>
      <c r="K184" s="89" t="s">
        <v>382</v>
      </c>
      <c r="CE184" s="86"/>
    </row>
    <row r="185" spans="1:83" s="71" customFormat="1" ht="18" customHeight="1">
      <c r="A185" s="85"/>
      <c r="H185" s="81"/>
      <c r="I185" s="81" t="s">
        <v>213</v>
      </c>
      <c r="K185" s="88"/>
      <c r="P185" s="71" t="s">
        <v>214</v>
      </c>
      <c r="R185" s="73" t="s">
        <v>383</v>
      </c>
      <c r="S185" s="79"/>
      <c r="T185" s="79"/>
      <c r="U185" s="79"/>
      <c r="V185" s="79"/>
      <c r="AE185" s="90"/>
      <c r="AF185" s="79" t="s">
        <v>91</v>
      </c>
      <c r="AG185" s="79"/>
      <c r="AH185" s="1562">
        <f>AT182</f>
        <v>0.375</v>
      </c>
      <c r="AI185" s="1552"/>
      <c r="AJ185" s="1552"/>
      <c r="AK185" s="1552"/>
      <c r="AL185" s="1552"/>
      <c r="AM185" s="79" t="s">
        <v>214</v>
      </c>
      <c r="AN185" s="79"/>
      <c r="AO185" s="1544">
        <v>0</v>
      </c>
      <c r="AP185" s="1552"/>
      <c r="AQ185" s="1552"/>
      <c r="AR185" s="1552"/>
      <c r="AS185" s="1552"/>
      <c r="AT185" s="79" t="s">
        <v>91</v>
      </c>
      <c r="AU185" s="79"/>
      <c r="AV185" s="1544">
        <f>ROUNDDOWN(AH185-AO185,3)</f>
        <v>0.375</v>
      </c>
      <c r="AW185" s="1552"/>
      <c r="AX185" s="1552"/>
      <c r="AY185" s="1552"/>
      <c r="AZ185" s="1552"/>
      <c r="BB185" s="89" t="s">
        <v>212</v>
      </c>
      <c r="CE185" s="86"/>
    </row>
    <row r="186" spans="1:83" s="71" customFormat="1" ht="18" customHeight="1">
      <c r="A186" s="92"/>
      <c r="B186" s="93"/>
      <c r="C186" s="93"/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3"/>
      <c r="T186" s="93"/>
      <c r="U186" s="93"/>
      <c r="V186" s="93"/>
      <c r="W186" s="93"/>
      <c r="X186" s="93"/>
      <c r="Y186" s="93"/>
      <c r="Z186" s="93"/>
      <c r="AA186" s="93"/>
      <c r="AB186" s="93"/>
      <c r="AC186" s="93"/>
      <c r="AD186" s="93"/>
      <c r="AE186" s="93"/>
      <c r="AF186" s="93"/>
      <c r="AG186" s="93"/>
      <c r="AH186" s="93"/>
      <c r="AI186" s="93"/>
      <c r="AJ186" s="93"/>
      <c r="AK186" s="93"/>
      <c r="AL186" s="93"/>
      <c r="AM186" s="93"/>
      <c r="AN186" s="93"/>
      <c r="AO186" s="93"/>
      <c r="AP186" s="93"/>
      <c r="AQ186" s="93"/>
      <c r="AR186" s="93"/>
      <c r="AS186" s="93"/>
      <c r="AT186" s="93"/>
      <c r="AU186" s="93"/>
      <c r="AV186" s="93"/>
      <c r="AW186" s="93"/>
      <c r="AX186" s="93"/>
      <c r="AY186" s="93"/>
      <c r="AZ186" s="93"/>
      <c r="BA186" s="93"/>
      <c r="BB186" s="93"/>
      <c r="BC186" s="93"/>
      <c r="BD186" s="93"/>
      <c r="BE186" s="93"/>
      <c r="BF186" s="93"/>
      <c r="BG186" s="93"/>
      <c r="BH186" s="93"/>
      <c r="BI186" s="93"/>
      <c r="BJ186" s="93"/>
      <c r="BK186" s="93"/>
      <c r="BL186" s="93"/>
      <c r="BM186" s="93"/>
      <c r="BN186" s="93"/>
      <c r="BO186" s="93"/>
      <c r="BP186" s="93"/>
      <c r="BQ186" s="93"/>
      <c r="BR186" s="93"/>
      <c r="BS186" s="93"/>
      <c r="BT186" s="93"/>
      <c r="BU186" s="93"/>
      <c r="BV186" s="93"/>
      <c r="BW186" s="93"/>
      <c r="BX186" s="93"/>
      <c r="BY186" s="93"/>
      <c r="BZ186" s="93"/>
      <c r="CA186" s="93"/>
      <c r="CB186" s="93"/>
      <c r="CC186" s="93"/>
      <c r="CD186" s="93"/>
      <c r="CE186" s="94"/>
    </row>
    <row r="187" spans="1:83" s="69" customFormat="1" ht="21.95" customHeight="1">
      <c r="A187" s="1547" t="s">
        <v>855</v>
      </c>
      <c r="B187" s="1548"/>
      <c r="C187" s="1548"/>
      <c r="D187" s="1548"/>
      <c r="E187" s="1548"/>
      <c r="F187" s="1548"/>
      <c r="G187" s="1548"/>
      <c r="H187" s="441"/>
      <c r="I187" s="441"/>
      <c r="J187" s="451" t="s">
        <v>856</v>
      </c>
      <c r="K187" s="443"/>
      <c r="L187" s="444"/>
      <c r="M187" s="444"/>
      <c r="N187" s="444"/>
      <c r="O187" s="444"/>
      <c r="P187" s="445"/>
      <c r="Q187" s="441"/>
      <c r="R187" s="441"/>
      <c r="S187" s="441"/>
      <c r="T187" s="441"/>
      <c r="U187" s="441"/>
      <c r="V187" s="441"/>
      <c r="W187" s="441"/>
      <c r="X187" s="441"/>
      <c r="Y187" s="441"/>
      <c r="Z187" s="441"/>
      <c r="AA187" s="441"/>
      <c r="AB187" s="441"/>
      <c r="AC187" s="441"/>
      <c r="AD187" s="441"/>
      <c r="AE187" s="445"/>
      <c r="AF187" s="445"/>
      <c r="AG187" s="446"/>
      <c r="AH187" s="446"/>
      <c r="AI187" s="446"/>
      <c r="AJ187" s="446"/>
      <c r="AK187" s="446"/>
      <c r="AL187" s="444"/>
      <c r="AM187" s="441"/>
      <c r="AN187" s="445"/>
      <c r="AO187" s="446"/>
      <c r="AP187" s="446"/>
      <c r="AQ187" s="446"/>
      <c r="AR187" s="446"/>
      <c r="AS187" s="446"/>
      <c r="AT187" s="445"/>
      <c r="AU187" s="441"/>
      <c r="AV187" s="447"/>
      <c r="AW187" s="441"/>
      <c r="AX187" s="445">
        <v>1</v>
      </c>
      <c r="AY187" s="448"/>
      <c r="AZ187" s="448"/>
      <c r="BA187" s="448"/>
      <c r="BB187" s="448"/>
      <c r="BC187" s="448"/>
      <c r="BD187" s="449"/>
      <c r="BE187" s="444" t="s">
        <v>206</v>
      </c>
      <c r="BF187" s="441"/>
      <c r="BG187" s="449"/>
      <c r="BH187" s="449"/>
      <c r="BI187" s="449"/>
      <c r="BJ187" s="449"/>
      <c r="BK187" s="441"/>
      <c r="BL187" s="441"/>
      <c r="BM187" s="441"/>
      <c r="BN187" s="441"/>
      <c r="BO187" s="441"/>
      <c r="BP187" s="441"/>
      <c r="BQ187" s="441"/>
      <c r="BR187" s="441"/>
      <c r="BS187" s="441"/>
      <c r="BT187" s="441"/>
      <c r="BU187" s="441"/>
      <c r="BV187" s="441"/>
      <c r="BW187" s="441"/>
      <c r="BX187" s="441"/>
      <c r="BY187" s="441"/>
      <c r="BZ187" s="441"/>
      <c r="CA187" s="441"/>
      <c r="CB187" s="441"/>
      <c r="CC187" s="441"/>
      <c r="CD187" s="441"/>
      <c r="CE187" s="450"/>
    </row>
    <row r="188" spans="1:83" s="69" customFormat="1" ht="11.25" customHeight="1">
      <c r="A188" s="108"/>
      <c r="B188" s="109"/>
      <c r="C188" s="110"/>
      <c r="D188" s="111"/>
      <c r="E188" s="111"/>
      <c r="F188" s="111"/>
      <c r="G188" s="111"/>
      <c r="H188" s="112"/>
      <c r="I188" s="112"/>
      <c r="J188" s="112"/>
      <c r="K188" s="113"/>
      <c r="L188" s="105"/>
      <c r="M188" s="111"/>
      <c r="N188" s="112"/>
      <c r="O188" s="113"/>
      <c r="P188" s="113"/>
      <c r="Q188" s="112"/>
      <c r="R188" s="111"/>
      <c r="S188" s="114"/>
      <c r="T188" s="115"/>
      <c r="U188" s="116"/>
      <c r="V188" s="116"/>
      <c r="W188" s="116"/>
      <c r="X188" s="111"/>
      <c r="Y188" s="105"/>
      <c r="Z188" s="105"/>
      <c r="AA188" s="105"/>
      <c r="AB188" s="105"/>
      <c r="AC188" s="105"/>
      <c r="AD188" s="105"/>
      <c r="AE188" s="105"/>
      <c r="AF188" s="105"/>
      <c r="AG188" s="105"/>
      <c r="AH188" s="105"/>
      <c r="AI188" s="105"/>
      <c r="AJ188" s="105"/>
      <c r="AK188" s="105"/>
      <c r="AL188" s="105"/>
      <c r="AM188" s="104"/>
      <c r="AN188" s="104"/>
      <c r="AO188" s="104"/>
      <c r="AP188" s="104"/>
      <c r="AQ188" s="104"/>
      <c r="AR188" s="104"/>
      <c r="AS188" s="104"/>
      <c r="AT188" s="104"/>
      <c r="AU188" s="104"/>
      <c r="AV188" s="104"/>
      <c r="AW188" s="104"/>
      <c r="AX188" s="104"/>
      <c r="AY188" s="104"/>
      <c r="AZ188" s="104"/>
      <c r="BA188" s="104"/>
      <c r="BB188" s="104"/>
      <c r="BC188" s="104"/>
      <c r="BD188" s="104"/>
      <c r="BE188" s="104"/>
      <c r="BF188" s="104"/>
      <c r="BG188" s="104"/>
      <c r="BH188" s="104"/>
      <c r="BI188" s="104"/>
      <c r="BJ188" s="104"/>
      <c r="BK188" s="104"/>
      <c r="BL188" s="104"/>
      <c r="BM188" s="104"/>
      <c r="BN188" s="104"/>
      <c r="BO188" s="104"/>
      <c r="BP188" s="104"/>
      <c r="BQ188" s="104"/>
      <c r="BR188" s="104"/>
      <c r="BS188" s="104"/>
      <c r="BT188" s="104"/>
      <c r="BU188" s="104"/>
      <c r="BV188" s="104"/>
      <c r="BW188" s="104"/>
      <c r="BX188" s="104"/>
      <c r="BY188" s="104"/>
      <c r="BZ188" s="104"/>
      <c r="CA188" s="104"/>
      <c r="CB188" s="104"/>
      <c r="CC188" s="104"/>
      <c r="CD188" s="104"/>
      <c r="CE188" s="106"/>
    </row>
    <row r="189" spans="1:83" s="69" customFormat="1" ht="14.1" customHeight="1">
      <c r="A189" s="85"/>
      <c r="B189" s="71"/>
      <c r="C189" s="71"/>
      <c r="D189" s="71"/>
      <c r="E189" s="81" t="s">
        <v>235</v>
      </c>
      <c r="F189" s="71"/>
      <c r="G189" s="71"/>
      <c r="H189" s="82" t="s">
        <v>217</v>
      </c>
      <c r="I189" s="71"/>
      <c r="J189" s="1549">
        <v>1</v>
      </c>
      <c r="K189" s="1545"/>
      <c r="L189" s="1545"/>
      <c r="M189" s="1545"/>
      <c r="N189" s="1545"/>
      <c r="O189" s="71"/>
      <c r="T189" s="71"/>
      <c r="U189" s="71"/>
      <c r="V189" s="71"/>
      <c r="W189" s="71"/>
      <c r="X189" s="71"/>
      <c r="Y189" s="71"/>
      <c r="Z189" s="71"/>
      <c r="AA189" s="71"/>
      <c r="AB189" s="71"/>
      <c r="AC189" s="71"/>
      <c r="AD189" s="71"/>
      <c r="AE189" s="71"/>
      <c r="AF189" s="71"/>
      <c r="AG189" s="71"/>
      <c r="AH189" s="71"/>
      <c r="AI189" s="71"/>
      <c r="AJ189" s="71"/>
      <c r="AK189" s="71"/>
      <c r="AL189" s="71"/>
      <c r="AM189" s="71"/>
      <c r="AN189" s="71"/>
      <c r="AO189" s="71"/>
      <c r="AP189" s="71"/>
      <c r="AQ189" s="71"/>
      <c r="AR189" s="71"/>
      <c r="AS189" s="71"/>
      <c r="AT189" s="71"/>
      <c r="AU189" s="71"/>
      <c r="AV189" s="71"/>
      <c r="AW189" s="71"/>
      <c r="AX189" s="71"/>
      <c r="AY189" s="71"/>
      <c r="AZ189" s="71"/>
      <c r="BA189" s="71"/>
      <c r="BB189" s="71"/>
      <c r="BC189" s="71"/>
      <c r="BD189" s="71"/>
      <c r="BE189" s="71"/>
      <c r="BF189" s="71"/>
      <c r="BG189" s="71"/>
      <c r="BH189" s="71"/>
      <c r="BI189" s="71"/>
      <c r="BJ189" s="71"/>
      <c r="BK189" s="71"/>
      <c r="BL189" s="71"/>
      <c r="BM189" s="71"/>
      <c r="CE189" s="80"/>
    </row>
    <row r="190" spans="1:83" s="69" customFormat="1" ht="14.1" customHeight="1">
      <c r="A190" s="85"/>
      <c r="B190" s="71"/>
      <c r="C190" s="71"/>
      <c r="D190" s="71"/>
      <c r="E190" s="81"/>
      <c r="F190" s="71"/>
      <c r="G190" s="71"/>
      <c r="H190" s="71"/>
      <c r="I190" s="71"/>
      <c r="J190" s="79"/>
      <c r="K190" s="79"/>
      <c r="L190" s="79"/>
      <c r="M190" s="79"/>
      <c r="N190" s="79"/>
      <c r="O190" s="71"/>
      <c r="P190" s="71"/>
      <c r="U190" s="71"/>
      <c r="V190" s="71"/>
      <c r="W190" s="71"/>
      <c r="X190" s="71"/>
      <c r="Y190" s="71"/>
      <c r="Z190" s="71"/>
      <c r="AA190" s="71"/>
      <c r="AB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/>
      <c r="AO190" s="71"/>
      <c r="AP190" s="71"/>
      <c r="AQ190" s="71"/>
      <c r="AR190" s="71"/>
      <c r="AS190" s="71"/>
      <c r="AT190" s="71"/>
      <c r="AU190" s="71"/>
      <c r="AV190" s="71"/>
      <c r="AW190" s="71"/>
      <c r="AX190" s="71"/>
      <c r="AY190" s="71"/>
      <c r="AZ190" s="71"/>
      <c r="BA190" s="71"/>
      <c r="BB190" s="71"/>
      <c r="BC190" s="71"/>
      <c r="BD190" s="71"/>
      <c r="BE190" s="71"/>
      <c r="BF190" s="71"/>
      <c r="BG190" s="71"/>
      <c r="BH190" s="71"/>
      <c r="BI190" s="71"/>
      <c r="BJ190" s="71"/>
      <c r="BK190" s="71"/>
      <c r="BL190" s="71"/>
      <c r="BM190" s="71"/>
      <c r="CE190" s="80"/>
    </row>
    <row r="191" spans="1:83" s="69" customFormat="1" ht="14.1" customHeight="1">
      <c r="A191" s="85"/>
      <c r="B191" s="71"/>
      <c r="C191" s="71"/>
      <c r="D191" s="71"/>
      <c r="E191" s="81" t="s">
        <v>226</v>
      </c>
      <c r="F191" s="71"/>
      <c r="H191" s="82" t="s">
        <v>217</v>
      </c>
      <c r="J191" s="1549">
        <v>0.6</v>
      </c>
      <c r="K191" s="1545"/>
      <c r="L191" s="1545"/>
      <c r="M191" s="1545"/>
      <c r="N191" s="1545"/>
      <c r="O191" s="71"/>
      <c r="P191" s="71"/>
      <c r="Q191" s="71"/>
      <c r="R191" s="71"/>
      <c r="S191" s="71"/>
      <c r="U191" s="71"/>
      <c r="V191" s="71"/>
      <c r="W191" s="71"/>
      <c r="X191" s="71"/>
      <c r="Y191" s="71"/>
      <c r="Z191" s="71"/>
      <c r="AA191" s="71"/>
      <c r="AB191" s="71"/>
      <c r="AC191" s="71"/>
      <c r="AD191" s="71"/>
      <c r="AE191" s="71"/>
      <c r="AF191" s="71"/>
      <c r="AG191" s="71"/>
      <c r="AH191" s="71"/>
      <c r="AI191" s="71"/>
      <c r="AJ191" s="71"/>
      <c r="AK191" s="71"/>
      <c r="AL191" s="71"/>
      <c r="AM191" s="71"/>
      <c r="AN191" s="71"/>
      <c r="AO191" s="71"/>
      <c r="AP191" s="71"/>
      <c r="AQ191" s="71"/>
      <c r="AR191" s="71"/>
      <c r="AS191" s="71"/>
      <c r="AT191" s="71"/>
      <c r="AU191" s="71"/>
      <c r="AV191" s="71"/>
      <c r="AW191" s="71"/>
      <c r="AX191" s="71"/>
      <c r="AY191" s="71"/>
      <c r="AZ191" s="71"/>
      <c r="BA191" s="71"/>
      <c r="BB191" s="71"/>
      <c r="BC191" s="71"/>
      <c r="BD191" s="71"/>
      <c r="BE191" s="71"/>
      <c r="BF191" s="71"/>
      <c r="BG191" s="71"/>
      <c r="BH191" s="71"/>
      <c r="BI191" s="71"/>
      <c r="BJ191" s="71"/>
      <c r="BK191" s="71"/>
      <c r="BL191" s="71"/>
      <c r="BM191" s="71"/>
      <c r="CE191" s="80"/>
    </row>
    <row r="192" spans="1:83" s="69" customFormat="1" ht="14.1" customHeight="1">
      <c r="A192" s="85"/>
      <c r="B192" s="71"/>
      <c r="C192" s="71"/>
      <c r="D192" s="71"/>
      <c r="N192" s="79"/>
      <c r="O192" s="71"/>
      <c r="P192" s="71"/>
      <c r="Q192" s="71"/>
      <c r="R192" s="71"/>
      <c r="S192" s="71"/>
      <c r="U192" s="71"/>
      <c r="V192" s="71"/>
      <c r="W192" s="71"/>
      <c r="X192" s="71"/>
      <c r="Y192" s="71"/>
      <c r="Z192" s="71"/>
      <c r="AA192" s="71"/>
      <c r="AB192" s="71"/>
      <c r="AC192" s="71"/>
      <c r="AD192" s="71"/>
      <c r="AE192" s="71"/>
      <c r="AF192" s="81"/>
      <c r="AG192" s="71"/>
      <c r="AH192" s="71"/>
      <c r="AI192" s="71"/>
      <c r="AJ192" s="71"/>
      <c r="AK192" s="71"/>
      <c r="AL192" s="71"/>
      <c r="AM192" s="71"/>
      <c r="AN192" s="71"/>
      <c r="AO192" s="71"/>
      <c r="AP192" s="71"/>
      <c r="AQ192" s="71"/>
      <c r="AR192" s="71"/>
      <c r="AS192" s="71"/>
      <c r="AT192" s="71"/>
      <c r="AU192" s="81"/>
      <c r="AV192" s="71"/>
      <c r="AW192" s="71"/>
      <c r="AX192" s="71"/>
      <c r="AY192" s="71"/>
      <c r="AZ192" s="71"/>
      <c r="BA192" s="71"/>
      <c r="BB192" s="71"/>
      <c r="BC192" s="71"/>
      <c r="BD192" s="71"/>
      <c r="BE192" s="71"/>
      <c r="BF192" s="71"/>
      <c r="BG192" s="71"/>
      <c r="BH192" s="71"/>
      <c r="BI192" s="71"/>
      <c r="BJ192" s="71"/>
      <c r="BK192" s="71"/>
      <c r="BL192" s="71"/>
      <c r="BM192" s="71"/>
      <c r="CE192" s="80"/>
    </row>
    <row r="193" spans="1:95" s="69" customFormat="1" ht="14.1" customHeight="1">
      <c r="A193" s="85"/>
      <c r="B193" s="71"/>
      <c r="C193" s="71"/>
      <c r="D193" s="71"/>
      <c r="E193" s="81" t="s">
        <v>236</v>
      </c>
      <c r="F193" s="71"/>
      <c r="H193" s="82" t="s">
        <v>217</v>
      </c>
      <c r="J193" s="1549">
        <v>0.05</v>
      </c>
      <c r="K193" s="1545"/>
      <c r="L193" s="1545"/>
      <c r="M193" s="1545"/>
      <c r="N193" s="1545"/>
      <c r="O193" s="71"/>
      <c r="P193" s="71"/>
      <c r="Q193" s="71"/>
      <c r="R193" s="71"/>
      <c r="S193" s="71"/>
      <c r="U193" s="83"/>
      <c r="W193" s="71"/>
      <c r="X193" s="71"/>
      <c r="Y193" s="71"/>
      <c r="Z193" s="71"/>
      <c r="AA193" s="81"/>
      <c r="AB193" s="81"/>
      <c r="AC193" s="81"/>
      <c r="AD193" s="81"/>
      <c r="AE193" s="81"/>
      <c r="AF193" s="81"/>
      <c r="AG193" s="81"/>
      <c r="AH193" s="81"/>
      <c r="AI193" s="81"/>
      <c r="AJ193" s="81"/>
      <c r="AK193" s="81"/>
      <c r="AL193" s="71"/>
      <c r="AM193" s="71"/>
      <c r="AN193" s="71"/>
      <c r="AO193" s="71"/>
      <c r="AP193" s="71"/>
      <c r="AQ193" s="71"/>
      <c r="AR193" s="71"/>
      <c r="AS193" s="81"/>
      <c r="AT193" s="81"/>
      <c r="AU193" s="81"/>
      <c r="AV193" s="81"/>
      <c r="AW193" s="81"/>
      <c r="AX193" s="81"/>
      <c r="AY193" s="81"/>
      <c r="AZ193" s="81"/>
      <c r="BA193" s="71"/>
      <c r="BB193" s="71"/>
      <c r="BC193" s="71"/>
      <c r="BD193" s="71"/>
      <c r="BE193" s="71"/>
      <c r="BF193" s="71"/>
      <c r="BG193" s="71"/>
      <c r="BH193" s="71"/>
      <c r="BI193" s="71"/>
      <c r="BJ193" s="71"/>
      <c r="BK193" s="71"/>
      <c r="BL193" s="71"/>
      <c r="BM193" s="71"/>
      <c r="CE193" s="80"/>
    </row>
    <row r="194" spans="1:95" s="69" customFormat="1" ht="14.1" customHeight="1">
      <c r="A194" s="85"/>
      <c r="B194" s="71"/>
      <c r="C194" s="71"/>
      <c r="D194" s="71"/>
      <c r="E194" s="81"/>
      <c r="F194" s="71"/>
      <c r="G194" s="71"/>
      <c r="H194" s="71"/>
      <c r="I194" s="71"/>
      <c r="J194" s="79"/>
      <c r="K194" s="79"/>
      <c r="L194" s="79"/>
      <c r="M194" s="79"/>
      <c r="N194" s="71"/>
      <c r="O194" s="71"/>
      <c r="P194" s="71"/>
      <c r="Q194" s="71"/>
      <c r="R194" s="71"/>
      <c r="S194" s="71"/>
      <c r="W194" s="71"/>
      <c r="X194" s="71"/>
      <c r="Y194" s="71"/>
      <c r="Z194" s="71"/>
      <c r="AA194" s="81"/>
      <c r="AB194" s="71"/>
      <c r="AC194" s="71"/>
      <c r="AD194" s="71"/>
      <c r="AE194" s="71"/>
      <c r="AF194" s="71"/>
      <c r="AG194" s="71"/>
      <c r="AH194" s="71"/>
      <c r="AI194" s="71"/>
      <c r="AJ194" s="71"/>
      <c r="AK194" s="81"/>
      <c r="AL194" s="71"/>
      <c r="AM194" s="71"/>
      <c r="AN194" s="71"/>
      <c r="AO194" s="71"/>
      <c r="AP194" s="71"/>
      <c r="AQ194" s="71"/>
      <c r="AR194" s="71"/>
      <c r="AS194" s="71"/>
      <c r="AT194" s="71"/>
      <c r="AU194" s="71"/>
      <c r="AV194" s="71"/>
      <c r="AW194" s="71"/>
      <c r="AX194" s="71"/>
      <c r="AY194" s="71"/>
      <c r="AZ194" s="81"/>
      <c r="BA194" s="71"/>
      <c r="BB194" s="71"/>
      <c r="BC194" s="71"/>
      <c r="BD194" s="71"/>
      <c r="BE194" s="71"/>
      <c r="BF194" s="71"/>
      <c r="BG194" s="71"/>
      <c r="BH194" s="71"/>
      <c r="BI194" s="71"/>
      <c r="BJ194" s="71"/>
      <c r="BK194" s="71"/>
      <c r="BL194" s="71"/>
      <c r="BM194" s="71"/>
      <c r="CE194" s="80"/>
    </row>
    <row r="195" spans="1:95" s="69" customFormat="1" ht="14.1" customHeight="1">
      <c r="A195" s="85"/>
      <c r="B195" s="71"/>
      <c r="C195" s="71"/>
      <c r="D195" s="71"/>
      <c r="E195" s="81" t="s">
        <v>237</v>
      </c>
      <c r="F195" s="71"/>
      <c r="G195" s="71"/>
      <c r="H195" s="82" t="s">
        <v>217</v>
      </c>
      <c r="I195" s="71"/>
      <c r="J195" s="1549">
        <v>0.1</v>
      </c>
      <c r="K195" s="1545"/>
      <c r="L195" s="1545"/>
      <c r="M195" s="1545"/>
      <c r="N195" s="1545"/>
      <c r="P195" s="71"/>
      <c r="Q195" s="71"/>
      <c r="R195" s="71"/>
      <c r="S195" s="71"/>
      <c r="W195" s="71"/>
      <c r="X195" s="71"/>
      <c r="Y195" s="71"/>
      <c r="Z195" s="71"/>
      <c r="AA195" s="71"/>
      <c r="AB195" s="71"/>
      <c r="AC195" s="71"/>
      <c r="AD195" s="71"/>
      <c r="AE195" s="71"/>
      <c r="AF195" s="71"/>
      <c r="AG195" s="71"/>
      <c r="AH195" s="71"/>
      <c r="AI195" s="71"/>
      <c r="AJ195" s="71"/>
      <c r="AK195" s="71"/>
      <c r="AL195" s="71"/>
      <c r="AM195" s="71"/>
      <c r="AN195" s="71"/>
      <c r="AO195" s="71"/>
      <c r="AP195" s="71"/>
      <c r="AQ195" s="71"/>
      <c r="AR195" s="71"/>
      <c r="AS195" s="71"/>
      <c r="AT195" s="71"/>
      <c r="AU195" s="71"/>
      <c r="AV195" s="71"/>
      <c r="AW195" s="71"/>
      <c r="AX195" s="71"/>
      <c r="AY195" s="71"/>
      <c r="AZ195" s="71"/>
      <c r="BA195" s="71"/>
      <c r="BB195" s="71"/>
      <c r="BC195" s="71"/>
      <c r="BD195" s="71"/>
      <c r="BE195" s="71"/>
      <c r="BF195" s="71"/>
      <c r="BG195" s="71"/>
      <c r="BH195" s="71"/>
      <c r="BI195" s="71"/>
      <c r="BJ195" s="71"/>
      <c r="BK195" s="71"/>
      <c r="BL195" s="71"/>
      <c r="BM195" s="71"/>
      <c r="CE195" s="80"/>
      <c r="CQ195" s="881"/>
    </row>
    <row r="196" spans="1:95" s="69" customFormat="1" ht="14.1" customHeight="1">
      <c r="A196" s="85"/>
      <c r="B196" s="71"/>
      <c r="C196" s="71"/>
      <c r="D196" s="71"/>
      <c r="E196" s="71"/>
      <c r="F196" s="71"/>
      <c r="G196" s="71"/>
      <c r="H196" s="71"/>
      <c r="I196" s="71"/>
      <c r="J196" s="71"/>
      <c r="K196" s="71"/>
      <c r="L196" s="71"/>
      <c r="M196" s="71"/>
      <c r="O196" s="71"/>
      <c r="P196" s="71"/>
      <c r="Q196" s="71"/>
      <c r="R196" s="71"/>
      <c r="S196" s="71"/>
      <c r="W196" s="71"/>
      <c r="X196" s="71"/>
      <c r="Y196" s="71"/>
      <c r="Z196" s="71"/>
      <c r="AA196" s="71"/>
      <c r="AB196" s="71"/>
      <c r="AC196" s="71"/>
      <c r="AD196" s="71"/>
      <c r="AE196" s="71"/>
      <c r="AF196" s="71"/>
      <c r="AG196" s="71"/>
      <c r="AH196" s="71"/>
      <c r="AI196" s="71"/>
      <c r="AJ196" s="71"/>
      <c r="AK196" s="71"/>
      <c r="AL196" s="71"/>
      <c r="AM196" s="71"/>
      <c r="AN196" s="71"/>
      <c r="AO196" s="71"/>
      <c r="AP196" s="71"/>
      <c r="AQ196" s="71"/>
      <c r="AR196" s="71"/>
      <c r="AS196" s="71"/>
      <c r="AT196" s="71"/>
      <c r="AU196" s="71"/>
      <c r="AV196" s="71"/>
      <c r="AW196" s="71"/>
      <c r="AX196" s="71"/>
      <c r="AY196" s="71"/>
      <c r="AZ196" s="71"/>
      <c r="BA196" s="71"/>
      <c r="BB196" s="71"/>
      <c r="BC196" s="71"/>
      <c r="BD196" s="71"/>
      <c r="BE196" s="71"/>
      <c r="BF196" s="71"/>
      <c r="BG196" s="71"/>
      <c r="BH196" s="71"/>
      <c r="BI196" s="71"/>
      <c r="BJ196" s="71"/>
      <c r="BK196" s="71"/>
      <c r="BL196" s="71"/>
      <c r="BM196" s="71"/>
      <c r="CE196" s="80"/>
    </row>
    <row r="197" spans="1:95" s="69" customFormat="1" ht="14.1" customHeight="1">
      <c r="A197" s="85"/>
      <c r="B197" s="71"/>
      <c r="C197" s="71"/>
      <c r="D197" s="71"/>
      <c r="E197" s="81" t="s">
        <v>238</v>
      </c>
      <c r="F197" s="71"/>
      <c r="G197" s="71"/>
      <c r="H197" s="82" t="s">
        <v>217</v>
      </c>
      <c r="I197" s="71"/>
      <c r="J197" s="1549">
        <v>0.2</v>
      </c>
      <c r="K197" s="1545"/>
      <c r="L197" s="1545"/>
      <c r="M197" s="1545"/>
      <c r="N197" s="1545"/>
      <c r="O197" s="71"/>
      <c r="Q197" s="71"/>
      <c r="R197" s="71"/>
      <c r="S197" s="71"/>
      <c r="W197" s="71"/>
      <c r="X197" s="81"/>
      <c r="Y197" s="71"/>
      <c r="Z197" s="71"/>
      <c r="AA197" s="71"/>
      <c r="AB197" s="71"/>
      <c r="AC197" s="71"/>
      <c r="AD197" s="71"/>
      <c r="AE197" s="71"/>
      <c r="AF197" s="71"/>
      <c r="AG197" s="71"/>
      <c r="AH197" s="71"/>
      <c r="AI197" s="71"/>
      <c r="AJ197" s="71"/>
      <c r="AK197" s="81"/>
      <c r="AL197" s="71"/>
      <c r="AM197" s="71"/>
      <c r="AN197" s="71"/>
      <c r="AO197" s="71"/>
      <c r="AP197" s="81"/>
      <c r="AQ197" s="81"/>
      <c r="AR197" s="81"/>
      <c r="AS197" s="81"/>
      <c r="AT197" s="71"/>
      <c r="AU197" s="71"/>
      <c r="AV197" s="71"/>
      <c r="AW197" s="71"/>
      <c r="AX197" s="71"/>
      <c r="AY197" s="71"/>
      <c r="AZ197" s="71"/>
      <c r="BA197" s="71"/>
      <c r="BB197" s="71"/>
      <c r="BC197" s="71"/>
      <c r="BD197" s="71"/>
      <c r="BE197" s="71"/>
      <c r="BF197" s="71"/>
      <c r="BG197" s="71"/>
      <c r="BH197" s="71"/>
      <c r="BI197" s="71"/>
      <c r="BJ197" s="71"/>
      <c r="BK197" s="71"/>
      <c r="BL197" s="71"/>
      <c r="BM197" s="71"/>
      <c r="CE197" s="80"/>
    </row>
    <row r="198" spans="1:95" s="69" customFormat="1" ht="14.1" customHeight="1">
      <c r="A198" s="85"/>
      <c r="B198" s="71"/>
      <c r="C198" s="71"/>
      <c r="D198" s="71"/>
      <c r="N198" s="71"/>
      <c r="O198" s="71"/>
      <c r="P198" s="71"/>
      <c r="W198" s="71"/>
      <c r="X198" s="71"/>
      <c r="Y198" s="71"/>
      <c r="Z198" s="71"/>
      <c r="AA198" s="71"/>
      <c r="AB198" s="71"/>
      <c r="AC198" s="71"/>
      <c r="AD198" s="71"/>
      <c r="AE198" s="71"/>
      <c r="AF198" s="71"/>
      <c r="AG198" s="71"/>
      <c r="AH198" s="71"/>
      <c r="AI198" s="71"/>
      <c r="AJ198" s="71"/>
      <c r="AK198" s="71"/>
      <c r="AL198" s="71"/>
      <c r="AM198" s="71"/>
      <c r="AN198" s="71"/>
      <c r="AO198" s="71"/>
      <c r="AP198" s="71"/>
      <c r="AQ198" s="71"/>
      <c r="AR198" s="71"/>
      <c r="AS198" s="81"/>
      <c r="AT198" s="71"/>
      <c r="AU198" s="71"/>
      <c r="AV198" s="71"/>
      <c r="AW198" s="71"/>
      <c r="AX198" s="71"/>
      <c r="AY198" s="71"/>
      <c r="AZ198" s="71"/>
      <c r="BA198" s="71"/>
      <c r="BB198" s="71"/>
      <c r="BC198" s="71"/>
      <c r="BD198" s="71"/>
      <c r="BE198" s="71"/>
      <c r="BF198" s="71"/>
      <c r="BG198" s="71"/>
      <c r="BH198" s="71"/>
      <c r="BI198" s="81"/>
      <c r="BJ198" s="71"/>
      <c r="BK198" s="71"/>
      <c r="BL198" s="71"/>
      <c r="BM198" s="71"/>
      <c r="CE198" s="80"/>
    </row>
    <row r="199" spans="1:95" s="71" customFormat="1" ht="14.1" customHeight="1">
      <c r="A199" s="85"/>
      <c r="E199" s="81" t="s">
        <v>239</v>
      </c>
      <c r="H199" s="82" t="s">
        <v>217</v>
      </c>
      <c r="J199" s="1549">
        <f>J191-(J193+J195+J197)</f>
        <v>0.24999999999999994</v>
      </c>
      <c r="K199" s="1545"/>
      <c r="L199" s="1545"/>
      <c r="M199" s="1545"/>
      <c r="N199" s="1545"/>
      <c r="AS199" s="81"/>
      <c r="BI199" s="81"/>
      <c r="CE199" s="86"/>
    </row>
    <row r="200" spans="1:95" s="71" customFormat="1" ht="14.1" customHeight="1">
      <c r="A200" s="85"/>
      <c r="C200" s="71" t="s">
        <v>426</v>
      </c>
      <c r="P200" s="71" t="s">
        <v>217</v>
      </c>
      <c r="R200" s="1544">
        <f>J189</f>
        <v>1</v>
      </c>
      <c r="S200" s="1545"/>
      <c r="T200" s="1545"/>
      <c r="U200" s="1545"/>
      <c r="V200" s="79" t="s">
        <v>211</v>
      </c>
      <c r="W200" s="117"/>
      <c r="X200" s="1544">
        <v>1</v>
      </c>
      <c r="Y200" s="1545"/>
      <c r="Z200" s="1545"/>
      <c r="AA200" s="1545"/>
      <c r="AB200" s="1545"/>
      <c r="AC200" s="79" t="s">
        <v>227</v>
      </c>
      <c r="AD200" s="79"/>
      <c r="AE200" s="1544">
        <f>ROUNDDOWN(R200*X200,3)</f>
        <v>1</v>
      </c>
      <c r="AF200" s="1545"/>
      <c r="AG200" s="1545"/>
      <c r="AH200" s="1545"/>
      <c r="AI200" s="1545"/>
      <c r="AJ200" s="1545"/>
      <c r="AK200" s="71" t="s">
        <v>240</v>
      </c>
      <c r="AS200" s="81"/>
      <c r="BI200" s="81"/>
      <c r="CE200" s="86"/>
    </row>
    <row r="201" spans="1:95" s="71" customFormat="1" ht="14.1" customHeight="1">
      <c r="A201" s="85"/>
      <c r="B201" s="81"/>
      <c r="C201" s="532" t="s">
        <v>242</v>
      </c>
      <c r="D201" s="532"/>
      <c r="E201" s="532"/>
      <c r="F201" s="1540" t="s">
        <v>243</v>
      </c>
      <c r="G201" s="1462"/>
      <c r="H201" s="1462"/>
      <c r="I201" s="1462"/>
      <c r="J201" s="1462"/>
      <c r="K201" s="1462"/>
      <c r="L201" s="1462"/>
      <c r="M201" s="1462"/>
      <c r="N201" s="1462"/>
      <c r="O201" s="1462"/>
      <c r="P201" s="1462"/>
      <c r="Q201" s="1462"/>
      <c r="R201" s="1462"/>
      <c r="S201" s="1462"/>
      <c r="T201" s="1462"/>
      <c r="U201" s="1462"/>
      <c r="V201" s="1462"/>
      <c r="W201" s="1462"/>
      <c r="X201" s="1462"/>
      <c r="Y201" s="1462"/>
      <c r="Z201" s="1462"/>
      <c r="AA201" s="1462"/>
      <c r="AB201" s="1462"/>
      <c r="AC201" s="1462"/>
      <c r="AD201" s="1462"/>
      <c r="AE201" s="1462"/>
      <c r="AF201" s="1462"/>
      <c r="AG201" s="1462"/>
      <c r="AH201" s="1462"/>
      <c r="AI201" s="1462"/>
      <c r="AJ201" s="1462"/>
      <c r="AK201" s="1462"/>
      <c r="AL201" s="1462"/>
      <c r="AM201" s="1462"/>
      <c r="AN201" s="1462"/>
      <c r="AO201" s="1462"/>
      <c r="AP201" s="1462"/>
      <c r="AQ201" s="1462"/>
      <c r="AR201" s="1462"/>
      <c r="AS201" s="1462"/>
      <c r="AT201" s="1462"/>
      <c r="AU201" s="1462"/>
      <c r="AV201" s="1462"/>
      <c r="AW201" s="1462"/>
      <c r="AX201" s="1462"/>
      <c r="CE201" s="86"/>
    </row>
    <row r="202" spans="1:95" s="71" customFormat="1" ht="14.1" customHeight="1">
      <c r="A202" s="85"/>
      <c r="C202" s="532"/>
      <c r="D202" s="486"/>
      <c r="E202" s="532"/>
      <c r="F202" s="1541">
        <f>J193</f>
        <v>0.05</v>
      </c>
      <c r="G202" s="1546"/>
      <c r="H202" s="1546"/>
      <c r="I202" s="1546"/>
      <c r="J202" s="530" t="s">
        <v>211</v>
      </c>
      <c r="K202" s="531"/>
      <c r="L202" s="1541">
        <f>AE200</f>
        <v>1</v>
      </c>
      <c r="M202" s="1546"/>
      <c r="N202" s="1546"/>
      <c r="O202" s="1546"/>
      <c r="P202" s="1546"/>
      <c r="Q202" s="1546"/>
      <c r="R202" s="530" t="s">
        <v>211</v>
      </c>
      <c r="S202" s="530"/>
      <c r="T202" s="1541">
        <v>2.3199999999999998</v>
      </c>
      <c r="U202" s="1546"/>
      <c r="V202" s="1546"/>
      <c r="W202" s="1546"/>
      <c r="X202" s="1541" t="s">
        <v>227</v>
      </c>
      <c r="Y202" s="1541"/>
      <c r="Z202" s="1541">
        <f>ROUNDDOWN(F202*L202*T202,3)</f>
        <v>0.11600000000000001</v>
      </c>
      <c r="AA202" s="1546"/>
      <c r="AB202" s="1546"/>
      <c r="AC202" s="1546"/>
      <c r="AD202" s="1546"/>
      <c r="AE202" s="1546"/>
      <c r="AF202" s="532"/>
      <c r="AG202" s="530" t="s">
        <v>244</v>
      </c>
      <c r="AH202" s="533"/>
      <c r="AI202" s="532"/>
      <c r="AJ202" s="532"/>
      <c r="AK202" s="532"/>
      <c r="AL202" s="532"/>
      <c r="AM202" s="532"/>
      <c r="AN202" s="532"/>
      <c r="AO202" s="532"/>
      <c r="AP202" s="534"/>
      <c r="AQ202" s="532"/>
      <c r="AR202" s="532"/>
      <c r="AS202" s="532"/>
      <c r="AT202" s="532"/>
      <c r="AU202" s="535"/>
      <c r="AV202" s="532"/>
      <c r="AW202" s="532"/>
      <c r="AX202" s="532"/>
      <c r="CE202" s="86"/>
    </row>
    <row r="203" spans="1:95" s="71" customFormat="1" ht="14.1" customHeight="1">
      <c r="A203" s="85"/>
      <c r="B203" s="81"/>
      <c r="C203" s="532" t="s">
        <v>245</v>
      </c>
      <c r="D203" s="532"/>
      <c r="E203" s="532"/>
      <c r="F203" s="1540" t="s">
        <v>246</v>
      </c>
      <c r="G203" s="1462"/>
      <c r="H203" s="1462"/>
      <c r="I203" s="1462"/>
      <c r="J203" s="1462"/>
      <c r="K203" s="1462"/>
      <c r="L203" s="1462"/>
      <c r="M203" s="1462"/>
      <c r="N203" s="1462"/>
      <c r="O203" s="1462"/>
      <c r="P203" s="1462"/>
      <c r="Q203" s="1462"/>
      <c r="R203" s="1462"/>
      <c r="S203" s="1462"/>
      <c r="T203" s="1462"/>
      <c r="U203" s="1462"/>
      <c r="V203" s="1462"/>
      <c r="W203" s="1462"/>
      <c r="X203" s="1462"/>
      <c r="Y203" s="1462"/>
      <c r="Z203" s="1462"/>
      <c r="AA203" s="1462"/>
      <c r="AB203" s="1462"/>
      <c r="AC203" s="1462"/>
      <c r="AD203" s="1462"/>
      <c r="AE203" s="1462"/>
      <c r="AF203" s="1462"/>
      <c r="AG203" s="1462"/>
      <c r="AH203" s="1462"/>
      <c r="AI203" s="1462"/>
      <c r="AJ203" s="1462"/>
      <c r="AK203" s="1462"/>
      <c r="AL203" s="1462"/>
      <c r="AM203" s="1462"/>
      <c r="AN203" s="1462"/>
      <c r="AO203" s="1462"/>
      <c r="AP203" s="1462"/>
      <c r="AQ203" s="1462"/>
      <c r="AR203" s="1462"/>
      <c r="AS203" s="1462"/>
      <c r="AT203" s="1462"/>
      <c r="AU203" s="1462"/>
      <c r="AV203" s="1462"/>
      <c r="AW203" s="1462"/>
      <c r="AX203" s="1462"/>
      <c r="CE203" s="86"/>
    </row>
    <row r="204" spans="1:95" s="71" customFormat="1" ht="14.1" customHeight="1">
      <c r="A204" s="85"/>
      <c r="C204" s="532"/>
      <c r="D204" s="486"/>
      <c r="E204" s="532"/>
      <c r="F204" s="1541">
        <f>J195</f>
        <v>0.1</v>
      </c>
      <c r="G204" s="1546"/>
      <c r="H204" s="1546"/>
      <c r="I204" s="1546"/>
      <c r="J204" s="530" t="s">
        <v>211</v>
      </c>
      <c r="K204" s="531"/>
      <c r="L204" s="1541">
        <f>AE200</f>
        <v>1</v>
      </c>
      <c r="M204" s="1546"/>
      <c r="N204" s="1546"/>
      <c r="O204" s="1546"/>
      <c r="P204" s="1546"/>
      <c r="Q204" s="1546"/>
      <c r="R204" s="530" t="s">
        <v>211</v>
      </c>
      <c r="S204" s="530"/>
      <c r="T204" s="1541">
        <v>2.3199999999999998</v>
      </c>
      <c r="U204" s="1546"/>
      <c r="V204" s="1546"/>
      <c r="W204" s="1546"/>
      <c r="X204" s="1541" t="s">
        <v>227</v>
      </c>
      <c r="Y204" s="1541"/>
      <c r="Z204" s="1541">
        <f>ROUNDDOWN(F204*L204*T204,3)</f>
        <v>0.23200000000000001</v>
      </c>
      <c r="AA204" s="1546"/>
      <c r="AB204" s="1546"/>
      <c r="AC204" s="1546"/>
      <c r="AD204" s="1546"/>
      <c r="AE204" s="1546"/>
      <c r="AF204" s="532"/>
      <c r="AG204" s="530" t="s">
        <v>244</v>
      </c>
      <c r="AH204" s="533"/>
      <c r="AI204" s="532"/>
      <c r="AJ204" s="532"/>
      <c r="AK204" s="532"/>
      <c r="AL204" s="532"/>
      <c r="AM204" s="532"/>
      <c r="AN204" s="532"/>
      <c r="AO204" s="532"/>
      <c r="AP204" s="534"/>
      <c r="AQ204" s="532"/>
      <c r="AR204" s="532"/>
      <c r="AS204" s="532"/>
      <c r="AT204" s="532"/>
      <c r="AU204" s="535"/>
      <c r="AV204" s="532"/>
      <c r="AW204" s="532"/>
      <c r="AX204" s="532"/>
      <c r="CE204" s="86"/>
    </row>
    <row r="205" spans="1:95" s="71" customFormat="1" ht="14.1" customHeight="1">
      <c r="A205" s="85"/>
      <c r="B205" s="81"/>
      <c r="C205" s="532" t="s">
        <v>247</v>
      </c>
      <c r="D205" s="532"/>
      <c r="E205" s="532"/>
      <c r="F205" s="1540" t="s">
        <v>699</v>
      </c>
      <c r="G205" s="1462"/>
      <c r="H205" s="1462"/>
      <c r="I205" s="1462"/>
      <c r="J205" s="1462"/>
      <c r="K205" s="1462"/>
      <c r="L205" s="1462"/>
      <c r="M205" s="1462"/>
      <c r="N205" s="1462"/>
      <c r="O205" s="1462"/>
      <c r="P205" s="1462"/>
      <c r="Q205" s="1462"/>
      <c r="R205" s="1462"/>
      <c r="S205" s="1462"/>
      <c r="T205" s="1462"/>
      <c r="U205" s="1462"/>
      <c r="V205" s="1462"/>
      <c r="W205" s="1462"/>
      <c r="X205" s="1462"/>
      <c r="Y205" s="1462"/>
      <c r="Z205" s="1462"/>
      <c r="AA205" s="1462"/>
      <c r="AB205" s="1462"/>
      <c r="AC205" s="1462"/>
      <c r="AD205" s="1462"/>
      <c r="AE205" s="1462"/>
      <c r="AF205" s="1462"/>
      <c r="AG205" s="1462"/>
      <c r="AH205" s="1462"/>
      <c r="AI205" s="1462"/>
      <c r="AJ205" s="1462"/>
      <c r="AK205" s="1462"/>
      <c r="AL205" s="1462"/>
      <c r="AM205" s="1462"/>
      <c r="AN205" s="1462"/>
      <c r="AO205" s="1462"/>
      <c r="AP205" s="1462"/>
      <c r="AQ205" s="1462"/>
      <c r="AR205" s="1462"/>
      <c r="AS205" s="1462"/>
      <c r="AT205" s="1462"/>
      <c r="AU205" s="1462"/>
      <c r="AV205" s="1462"/>
      <c r="AW205" s="1462"/>
      <c r="AX205" s="1462"/>
      <c r="CE205" s="86"/>
    </row>
    <row r="206" spans="1:95" s="71" customFormat="1" ht="14.1" customHeight="1">
      <c r="A206" s="85"/>
      <c r="C206" s="532"/>
      <c r="D206" s="486"/>
      <c r="E206" s="532"/>
      <c r="F206" s="1541">
        <f>J197</f>
        <v>0.2</v>
      </c>
      <c r="G206" s="1541"/>
      <c r="H206" s="1541"/>
      <c r="I206" s="1541"/>
      <c r="J206" s="530" t="s">
        <v>211</v>
      </c>
      <c r="K206" s="530"/>
      <c r="L206" s="1541">
        <f>AE200</f>
        <v>1</v>
      </c>
      <c r="M206" s="1541"/>
      <c r="N206" s="1541"/>
      <c r="O206" s="1541"/>
      <c r="P206" s="1541"/>
      <c r="Q206" s="531" t="s">
        <v>211</v>
      </c>
      <c r="R206" s="531"/>
      <c r="S206" s="1541">
        <v>1.175</v>
      </c>
      <c r="T206" s="1541"/>
      <c r="U206" s="1541"/>
      <c r="V206" s="1541"/>
      <c r="W206" s="530" t="s">
        <v>249</v>
      </c>
      <c r="X206" s="530"/>
      <c r="Y206" s="1541">
        <v>0.95</v>
      </c>
      <c r="Z206" s="1541"/>
      <c r="AA206" s="1541"/>
      <c r="AB206" s="1541"/>
      <c r="AC206" s="1541" t="s">
        <v>227</v>
      </c>
      <c r="AD206" s="1541"/>
      <c r="AE206" s="1541">
        <f>ROUNDDOWN(F206*L206*S206/Y206,3)</f>
        <v>0.247</v>
      </c>
      <c r="AF206" s="1541"/>
      <c r="AG206" s="1541"/>
      <c r="AH206" s="1541"/>
      <c r="AI206" s="1541"/>
      <c r="AJ206" s="1541"/>
      <c r="AK206" s="1541"/>
      <c r="AL206" s="466" t="s">
        <v>212</v>
      </c>
      <c r="AM206" s="533"/>
      <c r="AN206" s="532"/>
      <c r="AO206" s="532"/>
      <c r="AP206" s="532"/>
      <c r="AQ206" s="532"/>
      <c r="AR206" s="532"/>
      <c r="AS206" s="532"/>
      <c r="AT206" s="532"/>
      <c r="AU206" s="532"/>
      <c r="AV206" s="532"/>
      <c r="AW206" s="532"/>
      <c r="AX206" s="532"/>
      <c r="CE206" s="86"/>
    </row>
    <row r="207" spans="1:95" s="71" customFormat="1" ht="14.1" customHeight="1">
      <c r="A207" s="85"/>
      <c r="B207" s="81"/>
      <c r="C207" s="532" t="s">
        <v>250</v>
      </c>
      <c r="D207" s="532"/>
      <c r="E207" s="532"/>
      <c r="F207" s="1540" t="s">
        <v>251</v>
      </c>
      <c r="G207" s="1462"/>
      <c r="H207" s="1462"/>
      <c r="I207" s="1462"/>
      <c r="J207" s="1462"/>
      <c r="K207" s="1462"/>
      <c r="L207" s="1462"/>
      <c r="M207" s="1462"/>
      <c r="N207" s="1462"/>
      <c r="O207" s="1462"/>
      <c r="P207" s="1462"/>
      <c r="Q207" s="1462"/>
      <c r="R207" s="1462"/>
      <c r="S207" s="1462"/>
      <c r="T207" s="1462"/>
      <c r="U207" s="1462"/>
      <c r="V207" s="1462"/>
      <c r="W207" s="1462"/>
      <c r="X207" s="1462"/>
      <c r="Y207" s="1462"/>
      <c r="Z207" s="1462"/>
      <c r="AA207" s="1462"/>
      <c r="AB207" s="1462"/>
      <c r="AC207" s="1462"/>
      <c r="AD207" s="1462"/>
      <c r="AE207" s="1462"/>
      <c r="AF207" s="1462"/>
      <c r="AG207" s="1462"/>
      <c r="AH207" s="1462"/>
      <c r="AI207" s="1462"/>
      <c r="AJ207" s="1462"/>
      <c r="AK207" s="1462"/>
      <c r="AL207" s="1462"/>
      <c r="AM207" s="1462"/>
      <c r="AN207" s="1462"/>
      <c r="AO207" s="1462"/>
      <c r="AP207" s="1462"/>
      <c r="AQ207" s="1462"/>
      <c r="AR207" s="1462"/>
      <c r="AS207" s="1462"/>
      <c r="AT207" s="1462"/>
      <c r="AU207" s="1462"/>
      <c r="AV207" s="1462"/>
      <c r="AW207" s="1462"/>
      <c r="AX207" s="1462"/>
      <c r="CE207" s="86"/>
    </row>
    <row r="208" spans="1:95" s="71" customFormat="1" ht="14.1" customHeight="1">
      <c r="A208" s="85"/>
      <c r="C208" s="532"/>
      <c r="D208" s="486"/>
      <c r="E208" s="532"/>
      <c r="F208" s="1541">
        <f>AE200</f>
        <v>1</v>
      </c>
      <c r="G208" s="1541"/>
      <c r="H208" s="1541"/>
      <c r="I208" s="1541"/>
      <c r="J208" s="1541"/>
      <c r="K208" s="531" t="s">
        <v>249</v>
      </c>
      <c r="L208" s="531"/>
      <c r="M208" s="1541">
        <v>100</v>
      </c>
      <c r="N208" s="1541"/>
      <c r="O208" s="1541"/>
      <c r="P208" s="1541"/>
      <c r="Q208" s="530" t="s">
        <v>211</v>
      </c>
      <c r="R208" s="530"/>
      <c r="S208" s="1541">
        <v>30</v>
      </c>
      <c r="T208" s="1541"/>
      <c r="U208" s="1541"/>
      <c r="V208" s="1541"/>
      <c r="W208" s="532" t="s">
        <v>252</v>
      </c>
      <c r="X208" s="532"/>
      <c r="Y208" s="532"/>
      <c r="Z208" s="532"/>
      <c r="AA208" s="531" t="s">
        <v>249</v>
      </c>
      <c r="AB208" s="530"/>
      <c r="AC208" s="1541">
        <v>200</v>
      </c>
      <c r="AD208" s="1541"/>
      <c r="AE208" s="1541"/>
      <c r="AF208" s="1541"/>
      <c r="AG208" s="1541" t="s">
        <v>227</v>
      </c>
      <c r="AH208" s="1541"/>
      <c r="AI208" s="1543">
        <f>ROUNDDOWN(F208/M208*S208/AC208,4)</f>
        <v>1.5E-3</v>
      </c>
      <c r="AJ208" s="1543"/>
      <c r="AK208" s="1543"/>
      <c r="AL208" s="1543"/>
      <c r="AM208" s="1543"/>
      <c r="AN208" s="1543"/>
      <c r="AO208" s="532"/>
      <c r="AP208" s="530" t="s">
        <v>253</v>
      </c>
      <c r="AQ208" s="533"/>
      <c r="AR208" s="532"/>
      <c r="AS208" s="532"/>
      <c r="AT208" s="532"/>
      <c r="AU208" s="532"/>
      <c r="AV208" s="532"/>
      <c r="AW208" s="532"/>
      <c r="AX208" s="532"/>
      <c r="CE208" s="86"/>
    </row>
    <row r="209" spans="1:83" s="71" customFormat="1" ht="14.1" customHeight="1">
      <c r="A209" s="85"/>
      <c r="B209" s="81"/>
      <c r="C209" s="532" t="s">
        <v>254</v>
      </c>
      <c r="D209" s="532"/>
      <c r="E209" s="532"/>
      <c r="F209" s="1540" t="s">
        <v>255</v>
      </c>
      <c r="G209" s="1462"/>
      <c r="H209" s="1462"/>
      <c r="I209" s="1462"/>
      <c r="J209" s="1462"/>
      <c r="K209" s="1462"/>
      <c r="L209" s="1462"/>
      <c r="M209" s="1462"/>
      <c r="N209" s="1462"/>
      <c r="O209" s="1462"/>
      <c r="P209" s="1462"/>
      <c r="Q209" s="1462"/>
      <c r="R209" s="1462"/>
      <c r="S209" s="1462"/>
      <c r="T209" s="1462"/>
      <c r="U209" s="1462"/>
      <c r="V209" s="1462"/>
      <c r="W209" s="1462"/>
      <c r="X209" s="1462"/>
      <c r="Y209" s="1462"/>
      <c r="Z209" s="1462"/>
      <c r="AA209" s="1462"/>
      <c r="AB209" s="1462"/>
      <c r="AC209" s="1462"/>
      <c r="AD209" s="1462"/>
      <c r="AE209" s="1462"/>
      <c r="AF209" s="1462"/>
      <c r="AG209" s="1462"/>
      <c r="AH209" s="1462"/>
      <c r="AI209" s="1462"/>
      <c r="AJ209" s="1462"/>
      <c r="AK209" s="1462"/>
      <c r="AL209" s="1462"/>
      <c r="AM209" s="1462"/>
      <c r="AN209" s="1462"/>
      <c r="AO209" s="1462"/>
      <c r="AP209" s="1462"/>
      <c r="AQ209" s="1462"/>
      <c r="AR209" s="1462"/>
      <c r="AS209" s="1462"/>
      <c r="AT209" s="1462"/>
      <c r="AU209" s="1462"/>
      <c r="AV209" s="1462"/>
      <c r="AW209" s="1462"/>
      <c r="AX209" s="1462"/>
      <c r="CE209" s="86"/>
    </row>
    <row r="210" spans="1:83" s="71" customFormat="1" ht="14.1" customHeight="1">
      <c r="A210" s="85"/>
      <c r="C210" s="532"/>
      <c r="D210" s="486"/>
      <c r="E210" s="532"/>
      <c r="F210" s="1541">
        <f>AE200</f>
        <v>1</v>
      </c>
      <c r="G210" s="1541"/>
      <c r="H210" s="1541"/>
      <c r="I210" s="1541"/>
      <c r="J210" s="1541"/>
      <c r="K210" s="531" t="s">
        <v>249</v>
      </c>
      <c r="L210" s="531"/>
      <c r="M210" s="1541">
        <v>100</v>
      </c>
      <c r="N210" s="1541"/>
      <c r="O210" s="1541"/>
      <c r="P210" s="1541"/>
      <c r="Q210" s="530" t="s">
        <v>211</v>
      </c>
      <c r="R210" s="530"/>
      <c r="S210" s="1541">
        <v>75</v>
      </c>
      <c r="T210" s="1541"/>
      <c r="U210" s="1541"/>
      <c r="V210" s="1541"/>
      <c r="W210" s="532" t="s">
        <v>252</v>
      </c>
      <c r="X210" s="532"/>
      <c r="Y210" s="532"/>
      <c r="Z210" s="532"/>
      <c r="AA210" s="531" t="s">
        <v>249</v>
      </c>
      <c r="AB210" s="530"/>
      <c r="AC210" s="1541">
        <v>200</v>
      </c>
      <c r="AD210" s="1541"/>
      <c r="AE210" s="1541"/>
      <c r="AF210" s="1541"/>
      <c r="AG210" s="1541" t="s">
        <v>227</v>
      </c>
      <c r="AH210" s="1541"/>
      <c r="AI210" s="1541">
        <f>ROUNDDOWN(F210/M210*S210/AC210,3)</f>
        <v>3.0000000000000001E-3</v>
      </c>
      <c r="AJ210" s="1541"/>
      <c r="AK210" s="1541"/>
      <c r="AL210" s="1541"/>
      <c r="AM210" s="1541"/>
      <c r="AN210" s="1541"/>
      <c r="AO210" s="532"/>
      <c r="AP210" s="530" t="s">
        <v>253</v>
      </c>
      <c r="AQ210" s="533"/>
      <c r="AR210" s="532"/>
      <c r="AS210" s="532"/>
      <c r="AT210" s="532"/>
      <c r="AU210" s="532"/>
      <c r="AV210" s="532"/>
      <c r="AW210" s="532"/>
      <c r="AX210" s="532"/>
      <c r="CE210" s="86"/>
    </row>
    <row r="211" spans="1:83" s="71" customFormat="1" ht="14.1" customHeight="1">
      <c r="A211" s="85"/>
      <c r="B211" s="81"/>
      <c r="C211" s="532" t="s">
        <v>256</v>
      </c>
      <c r="D211" s="532"/>
      <c r="E211" s="532"/>
      <c r="F211" s="1540" t="s">
        <v>230</v>
      </c>
      <c r="G211" s="1462"/>
      <c r="H211" s="1462"/>
      <c r="I211" s="1462"/>
      <c r="J211" s="1462"/>
      <c r="K211" s="1462"/>
      <c r="L211" s="1462"/>
      <c r="M211" s="1462"/>
      <c r="N211" s="1462"/>
      <c r="O211" s="1462"/>
      <c r="P211" s="1462"/>
      <c r="Q211" s="1462"/>
      <c r="R211" s="1462"/>
      <c r="S211" s="1462"/>
      <c r="T211" s="1462"/>
      <c r="U211" s="1462"/>
      <c r="V211" s="1462"/>
      <c r="W211" s="1462"/>
      <c r="X211" s="1462"/>
      <c r="Y211" s="1462"/>
      <c r="Z211" s="1462"/>
      <c r="AA211" s="1462"/>
      <c r="AB211" s="1462"/>
      <c r="AC211" s="1462"/>
      <c r="AD211" s="1462"/>
      <c r="AE211" s="1462"/>
      <c r="AF211" s="1462"/>
      <c r="AG211" s="1462"/>
      <c r="AH211" s="1462"/>
      <c r="AI211" s="1462"/>
      <c r="AJ211" s="1462"/>
      <c r="AK211" s="1462"/>
      <c r="AL211" s="1462"/>
      <c r="AM211" s="1462"/>
      <c r="AN211" s="1462"/>
      <c r="AO211" s="1462"/>
      <c r="AP211" s="1462"/>
      <c r="AQ211" s="1462"/>
      <c r="AR211" s="1462"/>
      <c r="AS211" s="1462"/>
      <c r="AT211" s="1462"/>
      <c r="AU211" s="1462"/>
      <c r="AV211" s="1462"/>
      <c r="AW211" s="1462"/>
      <c r="AX211" s="1462"/>
      <c r="CE211" s="86"/>
    </row>
    <row r="212" spans="1:83" s="71" customFormat="1" ht="14.1" customHeight="1">
      <c r="A212" s="85"/>
      <c r="C212" s="532"/>
      <c r="D212" s="532"/>
      <c r="E212" s="532"/>
      <c r="F212" s="1541">
        <f>X200</f>
        <v>1</v>
      </c>
      <c r="G212" s="1541"/>
      <c r="H212" s="1541"/>
      <c r="I212" s="1541"/>
      <c r="J212" s="1541"/>
      <c r="K212" s="1541"/>
      <c r="L212" s="530" t="s">
        <v>211</v>
      </c>
      <c r="M212" s="530"/>
      <c r="N212" s="1541">
        <v>2</v>
      </c>
      <c r="O212" s="1541"/>
      <c r="P212" s="1541"/>
      <c r="Q212" s="530" t="s">
        <v>227</v>
      </c>
      <c r="R212" s="530"/>
      <c r="S212" s="1541">
        <f>F212*N212</f>
        <v>2</v>
      </c>
      <c r="T212" s="1541"/>
      <c r="U212" s="1541"/>
      <c r="V212" s="1541"/>
      <c r="W212" s="1541"/>
      <c r="X212" s="1541"/>
      <c r="Y212" s="466" t="s">
        <v>257</v>
      </c>
      <c r="Z212" s="530"/>
      <c r="AA212" s="530"/>
      <c r="AB212" s="530"/>
      <c r="AC212" s="530"/>
      <c r="AD212" s="530"/>
      <c r="AE212" s="530"/>
      <c r="AF212" s="530"/>
      <c r="AG212" s="530"/>
      <c r="AH212" s="530"/>
      <c r="AI212" s="530"/>
      <c r="AJ212" s="530"/>
      <c r="AK212" s="530"/>
      <c r="AL212" s="530"/>
      <c r="AM212" s="530"/>
      <c r="AN212" s="530"/>
      <c r="AO212" s="530"/>
      <c r="AP212" s="530"/>
      <c r="AQ212" s="530"/>
      <c r="AR212" s="530"/>
      <c r="AS212" s="530"/>
      <c r="AT212" s="530"/>
      <c r="AU212" s="530"/>
      <c r="AV212" s="530"/>
      <c r="AW212" s="532"/>
      <c r="AX212" s="532"/>
      <c r="CE212" s="86"/>
    </row>
    <row r="213" spans="1:83" s="71" customFormat="1" ht="14.1" customHeight="1">
      <c r="A213" s="85"/>
      <c r="B213" s="81"/>
      <c r="C213" s="532" t="s">
        <v>258</v>
      </c>
      <c r="D213" s="532"/>
      <c r="E213" s="532"/>
      <c r="F213" s="1540" t="s">
        <v>700</v>
      </c>
      <c r="G213" s="1462"/>
      <c r="H213" s="1462"/>
      <c r="I213" s="1462"/>
      <c r="J213" s="1462"/>
      <c r="K213" s="1462"/>
      <c r="L213" s="1462"/>
      <c r="M213" s="1462"/>
      <c r="N213" s="1462"/>
      <c r="O213" s="1462"/>
      <c r="P213" s="1462"/>
      <c r="Q213" s="1462"/>
      <c r="R213" s="1462"/>
      <c r="S213" s="1462"/>
      <c r="T213" s="1462"/>
      <c r="U213" s="1462"/>
      <c r="V213" s="1462"/>
      <c r="W213" s="1462"/>
      <c r="X213" s="1462"/>
      <c r="Y213" s="1462"/>
      <c r="Z213" s="1462"/>
      <c r="AA213" s="1462"/>
      <c r="AB213" s="1462"/>
      <c r="AC213" s="1462"/>
      <c r="AD213" s="1462"/>
      <c r="AE213" s="1462"/>
      <c r="AF213" s="1462"/>
      <c r="AG213" s="1462"/>
      <c r="AH213" s="1462"/>
      <c r="AI213" s="1462"/>
      <c r="AJ213" s="1462"/>
      <c r="AK213" s="1462"/>
      <c r="AL213" s="1462"/>
      <c r="AM213" s="1462"/>
      <c r="AN213" s="1462"/>
      <c r="AO213" s="1462"/>
      <c r="AP213" s="1462"/>
      <c r="AQ213" s="1462"/>
      <c r="AR213" s="1462"/>
      <c r="AS213" s="1462"/>
      <c r="AT213" s="1462"/>
      <c r="AU213" s="1462"/>
      <c r="AV213" s="1462"/>
      <c r="AW213" s="1462"/>
      <c r="AX213" s="1462"/>
      <c r="CE213" s="86"/>
    </row>
    <row r="214" spans="1:83" s="71" customFormat="1" ht="14.1" customHeight="1">
      <c r="A214" s="85"/>
      <c r="C214" s="532"/>
      <c r="D214" s="532"/>
      <c r="E214" s="532"/>
      <c r="F214" s="1541">
        <f>AE200</f>
        <v>1</v>
      </c>
      <c r="G214" s="1541"/>
      <c r="H214" s="1541"/>
      <c r="I214" s="1541"/>
      <c r="J214" s="1541"/>
      <c r="K214" s="1541"/>
      <c r="L214" s="530" t="s">
        <v>211</v>
      </c>
      <c r="M214" s="530"/>
      <c r="N214" s="1541">
        <f>J193+J195</f>
        <v>0.15000000000000002</v>
      </c>
      <c r="O214" s="1541"/>
      <c r="P214" s="1541"/>
      <c r="Q214" s="1541"/>
      <c r="R214" s="1541"/>
      <c r="S214" s="1541" t="s">
        <v>227</v>
      </c>
      <c r="T214" s="1541"/>
      <c r="U214" s="1541">
        <f>ROUNDDOWN(F214*N214,3)</f>
        <v>0.15</v>
      </c>
      <c r="V214" s="1541"/>
      <c r="W214" s="1541"/>
      <c r="X214" s="1541"/>
      <c r="Y214" s="1541"/>
      <c r="Z214" s="1541"/>
      <c r="AA214" s="466" t="s">
        <v>212</v>
      </c>
      <c r="AB214" s="530"/>
      <c r="AC214" s="530"/>
      <c r="AD214" s="530"/>
      <c r="AE214" s="530"/>
      <c r="AF214" s="530"/>
      <c r="AG214" s="530"/>
      <c r="AH214" s="530"/>
      <c r="AI214" s="530"/>
      <c r="AJ214" s="530"/>
      <c r="AK214" s="530"/>
      <c r="AL214" s="530"/>
      <c r="AM214" s="530"/>
      <c r="AN214" s="530"/>
      <c r="AO214" s="530"/>
      <c r="AP214" s="530"/>
      <c r="AQ214" s="530"/>
      <c r="AR214" s="530"/>
      <c r="AS214" s="530"/>
      <c r="AT214" s="530"/>
      <c r="AU214" s="530"/>
      <c r="AV214" s="530"/>
      <c r="AW214" s="532"/>
      <c r="AX214" s="532"/>
      <c r="CE214" s="86"/>
    </row>
    <row r="215" spans="1:83" s="71" customFormat="1" ht="14.1" customHeight="1">
      <c r="A215" s="85"/>
      <c r="B215" s="81"/>
      <c r="C215" s="532" t="s">
        <v>259</v>
      </c>
      <c r="D215" s="532"/>
      <c r="E215" s="532"/>
      <c r="F215" s="1540" t="s">
        <v>260</v>
      </c>
      <c r="G215" s="1462"/>
      <c r="H215" s="1462"/>
      <c r="I215" s="1462"/>
      <c r="J215" s="1462"/>
      <c r="K215" s="1462"/>
      <c r="L215" s="1462"/>
      <c r="M215" s="1462"/>
      <c r="N215" s="1462"/>
      <c r="O215" s="1462"/>
      <c r="P215" s="1462"/>
      <c r="Q215" s="1462"/>
      <c r="R215" s="1462"/>
      <c r="S215" s="1462"/>
      <c r="T215" s="1462"/>
      <c r="U215" s="1462"/>
      <c r="V215" s="1462"/>
      <c r="W215" s="1462"/>
      <c r="X215" s="1462"/>
      <c r="Y215" s="1462"/>
      <c r="Z215" s="1462"/>
      <c r="AA215" s="1462"/>
      <c r="AB215" s="1462"/>
      <c r="AC215" s="1462"/>
      <c r="AD215" s="1462"/>
      <c r="AE215" s="1462"/>
      <c r="AF215" s="1462"/>
      <c r="AG215" s="1462"/>
      <c r="AH215" s="1462"/>
      <c r="AI215" s="1462"/>
      <c r="AJ215" s="1462"/>
      <c r="AK215" s="1462"/>
      <c r="AL215" s="1462"/>
      <c r="AM215" s="1462"/>
      <c r="AN215" s="1462"/>
      <c r="AO215" s="1462"/>
      <c r="AP215" s="1462"/>
      <c r="AQ215" s="1462"/>
      <c r="AR215" s="1462"/>
      <c r="AS215" s="1462"/>
      <c r="AT215" s="1462"/>
      <c r="AU215" s="1462"/>
      <c r="AV215" s="1462"/>
      <c r="AW215" s="1462"/>
      <c r="AX215" s="1462"/>
      <c r="CE215" s="86"/>
    </row>
    <row r="216" spans="1:83" s="71" customFormat="1" ht="14.1" customHeight="1">
      <c r="A216" s="85"/>
      <c r="C216" s="532"/>
      <c r="D216" s="532"/>
      <c r="E216" s="532"/>
      <c r="F216" s="1541">
        <f>F214</f>
        <v>1</v>
      </c>
      <c r="G216" s="1541"/>
      <c r="H216" s="1541"/>
      <c r="I216" s="1541"/>
      <c r="J216" s="1541"/>
      <c r="K216" s="1541"/>
      <c r="L216" s="530" t="s">
        <v>211</v>
      </c>
      <c r="M216" s="530"/>
      <c r="N216" s="1541">
        <f>N214</f>
        <v>0.15000000000000002</v>
      </c>
      <c r="O216" s="1541"/>
      <c r="P216" s="1541"/>
      <c r="Q216" s="1541"/>
      <c r="R216" s="1541"/>
      <c r="S216" s="530" t="s">
        <v>211</v>
      </c>
      <c r="T216" s="530"/>
      <c r="U216" s="1541">
        <v>2.3199999999999998</v>
      </c>
      <c r="V216" s="1541"/>
      <c r="W216" s="1541"/>
      <c r="X216" s="1541"/>
      <c r="Y216" s="1541"/>
      <c r="Z216" s="1541" t="s">
        <v>227</v>
      </c>
      <c r="AA216" s="1541"/>
      <c r="AB216" s="1541">
        <f>ROUNDDOWN(F216*N216*U216,3)</f>
        <v>0.34799999999999998</v>
      </c>
      <c r="AC216" s="1541"/>
      <c r="AD216" s="1541"/>
      <c r="AE216" s="1541"/>
      <c r="AF216" s="1541"/>
      <c r="AG216" s="1541"/>
      <c r="AH216" s="466" t="s">
        <v>244</v>
      </c>
      <c r="AI216" s="530"/>
      <c r="AJ216" s="530"/>
      <c r="AK216" s="530"/>
      <c r="AL216" s="530"/>
      <c r="AM216" s="530"/>
      <c r="AN216" s="532"/>
      <c r="AO216" s="532"/>
      <c r="AP216" s="532"/>
      <c r="AQ216" s="532"/>
      <c r="AR216" s="530"/>
      <c r="AS216" s="530"/>
      <c r="AT216" s="530"/>
      <c r="AU216" s="530"/>
      <c r="AV216" s="530"/>
      <c r="AW216" s="532"/>
      <c r="AX216" s="532"/>
      <c r="CE216" s="86"/>
    </row>
    <row r="217" spans="1:83" s="71" customFormat="1" ht="14.1" customHeight="1">
      <c r="A217" s="85"/>
      <c r="B217" s="81"/>
      <c r="C217" s="532" t="s">
        <v>261</v>
      </c>
      <c r="D217" s="532"/>
      <c r="E217" s="532"/>
      <c r="F217" s="1540" t="s">
        <v>90</v>
      </c>
      <c r="G217" s="1462"/>
      <c r="H217" s="1462"/>
      <c r="I217" s="1462"/>
      <c r="J217" s="1462"/>
      <c r="K217" s="1462"/>
      <c r="L217" s="1462"/>
      <c r="M217" s="1462"/>
      <c r="N217" s="1462"/>
      <c r="O217" s="1462"/>
      <c r="P217" s="1462"/>
      <c r="Q217" s="1462"/>
      <c r="R217" s="1462"/>
      <c r="S217" s="1462"/>
      <c r="T217" s="1462"/>
      <c r="U217" s="1462"/>
      <c r="V217" s="1462"/>
      <c r="W217" s="1462"/>
      <c r="X217" s="1462"/>
      <c r="Y217" s="1462"/>
      <c r="Z217" s="1462"/>
      <c r="AA217" s="1462"/>
      <c r="AB217" s="1462"/>
      <c r="AC217" s="1462"/>
      <c r="AD217" s="1462"/>
      <c r="AE217" s="1462"/>
      <c r="AF217" s="1462"/>
      <c r="AG217" s="1462"/>
      <c r="AH217" s="1462"/>
      <c r="AI217" s="1462"/>
      <c r="AJ217" s="1462"/>
      <c r="AK217" s="1462"/>
      <c r="AL217" s="1462"/>
      <c r="AM217" s="1462"/>
      <c r="AN217" s="1462"/>
      <c r="AO217" s="1462"/>
      <c r="AP217" s="1462"/>
      <c r="AQ217" s="1462"/>
      <c r="AR217" s="1462"/>
      <c r="AS217" s="1462"/>
      <c r="AT217" s="1462"/>
      <c r="AU217" s="1462"/>
      <c r="AV217" s="1462"/>
      <c r="AW217" s="1462"/>
      <c r="AX217" s="1462"/>
      <c r="CE217" s="86"/>
    </row>
    <row r="218" spans="1:83" s="71" customFormat="1" ht="14.1" customHeight="1">
      <c r="A218" s="85"/>
      <c r="C218" s="532"/>
      <c r="D218" s="486"/>
      <c r="E218" s="532"/>
      <c r="F218" s="1541">
        <f>J199</f>
        <v>0.24999999999999994</v>
      </c>
      <c r="G218" s="1541"/>
      <c r="H218" s="1541"/>
      <c r="I218" s="1541"/>
      <c r="J218" s="530" t="s">
        <v>211</v>
      </c>
      <c r="K218" s="531"/>
      <c r="L218" s="1541">
        <f>AE200</f>
        <v>1</v>
      </c>
      <c r="M218" s="1541"/>
      <c r="N218" s="1541"/>
      <c r="O218" s="1541"/>
      <c r="P218" s="1541"/>
      <c r="Q218" s="1541"/>
      <c r="R218" s="1541" t="s">
        <v>227</v>
      </c>
      <c r="S218" s="1541"/>
      <c r="T218" s="1542">
        <f>ROUNDDOWN(F218*L218,3)</f>
        <v>0.25</v>
      </c>
      <c r="U218" s="1542"/>
      <c r="V218" s="1542"/>
      <c r="W218" s="1542"/>
      <c r="X218" s="1542"/>
      <c r="Y218" s="1542"/>
      <c r="Z218" s="466" t="s">
        <v>212</v>
      </c>
      <c r="AA218" s="530"/>
      <c r="AB218" s="533"/>
      <c r="AC218" s="532"/>
      <c r="AD218" s="532"/>
      <c r="AE218" s="532"/>
      <c r="AF218" s="532"/>
      <c r="AG218" s="532"/>
      <c r="AH218" s="532"/>
      <c r="AI218" s="532"/>
      <c r="AJ218" s="532"/>
      <c r="AK218" s="532"/>
      <c r="AL218" s="532"/>
      <c r="AM218" s="532"/>
      <c r="AN218" s="532"/>
      <c r="AO218" s="532"/>
      <c r="AP218" s="534"/>
      <c r="AQ218" s="532"/>
      <c r="AR218" s="532"/>
      <c r="AS218" s="532"/>
      <c r="AT218" s="532"/>
      <c r="AU218" s="535"/>
      <c r="AV218" s="532"/>
      <c r="AW218" s="532"/>
      <c r="AX218" s="532"/>
      <c r="CE218" s="86"/>
    </row>
    <row r="219" spans="1:83" s="71" customFormat="1" ht="14.1" customHeight="1">
      <c r="A219" s="85"/>
      <c r="B219" s="81"/>
      <c r="C219" s="532" t="s">
        <v>262</v>
      </c>
      <c r="D219" s="532"/>
      <c r="E219" s="532"/>
      <c r="F219" s="1540" t="s">
        <v>382</v>
      </c>
      <c r="G219" s="1462"/>
      <c r="H219" s="1462"/>
      <c r="I219" s="1462"/>
      <c r="J219" s="1462"/>
      <c r="K219" s="1462"/>
      <c r="L219" s="1462"/>
      <c r="M219" s="1462"/>
      <c r="N219" s="1462"/>
      <c r="O219" s="1462"/>
      <c r="P219" s="1462"/>
      <c r="Q219" s="1462"/>
      <c r="R219" s="1462"/>
      <c r="S219" s="1462"/>
      <c r="T219" s="1462"/>
      <c r="U219" s="1462"/>
      <c r="V219" s="1462"/>
      <c r="W219" s="1462"/>
      <c r="X219" s="1462"/>
      <c r="Y219" s="1462"/>
      <c r="Z219" s="1462"/>
      <c r="AA219" s="1462"/>
      <c r="AB219" s="1462"/>
      <c r="AC219" s="1462"/>
      <c r="AD219" s="1462"/>
      <c r="AE219" s="1462"/>
      <c r="AF219" s="1462"/>
      <c r="AG219" s="1462"/>
      <c r="AH219" s="1462"/>
      <c r="AI219" s="1462"/>
      <c r="AJ219" s="1462"/>
      <c r="AK219" s="1462"/>
      <c r="AL219" s="1462"/>
      <c r="AM219" s="1462"/>
      <c r="AN219" s="1462"/>
      <c r="AO219" s="1462"/>
      <c r="AP219" s="1462"/>
      <c r="AQ219" s="1462"/>
      <c r="AR219" s="1462"/>
      <c r="AS219" s="1462"/>
      <c r="AT219" s="1462"/>
      <c r="AU219" s="1462"/>
      <c r="AV219" s="1462"/>
      <c r="AW219" s="1462"/>
      <c r="AX219" s="1462"/>
      <c r="CE219" s="86"/>
    </row>
    <row r="220" spans="1:83" s="71" customFormat="1" ht="14.1" customHeight="1">
      <c r="A220" s="85"/>
      <c r="B220" s="81"/>
      <c r="C220" s="532"/>
      <c r="D220" s="532"/>
      <c r="E220" s="532"/>
      <c r="F220" s="530" t="s">
        <v>227</v>
      </c>
      <c r="G220" s="530"/>
      <c r="H220" s="1541">
        <f>T218</f>
        <v>0.25</v>
      </c>
      <c r="I220" s="1541"/>
      <c r="J220" s="1541"/>
      <c r="K220" s="1541"/>
      <c r="L220" s="1541"/>
      <c r="M220" s="1541"/>
      <c r="N220" s="466" t="s">
        <v>212</v>
      </c>
      <c r="O220" s="530"/>
      <c r="P220" s="533"/>
      <c r="Q220" s="532"/>
      <c r="R220" s="532"/>
      <c r="S220" s="532"/>
      <c r="T220" s="532"/>
      <c r="U220" s="532"/>
      <c r="V220" s="532"/>
      <c r="W220" s="532"/>
      <c r="X220" s="532"/>
      <c r="Y220" s="532"/>
      <c r="Z220" s="532"/>
      <c r="AA220" s="532"/>
      <c r="AB220" s="532"/>
      <c r="AC220" s="532"/>
      <c r="AD220" s="532"/>
      <c r="AE220" s="532"/>
      <c r="AF220" s="532"/>
      <c r="AG220" s="532"/>
      <c r="AH220" s="532"/>
      <c r="AI220" s="532"/>
      <c r="AJ220" s="532"/>
      <c r="AK220" s="532"/>
      <c r="AL220" s="532"/>
      <c r="AM220" s="532"/>
      <c r="AN220" s="532"/>
      <c r="AO220" s="532"/>
      <c r="AP220" s="532"/>
      <c r="AQ220" s="532"/>
      <c r="AR220" s="532"/>
      <c r="AS220" s="532"/>
      <c r="AT220" s="532"/>
      <c r="AU220" s="532"/>
      <c r="AV220" s="532"/>
      <c r="AW220" s="532"/>
      <c r="AX220" s="532"/>
      <c r="CE220" s="86"/>
    </row>
    <row r="221" spans="1:83" s="71" customFormat="1" ht="14.1" customHeight="1">
      <c r="A221" s="85"/>
      <c r="B221" s="81"/>
      <c r="F221" s="79"/>
      <c r="G221" s="79"/>
      <c r="H221" s="79"/>
      <c r="I221" s="79"/>
      <c r="J221" s="79"/>
      <c r="K221" s="79"/>
      <c r="L221" s="79"/>
      <c r="M221" s="79"/>
      <c r="N221" s="89"/>
      <c r="O221" s="79"/>
      <c r="P221" s="91"/>
      <c r="CE221" s="86"/>
    </row>
    <row r="222" spans="1:83" s="71" customFormat="1" ht="14.1" customHeight="1">
      <c r="A222" s="85"/>
      <c r="F222" s="89"/>
      <c r="T222" s="79"/>
      <c r="U222" s="79"/>
      <c r="V222" s="79"/>
      <c r="W222" s="79"/>
      <c r="CE222" s="86"/>
    </row>
    <row r="223" spans="1:83" s="71" customFormat="1" ht="14.1" customHeight="1">
      <c r="A223" s="92"/>
      <c r="B223" s="93"/>
      <c r="C223" s="93"/>
      <c r="D223" s="93"/>
      <c r="E223" s="93"/>
      <c r="F223" s="93"/>
      <c r="G223" s="93"/>
      <c r="H223" s="96"/>
      <c r="I223" s="96"/>
      <c r="J223" s="93"/>
      <c r="K223" s="93"/>
      <c r="L223" s="107"/>
      <c r="M223" s="93"/>
      <c r="N223" s="93"/>
      <c r="O223" s="93"/>
      <c r="P223" s="97"/>
      <c r="Q223" s="93"/>
      <c r="R223" s="101"/>
      <c r="S223" s="101"/>
      <c r="T223" s="101"/>
      <c r="U223" s="101"/>
      <c r="V223" s="101"/>
      <c r="W223" s="101"/>
      <c r="X223" s="101"/>
      <c r="Y223" s="100"/>
      <c r="Z223" s="101"/>
      <c r="AA223" s="101"/>
      <c r="AB223" s="101"/>
      <c r="AC223" s="96"/>
      <c r="AD223" s="93"/>
      <c r="AE223" s="93"/>
      <c r="AF223" s="101"/>
      <c r="AG223" s="101"/>
      <c r="AH223" s="101"/>
      <c r="AI223" s="101"/>
      <c r="AJ223" s="101"/>
      <c r="AK223" s="96"/>
      <c r="AL223" s="93"/>
      <c r="AM223" s="101"/>
      <c r="AN223" s="101"/>
      <c r="AO223" s="102"/>
      <c r="AP223" s="101"/>
      <c r="AQ223" s="101"/>
      <c r="AR223" s="101"/>
      <c r="AS223" s="101"/>
      <c r="AT223" s="101"/>
      <c r="AU223" s="100"/>
      <c r="AV223" s="101"/>
      <c r="AW223" s="101"/>
      <c r="AX223" s="101"/>
      <c r="AY223" s="93"/>
      <c r="AZ223" s="99"/>
      <c r="BA223" s="93"/>
      <c r="BB223" s="93"/>
      <c r="BC223" s="93"/>
      <c r="BD223" s="93"/>
      <c r="BE223" s="93"/>
      <c r="BF223" s="93"/>
      <c r="BG223" s="93"/>
      <c r="BH223" s="93"/>
      <c r="BI223" s="93"/>
      <c r="BJ223" s="93"/>
      <c r="BK223" s="93"/>
      <c r="BL223" s="93"/>
      <c r="BM223" s="93"/>
      <c r="BN223" s="93"/>
      <c r="BO223" s="93"/>
      <c r="BP223" s="93"/>
      <c r="BQ223" s="93"/>
      <c r="BR223" s="93"/>
      <c r="BS223" s="93"/>
      <c r="BT223" s="93"/>
      <c r="BU223" s="93"/>
      <c r="BV223" s="93"/>
      <c r="BW223" s="93"/>
      <c r="BX223" s="93"/>
      <c r="BY223" s="93"/>
      <c r="BZ223" s="93"/>
      <c r="CA223" s="93"/>
      <c r="CB223" s="93"/>
      <c r="CC223" s="93"/>
      <c r="CD223" s="93"/>
      <c r="CE223" s="94"/>
    </row>
    <row r="224" spans="1:83" s="71" customFormat="1" ht="18" customHeight="1">
      <c r="A224" s="85"/>
      <c r="CE224" s="86"/>
    </row>
    <row r="225" spans="1:83" s="71" customFormat="1" ht="18" customHeight="1">
      <c r="A225" s="85"/>
      <c r="CE225" s="86"/>
    </row>
    <row r="226" spans="1:83" s="71" customFormat="1" ht="18" customHeight="1">
      <c r="A226" s="85"/>
      <c r="CE226" s="86"/>
    </row>
    <row r="227" spans="1:83" s="71" customFormat="1" ht="18" customHeight="1">
      <c r="A227" s="85"/>
      <c r="CE227" s="86"/>
    </row>
    <row r="228" spans="1:83" s="71" customFormat="1" ht="18" customHeight="1">
      <c r="A228" s="85"/>
      <c r="CE228" s="86"/>
    </row>
    <row r="229" spans="1:83" s="71" customFormat="1" ht="18" customHeight="1">
      <c r="A229" s="85"/>
      <c r="CE229" s="86"/>
    </row>
    <row r="230" spans="1:83" s="71" customFormat="1" ht="18" customHeight="1">
      <c r="A230" s="85"/>
      <c r="CE230" s="86"/>
    </row>
    <row r="231" spans="1:83" s="71" customFormat="1" ht="18" customHeight="1">
      <c r="A231" s="85"/>
      <c r="CE231" s="86"/>
    </row>
    <row r="232" spans="1:83" s="71" customFormat="1" ht="18" customHeight="1">
      <c r="A232" s="85"/>
      <c r="CE232" s="86"/>
    </row>
    <row r="233" spans="1:83" s="71" customFormat="1" ht="18" customHeight="1">
      <c r="A233" s="85"/>
      <c r="CE233" s="86"/>
    </row>
    <row r="234" spans="1:83" s="71" customFormat="1" ht="18" customHeight="1">
      <c r="A234" s="85"/>
      <c r="CE234" s="86"/>
    </row>
    <row r="235" spans="1:83" s="71" customFormat="1" ht="18" customHeight="1">
      <c r="A235" s="85"/>
      <c r="CE235" s="86"/>
    </row>
    <row r="236" spans="1:83" s="71" customFormat="1" ht="18" customHeight="1">
      <c r="A236" s="85"/>
      <c r="CE236" s="86"/>
    </row>
    <row r="237" spans="1:83" s="71" customFormat="1" ht="18" customHeight="1">
      <c r="A237" s="85"/>
      <c r="CE237" s="86"/>
    </row>
    <row r="238" spans="1:83" s="71" customFormat="1" ht="18" customHeight="1">
      <c r="A238" s="85"/>
      <c r="CE238" s="86"/>
    </row>
    <row r="239" spans="1:83" s="71" customFormat="1" ht="18" customHeight="1">
      <c r="A239" s="85"/>
      <c r="CE239" s="86"/>
    </row>
    <row r="240" spans="1:83" s="71" customFormat="1" ht="18" customHeight="1">
      <c r="A240" s="85"/>
      <c r="CE240" s="86"/>
    </row>
    <row r="241" spans="1:83" s="71" customFormat="1" ht="18" customHeight="1">
      <c r="A241" s="85"/>
      <c r="CE241" s="86"/>
    </row>
    <row r="242" spans="1:83" s="71" customFormat="1" ht="18" customHeight="1">
      <c r="A242" s="85"/>
      <c r="CE242" s="86"/>
    </row>
    <row r="243" spans="1:83" s="71" customFormat="1" ht="18" customHeight="1">
      <c r="A243" s="85"/>
      <c r="CE243" s="86"/>
    </row>
    <row r="244" spans="1:83" s="71" customFormat="1" ht="18" customHeight="1">
      <c r="A244" s="85"/>
      <c r="CE244" s="86"/>
    </row>
    <row r="245" spans="1:83" s="71" customFormat="1" ht="18" customHeight="1">
      <c r="A245" s="85"/>
      <c r="CE245" s="86"/>
    </row>
    <row r="246" spans="1:83" s="71" customFormat="1" ht="18" customHeight="1">
      <c r="A246" s="85"/>
      <c r="CE246" s="86"/>
    </row>
    <row r="247" spans="1:83" s="71" customFormat="1" ht="18" customHeight="1">
      <c r="A247" s="85"/>
      <c r="CE247" s="86"/>
    </row>
    <row r="248" spans="1:83" s="71" customFormat="1" ht="18" customHeight="1">
      <c r="A248" s="85"/>
      <c r="CE248" s="86"/>
    </row>
    <row r="249" spans="1:83" s="71" customFormat="1" ht="18" customHeight="1">
      <c r="A249" s="85"/>
      <c r="CE249" s="86"/>
    </row>
    <row r="250" spans="1:83" s="71" customFormat="1" ht="18" customHeight="1">
      <c r="A250" s="85"/>
      <c r="CE250" s="86"/>
    </row>
    <row r="251" spans="1:83" s="71" customFormat="1" ht="18" customHeight="1">
      <c r="A251" s="85"/>
      <c r="CE251" s="86"/>
    </row>
    <row r="252" spans="1:83" s="71" customFormat="1" ht="18" customHeight="1">
      <c r="A252" s="85"/>
      <c r="CE252" s="86"/>
    </row>
    <row r="253" spans="1:83" s="71" customFormat="1" ht="14.25" customHeight="1">
      <c r="A253" s="85"/>
      <c r="CE253" s="86"/>
    </row>
    <row r="254" spans="1:83" s="71" customFormat="1" ht="14.25" customHeight="1">
      <c r="A254" s="85"/>
      <c r="CE254" s="86"/>
    </row>
    <row r="255" spans="1:83" s="71" customFormat="1" ht="14.25" customHeight="1">
      <c r="A255" s="85"/>
      <c r="CE255" s="86"/>
    </row>
    <row r="256" spans="1:83" s="71" customFormat="1" ht="14.25" customHeight="1">
      <c r="A256" s="85"/>
      <c r="CE256" s="86"/>
    </row>
    <row r="257" spans="1:83" s="71" customFormat="1" ht="14.25" customHeight="1">
      <c r="A257" s="85"/>
      <c r="CE257" s="86"/>
    </row>
    <row r="258" spans="1:83" s="71" customFormat="1" ht="14.25" customHeight="1">
      <c r="A258" s="85"/>
      <c r="CE258" s="86"/>
    </row>
    <row r="259" spans="1:83" s="71" customFormat="1" ht="14.25" customHeight="1">
      <c r="A259" s="85"/>
      <c r="CE259" s="86"/>
    </row>
    <row r="260" spans="1:83" s="71" customFormat="1" ht="14.25" customHeight="1">
      <c r="A260" s="85"/>
      <c r="CE260" s="86"/>
    </row>
    <row r="261" spans="1:83" s="71" customFormat="1" ht="14.25" customHeight="1">
      <c r="A261" s="85"/>
      <c r="CE261" s="86"/>
    </row>
    <row r="262" spans="1:83" s="71" customFormat="1" ht="14.25" customHeight="1">
      <c r="A262" s="85"/>
      <c r="CE262" s="86"/>
    </row>
    <row r="263" spans="1:83" s="71" customFormat="1" ht="14.25" customHeight="1">
      <c r="A263" s="85"/>
      <c r="CE263" s="86"/>
    </row>
    <row r="264" spans="1:83" s="71" customFormat="1" ht="14.25" customHeight="1">
      <c r="A264" s="85"/>
      <c r="CE264" s="86"/>
    </row>
    <row r="265" spans="1:83" s="71" customFormat="1" ht="14.25" customHeight="1">
      <c r="A265" s="85"/>
      <c r="CE265" s="86"/>
    </row>
    <row r="266" spans="1:83" s="71" customFormat="1" ht="14.25" customHeight="1">
      <c r="A266" s="85"/>
      <c r="CE266" s="86"/>
    </row>
    <row r="267" spans="1:83" s="71" customFormat="1" ht="14.25" customHeight="1">
      <c r="A267" s="85"/>
      <c r="CE267" s="86"/>
    </row>
    <row r="268" spans="1:83" s="71" customFormat="1" ht="14.25" customHeight="1">
      <c r="A268" s="85"/>
      <c r="CE268" s="86"/>
    </row>
    <row r="269" spans="1:83" s="71" customFormat="1" ht="14.25" customHeight="1">
      <c r="A269" s="85"/>
      <c r="CE269" s="86"/>
    </row>
    <row r="270" spans="1:83" s="71" customFormat="1" ht="14.25" customHeight="1">
      <c r="A270" s="85"/>
      <c r="CE270" s="86"/>
    </row>
    <row r="271" spans="1:83" s="71" customFormat="1" ht="14.25" customHeight="1">
      <c r="A271" s="85"/>
      <c r="CE271" s="86"/>
    </row>
    <row r="272" spans="1:83" s="71" customFormat="1" ht="14.25" customHeight="1">
      <c r="A272" s="85"/>
      <c r="CE272" s="86"/>
    </row>
    <row r="273" spans="1:83" s="71" customFormat="1" ht="14.25" customHeight="1">
      <c r="A273" s="85"/>
      <c r="CE273" s="86"/>
    </row>
    <row r="274" spans="1:83" s="71" customFormat="1" ht="14.25" customHeight="1">
      <c r="A274" s="85"/>
      <c r="CE274" s="86"/>
    </row>
    <row r="275" spans="1:83" s="71" customFormat="1" ht="14.25" customHeight="1">
      <c r="A275" s="85"/>
      <c r="CE275" s="86"/>
    </row>
    <row r="276" spans="1:83" s="71" customFormat="1" ht="14.25" customHeight="1">
      <c r="A276" s="85"/>
      <c r="CE276" s="86"/>
    </row>
    <row r="277" spans="1:83" s="71" customFormat="1" ht="14.25" customHeight="1">
      <c r="A277" s="85"/>
      <c r="CE277" s="86"/>
    </row>
    <row r="278" spans="1:83" s="71" customFormat="1" ht="14.25" customHeight="1">
      <c r="A278" s="85"/>
      <c r="CE278" s="86"/>
    </row>
    <row r="279" spans="1:83" s="71" customFormat="1" ht="14.25" customHeight="1">
      <c r="A279" s="85"/>
      <c r="CE279" s="86"/>
    </row>
    <row r="280" spans="1:83" s="71" customFormat="1" ht="14.25" customHeight="1">
      <c r="A280" s="85"/>
      <c r="CE280" s="86"/>
    </row>
    <row r="281" spans="1:83" s="71" customFormat="1" ht="14.25" customHeight="1">
      <c r="A281" s="85"/>
      <c r="CE281" s="86"/>
    </row>
    <row r="282" spans="1:83" s="71" customFormat="1" ht="14.25" customHeight="1">
      <c r="A282" s="85"/>
      <c r="CE282" s="86"/>
    </row>
    <row r="283" spans="1:83" s="71" customFormat="1" ht="14.25" customHeight="1">
      <c r="A283" s="85"/>
      <c r="CE283" s="86"/>
    </row>
    <row r="284" spans="1:83" s="71" customFormat="1" ht="14.25" customHeight="1">
      <c r="A284" s="85"/>
      <c r="CE284" s="86"/>
    </row>
    <row r="285" spans="1:83" s="71" customFormat="1" ht="14.25" customHeight="1">
      <c r="A285" s="85"/>
      <c r="CE285" s="86"/>
    </row>
    <row r="286" spans="1:83" s="71" customFormat="1" ht="14.25" customHeight="1">
      <c r="A286" s="85"/>
      <c r="CE286" s="86"/>
    </row>
    <row r="287" spans="1:83" s="71" customFormat="1" ht="14.25" customHeight="1">
      <c r="A287" s="85"/>
      <c r="CE287" s="86"/>
    </row>
    <row r="288" spans="1:83" s="71" customFormat="1" ht="14.25" customHeight="1">
      <c r="A288" s="85"/>
      <c r="CE288" s="86"/>
    </row>
    <row r="289" spans="1:83" s="71" customFormat="1" ht="14.25" customHeight="1">
      <c r="A289" s="85"/>
      <c r="CE289" s="86"/>
    </row>
    <row r="290" spans="1:83" s="71" customFormat="1" ht="14.25" customHeight="1">
      <c r="A290" s="85"/>
      <c r="CE290" s="86"/>
    </row>
    <row r="291" spans="1:83" s="71" customFormat="1" ht="14.25" customHeight="1">
      <c r="A291" s="85"/>
      <c r="CE291" s="86"/>
    </row>
    <row r="292" spans="1:83" s="71" customFormat="1" ht="14.25" customHeight="1">
      <c r="A292" s="85"/>
      <c r="CE292" s="86"/>
    </row>
    <row r="293" spans="1:83" s="71" customFormat="1" ht="14.25" customHeight="1">
      <c r="A293" s="85"/>
      <c r="CE293" s="86"/>
    </row>
    <row r="294" spans="1:83" s="71" customFormat="1" ht="14.25" customHeight="1">
      <c r="A294" s="85"/>
      <c r="CE294" s="86"/>
    </row>
    <row r="295" spans="1:83" s="71" customFormat="1" ht="14.25" customHeight="1">
      <c r="A295" s="85"/>
      <c r="CE295" s="86"/>
    </row>
    <row r="296" spans="1:83" s="71" customFormat="1" ht="14.25" customHeight="1">
      <c r="A296" s="85"/>
      <c r="CE296" s="86"/>
    </row>
    <row r="297" spans="1:83" s="71" customFormat="1" ht="14.25" customHeight="1">
      <c r="A297" s="85"/>
      <c r="CE297" s="86"/>
    </row>
    <row r="298" spans="1:83" s="71" customFormat="1" ht="14.25" customHeight="1">
      <c r="A298" s="85"/>
      <c r="CE298" s="86"/>
    </row>
    <row r="299" spans="1:83" s="71" customFormat="1" ht="14.25" customHeight="1">
      <c r="A299" s="85"/>
      <c r="CE299" s="86"/>
    </row>
    <row r="300" spans="1:83" s="71" customFormat="1" ht="14.25" customHeight="1">
      <c r="A300" s="85"/>
      <c r="CE300" s="86"/>
    </row>
    <row r="301" spans="1:83" s="71" customFormat="1" ht="14.25" customHeight="1">
      <c r="A301" s="85"/>
      <c r="CE301" s="86"/>
    </row>
    <row r="302" spans="1:83" s="71" customFormat="1" ht="14.25" customHeight="1">
      <c r="A302" s="85"/>
      <c r="CE302" s="86"/>
    </row>
    <row r="303" spans="1:83" s="71" customFormat="1" ht="14.25" customHeight="1">
      <c r="A303" s="85"/>
      <c r="CE303" s="86"/>
    </row>
    <row r="304" spans="1:83" s="71" customFormat="1" ht="14.25" customHeight="1">
      <c r="A304" s="85"/>
      <c r="CE304" s="86"/>
    </row>
    <row r="305" spans="1:83" s="71" customFormat="1" ht="14.25" customHeight="1">
      <c r="A305" s="85"/>
      <c r="CE305" s="86"/>
    </row>
    <row r="306" spans="1:83" s="71" customFormat="1" ht="14.25" customHeight="1">
      <c r="A306" s="85"/>
      <c r="CE306" s="86"/>
    </row>
    <row r="307" spans="1:83" s="71" customFormat="1" ht="14.25" customHeight="1">
      <c r="A307" s="85"/>
      <c r="CE307" s="86"/>
    </row>
    <row r="308" spans="1:83" s="71" customFormat="1" ht="14.25" customHeight="1">
      <c r="A308" s="85"/>
      <c r="CE308" s="86"/>
    </row>
    <row r="309" spans="1:83" s="71" customFormat="1" ht="14.25" customHeight="1">
      <c r="A309" s="85"/>
      <c r="CE309" s="86"/>
    </row>
    <row r="310" spans="1:83" s="71" customFormat="1" ht="14.25" customHeight="1">
      <c r="A310" s="85"/>
      <c r="CE310" s="86"/>
    </row>
    <row r="311" spans="1:83" s="71" customFormat="1" ht="14.25" customHeight="1">
      <c r="A311" s="85"/>
      <c r="CE311" s="86"/>
    </row>
    <row r="312" spans="1:83" s="71" customFormat="1" ht="14.25" customHeight="1">
      <c r="A312" s="85"/>
      <c r="CE312" s="86"/>
    </row>
    <row r="313" spans="1:83" s="71" customFormat="1" ht="14.25" customHeight="1">
      <c r="A313" s="85"/>
      <c r="CE313" s="86"/>
    </row>
    <row r="314" spans="1:83" s="71" customFormat="1" ht="14.25" customHeight="1">
      <c r="A314" s="85"/>
      <c r="CE314" s="86"/>
    </row>
    <row r="315" spans="1:83" s="71" customFormat="1" ht="14.25" customHeight="1">
      <c r="A315" s="85"/>
      <c r="CE315" s="86"/>
    </row>
    <row r="316" spans="1:83" s="71" customFormat="1" ht="14.25" customHeight="1">
      <c r="A316" s="85"/>
      <c r="CE316" s="86"/>
    </row>
    <row r="317" spans="1:83" s="71" customFormat="1" ht="14.25" customHeight="1">
      <c r="A317" s="85"/>
      <c r="CE317" s="86"/>
    </row>
    <row r="318" spans="1:83" s="71" customFormat="1" ht="14.25" customHeight="1">
      <c r="A318" s="85"/>
      <c r="CE318" s="86"/>
    </row>
    <row r="319" spans="1:83" s="71" customFormat="1" ht="14.25" customHeight="1">
      <c r="A319" s="85"/>
      <c r="CE319" s="86"/>
    </row>
    <row r="320" spans="1:83" s="71" customFormat="1" ht="14.25" customHeight="1">
      <c r="A320" s="85"/>
      <c r="CE320" s="86"/>
    </row>
    <row r="321" spans="1:83" s="71" customFormat="1" ht="14.25" customHeight="1">
      <c r="A321" s="85"/>
      <c r="CE321" s="86"/>
    </row>
    <row r="322" spans="1:83" s="71" customFormat="1" ht="14.25" customHeight="1">
      <c r="A322" s="85"/>
      <c r="CE322" s="86"/>
    </row>
    <row r="323" spans="1:83" s="71" customFormat="1" ht="14.25" customHeight="1">
      <c r="A323" s="85"/>
      <c r="CE323" s="86"/>
    </row>
    <row r="324" spans="1:83" s="71" customFormat="1" ht="14.25" customHeight="1">
      <c r="A324" s="85"/>
      <c r="CE324" s="86"/>
    </row>
    <row r="325" spans="1:83" s="71" customFormat="1" ht="14.25" customHeight="1">
      <c r="A325" s="85"/>
      <c r="CE325" s="86"/>
    </row>
    <row r="326" spans="1:83" s="71" customFormat="1" ht="14.25" customHeight="1">
      <c r="A326" s="85"/>
      <c r="CE326" s="86"/>
    </row>
    <row r="327" spans="1:83" s="71" customFormat="1" ht="14.25" customHeight="1">
      <c r="A327" s="85"/>
      <c r="CE327" s="86"/>
    </row>
    <row r="328" spans="1:83" s="71" customFormat="1" ht="14.25" customHeight="1">
      <c r="A328" s="85"/>
      <c r="CE328" s="86"/>
    </row>
    <row r="329" spans="1:83" s="71" customFormat="1" ht="14.25" customHeight="1">
      <c r="A329" s="85"/>
      <c r="CE329" s="86"/>
    </row>
    <row r="330" spans="1:83" s="71" customFormat="1" ht="14.25" customHeight="1">
      <c r="A330" s="85"/>
      <c r="CE330" s="86"/>
    </row>
    <row r="331" spans="1:83" s="71" customFormat="1" ht="14.25" customHeight="1">
      <c r="A331" s="85"/>
      <c r="CE331" s="86"/>
    </row>
    <row r="332" spans="1:83" s="71" customFormat="1" ht="14.25" customHeight="1">
      <c r="A332" s="85"/>
      <c r="CE332" s="86"/>
    </row>
    <row r="333" spans="1:83" s="71" customFormat="1" ht="14.25" customHeight="1">
      <c r="A333" s="85"/>
      <c r="CE333" s="86"/>
    </row>
    <row r="334" spans="1:83" s="71" customFormat="1" ht="14.25" customHeight="1">
      <c r="A334" s="92"/>
      <c r="B334" s="93"/>
      <c r="C334" s="93"/>
      <c r="D334" s="93"/>
      <c r="E334" s="93"/>
      <c r="F334" s="93"/>
      <c r="G334" s="93"/>
      <c r="H334" s="93"/>
      <c r="I334" s="93"/>
      <c r="J334" s="93"/>
      <c r="K334" s="93"/>
      <c r="L334" s="93"/>
      <c r="M334" s="93"/>
      <c r="N334" s="93"/>
      <c r="O334" s="93"/>
      <c r="P334" s="93"/>
      <c r="Q334" s="93"/>
      <c r="R334" s="93"/>
      <c r="S334" s="93"/>
      <c r="T334" s="93"/>
      <c r="U334" s="93"/>
      <c r="V334" s="93"/>
      <c r="W334" s="93"/>
      <c r="X334" s="93"/>
      <c r="Y334" s="93"/>
      <c r="Z334" s="93"/>
      <c r="AA334" s="93"/>
      <c r="AB334" s="93"/>
      <c r="AC334" s="93"/>
      <c r="AD334" s="93"/>
      <c r="AE334" s="93"/>
      <c r="AF334" s="93"/>
      <c r="AG334" s="93"/>
      <c r="AH334" s="93"/>
      <c r="AI334" s="93"/>
      <c r="AJ334" s="93"/>
      <c r="AK334" s="93"/>
      <c r="AL334" s="93"/>
      <c r="AM334" s="93"/>
      <c r="AN334" s="93"/>
      <c r="AO334" s="93"/>
      <c r="AP334" s="93"/>
      <c r="AQ334" s="93"/>
      <c r="AR334" s="93"/>
      <c r="AS334" s="93"/>
      <c r="AT334" s="93"/>
      <c r="AU334" s="93"/>
      <c r="AV334" s="93"/>
      <c r="AW334" s="93"/>
      <c r="AX334" s="93"/>
      <c r="AY334" s="93"/>
      <c r="AZ334" s="93"/>
      <c r="BA334" s="93"/>
      <c r="BB334" s="93"/>
      <c r="BC334" s="93"/>
      <c r="BD334" s="93"/>
      <c r="BE334" s="93"/>
      <c r="BF334" s="93"/>
      <c r="BG334" s="93"/>
      <c r="BH334" s="93"/>
      <c r="BI334" s="93"/>
      <c r="BJ334" s="93"/>
      <c r="BK334" s="93"/>
      <c r="BL334" s="93"/>
      <c r="BM334" s="93"/>
      <c r="BN334" s="93"/>
      <c r="BO334" s="93"/>
      <c r="BP334" s="93"/>
      <c r="BQ334" s="93"/>
      <c r="BR334" s="93"/>
      <c r="BS334" s="93"/>
      <c r="BT334" s="93"/>
      <c r="BU334" s="93"/>
      <c r="BV334" s="93"/>
      <c r="BW334" s="93"/>
      <c r="BX334" s="93"/>
      <c r="BY334" s="93"/>
      <c r="BZ334" s="93"/>
      <c r="CA334" s="93"/>
      <c r="CB334" s="93"/>
      <c r="CC334" s="93"/>
      <c r="CD334" s="93"/>
      <c r="CE334" s="94"/>
    </row>
    <row r="335" spans="1:83" s="69" customFormat="1" ht="14.25" customHeight="1">
      <c r="A335" s="70"/>
      <c r="F335" s="71"/>
      <c r="G335" s="71"/>
      <c r="H335" s="71"/>
      <c r="I335" s="71"/>
      <c r="J335" s="71"/>
      <c r="K335" s="71"/>
      <c r="L335" s="71"/>
      <c r="M335" s="71"/>
      <c r="N335" s="71"/>
      <c r="O335" s="71"/>
      <c r="P335" s="71"/>
      <c r="Q335" s="71"/>
      <c r="R335" s="71"/>
      <c r="S335" s="71"/>
      <c r="T335" s="71"/>
      <c r="U335" s="71"/>
      <c r="V335" s="71"/>
      <c r="W335" s="71"/>
      <c r="X335" s="71"/>
      <c r="Y335" s="71"/>
      <c r="Z335" s="71"/>
      <c r="AA335" s="71"/>
      <c r="AB335" s="71"/>
      <c r="AC335" s="71"/>
      <c r="AD335" s="71"/>
      <c r="AE335" s="71"/>
      <c r="AF335" s="71"/>
      <c r="AG335" s="71"/>
      <c r="AH335" s="71"/>
      <c r="AI335" s="71"/>
      <c r="AJ335" s="71"/>
      <c r="AK335" s="71"/>
      <c r="AL335" s="71"/>
      <c r="AM335" s="71"/>
      <c r="AN335" s="71"/>
      <c r="AO335" s="71"/>
      <c r="AP335" s="71"/>
      <c r="AQ335" s="71"/>
      <c r="CE335" s="80"/>
    </row>
    <row r="336" spans="1:83" s="69" customFormat="1" ht="14.25" customHeight="1">
      <c r="A336" s="70"/>
      <c r="F336" s="71"/>
      <c r="G336" s="119"/>
      <c r="J336" s="120" t="s">
        <v>427</v>
      </c>
      <c r="K336" s="73"/>
      <c r="L336" s="74"/>
      <c r="M336" s="74"/>
      <c r="N336" s="74"/>
      <c r="O336" s="74"/>
      <c r="P336" s="75"/>
      <c r="AE336" s="75"/>
      <c r="AF336" s="75"/>
      <c r="AG336" s="83"/>
      <c r="AH336" s="83"/>
      <c r="AI336" s="83"/>
      <c r="AJ336" s="83"/>
      <c r="AK336" s="83"/>
      <c r="AL336" s="74"/>
      <c r="AN336" s="75"/>
      <c r="AO336" s="83"/>
      <c r="AP336" s="83"/>
      <c r="AQ336" s="83"/>
      <c r="AR336" s="83"/>
      <c r="AS336" s="83"/>
      <c r="AT336" s="75"/>
      <c r="AV336" s="121"/>
      <c r="AX336" s="75">
        <v>1</v>
      </c>
      <c r="AY336" s="78"/>
      <c r="AZ336" s="78"/>
      <c r="BA336" s="78"/>
      <c r="BB336" s="78"/>
      <c r="BC336" s="78"/>
      <c r="BD336" s="71"/>
      <c r="BE336" s="74" t="s">
        <v>206</v>
      </c>
      <c r="BG336" s="71"/>
      <c r="BH336" s="71"/>
      <c r="BI336" s="71"/>
      <c r="BJ336" s="71"/>
      <c r="CE336" s="80"/>
    </row>
    <row r="337" spans="1:83" s="69" customFormat="1" ht="14.25" customHeight="1">
      <c r="A337" s="70"/>
      <c r="F337" s="71"/>
      <c r="G337" s="72"/>
      <c r="H337" s="73"/>
      <c r="I337" s="74"/>
      <c r="J337" s="74"/>
      <c r="K337" s="74"/>
      <c r="L337" s="74"/>
      <c r="M337" s="75"/>
      <c r="N337" s="75"/>
      <c r="O337" s="75"/>
      <c r="P337" s="76"/>
      <c r="Q337" s="71"/>
      <c r="R337" s="74"/>
      <c r="S337" s="75"/>
      <c r="T337" s="76"/>
      <c r="U337" s="76"/>
      <c r="V337" s="75"/>
      <c r="W337" s="74"/>
      <c r="X337" s="77"/>
      <c r="Y337" s="78"/>
      <c r="Z337" s="79"/>
      <c r="AA337" s="79"/>
      <c r="AB337" s="79"/>
      <c r="AC337" s="74"/>
      <c r="AD337" s="71"/>
      <c r="AE337" s="71"/>
      <c r="AF337" s="71"/>
      <c r="AG337" s="71"/>
      <c r="AH337" s="71"/>
      <c r="AI337" s="71"/>
      <c r="AJ337" s="71"/>
      <c r="AK337" s="71"/>
      <c r="AL337" s="71"/>
      <c r="AM337" s="71"/>
      <c r="AN337" s="71"/>
      <c r="AO337" s="71"/>
      <c r="AP337" s="71"/>
      <c r="AQ337" s="71"/>
      <c r="CE337" s="80"/>
    </row>
    <row r="338" spans="1:83" s="69" customFormat="1" ht="14.25" customHeight="1">
      <c r="A338" s="70"/>
      <c r="F338" s="71"/>
      <c r="G338" s="72"/>
      <c r="H338" s="73"/>
      <c r="I338" s="74"/>
      <c r="J338" s="74"/>
      <c r="K338" s="74"/>
      <c r="L338" s="74"/>
      <c r="M338" s="75"/>
      <c r="N338" s="75"/>
      <c r="O338" s="75"/>
      <c r="P338" s="76"/>
      <c r="Q338" s="71"/>
      <c r="R338" s="74"/>
      <c r="S338" s="75"/>
      <c r="T338" s="76"/>
      <c r="U338" s="76"/>
      <c r="V338" s="75"/>
      <c r="W338" s="74"/>
      <c r="X338" s="77"/>
      <c r="Y338" s="78"/>
      <c r="Z338" s="79"/>
      <c r="AA338" s="79"/>
      <c r="AB338" s="79"/>
      <c r="AC338" s="74"/>
      <c r="AD338" s="71"/>
      <c r="AE338" s="71"/>
      <c r="AF338" s="71"/>
      <c r="AG338" s="71"/>
      <c r="AH338" s="71"/>
      <c r="AI338" s="71"/>
      <c r="AJ338" s="71"/>
      <c r="AK338" s="71"/>
      <c r="AL338" s="71"/>
      <c r="AM338" s="71"/>
      <c r="AN338" s="71"/>
      <c r="AO338" s="71"/>
      <c r="AP338" s="71"/>
      <c r="AQ338" s="71"/>
      <c r="AR338" s="71"/>
      <c r="AS338" s="71"/>
      <c r="AT338" s="71"/>
      <c r="AU338" s="71"/>
      <c r="AV338" s="71"/>
      <c r="AW338" s="71"/>
      <c r="AX338" s="71"/>
      <c r="AY338" s="71"/>
      <c r="AZ338" s="71"/>
      <c r="BA338" s="71"/>
      <c r="BB338" s="71"/>
      <c r="BC338" s="71"/>
      <c r="BD338" s="71"/>
      <c r="BE338" s="71"/>
      <c r="BF338" s="71"/>
      <c r="BG338" s="71"/>
      <c r="BH338" s="71"/>
      <c r="BI338" s="71"/>
      <c r="BJ338" s="71"/>
      <c r="BK338" s="71"/>
      <c r="BL338" s="71"/>
      <c r="BM338" s="71"/>
      <c r="BN338" s="71"/>
      <c r="BO338" s="71"/>
      <c r="BP338" s="71"/>
      <c r="BQ338" s="71"/>
      <c r="BR338" s="71"/>
      <c r="CE338" s="80"/>
    </row>
    <row r="339" spans="1:83" s="69" customFormat="1" ht="14.25" customHeight="1">
      <c r="A339" s="70"/>
      <c r="F339" s="71"/>
      <c r="G339" s="71"/>
      <c r="H339" s="71"/>
      <c r="I339" s="71"/>
      <c r="J339" s="71"/>
      <c r="K339" s="71"/>
      <c r="L339" s="71"/>
      <c r="M339" s="71"/>
      <c r="N339" s="71"/>
      <c r="O339" s="71"/>
      <c r="P339" s="71"/>
      <c r="Q339" s="71"/>
      <c r="R339" s="71"/>
      <c r="S339" s="71"/>
      <c r="Y339" s="71"/>
      <c r="Z339" s="71"/>
      <c r="AA339" s="71"/>
      <c r="AB339" s="71"/>
      <c r="AC339" s="71"/>
      <c r="AD339" s="71"/>
      <c r="AE339" s="71"/>
      <c r="AF339" s="71"/>
      <c r="AG339" s="71"/>
      <c r="AH339" s="71"/>
      <c r="AI339" s="71"/>
      <c r="AJ339" s="71"/>
      <c r="AK339" s="71"/>
      <c r="AL339" s="71"/>
      <c r="AM339" s="71"/>
      <c r="AN339" s="71"/>
      <c r="AO339" s="71"/>
      <c r="AP339" s="71"/>
      <c r="AQ339" s="71"/>
      <c r="AR339" s="71"/>
      <c r="AS339" s="71"/>
      <c r="AT339" s="71"/>
      <c r="AU339" s="71"/>
      <c r="AV339" s="71"/>
      <c r="AW339" s="71"/>
      <c r="AX339" s="71"/>
      <c r="AY339" s="71"/>
      <c r="AZ339" s="71"/>
      <c r="BA339" s="71"/>
      <c r="BB339" s="71"/>
      <c r="BC339" s="71"/>
      <c r="BD339" s="71"/>
      <c r="BE339" s="71"/>
      <c r="BF339" s="71"/>
      <c r="BG339" s="71"/>
      <c r="BH339" s="71"/>
      <c r="BI339" s="71"/>
      <c r="BJ339" s="71"/>
      <c r="BK339" s="71"/>
      <c r="BL339" s="71"/>
      <c r="BM339" s="71"/>
      <c r="BN339" s="71"/>
      <c r="BO339" s="71"/>
      <c r="BP339" s="71"/>
      <c r="BQ339" s="71"/>
      <c r="BR339" s="71"/>
      <c r="CE339" s="80"/>
    </row>
    <row r="340" spans="1:83" s="69" customFormat="1" ht="14.25" customHeight="1">
      <c r="A340" s="70"/>
      <c r="F340" s="71"/>
      <c r="G340" s="71"/>
      <c r="H340" s="71"/>
      <c r="I340" s="71"/>
      <c r="J340" s="71"/>
      <c r="K340" s="71"/>
      <c r="L340" s="71"/>
      <c r="M340" s="71"/>
      <c r="N340" s="71"/>
      <c r="O340" s="71"/>
      <c r="P340" s="71"/>
      <c r="Q340" s="71"/>
      <c r="Z340" s="71"/>
      <c r="AA340" s="71"/>
      <c r="AB340" s="71"/>
      <c r="AC340" s="71"/>
      <c r="AD340" s="71"/>
      <c r="AE340" s="71"/>
      <c r="AF340" s="71"/>
      <c r="AG340" s="71"/>
      <c r="AI340" s="71"/>
      <c r="AJ340" s="71"/>
      <c r="AK340" s="71"/>
      <c r="AL340" s="71"/>
      <c r="AM340" s="71"/>
      <c r="AN340" s="71"/>
      <c r="AO340" s="71"/>
      <c r="AP340" s="71"/>
      <c r="AQ340" s="71"/>
      <c r="AR340" s="71"/>
      <c r="AS340" s="71"/>
      <c r="AT340" s="71"/>
      <c r="AU340" s="71"/>
      <c r="AV340" s="71"/>
      <c r="AW340" s="71"/>
      <c r="AX340" s="71"/>
      <c r="AY340" s="71"/>
      <c r="AZ340" s="71"/>
      <c r="BA340" s="71"/>
      <c r="BB340" s="71"/>
      <c r="BC340" s="71"/>
      <c r="BD340" s="71"/>
      <c r="BE340" s="71"/>
      <c r="BF340" s="71"/>
      <c r="BG340" s="71"/>
      <c r="BH340" s="71"/>
      <c r="BI340" s="71"/>
      <c r="BJ340" s="71"/>
      <c r="BK340" s="71"/>
      <c r="BL340" s="71"/>
      <c r="BM340" s="71"/>
      <c r="BN340" s="71"/>
      <c r="BO340" s="71"/>
      <c r="BP340" s="71"/>
      <c r="BQ340" s="71"/>
      <c r="BR340" s="71"/>
      <c r="CE340" s="80"/>
    </row>
    <row r="341" spans="1:83" s="69" customFormat="1" ht="14.25" customHeight="1">
      <c r="A341" s="70"/>
      <c r="F341" s="71"/>
      <c r="G341" s="71"/>
      <c r="H341" s="71"/>
      <c r="I341" s="71"/>
      <c r="J341" s="71"/>
      <c r="K341" s="71"/>
      <c r="L341" s="71"/>
      <c r="M341" s="71"/>
      <c r="N341" s="71"/>
      <c r="O341" s="71"/>
      <c r="P341" s="71"/>
      <c r="Q341" s="71"/>
      <c r="R341" s="71"/>
      <c r="S341" s="71"/>
      <c r="T341" s="71"/>
      <c r="U341" s="71"/>
      <c r="V341" s="71"/>
      <c r="W341" s="71"/>
      <c r="X341" s="71"/>
      <c r="Z341" s="71"/>
      <c r="AA341" s="71"/>
      <c r="AB341" s="71"/>
      <c r="AC341" s="71"/>
      <c r="AD341" s="71"/>
      <c r="AE341" s="71"/>
      <c r="AF341" s="71"/>
      <c r="AG341" s="71"/>
      <c r="AH341" s="71"/>
      <c r="AI341" s="71"/>
      <c r="AJ341" s="71"/>
      <c r="AK341" s="71"/>
      <c r="AL341" s="71"/>
      <c r="AM341" s="71"/>
      <c r="AN341" s="71"/>
      <c r="AO341" s="71"/>
      <c r="AP341" s="71"/>
      <c r="AQ341" s="71"/>
      <c r="AR341" s="71"/>
      <c r="AS341" s="71"/>
      <c r="AT341" s="71"/>
      <c r="AU341" s="71"/>
      <c r="AV341" s="71"/>
      <c r="AW341" s="71"/>
      <c r="AX341" s="71"/>
      <c r="AY341" s="71"/>
      <c r="AZ341" s="71"/>
      <c r="BA341" s="71"/>
      <c r="BB341" s="71"/>
      <c r="BC341" s="71"/>
      <c r="BD341" s="71"/>
      <c r="BE341" s="71"/>
      <c r="BF341" s="71"/>
      <c r="BG341" s="71"/>
      <c r="BH341" s="71"/>
      <c r="BI341" s="71"/>
      <c r="BJ341" s="71"/>
      <c r="BK341" s="71"/>
      <c r="BL341" s="71"/>
      <c r="BM341" s="71"/>
      <c r="BN341" s="71"/>
      <c r="BO341" s="71"/>
      <c r="BP341" s="71"/>
      <c r="BQ341" s="71"/>
      <c r="BR341" s="71"/>
      <c r="CE341" s="80"/>
    </row>
    <row r="342" spans="1:83" s="69" customFormat="1" ht="14.25" customHeight="1">
      <c r="A342" s="70"/>
      <c r="F342" s="71"/>
      <c r="G342" s="71"/>
      <c r="H342" s="71"/>
      <c r="I342" s="71"/>
      <c r="J342" s="81" t="s">
        <v>428</v>
      </c>
      <c r="K342" s="71"/>
      <c r="L342" s="71"/>
      <c r="M342" s="82" t="s">
        <v>391</v>
      </c>
      <c r="N342" s="71"/>
      <c r="O342" s="79">
        <f>(O348+O350+O352)*0.3*2+O344</f>
        <v>1.1800000000000002</v>
      </c>
      <c r="P342" s="79"/>
      <c r="Q342" s="79"/>
      <c r="R342" s="79"/>
      <c r="S342" s="79"/>
      <c r="T342" s="71"/>
      <c r="U342" s="71"/>
      <c r="V342" s="71"/>
      <c r="W342" s="71"/>
      <c r="X342" s="71"/>
      <c r="Z342" s="71"/>
      <c r="AA342" s="71"/>
      <c r="AB342" s="71"/>
      <c r="AC342" s="71"/>
      <c r="AD342" s="71"/>
      <c r="AE342" s="71"/>
      <c r="AF342" s="71"/>
      <c r="AG342" s="71"/>
      <c r="AH342" s="71"/>
      <c r="AI342" s="71"/>
      <c r="AJ342" s="71"/>
      <c r="AK342" s="81"/>
      <c r="AL342" s="71"/>
      <c r="AM342" s="71"/>
      <c r="AN342" s="71"/>
      <c r="AO342" s="71"/>
      <c r="AP342" s="71"/>
      <c r="AQ342" s="71"/>
      <c r="AR342" s="71"/>
      <c r="AS342" s="71"/>
      <c r="AT342" s="71"/>
      <c r="AU342" s="71"/>
      <c r="AV342" s="71"/>
      <c r="AW342" s="71"/>
      <c r="AX342" s="71"/>
      <c r="AY342" s="71"/>
      <c r="AZ342" s="81"/>
      <c r="BA342" s="71"/>
      <c r="BB342" s="71"/>
      <c r="BC342" s="71"/>
      <c r="BD342" s="71"/>
      <c r="BE342" s="71"/>
      <c r="BF342" s="71"/>
      <c r="BG342" s="71"/>
      <c r="BH342" s="71"/>
      <c r="BI342" s="71"/>
      <c r="BJ342" s="71"/>
      <c r="BK342" s="71"/>
      <c r="BL342" s="71"/>
      <c r="BM342" s="71"/>
      <c r="BN342" s="71"/>
      <c r="BO342" s="71"/>
      <c r="BP342" s="71"/>
      <c r="BQ342" s="71"/>
      <c r="BR342" s="71"/>
      <c r="CE342" s="80"/>
    </row>
    <row r="343" spans="1:83" s="69" customFormat="1" ht="14.25" customHeight="1">
      <c r="A343" s="70"/>
      <c r="F343" s="71"/>
      <c r="G343" s="71"/>
      <c r="H343" s="71"/>
      <c r="I343" s="71"/>
      <c r="J343" s="81"/>
      <c r="K343" s="71"/>
      <c r="L343" s="71"/>
      <c r="M343" s="71"/>
      <c r="N343" s="71"/>
      <c r="O343" s="79"/>
      <c r="P343" s="79"/>
      <c r="Q343" s="79"/>
      <c r="R343" s="79"/>
      <c r="S343" s="79"/>
      <c r="T343" s="71"/>
      <c r="U343" s="71"/>
      <c r="V343" s="71"/>
      <c r="W343" s="71"/>
      <c r="X343" s="71"/>
      <c r="Z343" s="83"/>
      <c r="AB343" s="71"/>
      <c r="AC343" s="71"/>
      <c r="AD343" s="71"/>
      <c r="AE343" s="71"/>
      <c r="AF343" s="81"/>
      <c r="AG343" s="81"/>
      <c r="AH343" s="81"/>
      <c r="AI343" s="81"/>
      <c r="AJ343" s="81"/>
      <c r="AK343" s="81"/>
      <c r="AL343" s="81"/>
      <c r="AM343" s="81"/>
      <c r="AN343" s="81"/>
      <c r="AO343" s="81"/>
      <c r="AP343" s="81"/>
      <c r="AQ343" s="71"/>
      <c r="AR343" s="71"/>
      <c r="AS343" s="71"/>
      <c r="AT343" s="71"/>
      <c r="AU343" s="71"/>
      <c r="AV343" s="71"/>
      <c r="AW343" s="71"/>
      <c r="AX343" s="81"/>
      <c r="AY343" s="81"/>
      <c r="AZ343" s="81"/>
      <c r="BA343" s="81"/>
      <c r="BB343" s="81"/>
      <c r="BC343" s="81"/>
      <c r="BD343" s="81"/>
      <c r="BE343" s="81"/>
      <c r="BF343" s="71"/>
      <c r="BG343" s="71"/>
      <c r="BH343" s="71"/>
      <c r="BI343" s="71"/>
      <c r="BJ343" s="71"/>
      <c r="BK343" s="71"/>
      <c r="BL343" s="71"/>
      <c r="BM343" s="71"/>
      <c r="BN343" s="71"/>
      <c r="BO343" s="71"/>
      <c r="BP343" s="71"/>
      <c r="BQ343" s="71"/>
      <c r="BR343" s="71"/>
      <c r="CE343" s="80"/>
    </row>
    <row r="344" spans="1:83" s="69" customFormat="1" ht="14.25" customHeight="1">
      <c r="A344" s="70"/>
      <c r="F344" s="71"/>
      <c r="G344" s="71"/>
      <c r="H344" s="71"/>
      <c r="I344" s="71"/>
      <c r="J344" s="81" t="s">
        <v>429</v>
      </c>
      <c r="K344" s="71"/>
      <c r="L344" s="71"/>
      <c r="M344" s="82" t="s">
        <v>391</v>
      </c>
      <c r="N344" s="71"/>
      <c r="O344" s="84">
        <v>0.4</v>
      </c>
      <c r="P344" s="79"/>
      <c r="Q344" s="79"/>
      <c r="R344" s="79"/>
      <c r="S344" s="79"/>
      <c r="T344" s="71"/>
      <c r="U344" s="71"/>
      <c r="V344" s="71"/>
      <c r="W344" s="71"/>
      <c r="X344" s="71"/>
      <c r="AB344" s="71"/>
      <c r="AC344" s="71"/>
      <c r="AD344" s="71"/>
      <c r="AE344" s="71"/>
      <c r="AF344" s="81"/>
      <c r="AG344" s="71"/>
      <c r="AH344" s="71"/>
      <c r="AI344" s="71"/>
      <c r="AJ344" s="71"/>
      <c r="AK344" s="71"/>
      <c r="AL344" s="71"/>
      <c r="AM344" s="71"/>
      <c r="AN344" s="71"/>
      <c r="AO344" s="71"/>
      <c r="AP344" s="81"/>
      <c r="AQ344" s="71"/>
      <c r="AR344" s="71"/>
      <c r="AS344" s="71"/>
      <c r="AT344" s="71"/>
      <c r="AU344" s="71"/>
      <c r="AV344" s="71"/>
      <c r="AW344" s="71"/>
      <c r="AX344" s="71"/>
      <c r="AY344" s="71"/>
      <c r="AZ344" s="71"/>
      <c r="BA344" s="71"/>
      <c r="BB344" s="71"/>
      <c r="BC344" s="71"/>
      <c r="BD344" s="71"/>
      <c r="BE344" s="81"/>
      <c r="BF344" s="71"/>
      <c r="BG344" s="71"/>
      <c r="BH344" s="71"/>
      <c r="BI344" s="71"/>
      <c r="BJ344" s="71"/>
      <c r="BK344" s="71"/>
      <c r="BL344" s="71"/>
      <c r="BM344" s="71"/>
      <c r="BN344" s="71"/>
      <c r="BO344" s="71"/>
      <c r="BP344" s="71"/>
      <c r="BQ344" s="71"/>
      <c r="BR344" s="71"/>
      <c r="CE344" s="80"/>
    </row>
    <row r="345" spans="1:83" s="69" customFormat="1" ht="14.25" customHeight="1">
      <c r="A345" s="70"/>
      <c r="F345" s="71"/>
      <c r="G345" s="71"/>
      <c r="H345" s="71"/>
      <c r="I345" s="71"/>
      <c r="J345" s="81"/>
      <c r="K345" s="71"/>
      <c r="L345" s="71"/>
      <c r="M345" s="71"/>
      <c r="N345" s="71"/>
      <c r="O345" s="79"/>
      <c r="P345" s="79"/>
      <c r="Q345" s="79"/>
      <c r="R345" s="79"/>
      <c r="S345" s="79"/>
      <c r="T345" s="71"/>
      <c r="U345" s="71"/>
      <c r="V345" s="71"/>
      <c r="W345" s="71"/>
      <c r="X345" s="71"/>
      <c r="AB345" s="71"/>
      <c r="AC345" s="71"/>
      <c r="AD345" s="71"/>
      <c r="AE345" s="71"/>
      <c r="AF345" s="71"/>
      <c r="AG345" s="71"/>
      <c r="AH345" s="71"/>
      <c r="AI345" s="71"/>
      <c r="AJ345" s="71"/>
      <c r="AK345" s="71"/>
      <c r="AL345" s="71"/>
      <c r="AM345" s="71"/>
      <c r="AN345" s="71"/>
      <c r="AO345" s="71"/>
      <c r="AP345" s="71"/>
      <c r="AQ345" s="71"/>
      <c r="AR345" s="71"/>
      <c r="AS345" s="71"/>
      <c r="AT345" s="71"/>
      <c r="AU345" s="71"/>
      <c r="AV345" s="71"/>
      <c r="AW345" s="71"/>
      <c r="AX345" s="71"/>
      <c r="AY345" s="71"/>
      <c r="AZ345" s="71"/>
      <c r="BA345" s="71"/>
      <c r="BB345" s="71"/>
      <c r="BC345" s="71"/>
      <c r="BD345" s="71"/>
      <c r="BE345" s="71"/>
      <c r="BF345" s="71"/>
      <c r="BG345" s="71"/>
      <c r="BH345" s="71"/>
      <c r="BI345" s="71"/>
      <c r="BJ345" s="71"/>
      <c r="BK345" s="71"/>
      <c r="BL345" s="71"/>
      <c r="BM345" s="71"/>
      <c r="BN345" s="71"/>
      <c r="BO345" s="71"/>
      <c r="BP345" s="71"/>
      <c r="BQ345" s="71"/>
      <c r="BR345" s="71"/>
      <c r="CE345" s="80"/>
    </row>
    <row r="346" spans="1:83" s="69" customFormat="1" ht="14.25" customHeight="1">
      <c r="A346" s="70"/>
      <c r="F346" s="71"/>
      <c r="G346" s="71"/>
      <c r="H346" s="71"/>
      <c r="I346" s="71"/>
      <c r="J346" s="81" t="s">
        <v>392</v>
      </c>
      <c r="K346" s="71"/>
      <c r="L346" s="71"/>
      <c r="M346" s="82" t="s">
        <v>391</v>
      </c>
      <c r="N346" s="71"/>
      <c r="O346" s="79">
        <f>O344+O352*0.1*2</f>
        <v>0.44000000000000006</v>
      </c>
      <c r="P346" s="79"/>
      <c r="Q346" s="79"/>
      <c r="R346" s="79"/>
      <c r="S346" s="79"/>
      <c r="T346" s="71"/>
      <c r="U346" s="71"/>
      <c r="V346" s="71"/>
      <c r="W346" s="71"/>
      <c r="X346" s="71"/>
      <c r="AB346" s="71"/>
      <c r="AC346" s="71"/>
      <c r="AD346" s="71"/>
      <c r="AE346" s="71"/>
      <c r="AF346" s="71"/>
      <c r="AG346" s="71"/>
      <c r="AH346" s="71"/>
      <c r="AI346" s="71"/>
      <c r="AJ346" s="71"/>
      <c r="AK346" s="71"/>
      <c r="AL346" s="71"/>
      <c r="AM346" s="71"/>
      <c r="AN346" s="71"/>
      <c r="AO346" s="71"/>
      <c r="AP346" s="71"/>
      <c r="AQ346" s="71"/>
      <c r="AR346" s="71"/>
      <c r="AS346" s="71"/>
      <c r="AT346" s="71"/>
      <c r="AU346" s="71"/>
      <c r="AV346" s="71"/>
      <c r="AW346" s="71"/>
      <c r="AX346" s="71"/>
      <c r="AY346" s="71"/>
      <c r="AZ346" s="71"/>
      <c r="BA346" s="71"/>
      <c r="BB346" s="71"/>
      <c r="BC346" s="71"/>
      <c r="BD346" s="71"/>
      <c r="BE346" s="71"/>
      <c r="BF346" s="71"/>
      <c r="BG346" s="71"/>
      <c r="BH346" s="71"/>
      <c r="BI346" s="71"/>
      <c r="BJ346" s="71"/>
      <c r="BK346" s="71"/>
      <c r="BL346" s="71"/>
      <c r="BM346" s="71"/>
      <c r="BN346" s="71"/>
      <c r="BO346" s="71"/>
      <c r="BP346" s="71"/>
      <c r="BQ346" s="71"/>
      <c r="BR346" s="71"/>
      <c r="CE346" s="80"/>
    </row>
    <row r="347" spans="1:83" s="69" customFormat="1" ht="14.25" customHeight="1">
      <c r="A347" s="70"/>
      <c r="F347" s="71"/>
      <c r="G347" s="71"/>
      <c r="H347" s="71"/>
      <c r="I347" s="71"/>
      <c r="J347" s="81"/>
      <c r="K347" s="71"/>
      <c r="L347" s="71"/>
      <c r="M347" s="71"/>
      <c r="N347" s="71"/>
      <c r="O347" s="79"/>
      <c r="P347" s="79"/>
      <c r="Q347" s="79"/>
      <c r="R347" s="79"/>
      <c r="S347" s="79"/>
      <c r="T347" s="71"/>
      <c r="U347" s="71"/>
      <c r="V347" s="71"/>
      <c r="W347" s="71"/>
      <c r="X347" s="71"/>
      <c r="AB347" s="71"/>
      <c r="AC347" s="81"/>
      <c r="AD347" s="71"/>
      <c r="AE347" s="71"/>
      <c r="AF347" s="71"/>
      <c r="AG347" s="71"/>
      <c r="AH347" s="71"/>
      <c r="AI347" s="71"/>
      <c r="AJ347" s="71"/>
      <c r="AK347" s="71"/>
      <c r="AL347" s="71"/>
      <c r="AM347" s="71"/>
      <c r="AN347" s="71"/>
      <c r="AO347" s="71"/>
      <c r="AP347" s="81"/>
      <c r="AQ347" s="71"/>
      <c r="AR347" s="71"/>
      <c r="AS347" s="71"/>
      <c r="AT347" s="71"/>
      <c r="AU347" s="81"/>
      <c r="AV347" s="81"/>
      <c r="AW347" s="81"/>
      <c r="AX347" s="81"/>
      <c r="AY347" s="71"/>
      <c r="AZ347" s="71"/>
      <c r="BA347" s="71"/>
      <c r="BB347" s="71"/>
      <c r="BC347" s="71"/>
      <c r="BD347" s="71"/>
      <c r="BE347" s="71"/>
      <c r="BF347" s="71"/>
      <c r="BG347" s="71"/>
      <c r="BH347" s="71"/>
      <c r="BI347" s="71"/>
      <c r="BJ347" s="71"/>
      <c r="BK347" s="71"/>
      <c r="BL347" s="71"/>
      <c r="BM347" s="71"/>
      <c r="BN347" s="71"/>
      <c r="BO347" s="71"/>
      <c r="BP347" s="71"/>
      <c r="BQ347" s="71"/>
      <c r="BR347" s="71"/>
      <c r="CE347" s="80"/>
    </row>
    <row r="348" spans="1:83" s="69" customFormat="1" ht="14.25" customHeight="1">
      <c r="A348" s="70"/>
      <c r="F348" s="71"/>
      <c r="G348" s="71"/>
      <c r="H348" s="71"/>
      <c r="I348" s="71"/>
      <c r="J348" s="81" t="s">
        <v>394</v>
      </c>
      <c r="K348" s="71"/>
      <c r="M348" s="82" t="s">
        <v>391</v>
      </c>
      <c r="O348" s="79">
        <v>0.2</v>
      </c>
      <c r="P348" s="79"/>
      <c r="Q348" s="79"/>
      <c r="R348" s="79"/>
      <c r="S348" s="79"/>
      <c r="AB348" s="71"/>
      <c r="AC348" s="71"/>
      <c r="AD348" s="71"/>
      <c r="AE348" s="71"/>
      <c r="AF348" s="71"/>
      <c r="AG348" s="71"/>
      <c r="AH348" s="71"/>
      <c r="AI348" s="71"/>
      <c r="AJ348" s="71"/>
      <c r="AK348" s="71"/>
      <c r="AL348" s="71"/>
      <c r="AM348" s="71"/>
      <c r="AN348" s="71"/>
      <c r="AO348" s="71"/>
      <c r="AP348" s="71"/>
      <c r="AQ348" s="71"/>
      <c r="AR348" s="71"/>
      <c r="AS348" s="71"/>
      <c r="AT348" s="71"/>
      <c r="AU348" s="71"/>
      <c r="AV348" s="71"/>
      <c r="AW348" s="71"/>
      <c r="AX348" s="81"/>
      <c r="AY348" s="71"/>
      <c r="AZ348" s="71"/>
      <c r="BA348" s="71"/>
      <c r="BB348" s="71"/>
      <c r="BC348" s="71"/>
      <c r="BD348" s="71"/>
      <c r="BE348" s="71"/>
      <c r="BF348" s="71"/>
      <c r="BG348" s="71"/>
      <c r="BH348" s="71"/>
      <c r="BI348" s="71"/>
      <c r="BJ348" s="71"/>
      <c r="BK348" s="71"/>
      <c r="BL348" s="71"/>
      <c r="BM348" s="71"/>
      <c r="BN348" s="81"/>
      <c r="BO348" s="71"/>
      <c r="BP348" s="71"/>
      <c r="BQ348" s="71"/>
      <c r="BR348" s="71"/>
      <c r="CE348" s="80"/>
    </row>
    <row r="349" spans="1:83" s="71" customFormat="1" ht="14.25" customHeight="1">
      <c r="A349" s="85"/>
      <c r="J349" s="81"/>
      <c r="O349" s="79"/>
      <c r="P349" s="79"/>
      <c r="Q349" s="79"/>
      <c r="R349" s="79"/>
      <c r="S349" s="79"/>
      <c r="AX349" s="81"/>
      <c r="BN349" s="81"/>
      <c r="CE349" s="86"/>
    </row>
    <row r="350" spans="1:83" s="71" customFormat="1" ht="14.25" customHeight="1">
      <c r="A350" s="85"/>
      <c r="J350" s="81" t="s">
        <v>395</v>
      </c>
      <c r="M350" s="82" t="s">
        <v>391</v>
      </c>
      <c r="O350" s="87">
        <f>(O352+1.1)-(O348+O352)</f>
        <v>0.9</v>
      </c>
      <c r="P350" s="79"/>
      <c r="Q350" s="79"/>
      <c r="R350" s="79"/>
      <c r="S350" s="79"/>
      <c r="AX350" s="81"/>
      <c r="BN350" s="81"/>
      <c r="CE350" s="86"/>
    </row>
    <row r="351" spans="1:83" s="71" customFormat="1" ht="14.25" customHeight="1">
      <c r="A351" s="85"/>
      <c r="AX351" s="81"/>
      <c r="BN351" s="81"/>
      <c r="CE351" s="86"/>
    </row>
    <row r="352" spans="1:83" s="71" customFormat="1" ht="14.25" customHeight="1">
      <c r="A352" s="85"/>
      <c r="J352" s="81" t="s">
        <v>396</v>
      </c>
      <c r="M352" s="82" t="s">
        <v>391</v>
      </c>
      <c r="O352" s="84">
        <v>0.2</v>
      </c>
      <c r="P352" s="79"/>
      <c r="Q352" s="79"/>
      <c r="R352" s="79"/>
      <c r="S352" s="79"/>
      <c r="AX352" s="81"/>
      <c r="BN352" s="81"/>
      <c r="CE352" s="86"/>
    </row>
    <row r="353" spans="1:83" s="71" customFormat="1" ht="14.25" customHeight="1">
      <c r="A353" s="85"/>
      <c r="AX353" s="81"/>
      <c r="CE353" s="86"/>
    </row>
    <row r="354" spans="1:83" s="71" customFormat="1" ht="14.25" customHeight="1">
      <c r="A354" s="85"/>
      <c r="CE354" s="86"/>
    </row>
    <row r="355" spans="1:83" s="71" customFormat="1" ht="14.25" customHeight="1">
      <c r="A355" s="85"/>
      <c r="G355" s="81"/>
      <c r="H355" s="71" t="s">
        <v>397</v>
      </c>
      <c r="K355" s="81" t="s">
        <v>430</v>
      </c>
      <c r="CE355" s="86"/>
    </row>
    <row r="356" spans="1:83" s="71" customFormat="1" ht="14.25" customHeight="1">
      <c r="A356" s="85"/>
      <c r="I356" s="81" t="s">
        <v>207</v>
      </c>
      <c r="L356" s="88" t="s">
        <v>208</v>
      </c>
      <c r="O356" s="71" t="s">
        <v>403</v>
      </c>
      <c r="P356" s="73"/>
      <c r="R356" s="79">
        <f>O342</f>
        <v>1.1800000000000002</v>
      </c>
      <c r="S356" s="79"/>
      <c r="T356" s="79"/>
      <c r="U356" s="79"/>
      <c r="V356" s="79"/>
      <c r="W356" s="79" t="s">
        <v>209</v>
      </c>
      <c r="X356" s="79">
        <f>O344</f>
        <v>0.4</v>
      </c>
      <c r="Y356" s="90"/>
      <c r="Z356" s="90"/>
      <c r="AA356" s="90"/>
      <c r="AB356" s="90"/>
      <c r="AC356" s="81" t="s">
        <v>210</v>
      </c>
      <c r="AF356" s="79">
        <f>O348+O350+O352</f>
        <v>1.3</v>
      </c>
      <c r="AG356" s="79"/>
      <c r="AH356" s="79"/>
      <c r="AI356" s="79"/>
      <c r="AJ356" s="79"/>
      <c r="AK356" s="81" t="s">
        <v>211</v>
      </c>
      <c r="AM356" s="79">
        <f>AX336</f>
        <v>1</v>
      </c>
      <c r="AN356" s="79"/>
      <c r="AO356" s="79"/>
      <c r="AP356" s="91"/>
      <c r="AQ356" s="79"/>
      <c r="AR356" s="79" t="s">
        <v>404</v>
      </c>
      <c r="AS356" s="79"/>
      <c r="AT356" s="79">
        <f>ROUNDDOWN((R356+X356)*AF356*AM356/2,3)</f>
        <v>1.0269999999999999</v>
      </c>
      <c r="AU356" s="90"/>
      <c r="AV356" s="79"/>
      <c r="AW356" s="79"/>
      <c r="AX356" s="79"/>
      <c r="AZ356" s="89" t="s">
        <v>212</v>
      </c>
      <c r="CE356" s="86"/>
    </row>
    <row r="357" spans="1:83" s="71" customFormat="1" ht="14.25" customHeight="1">
      <c r="A357" s="85"/>
      <c r="G357" s="81"/>
      <c r="H357" s="71" t="s">
        <v>381</v>
      </c>
      <c r="K357" s="89" t="s">
        <v>431</v>
      </c>
      <c r="CE357" s="86"/>
    </row>
    <row r="358" spans="1:83" s="71" customFormat="1" ht="14.25" customHeight="1">
      <c r="A358" s="85"/>
      <c r="H358" s="81"/>
      <c r="I358" s="81" t="s">
        <v>207</v>
      </c>
      <c r="L358" s="88" t="s">
        <v>208</v>
      </c>
      <c r="O358" s="71" t="s">
        <v>403</v>
      </c>
      <c r="P358" s="73"/>
      <c r="R358" s="79">
        <f>O346</f>
        <v>0.44000000000000006</v>
      </c>
      <c r="S358" s="79"/>
      <c r="T358" s="79"/>
      <c r="U358" s="79"/>
      <c r="V358" s="79"/>
      <c r="W358" s="79" t="s">
        <v>209</v>
      </c>
      <c r="X358" s="79">
        <f>O344</f>
        <v>0.4</v>
      </c>
      <c r="Y358" s="90"/>
      <c r="Z358" s="79"/>
      <c r="AA358" s="79"/>
      <c r="AB358" s="79"/>
      <c r="AC358" s="81" t="s">
        <v>210</v>
      </c>
      <c r="AF358" s="79">
        <f>O352</f>
        <v>0.2</v>
      </c>
      <c r="AG358" s="79"/>
      <c r="AH358" s="79"/>
      <c r="AI358" s="79"/>
      <c r="AJ358" s="79"/>
      <c r="AK358" s="81" t="s">
        <v>211</v>
      </c>
      <c r="AM358" s="79">
        <f>AX336</f>
        <v>1</v>
      </c>
      <c r="AN358" s="79"/>
      <c r="AO358" s="91"/>
      <c r="AP358" s="79"/>
      <c r="AQ358" s="79"/>
      <c r="AR358" s="79" t="s">
        <v>404</v>
      </c>
      <c r="AS358" s="79"/>
      <c r="AT358" s="79">
        <f>ROUNDDOWN((R358+X358)*AF358*AM358/2,3)</f>
        <v>8.4000000000000005E-2</v>
      </c>
      <c r="AU358" s="90"/>
      <c r="AV358" s="79"/>
      <c r="AW358" s="79"/>
      <c r="AX358" s="79"/>
      <c r="AZ358" s="89"/>
      <c r="CE358" s="86"/>
    </row>
    <row r="359" spans="1:83" s="71" customFormat="1" ht="14.25" customHeight="1">
      <c r="A359" s="85"/>
      <c r="H359" s="81"/>
      <c r="I359" s="81"/>
      <c r="L359" s="91">
        <f>AT358</f>
        <v>8.4000000000000005E-2</v>
      </c>
      <c r="M359" s="79"/>
      <c r="N359" s="79"/>
      <c r="O359" s="79"/>
      <c r="P359" s="90"/>
      <c r="Q359" s="71" t="s">
        <v>432</v>
      </c>
      <c r="R359" s="79"/>
      <c r="S359" s="79">
        <v>5.0000000000000001E-3</v>
      </c>
      <c r="T359" s="79"/>
      <c r="U359" s="79"/>
      <c r="V359" s="79"/>
      <c r="W359" s="79"/>
      <c r="X359" s="79"/>
      <c r="Y359" s="79"/>
      <c r="Z359" s="79"/>
      <c r="AA359" s="79" t="s">
        <v>404</v>
      </c>
      <c r="AB359" s="79"/>
      <c r="AC359" s="79"/>
      <c r="AD359" s="79">
        <f>ROUNDDOWN($L359-$S359,3)</f>
        <v>7.9000000000000001E-2</v>
      </c>
      <c r="AE359" s="79"/>
      <c r="AF359" s="79"/>
      <c r="AG359" s="79"/>
      <c r="AH359" s="89" t="s">
        <v>212</v>
      </c>
      <c r="AI359" s="79"/>
      <c r="AJ359" s="79"/>
      <c r="AK359" s="79"/>
      <c r="AL359" s="81"/>
      <c r="AM359" s="79"/>
      <c r="AN359" s="90"/>
      <c r="AO359" s="79"/>
      <c r="AP359" s="79"/>
      <c r="AQ359" s="79"/>
      <c r="AS359" s="89"/>
      <c r="CE359" s="86"/>
    </row>
    <row r="360" spans="1:83" s="71" customFormat="1" ht="14.25" customHeight="1">
      <c r="A360" s="85"/>
      <c r="G360" s="81"/>
      <c r="H360" s="71" t="s">
        <v>385</v>
      </c>
      <c r="K360" s="89" t="s">
        <v>422</v>
      </c>
      <c r="CE360" s="86"/>
    </row>
    <row r="361" spans="1:83" s="71" customFormat="1" ht="14.25" customHeight="1">
      <c r="A361" s="85"/>
      <c r="H361" s="81"/>
      <c r="I361" s="81" t="s">
        <v>213</v>
      </c>
      <c r="K361" s="88"/>
      <c r="P361" s="71" t="s">
        <v>214</v>
      </c>
      <c r="R361" s="73" t="s">
        <v>423</v>
      </c>
      <c r="S361" s="79"/>
      <c r="T361" s="79"/>
      <c r="U361" s="79"/>
      <c r="V361" s="79"/>
      <c r="AE361" s="90"/>
      <c r="AF361" s="79" t="s">
        <v>401</v>
      </c>
      <c r="AG361" s="79"/>
      <c r="AH361" s="90">
        <f>AT356</f>
        <v>1.0269999999999999</v>
      </c>
      <c r="AI361" s="79"/>
      <c r="AJ361" s="90"/>
      <c r="AK361" s="90"/>
      <c r="AL361" s="90"/>
      <c r="AM361" s="79" t="s">
        <v>214</v>
      </c>
      <c r="AN361" s="79"/>
      <c r="AO361" s="79">
        <f>AT363</f>
        <v>8.4000000000000005E-2</v>
      </c>
      <c r="AP361" s="90"/>
      <c r="AQ361" s="79"/>
      <c r="AR361" s="79"/>
      <c r="AS361" s="79"/>
      <c r="AT361" s="79" t="s">
        <v>401</v>
      </c>
      <c r="AU361" s="79"/>
      <c r="AV361" s="79">
        <f>ROUNDDOWN(AH361-AO361,3)</f>
        <v>0.94299999999999995</v>
      </c>
      <c r="AW361" s="90"/>
      <c r="AX361" s="90"/>
      <c r="AY361" s="90"/>
      <c r="AZ361" s="90"/>
      <c r="BB361" s="89" t="s">
        <v>212</v>
      </c>
      <c r="CE361" s="86"/>
    </row>
    <row r="362" spans="1:83" s="71" customFormat="1" ht="14.25" customHeight="1">
      <c r="A362" s="85"/>
      <c r="G362" s="81"/>
      <c r="H362" s="71" t="s">
        <v>405</v>
      </c>
      <c r="K362" s="89" t="s">
        <v>423</v>
      </c>
      <c r="CE362" s="86"/>
    </row>
    <row r="363" spans="1:83" s="71" customFormat="1" ht="14.25" customHeight="1">
      <c r="A363" s="85"/>
      <c r="H363" s="81"/>
      <c r="I363" s="81" t="s">
        <v>207</v>
      </c>
      <c r="L363" s="88" t="s">
        <v>208</v>
      </c>
      <c r="O363" s="71" t="s">
        <v>403</v>
      </c>
      <c r="P363" s="73"/>
      <c r="R363" s="79">
        <f>O346</f>
        <v>0.44000000000000006</v>
      </c>
      <c r="S363" s="79"/>
      <c r="T363" s="79"/>
      <c r="U363" s="79"/>
      <c r="V363" s="79"/>
      <c r="W363" s="79" t="s">
        <v>209</v>
      </c>
      <c r="X363" s="79">
        <f>O344</f>
        <v>0.4</v>
      </c>
      <c r="Y363" s="90"/>
      <c r="Z363" s="79"/>
      <c r="AA363" s="79"/>
      <c r="AB363" s="79"/>
      <c r="AC363" s="81" t="s">
        <v>210</v>
      </c>
      <c r="AF363" s="79">
        <f>O352</f>
        <v>0.2</v>
      </c>
      <c r="AG363" s="79"/>
      <c r="AH363" s="79"/>
      <c r="AI363" s="79"/>
      <c r="AJ363" s="79"/>
      <c r="AK363" s="81" t="s">
        <v>211</v>
      </c>
      <c r="AM363" s="79">
        <f>AX336</f>
        <v>1</v>
      </c>
      <c r="AN363" s="79"/>
      <c r="AO363" s="91"/>
      <c r="AP363" s="79"/>
      <c r="AQ363" s="79"/>
      <c r="AR363" s="79" t="s">
        <v>404</v>
      </c>
      <c r="AS363" s="79"/>
      <c r="AT363" s="79">
        <f>ROUNDDOWN((R363+X363)*AF363*AM363/2,3)</f>
        <v>8.4000000000000005E-2</v>
      </c>
      <c r="AU363" s="90"/>
      <c r="AV363" s="79"/>
      <c r="AW363" s="79"/>
      <c r="AX363" s="79"/>
      <c r="AZ363" s="89" t="s">
        <v>212</v>
      </c>
      <c r="CE363" s="86"/>
    </row>
    <row r="364" spans="1:83" s="71" customFormat="1" ht="14.25" customHeight="1">
      <c r="A364" s="85"/>
      <c r="G364" s="81"/>
      <c r="H364" s="71" t="s">
        <v>407</v>
      </c>
      <c r="K364" s="89" t="s">
        <v>433</v>
      </c>
      <c r="W364" s="71" t="s">
        <v>387</v>
      </c>
      <c r="Y364" s="79">
        <v>1.5</v>
      </c>
      <c r="Z364" s="79"/>
      <c r="AA364" s="79"/>
      <c r="AB364" s="79"/>
      <c r="AC364" s="71" t="s">
        <v>388</v>
      </c>
      <c r="AF364" s="71" t="s">
        <v>434</v>
      </c>
      <c r="CE364" s="86"/>
    </row>
    <row r="365" spans="1:83" s="71" customFormat="1" ht="14.25" customHeight="1">
      <c r="A365" s="85"/>
      <c r="G365" s="81"/>
      <c r="H365" s="71" t="s">
        <v>435</v>
      </c>
      <c r="K365" s="81" t="s">
        <v>215</v>
      </c>
      <c r="Y365" s="79"/>
      <c r="Z365" s="79"/>
      <c r="AA365" s="79" t="s">
        <v>387</v>
      </c>
      <c r="AB365" s="79"/>
      <c r="AC365" s="1564">
        <v>5.0000000000000001E-4</v>
      </c>
      <c r="AD365" s="1564"/>
      <c r="AE365" s="1564"/>
      <c r="AF365" s="1564"/>
      <c r="AG365" s="1564"/>
      <c r="AH365" s="1564"/>
      <c r="AI365" s="79" t="s">
        <v>436</v>
      </c>
      <c r="AJ365" s="79"/>
      <c r="AK365" s="79">
        <f>Y364</f>
        <v>1.5</v>
      </c>
      <c r="AL365" s="91"/>
      <c r="AM365" s="79"/>
      <c r="AN365" s="79" t="s">
        <v>401</v>
      </c>
      <c r="AO365" s="79"/>
      <c r="AP365" s="122">
        <f>ROUNDDOWN(AC365*AK365,4)</f>
        <v>6.9999999999999999E-4</v>
      </c>
      <c r="AQ365" s="90"/>
      <c r="AR365" s="79"/>
      <c r="AS365" s="79"/>
      <c r="AT365" s="79"/>
      <c r="AU365" s="79"/>
      <c r="AV365" s="81" t="s">
        <v>437</v>
      </c>
      <c r="CE365" s="86"/>
    </row>
    <row r="366" spans="1:83" s="71" customFormat="1" ht="14.25" customHeight="1">
      <c r="A366" s="85"/>
      <c r="G366" s="81"/>
      <c r="H366" s="71" t="s">
        <v>438</v>
      </c>
      <c r="K366" s="81" t="s">
        <v>216</v>
      </c>
      <c r="Y366" s="79"/>
      <c r="Z366" s="79"/>
      <c r="AA366" s="79" t="s">
        <v>387</v>
      </c>
      <c r="AB366" s="79"/>
      <c r="AC366" s="79">
        <v>1.1999999999999999E-3</v>
      </c>
      <c r="AD366" s="79"/>
      <c r="AE366" s="79"/>
      <c r="AF366" s="79"/>
      <c r="AG366" s="79"/>
      <c r="AH366" s="79"/>
      <c r="AI366" s="79" t="s">
        <v>436</v>
      </c>
      <c r="AJ366" s="79"/>
      <c r="AK366" s="79">
        <f>Y364</f>
        <v>1.5</v>
      </c>
      <c r="AL366" s="91"/>
      <c r="AM366" s="79"/>
      <c r="AN366" s="79" t="s">
        <v>401</v>
      </c>
      <c r="AO366" s="79"/>
      <c r="AP366" s="122">
        <f>ROUNDDOWN(AC366*AK366,4)</f>
        <v>1.8E-3</v>
      </c>
      <c r="AQ366" s="90"/>
      <c r="AR366" s="79"/>
      <c r="AS366" s="79"/>
      <c r="AT366" s="79"/>
      <c r="AU366" s="79"/>
      <c r="AV366" s="81" t="s">
        <v>437</v>
      </c>
      <c r="CE366" s="86"/>
    </row>
    <row r="367" spans="1:83" s="71" customFormat="1" ht="14.25" customHeight="1">
      <c r="A367" s="85"/>
      <c r="CE367" s="86"/>
    </row>
    <row r="368" spans="1:83" s="71" customFormat="1" ht="14.25" customHeight="1">
      <c r="A368" s="85"/>
      <c r="G368" s="81"/>
      <c r="K368" s="81"/>
      <c r="CE368" s="86"/>
    </row>
    <row r="369" spans="1:83" s="71" customFormat="1" ht="14.25" customHeight="1">
      <c r="A369" s="85"/>
      <c r="CE369" s="86"/>
    </row>
    <row r="370" spans="1:83" s="71" customFormat="1" ht="14.25" customHeight="1">
      <c r="A370" s="85"/>
      <c r="CE370" s="86"/>
    </row>
    <row r="371" spans="1:83" ht="14.25" customHeight="1">
      <c r="A371" s="123"/>
      <c r="CE371" s="124"/>
    </row>
    <row r="372" spans="1:83" s="71" customFormat="1" ht="14.25" customHeight="1">
      <c r="A372" s="85"/>
      <c r="J372" s="120" t="s">
        <v>439</v>
      </c>
      <c r="L372" s="72"/>
      <c r="M372" s="73"/>
      <c r="N372" s="74"/>
      <c r="O372" s="74"/>
      <c r="P372" s="74"/>
      <c r="Q372" s="74"/>
      <c r="R372" s="75"/>
      <c r="S372" s="75"/>
      <c r="T372" s="79"/>
      <c r="U372" s="125"/>
      <c r="W372" s="74"/>
      <c r="X372" s="73"/>
      <c r="Y372" s="74"/>
      <c r="Z372" s="126"/>
      <c r="AV372" s="127" t="s">
        <v>217</v>
      </c>
      <c r="AX372" s="75">
        <v>1</v>
      </c>
      <c r="AY372" s="75"/>
      <c r="AZ372" s="75"/>
      <c r="BA372" s="75"/>
      <c r="BB372" s="75"/>
      <c r="BC372" s="74"/>
      <c r="BD372" s="74" t="s">
        <v>205</v>
      </c>
      <c r="CE372" s="86"/>
    </row>
    <row r="373" spans="1:83" s="71" customFormat="1" ht="14.25" customHeight="1">
      <c r="A373" s="85"/>
      <c r="Q373" s="79"/>
      <c r="R373" s="79"/>
      <c r="AY373" s="79"/>
      <c r="AZ373" s="79"/>
      <c r="CE373" s="86"/>
    </row>
    <row r="374" spans="1:83" s="71" customFormat="1" ht="14.25" customHeight="1">
      <c r="A374" s="85"/>
      <c r="CE374" s="86"/>
    </row>
    <row r="375" spans="1:83" s="71" customFormat="1" ht="13.5">
      <c r="A375" s="85"/>
      <c r="CE375" s="86"/>
    </row>
    <row r="376" spans="1:83" s="71" customFormat="1" ht="14.25" customHeight="1">
      <c r="A376" s="85"/>
      <c r="CE376" s="86"/>
    </row>
    <row r="377" spans="1:83" s="71" customFormat="1" ht="14.25" customHeight="1">
      <c r="A377" s="85"/>
      <c r="CE377" s="86"/>
    </row>
    <row r="378" spans="1:83" s="71" customFormat="1" ht="14.25" customHeight="1">
      <c r="A378" s="85"/>
      <c r="CE378" s="86"/>
    </row>
    <row r="379" spans="1:83" s="71" customFormat="1" ht="14.25" customHeight="1">
      <c r="A379" s="85"/>
      <c r="CE379" s="86"/>
    </row>
    <row r="380" spans="1:83" s="71" customFormat="1" ht="14.25" customHeight="1">
      <c r="A380" s="85"/>
      <c r="CE380" s="86"/>
    </row>
    <row r="381" spans="1:83" s="71" customFormat="1" ht="14.25" customHeight="1">
      <c r="A381" s="85"/>
      <c r="CE381" s="86"/>
    </row>
    <row r="382" spans="1:83" s="71" customFormat="1" ht="14.25" customHeight="1">
      <c r="A382" s="85"/>
      <c r="Q382" s="79"/>
      <c r="R382" s="79"/>
      <c r="AY382" s="79"/>
      <c r="AZ382" s="79"/>
      <c r="CE382" s="86"/>
    </row>
    <row r="383" spans="1:83" s="71" customFormat="1" ht="14.25" customHeight="1">
      <c r="A383" s="85"/>
      <c r="Q383" s="79"/>
      <c r="R383" s="79"/>
      <c r="AY383" s="79"/>
      <c r="AZ383" s="79"/>
      <c r="CE383" s="86"/>
    </row>
    <row r="384" spans="1:83" s="71" customFormat="1" ht="14.25" customHeight="1">
      <c r="A384" s="85"/>
      <c r="CE384" s="86"/>
    </row>
    <row r="385" spans="1:83" s="71" customFormat="1" ht="14.25" customHeight="1">
      <c r="A385" s="85"/>
      <c r="K385" s="79" t="s">
        <v>218</v>
      </c>
      <c r="L385" s="79"/>
      <c r="N385" s="71" t="s">
        <v>217</v>
      </c>
      <c r="P385" s="84">
        <v>0.4</v>
      </c>
      <c r="Q385" s="79"/>
      <c r="R385" s="79"/>
      <c r="S385" s="79"/>
      <c r="T385" s="79"/>
      <c r="AB385" s="79" t="s">
        <v>219</v>
      </c>
      <c r="AC385" s="79"/>
      <c r="AE385" s="71" t="s">
        <v>217</v>
      </c>
      <c r="AG385" s="79">
        <f>P385</f>
        <v>0.4</v>
      </c>
      <c r="AH385" s="79"/>
      <c r="AI385" s="79"/>
      <c r="AJ385" s="79"/>
      <c r="AK385" s="79"/>
      <c r="CE385" s="86"/>
    </row>
    <row r="386" spans="1:83" s="71" customFormat="1" ht="14.25" customHeight="1">
      <c r="A386" s="85"/>
      <c r="K386" s="79" t="s">
        <v>220</v>
      </c>
      <c r="L386" s="79"/>
      <c r="N386" s="71" t="s">
        <v>217</v>
      </c>
      <c r="P386" s="128">
        <f>P388+P389*0.3*2</f>
        <v>1.8000000000000003</v>
      </c>
      <c r="Q386" s="79"/>
      <c r="R386" s="79"/>
      <c r="S386" s="79"/>
      <c r="T386" s="79"/>
      <c r="AB386" s="79" t="s">
        <v>221</v>
      </c>
      <c r="AC386" s="79"/>
      <c r="AE386" s="71" t="s">
        <v>217</v>
      </c>
      <c r="AG386" s="128">
        <f>AG388+P389*0.3*2</f>
        <v>1.8000000000000003</v>
      </c>
      <c r="AH386" s="79"/>
      <c r="AI386" s="79"/>
      <c r="AJ386" s="79"/>
      <c r="AK386" s="79"/>
      <c r="CE386" s="86"/>
    </row>
    <row r="387" spans="1:83" s="71" customFormat="1" ht="14.25" customHeight="1">
      <c r="A387" s="85"/>
      <c r="K387" s="79" t="s">
        <v>222</v>
      </c>
      <c r="L387" s="79"/>
      <c r="N387" s="71" t="s">
        <v>217</v>
      </c>
      <c r="P387" s="129">
        <v>0.8</v>
      </c>
      <c r="Q387" s="79"/>
      <c r="R387" s="79"/>
      <c r="S387" s="79"/>
      <c r="T387" s="79"/>
      <c r="AB387" s="79" t="s">
        <v>223</v>
      </c>
      <c r="AC387" s="79"/>
      <c r="AE387" s="71" t="s">
        <v>217</v>
      </c>
      <c r="AG387" s="128">
        <f>P387</f>
        <v>0.8</v>
      </c>
      <c r="AH387" s="79"/>
      <c r="AI387" s="79"/>
      <c r="AJ387" s="79"/>
      <c r="AK387" s="79"/>
      <c r="CE387" s="86"/>
    </row>
    <row r="388" spans="1:83" s="71" customFormat="1" ht="14.25" customHeight="1">
      <c r="A388" s="85"/>
      <c r="K388" s="79" t="s">
        <v>224</v>
      </c>
      <c r="L388" s="79"/>
      <c r="N388" s="71" t="s">
        <v>217</v>
      </c>
      <c r="P388" s="79">
        <f>P387+0.4</f>
        <v>1.2000000000000002</v>
      </c>
      <c r="Q388" s="79"/>
      <c r="R388" s="79"/>
      <c r="S388" s="79"/>
      <c r="T388" s="79"/>
      <c r="AB388" s="79" t="s">
        <v>225</v>
      </c>
      <c r="AC388" s="79"/>
      <c r="AE388" s="71" t="s">
        <v>217</v>
      </c>
      <c r="AG388" s="79">
        <f>AG387+0.4</f>
        <v>1.2000000000000002</v>
      </c>
      <c r="AH388" s="79"/>
      <c r="AI388" s="79"/>
      <c r="AJ388" s="79"/>
      <c r="AK388" s="79"/>
      <c r="CE388" s="86"/>
    </row>
    <row r="389" spans="1:83" s="71" customFormat="1" ht="14.25" customHeight="1">
      <c r="A389" s="85"/>
      <c r="K389" s="79" t="s">
        <v>226</v>
      </c>
      <c r="L389" s="79"/>
      <c r="N389" s="71" t="s">
        <v>217</v>
      </c>
      <c r="P389" s="129">
        <v>1</v>
      </c>
      <c r="Q389" s="79"/>
      <c r="R389" s="79"/>
      <c r="S389" s="79"/>
      <c r="T389" s="79"/>
      <c r="AB389" s="79"/>
      <c r="AC389" s="79"/>
      <c r="AF389" s="79"/>
      <c r="AG389" s="79"/>
      <c r="AH389" s="79"/>
      <c r="CE389" s="86"/>
    </row>
    <row r="390" spans="1:83" s="71" customFormat="1" ht="14.25" customHeight="1">
      <c r="A390" s="85"/>
      <c r="H390" s="81" t="s">
        <v>425</v>
      </c>
      <c r="K390" s="81" t="s">
        <v>440</v>
      </c>
      <c r="AP390" s="130"/>
      <c r="CE390" s="86"/>
    </row>
    <row r="391" spans="1:83" s="71" customFormat="1" ht="14.25" customHeight="1">
      <c r="A391" s="85"/>
      <c r="K391" s="81" t="s">
        <v>441</v>
      </c>
      <c r="N391" s="91">
        <f>P389</f>
        <v>1</v>
      </c>
      <c r="O391" s="79"/>
      <c r="P391" s="79"/>
      <c r="Q391" s="88" t="s">
        <v>442</v>
      </c>
      <c r="R391" s="130"/>
      <c r="T391" s="71" t="s">
        <v>443</v>
      </c>
      <c r="X391" s="79">
        <v>2</v>
      </c>
      <c r="Y391" s="79"/>
      <c r="Z391" s="79" t="s">
        <v>211</v>
      </c>
      <c r="AA391" s="79"/>
      <c r="AB391" s="131">
        <f>P386</f>
        <v>1.8000000000000003</v>
      </c>
      <c r="AC391" s="79"/>
      <c r="AD391" s="79"/>
      <c r="AE391" s="79"/>
      <c r="AF391" s="79" t="s">
        <v>209</v>
      </c>
      <c r="AG391" s="79"/>
      <c r="AH391" s="79">
        <f>P388</f>
        <v>1.2000000000000002</v>
      </c>
      <c r="AI391" s="79"/>
      <c r="AJ391" s="79"/>
      <c r="AK391" s="79"/>
      <c r="AL391" s="71" t="s">
        <v>444</v>
      </c>
      <c r="AO391" s="79">
        <f>AG386</f>
        <v>1.8000000000000003</v>
      </c>
      <c r="AP391" s="79"/>
      <c r="AQ391" s="79"/>
      <c r="AR391" s="79"/>
      <c r="AS391" s="88" t="s">
        <v>445</v>
      </c>
      <c r="AV391" s="79">
        <v>2</v>
      </c>
      <c r="AW391" s="79"/>
      <c r="AX391" s="79" t="s">
        <v>211</v>
      </c>
      <c r="AY391" s="79"/>
      <c r="AZ391" s="79">
        <f>P388</f>
        <v>1.2000000000000002</v>
      </c>
      <c r="BA391" s="131"/>
      <c r="BB391" s="79"/>
      <c r="BC391" s="79"/>
      <c r="BD391" s="79" t="s">
        <v>209</v>
      </c>
      <c r="BE391" s="79"/>
      <c r="BF391" s="79">
        <f>P386</f>
        <v>1.8000000000000003</v>
      </c>
      <c r="BG391" s="91"/>
      <c r="BH391" s="79"/>
      <c r="BI391" s="79"/>
      <c r="BJ391" s="71" t="s">
        <v>444</v>
      </c>
      <c r="BM391" s="79">
        <f>AG388</f>
        <v>1.2000000000000002</v>
      </c>
      <c r="BN391" s="79"/>
      <c r="BO391" s="79"/>
      <c r="BP391" s="79"/>
      <c r="BQ391" s="71" t="s">
        <v>446</v>
      </c>
      <c r="BR391" s="130"/>
      <c r="CE391" s="86"/>
    </row>
    <row r="392" spans="1:83" s="71" customFormat="1" ht="14.25" customHeight="1">
      <c r="A392" s="85"/>
      <c r="L392" s="79" t="s">
        <v>227</v>
      </c>
      <c r="M392" s="79"/>
      <c r="N392" s="79">
        <f>ROUNDDOWN((N391/6*((2*AB391+AH391)*AO391+(2*AZ391+BF391)*BM391)),3)</f>
        <v>2.2799999999999998</v>
      </c>
      <c r="O392" s="79"/>
      <c r="P392" s="79"/>
      <c r="Q392" s="79"/>
      <c r="R392" s="79"/>
      <c r="S392" s="79" t="s">
        <v>211</v>
      </c>
      <c r="T392" s="79"/>
      <c r="U392" s="79">
        <f>AX372</f>
        <v>1</v>
      </c>
      <c r="V392" s="79"/>
      <c r="W392" s="79"/>
      <c r="X392" s="79"/>
      <c r="Y392" s="79" t="s">
        <v>447</v>
      </c>
      <c r="Z392" s="79"/>
      <c r="AA392" s="79">
        <f>ROUNDDOWN(N392*U392,3)</f>
        <v>2.2799999999999998</v>
      </c>
      <c r="AB392" s="79"/>
      <c r="AC392" s="79"/>
      <c r="AD392" s="79"/>
      <c r="AE392" s="79"/>
      <c r="AF392" s="79"/>
      <c r="AG392" s="79"/>
      <c r="AH392" s="89" t="s">
        <v>212</v>
      </c>
      <c r="AR392" s="130"/>
      <c r="CE392" s="86"/>
    </row>
    <row r="393" spans="1:83" s="71" customFormat="1" ht="14.25" customHeight="1">
      <c r="A393" s="85"/>
      <c r="H393" s="81" t="s">
        <v>381</v>
      </c>
      <c r="K393" s="81" t="s">
        <v>448</v>
      </c>
      <c r="AP393" s="130"/>
      <c r="CE393" s="86"/>
    </row>
    <row r="394" spans="1:83" s="71" customFormat="1" ht="14.25" customHeight="1">
      <c r="A394" s="85"/>
      <c r="K394" s="81" t="s">
        <v>441</v>
      </c>
      <c r="N394" s="91">
        <f>P389</f>
        <v>1</v>
      </c>
      <c r="O394" s="79"/>
      <c r="P394" s="79"/>
      <c r="Q394" s="88" t="s">
        <v>449</v>
      </c>
      <c r="R394" s="130"/>
      <c r="T394" s="71" t="s">
        <v>450</v>
      </c>
      <c r="X394" s="79">
        <v>2</v>
      </c>
      <c r="Y394" s="79"/>
      <c r="Z394" s="79" t="s">
        <v>211</v>
      </c>
      <c r="AA394" s="79"/>
      <c r="AB394" s="131">
        <f>P385</f>
        <v>0.4</v>
      </c>
      <c r="AC394" s="79"/>
      <c r="AD394" s="79"/>
      <c r="AE394" s="79"/>
      <c r="AF394" s="79" t="s">
        <v>209</v>
      </c>
      <c r="AG394" s="79"/>
      <c r="AH394" s="79">
        <f>P387</f>
        <v>0.8</v>
      </c>
      <c r="AI394" s="79"/>
      <c r="AJ394" s="79"/>
      <c r="AK394" s="79"/>
      <c r="AL394" s="71" t="s">
        <v>451</v>
      </c>
      <c r="AO394" s="79">
        <f>AG385</f>
        <v>0.4</v>
      </c>
      <c r="AP394" s="79"/>
      <c r="AQ394" s="79"/>
      <c r="AR394" s="79"/>
      <c r="AS394" s="88" t="s">
        <v>452</v>
      </c>
      <c r="AV394" s="79">
        <v>2</v>
      </c>
      <c r="AW394" s="79"/>
      <c r="AX394" s="79" t="s">
        <v>211</v>
      </c>
      <c r="AY394" s="79"/>
      <c r="AZ394" s="79">
        <f>P387</f>
        <v>0.8</v>
      </c>
      <c r="BA394" s="131"/>
      <c r="BB394" s="79"/>
      <c r="BC394" s="79"/>
      <c r="BD394" s="79" t="s">
        <v>209</v>
      </c>
      <c r="BE394" s="79"/>
      <c r="BF394" s="79">
        <f>P385</f>
        <v>0.4</v>
      </c>
      <c r="BG394" s="91"/>
      <c r="BH394" s="79"/>
      <c r="BI394" s="79"/>
      <c r="BJ394" s="71" t="s">
        <v>451</v>
      </c>
      <c r="BM394" s="79">
        <f>AG387</f>
        <v>0.8</v>
      </c>
      <c r="BN394" s="79"/>
      <c r="BO394" s="79"/>
      <c r="BP394" s="79"/>
      <c r="BQ394" s="71" t="s">
        <v>453</v>
      </c>
      <c r="BR394" s="130"/>
      <c r="CE394" s="86"/>
    </row>
    <row r="395" spans="1:83" s="71" customFormat="1" ht="14.25" customHeight="1">
      <c r="A395" s="85"/>
      <c r="L395" s="79" t="s">
        <v>227</v>
      </c>
      <c r="M395" s="79"/>
      <c r="N395" s="79">
        <f>ROUNDDOWN((N394/6*((2*AB394+AH394)*AO394+(2*AZ394+BF394)*BM394)),3)</f>
        <v>0.373</v>
      </c>
      <c r="O395" s="79"/>
      <c r="P395" s="79"/>
      <c r="Q395" s="79"/>
      <c r="R395" s="79"/>
      <c r="S395" s="79" t="s">
        <v>211</v>
      </c>
      <c r="T395" s="79"/>
      <c r="U395" s="79">
        <f>AX372</f>
        <v>1</v>
      </c>
      <c r="V395" s="79"/>
      <c r="W395" s="79"/>
      <c r="X395" s="79"/>
      <c r="Y395" s="79" t="s">
        <v>401</v>
      </c>
      <c r="Z395" s="79"/>
      <c r="AA395" s="79">
        <f>ROUNDDOWN(N395*U395,3)</f>
        <v>0.373</v>
      </c>
      <c r="AB395" s="79"/>
      <c r="AC395" s="79"/>
      <c r="AD395" s="79"/>
      <c r="AE395" s="79"/>
      <c r="AF395" s="79"/>
      <c r="AG395" s="79"/>
      <c r="AH395" s="89" t="s">
        <v>212</v>
      </c>
      <c r="AR395" s="130"/>
      <c r="CE395" s="86"/>
    </row>
    <row r="396" spans="1:83" s="71" customFormat="1" ht="14.25" customHeight="1">
      <c r="A396" s="85"/>
      <c r="H396" s="81" t="s">
        <v>385</v>
      </c>
      <c r="K396" s="89" t="s">
        <v>228</v>
      </c>
      <c r="AP396" s="130"/>
      <c r="CE396" s="86"/>
    </row>
    <row r="397" spans="1:83" s="71" customFormat="1" ht="14.25" customHeight="1">
      <c r="A397" s="85"/>
      <c r="K397" s="81" t="s">
        <v>441</v>
      </c>
      <c r="N397" s="91">
        <f>N392</f>
        <v>2.2799999999999998</v>
      </c>
      <c r="O397" s="79"/>
      <c r="P397" s="91"/>
      <c r="Q397" s="91"/>
      <c r="R397" s="91"/>
      <c r="S397" s="79" t="s">
        <v>454</v>
      </c>
      <c r="T397" s="79"/>
      <c r="U397" s="79">
        <f>N395</f>
        <v>0.373</v>
      </c>
      <c r="V397" s="79"/>
      <c r="W397" s="79"/>
      <c r="X397" s="79"/>
      <c r="Y397" s="79"/>
      <c r="Z397" s="79" t="s">
        <v>401</v>
      </c>
      <c r="AA397" s="79"/>
      <c r="AB397" s="79">
        <f>ROUNDDOWN(N397-U397,3)</f>
        <v>1.907</v>
      </c>
      <c r="AC397" s="131"/>
      <c r="AD397" s="131"/>
      <c r="AE397" s="131"/>
      <c r="AF397" s="131"/>
      <c r="AG397" s="79" t="s">
        <v>211</v>
      </c>
      <c r="AH397" s="79"/>
      <c r="AI397" s="131">
        <f>AX372</f>
        <v>1</v>
      </c>
      <c r="AJ397" s="131"/>
      <c r="AK397" s="131"/>
      <c r="AL397" s="131"/>
      <c r="AM397" s="79" t="s">
        <v>401</v>
      </c>
      <c r="AN397" s="79"/>
      <c r="AO397" s="79">
        <f>ROUNDDOWN(AB397*AI397,3)</f>
        <v>1.907</v>
      </c>
      <c r="AP397" s="79"/>
      <c r="AQ397" s="79"/>
      <c r="AR397" s="79"/>
      <c r="AS397" s="79"/>
      <c r="AT397" s="79"/>
      <c r="AU397" s="79"/>
      <c r="AV397" s="89" t="s">
        <v>212</v>
      </c>
      <c r="AX397" s="79"/>
      <c r="AY397" s="130"/>
      <c r="AZ397" s="130"/>
      <c r="BE397" s="130"/>
      <c r="CE397" s="86"/>
    </row>
    <row r="398" spans="1:83" s="71" customFormat="1" ht="14.25" customHeight="1">
      <c r="A398" s="85"/>
      <c r="H398" s="81" t="s">
        <v>405</v>
      </c>
      <c r="K398" s="81" t="s">
        <v>229</v>
      </c>
      <c r="AP398" s="130"/>
      <c r="CE398" s="86"/>
    </row>
    <row r="399" spans="1:83" s="71" customFormat="1" ht="14.25" customHeight="1">
      <c r="A399" s="85"/>
      <c r="I399" s="81"/>
      <c r="K399" s="79">
        <f>N395</f>
        <v>0.373</v>
      </c>
      <c r="L399" s="79"/>
      <c r="M399" s="91"/>
      <c r="N399" s="91"/>
      <c r="O399" s="91"/>
      <c r="P399" s="79" t="s">
        <v>211</v>
      </c>
      <c r="Q399" s="79"/>
      <c r="R399" s="79">
        <f>AX372</f>
        <v>1</v>
      </c>
      <c r="S399" s="131"/>
      <c r="T399" s="79"/>
      <c r="U399" s="79"/>
      <c r="V399" s="79" t="s">
        <v>401</v>
      </c>
      <c r="W399" s="79"/>
      <c r="X399" s="79">
        <f>ROUNDDOWN(K399*R399,3)</f>
        <v>0.373</v>
      </c>
      <c r="Y399" s="131"/>
      <c r="Z399" s="131"/>
      <c r="AA399" s="131"/>
      <c r="AB399" s="131"/>
      <c r="AC399" s="131"/>
      <c r="AD399" s="89" t="s">
        <v>212</v>
      </c>
      <c r="AE399" s="131"/>
      <c r="AF399" s="131"/>
      <c r="AG399" s="79"/>
      <c r="AH399" s="79"/>
      <c r="AI399" s="79"/>
      <c r="AJ399" s="79"/>
      <c r="AK399" s="81"/>
      <c r="AL399" s="130"/>
      <c r="AM399" s="130"/>
      <c r="AN399" s="130"/>
      <c r="AP399" s="130"/>
      <c r="CE399" s="86"/>
    </row>
    <row r="400" spans="1:83" s="71" customFormat="1" ht="14.25" customHeight="1">
      <c r="A400" s="85"/>
      <c r="H400" s="81" t="s">
        <v>407</v>
      </c>
      <c r="K400" s="81" t="s">
        <v>455</v>
      </c>
      <c r="AP400" s="130"/>
      <c r="CE400" s="86"/>
    </row>
    <row r="401" spans="1:83" s="71" customFormat="1" ht="14.25" customHeight="1">
      <c r="A401" s="85"/>
      <c r="K401" s="71" t="s">
        <v>456</v>
      </c>
      <c r="N401" s="79">
        <f>P385</f>
        <v>0.4</v>
      </c>
      <c r="O401" s="79"/>
      <c r="P401" s="79"/>
      <c r="Q401" s="79"/>
      <c r="R401" s="79"/>
      <c r="S401" s="91" t="s">
        <v>457</v>
      </c>
      <c r="T401" s="79"/>
      <c r="U401" s="79">
        <f>P387</f>
        <v>0.8</v>
      </c>
      <c r="V401" s="79"/>
      <c r="W401" s="79"/>
      <c r="X401" s="79"/>
      <c r="Y401" s="79"/>
      <c r="Z401" s="71" t="s">
        <v>458</v>
      </c>
      <c r="AC401" s="79">
        <v>2</v>
      </c>
      <c r="AD401" s="79"/>
      <c r="AE401" s="79" t="s">
        <v>211</v>
      </c>
      <c r="AF401" s="79"/>
      <c r="AG401" s="79">
        <f>ROUNDDOWN(SQRT(P389^2+((P387-P385)/2)^2),3)</f>
        <v>1.0189999999999999</v>
      </c>
      <c r="AH401" s="79"/>
      <c r="AI401" s="79"/>
      <c r="AJ401" s="79"/>
      <c r="AK401" s="79"/>
      <c r="AL401" s="71" t="s">
        <v>451</v>
      </c>
      <c r="AM401" s="79"/>
      <c r="AN401" s="132"/>
      <c r="AO401" s="79">
        <v>2</v>
      </c>
      <c r="AP401" s="79"/>
      <c r="AQ401" s="88" t="s">
        <v>459</v>
      </c>
      <c r="AR401" s="79"/>
      <c r="AS401" s="131"/>
      <c r="AT401" s="79"/>
      <c r="AU401" s="79">
        <f>AG385</f>
        <v>0.4</v>
      </c>
      <c r="AV401" s="79"/>
      <c r="AW401" s="79"/>
      <c r="AX401" s="79"/>
      <c r="AY401" s="79"/>
      <c r="AZ401" s="91" t="s">
        <v>460</v>
      </c>
      <c r="BA401" s="79"/>
      <c r="BB401" s="79">
        <f>AG387</f>
        <v>0.8</v>
      </c>
      <c r="BC401" s="79"/>
      <c r="BD401" s="79"/>
      <c r="BE401" s="79"/>
      <c r="BF401" s="79"/>
      <c r="BG401" s="130" t="s">
        <v>461</v>
      </c>
      <c r="BJ401" s="79">
        <v>2</v>
      </c>
      <c r="BK401" s="79"/>
      <c r="BL401" s="79" t="s">
        <v>211</v>
      </c>
      <c r="BM401" s="79"/>
      <c r="BN401" s="131">
        <f>ROUNDDOWN(SQRT(P389^2+((AG387-AG385)/2)^2),3)</f>
        <v>1.0189999999999999</v>
      </c>
      <c r="BO401" s="79"/>
      <c r="BP401" s="79"/>
      <c r="BQ401" s="79"/>
      <c r="BR401" s="79"/>
      <c r="BS401" s="130" t="s">
        <v>462</v>
      </c>
      <c r="BV401" s="79">
        <v>2</v>
      </c>
      <c r="BW401" s="79"/>
      <c r="CE401" s="86"/>
    </row>
    <row r="402" spans="1:83" s="71" customFormat="1" ht="14.25" customHeight="1">
      <c r="A402" s="85"/>
      <c r="K402" s="79" t="s">
        <v>227</v>
      </c>
      <c r="L402" s="79"/>
      <c r="M402" s="79">
        <f>ROUNDDOWN(((N401+U401)/2*AG401)*AO401+((AU401+BB401)/2*BN401)*BV401,3)</f>
        <v>2.4449999999999998</v>
      </c>
      <c r="N402" s="79"/>
      <c r="O402" s="79"/>
      <c r="P402" s="79"/>
      <c r="Q402" s="79"/>
      <c r="R402" s="79"/>
      <c r="S402" s="79" t="s">
        <v>211</v>
      </c>
      <c r="T402" s="79"/>
      <c r="U402" s="79">
        <f>R399</f>
        <v>1</v>
      </c>
      <c r="V402" s="79"/>
      <c r="W402" s="79"/>
      <c r="X402" s="79"/>
      <c r="Y402" s="79" t="s">
        <v>227</v>
      </c>
      <c r="Z402" s="79"/>
      <c r="AA402" s="79">
        <f>ROUNDDOWN(M402*U402,3)</f>
        <v>2.4449999999999998</v>
      </c>
      <c r="AB402" s="79"/>
      <c r="AC402" s="79"/>
      <c r="AD402" s="79"/>
      <c r="AE402" s="79"/>
      <c r="AF402" s="79"/>
      <c r="AG402" s="81" t="s">
        <v>463</v>
      </c>
      <c r="CE402" s="86"/>
    </row>
    <row r="403" spans="1:83" s="71" customFormat="1" ht="14.25" customHeight="1">
      <c r="A403" s="85"/>
      <c r="H403" s="81" t="s">
        <v>464</v>
      </c>
      <c r="K403" s="89" t="s">
        <v>465</v>
      </c>
      <c r="AD403" s="133" t="s">
        <v>217</v>
      </c>
      <c r="AF403" s="79">
        <v>4</v>
      </c>
      <c r="AG403" s="79"/>
      <c r="AH403" s="79"/>
      <c r="AI403" s="79"/>
      <c r="AJ403" s="79"/>
      <c r="AK403" s="79"/>
      <c r="AL403" s="81" t="s">
        <v>466</v>
      </c>
      <c r="CE403" s="86"/>
    </row>
    <row r="404" spans="1:83" s="71" customFormat="1" ht="14.25" customHeight="1">
      <c r="A404" s="85"/>
      <c r="H404" s="81" t="s">
        <v>467</v>
      </c>
      <c r="K404" s="89" t="s">
        <v>468</v>
      </c>
      <c r="AD404" s="133" t="s">
        <v>217</v>
      </c>
      <c r="AF404" s="79">
        <v>4</v>
      </c>
      <c r="AG404" s="79"/>
      <c r="AH404" s="79"/>
      <c r="AI404" s="79"/>
      <c r="AJ404" s="79"/>
      <c r="AK404" s="79"/>
      <c r="AL404" s="81" t="s">
        <v>466</v>
      </c>
      <c r="CE404" s="86"/>
    </row>
    <row r="405" spans="1:83" s="71" customFormat="1" ht="14.25" customHeight="1">
      <c r="A405" s="85"/>
      <c r="H405" s="81" t="s">
        <v>469</v>
      </c>
      <c r="K405" s="71" t="s">
        <v>470</v>
      </c>
      <c r="AD405" s="133" t="s">
        <v>217</v>
      </c>
      <c r="AF405" s="79" t="e">
        <f>#REF!</f>
        <v>#REF!</v>
      </c>
      <c r="AG405" s="79"/>
      <c r="AH405" s="79"/>
      <c r="AI405" s="79"/>
      <c r="AJ405" s="79"/>
      <c r="AK405" s="79"/>
      <c r="AL405" s="71" t="s">
        <v>471</v>
      </c>
      <c r="CE405" s="86"/>
    </row>
    <row r="406" spans="1:83" s="71" customFormat="1" ht="14.25" customHeight="1">
      <c r="A406" s="85"/>
      <c r="H406" s="81" t="s">
        <v>472</v>
      </c>
      <c r="K406" s="81" t="s">
        <v>473</v>
      </c>
      <c r="AD406" s="133" t="s">
        <v>217</v>
      </c>
      <c r="AF406" s="79" t="e">
        <f>#REF!</f>
        <v>#REF!</v>
      </c>
      <c r="AG406" s="79"/>
      <c r="AH406" s="79"/>
      <c r="AI406" s="79"/>
      <c r="AJ406" s="79"/>
      <c r="AK406" s="79"/>
      <c r="AL406" s="71" t="s">
        <v>471</v>
      </c>
      <c r="CE406" s="86"/>
    </row>
    <row r="407" spans="1:83" ht="14.25" customHeight="1">
      <c r="A407" s="123"/>
      <c r="CE407" s="124"/>
    </row>
    <row r="408" spans="1:83" s="71" customFormat="1" ht="14.25" customHeight="1">
      <c r="A408" s="85"/>
      <c r="J408" s="120" t="s">
        <v>474</v>
      </c>
      <c r="L408" s="72"/>
      <c r="M408" s="73"/>
      <c r="N408" s="74"/>
      <c r="O408" s="74"/>
      <c r="P408" s="74"/>
      <c r="Q408" s="74"/>
      <c r="R408" s="75"/>
      <c r="S408" s="75"/>
      <c r="T408" s="79"/>
      <c r="U408" s="125"/>
      <c r="W408" s="74"/>
      <c r="X408" s="73"/>
      <c r="Y408" s="74"/>
      <c r="Z408" s="126"/>
      <c r="AV408" s="127" t="s">
        <v>217</v>
      </c>
      <c r="AX408" s="75">
        <v>1</v>
      </c>
      <c r="AY408" s="75"/>
      <c r="AZ408" s="75"/>
      <c r="BA408" s="75"/>
      <c r="BB408" s="75"/>
      <c r="BC408" s="74"/>
      <c r="BD408" s="74" t="s">
        <v>205</v>
      </c>
      <c r="CE408" s="86"/>
    </row>
    <row r="409" spans="1:83" s="71" customFormat="1" ht="14.25" customHeight="1">
      <c r="A409" s="85"/>
      <c r="Q409" s="79"/>
      <c r="R409" s="79"/>
      <c r="AY409" s="79"/>
      <c r="AZ409" s="79"/>
      <c r="CE409" s="86"/>
    </row>
    <row r="410" spans="1:83" s="71" customFormat="1" ht="14.25" customHeight="1">
      <c r="A410" s="85"/>
      <c r="CE410" s="86"/>
    </row>
    <row r="411" spans="1:83" s="71" customFormat="1" ht="13.5">
      <c r="A411" s="85"/>
      <c r="CE411" s="86"/>
    </row>
    <row r="412" spans="1:83" s="71" customFormat="1" ht="14.25" customHeight="1">
      <c r="A412" s="85"/>
      <c r="CE412" s="86"/>
    </row>
    <row r="413" spans="1:83" s="71" customFormat="1" ht="14.25" customHeight="1">
      <c r="A413" s="85"/>
      <c r="CE413" s="86"/>
    </row>
    <row r="414" spans="1:83" s="71" customFormat="1" ht="14.25" customHeight="1">
      <c r="A414" s="85"/>
      <c r="CE414" s="86"/>
    </row>
    <row r="415" spans="1:83" s="71" customFormat="1" ht="14.25" customHeight="1">
      <c r="A415" s="85"/>
      <c r="CE415" s="86"/>
    </row>
    <row r="416" spans="1:83" s="71" customFormat="1" ht="14.25" customHeight="1">
      <c r="A416" s="85"/>
      <c r="CE416" s="86"/>
    </row>
    <row r="417" spans="1:83" s="71" customFormat="1" ht="14.25" customHeight="1">
      <c r="A417" s="85"/>
      <c r="CE417" s="86"/>
    </row>
    <row r="418" spans="1:83" s="71" customFormat="1" ht="14.25" customHeight="1">
      <c r="A418" s="85"/>
      <c r="Q418" s="79"/>
      <c r="R418" s="79"/>
      <c r="AY418" s="79"/>
      <c r="AZ418" s="79"/>
      <c r="CE418" s="86"/>
    </row>
    <row r="419" spans="1:83" s="71" customFormat="1" ht="14.25" customHeight="1">
      <c r="A419" s="85"/>
      <c r="Q419" s="79"/>
      <c r="R419" s="79"/>
      <c r="AY419" s="79"/>
      <c r="AZ419" s="79"/>
      <c r="CE419" s="86"/>
    </row>
    <row r="420" spans="1:83" s="71" customFormat="1" ht="14.25" customHeight="1">
      <c r="A420" s="85"/>
      <c r="CE420" s="86"/>
    </row>
    <row r="421" spans="1:83" s="71" customFormat="1" ht="14.25" customHeight="1">
      <c r="A421" s="85"/>
      <c r="K421" s="79" t="s">
        <v>218</v>
      </c>
      <c r="L421" s="79"/>
      <c r="N421" s="71" t="s">
        <v>217</v>
      </c>
      <c r="P421" s="84">
        <v>0.4</v>
      </c>
      <c r="Q421" s="79"/>
      <c r="R421" s="79"/>
      <c r="S421" s="79"/>
      <c r="T421" s="79"/>
      <c r="AB421" s="79" t="s">
        <v>219</v>
      </c>
      <c r="AC421" s="79"/>
      <c r="AE421" s="71" t="s">
        <v>217</v>
      </c>
      <c r="AG421" s="79">
        <f>P421</f>
        <v>0.4</v>
      </c>
      <c r="AH421" s="79"/>
      <c r="AI421" s="79"/>
      <c r="AJ421" s="79"/>
      <c r="AK421" s="79"/>
      <c r="CE421" s="86"/>
    </row>
    <row r="422" spans="1:83" s="71" customFormat="1" ht="14.25" customHeight="1">
      <c r="A422" s="85"/>
      <c r="K422" s="79" t="s">
        <v>220</v>
      </c>
      <c r="L422" s="79"/>
      <c r="N422" s="71" t="s">
        <v>217</v>
      </c>
      <c r="P422" s="128">
        <f>P424+P425*0.3*2</f>
        <v>1.9200000000000002</v>
      </c>
      <c r="Q422" s="79"/>
      <c r="R422" s="79"/>
      <c r="S422" s="79"/>
      <c r="T422" s="79"/>
      <c r="AB422" s="79" t="s">
        <v>221</v>
      </c>
      <c r="AC422" s="79"/>
      <c r="AE422" s="71" t="s">
        <v>217</v>
      </c>
      <c r="AG422" s="128">
        <f>AG424+P425*0.3*2</f>
        <v>1.9200000000000002</v>
      </c>
      <c r="AH422" s="79"/>
      <c r="AI422" s="79"/>
      <c r="AJ422" s="79"/>
      <c r="AK422" s="79"/>
      <c r="CE422" s="86"/>
    </row>
    <row r="423" spans="1:83" s="71" customFormat="1" ht="14.25" customHeight="1">
      <c r="A423" s="85"/>
      <c r="K423" s="79" t="s">
        <v>222</v>
      </c>
      <c r="L423" s="79"/>
      <c r="N423" s="71" t="s">
        <v>217</v>
      </c>
      <c r="P423" s="129">
        <v>0.8</v>
      </c>
      <c r="Q423" s="79"/>
      <c r="R423" s="79"/>
      <c r="S423" s="79"/>
      <c r="T423" s="79"/>
      <c r="AB423" s="79" t="s">
        <v>223</v>
      </c>
      <c r="AC423" s="79"/>
      <c r="AE423" s="71" t="s">
        <v>217</v>
      </c>
      <c r="AG423" s="128">
        <f>P423</f>
        <v>0.8</v>
      </c>
      <c r="AH423" s="79"/>
      <c r="AI423" s="79"/>
      <c r="AJ423" s="79"/>
      <c r="AK423" s="79"/>
      <c r="CE423" s="86"/>
    </row>
    <row r="424" spans="1:83" s="71" customFormat="1" ht="14.25" customHeight="1">
      <c r="A424" s="85"/>
      <c r="K424" s="79" t="s">
        <v>224</v>
      </c>
      <c r="L424" s="79"/>
      <c r="N424" s="71" t="s">
        <v>217</v>
      </c>
      <c r="P424" s="79">
        <f>P423+0.4</f>
        <v>1.2000000000000002</v>
      </c>
      <c r="Q424" s="79"/>
      <c r="R424" s="79"/>
      <c r="S424" s="79"/>
      <c r="T424" s="79"/>
      <c r="AB424" s="79" t="s">
        <v>225</v>
      </c>
      <c r="AC424" s="79"/>
      <c r="AE424" s="71" t="s">
        <v>217</v>
      </c>
      <c r="AG424" s="79">
        <f>AG423+0.4</f>
        <v>1.2000000000000002</v>
      </c>
      <c r="AH424" s="79"/>
      <c r="AI424" s="79"/>
      <c r="AJ424" s="79"/>
      <c r="AK424" s="79"/>
      <c r="CE424" s="86"/>
    </row>
    <row r="425" spans="1:83" s="71" customFormat="1" ht="14.25" customHeight="1">
      <c r="A425" s="85"/>
      <c r="K425" s="79" t="s">
        <v>226</v>
      </c>
      <c r="L425" s="79"/>
      <c r="N425" s="71" t="s">
        <v>217</v>
      </c>
      <c r="P425" s="129">
        <v>1.2</v>
      </c>
      <c r="Q425" s="79"/>
      <c r="R425" s="79"/>
      <c r="S425" s="79"/>
      <c r="T425" s="79"/>
      <c r="AB425" s="79"/>
      <c r="AC425" s="79"/>
      <c r="AF425" s="79"/>
      <c r="AG425" s="79"/>
      <c r="AH425" s="79"/>
      <c r="CE425" s="86"/>
    </row>
    <row r="426" spans="1:83" s="71" customFormat="1" ht="14.25" customHeight="1">
      <c r="A426" s="85"/>
      <c r="H426" s="81" t="s">
        <v>475</v>
      </c>
      <c r="K426" s="81" t="s">
        <v>476</v>
      </c>
      <c r="AP426" s="130"/>
      <c r="CE426" s="86"/>
    </row>
    <row r="427" spans="1:83" s="71" customFormat="1" ht="14.25" customHeight="1">
      <c r="A427" s="85"/>
      <c r="K427" s="81" t="s">
        <v>477</v>
      </c>
      <c r="N427" s="91">
        <f>P425</f>
        <v>1.2</v>
      </c>
      <c r="O427" s="79"/>
      <c r="P427" s="79"/>
      <c r="Q427" s="88" t="s">
        <v>478</v>
      </c>
      <c r="R427" s="130"/>
      <c r="T427" s="71" t="s">
        <v>479</v>
      </c>
      <c r="X427" s="79">
        <v>2</v>
      </c>
      <c r="Y427" s="79"/>
      <c r="Z427" s="79" t="s">
        <v>211</v>
      </c>
      <c r="AA427" s="79"/>
      <c r="AB427" s="131">
        <f>P422</f>
        <v>1.9200000000000002</v>
      </c>
      <c r="AC427" s="79"/>
      <c r="AD427" s="79"/>
      <c r="AE427" s="79"/>
      <c r="AF427" s="79" t="s">
        <v>209</v>
      </c>
      <c r="AG427" s="79"/>
      <c r="AH427" s="79">
        <f>P424</f>
        <v>1.2000000000000002</v>
      </c>
      <c r="AI427" s="79"/>
      <c r="AJ427" s="79"/>
      <c r="AK427" s="79"/>
      <c r="AL427" s="71" t="s">
        <v>462</v>
      </c>
      <c r="AO427" s="79">
        <f>AG422</f>
        <v>1.9200000000000002</v>
      </c>
      <c r="AP427" s="79"/>
      <c r="AQ427" s="79"/>
      <c r="AR427" s="79"/>
      <c r="AS427" s="88" t="s">
        <v>480</v>
      </c>
      <c r="AV427" s="79">
        <v>2</v>
      </c>
      <c r="AW427" s="79"/>
      <c r="AX427" s="79" t="s">
        <v>211</v>
      </c>
      <c r="AY427" s="79"/>
      <c r="AZ427" s="79">
        <f>P424</f>
        <v>1.2000000000000002</v>
      </c>
      <c r="BA427" s="131"/>
      <c r="BB427" s="79"/>
      <c r="BC427" s="79"/>
      <c r="BD427" s="79" t="s">
        <v>209</v>
      </c>
      <c r="BE427" s="79"/>
      <c r="BF427" s="79">
        <f>P422</f>
        <v>1.9200000000000002</v>
      </c>
      <c r="BG427" s="91"/>
      <c r="BH427" s="79"/>
      <c r="BI427" s="79"/>
      <c r="BJ427" s="71" t="s">
        <v>462</v>
      </c>
      <c r="BM427" s="79">
        <f>AG424</f>
        <v>1.2000000000000002</v>
      </c>
      <c r="BN427" s="79"/>
      <c r="BO427" s="79"/>
      <c r="BP427" s="79"/>
      <c r="BQ427" s="71" t="s">
        <v>481</v>
      </c>
      <c r="BR427" s="130"/>
      <c r="CE427" s="86"/>
    </row>
    <row r="428" spans="1:83" s="71" customFormat="1" ht="14.25" customHeight="1">
      <c r="A428" s="85"/>
      <c r="L428" s="79" t="s">
        <v>227</v>
      </c>
      <c r="M428" s="79"/>
      <c r="N428" s="79">
        <f>ROUNDDOWN((N427/6*((2*AB427+AH427)*AO427+(2*AZ427+BF427)*BM427)),3)</f>
        <v>2.972</v>
      </c>
      <c r="O428" s="79"/>
      <c r="P428" s="79"/>
      <c r="Q428" s="79"/>
      <c r="R428" s="79"/>
      <c r="S428" s="79" t="s">
        <v>211</v>
      </c>
      <c r="T428" s="79"/>
      <c r="U428" s="79">
        <f>AX408</f>
        <v>1</v>
      </c>
      <c r="V428" s="79"/>
      <c r="W428" s="79"/>
      <c r="X428" s="79"/>
      <c r="Y428" s="79" t="s">
        <v>482</v>
      </c>
      <c r="Z428" s="79"/>
      <c r="AA428" s="79">
        <f>ROUNDDOWN(N428*U428,3)</f>
        <v>2.972</v>
      </c>
      <c r="AB428" s="79"/>
      <c r="AC428" s="79"/>
      <c r="AD428" s="79"/>
      <c r="AE428" s="79"/>
      <c r="AF428" s="79"/>
      <c r="AG428" s="79"/>
      <c r="AH428" s="89" t="s">
        <v>212</v>
      </c>
      <c r="AR428" s="130"/>
      <c r="CE428" s="86"/>
    </row>
    <row r="429" spans="1:83" s="71" customFormat="1" ht="14.25" customHeight="1">
      <c r="A429" s="85"/>
      <c r="H429" s="81" t="s">
        <v>381</v>
      </c>
      <c r="K429" s="81" t="s">
        <v>448</v>
      </c>
      <c r="AP429" s="130"/>
      <c r="CE429" s="86"/>
    </row>
    <row r="430" spans="1:83" s="71" customFormat="1" ht="14.25" customHeight="1">
      <c r="A430" s="85"/>
      <c r="K430" s="81" t="s">
        <v>441</v>
      </c>
      <c r="N430" s="91">
        <f>P425</f>
        <v>1.2</v>
      </c>
      <c r="O430" s="79"/>
      <c r="P430" s="79"/>
      <c r="Q430" s="88" t="s">
        <v>449</v>
      </c>
      <c r="R430" s="130"/>
      <c r="T430" s="71" t="s">
        <v>450</v>
      </c>
      <c r="X430" s="79">
        <v>2</v>
      </c>
      <c r="Y430" s="79"/>
      <c r="Z430" s="79" t="s">
        <v>211</v>
      </c>
      <c r="AA430" s="79"/>
      <c r="AB430" s="131">
        <f>P421</f>
        <v>0.4</v>
      </c>
      <c r="AC430" s="79"/>
      <c r="AD430" s="79"/>
      <c r="AE430" s="79"/>
      <c r="AF430" s="79" t="s">
        <v>209</v>
      </c>
      <c r="AG430" s="79"/>
      <c r="AH430" s="79">
        <f>P423</f>
        <v>0.8</v>
      </c>
      <c r="AI430" s="79"/>
      <c r="AJ430" s="79"/>
      <c r="AK430" s="79"/>
      <c r="AL430" s="71" t="s">
        <v>451</v>
      </c>
      <c r="AO430" s="79">
        <f>AG421</f>
        <v>0.4</v>
      </c>
      <c r="AP430" s="79"/>
      <c r="AQ430" s="79"/>
      <c r="AR430" s="79"/>
      <c r="AS430" s="88" t="s">
        <v>452</v>
      </c>
      <c r="AV430" s="79">
        <v>2</v>
      </c>
      <c r="AW430" s="79"/>
      <c r="AX430" s="79" t="s">
        <v>211</v>
      </c>
      <c r="AY430" s="79"/>
      <c r="AZ430" s="79">
        <f>P423</f>
        <v>0.8</v>
      </c>
      <c r="BA430" s="131"/>
      <c r="BB430" s="79"/>
      <c r="BC430" s="79"/>
      <c r="BD430" s="79" t="s">
        <v>209</v>
      </c>
      <c r="BE430" s="79"/>
      <c r="BF430" s="79">
        <f>P421</f>
        <v>0.4</v>
      </c>
      <c r="BG430" s="91"/>
      <c r="BH430" s="79"/>
      <c r="BI430" s="79"/>
      <c r="BJ430" s="71" t="s">
        <v>451</v>
      </c>
      <c r="BM430" s="79">
        <f>AG423</f>
        <v>0.8</v>
      </c>
      <c r="BN430" s="79"/>
      <c r="BO430" s="79"/>
      <c r="BP430" s="79"/>
      <c r="BQ430" s="71" t="s">
        <v>453</v>
      </c>
      <c r="BR430" s="130"/>
      <c r="CE430" s="86"/>
    </row>
    <row r="431" spans="1:83" s="71" customFormat="1" ht="14.25" customHeight="1">
      <c r="A431" s="85"/>
      <c r="L431" s="79" t="s">
        <v>227</v>
      </c>
      <c r="M431" s="79"/>
      <c r="N431" s="79">
        <f>ROUNDDOWN((N430/6*((2*AB430+AH430)*AO430+(2*AZ430+BF430)*BM430)),3)</f>
        <v>0.44800000000000001</v>
      </c>
      <c r="O431" s="79"/>
      <c r="P431" s="79"/>
      <c r="Q431" s="79"/>
      <c r="R431" s="79"/>
      <c r="S431" s="79" t="s">
        <v>211</v>
      </c>
      <c r="T431" s="79"/>
      <c r="U431" s="79">
        <f>AX408</f>
        <v>1</v>
      </c>
      <c r="V431" s="79"/>
      <c r="W431" s="79"/>
      <c r="X431" s="79"/>
      <c r="Y431" s="79" t="s">
        <v>401</v>
      </c>
      <c r="Z431" s="79"/>
      <c r="AA431" s="79">
        <f>ROUNDDOWN(N431*U431,3)</f>
        <v>0.44800000000000001</v>
      </c>
      <c r="AB431" s="79"/>
      <c r="AC431" s="79"/>
      <c r="AD431" s="79"/>
      <c r="AE431" s="79"/>
      <c r="AF431" s="79"/>
      <c r="AG431" s="79"/>
      <c r="AH431" s="89" t="s">
        <v>212</v>
      </c>
      <c r="AR431" s="130"/>
      <c r="CE431" s="86"/>
    </row>
    <row r="432" spans="1:83" s="71" customFormat="1" ht="14.25" customHeight="1">
      <c r="A432" s="85"/>
      <c r="H432" s="81" t="s">
        <v>385</v>
      </c>
      <c r="K432" s="89" t="s">
        <v>228</v>
      </c>
      <c r="AP432" s="130"/>
      <c r="CE432" s="86"/>
    </row>
    <row r="433" spans="1:83" s="71" customFormat="1" ht="14.25" customHeight="1">
      <c r="A433" s="85"/>
      <c r="K433" s="81" t="s">
        <v>441</v>
      </c>
      <c r="N433" s="91">
        <f>N428</f>
        <v>2.972</v>
      </c>
      <c r="O433" s="79"/>
      <c r="P433" s="91"/>
      <c r="Q433" s="91"/>
      <c r="R433" s="91"/>
      <c r="S433" s="79" t="s">
        <v>454</v>
      </c>
      <c r="T433" s="79"/>
      <c r="U433" s="79">
        <f>N431</f>
        <v>0.44800000000000001</v>
      </c>
      <c r="V433" s="79"/>
      <c r="W433" s="79"/>
      <c r="X433" s="79"/>
      <c r="Y433" s="79"/>
      <c r="Z433" s="79" t="s">
        <v>401</v>
      </c>
      <c r="AA433" s="79"/>
      <c r="AB433" s="79">
        <f>ROUNDDOWN(N433-U433,3)</f>
        <v>2.524</v>
      </c>
      <c r="AC433" s="131"/>
      <c r="AD433" s="131"/>
      <c r="AE433" s="131"/>
      <c r="AF433" s="131"/>
      <c r="AG433" s="79" t="s">
        <v>211</v>
      </c>
      <c r="AH433" s="79"/>
      <c r="AI433" s="131">
        <f>AX408</f>
        <v>1</v>
      </c>
      <c r="AJ433" s="131"/>
      <c r="AK433" s="131"/>
      <c r="AL433" s="131"/>
      <c r="AM433" s="79" t="s">
        <v>401</v>
      </c>
      <c r="AN433" s="79"/>
      <c r="AO433" s="79">
        <f>ROUNDDOWN(AB433*AI433,3)</f>
        <v>2.524</v>
      </c>
      <c r="AP433" s="79"/>
      <c r="AQ433" s="79"/>
      <c r="AR433" s="79"/>
      <c r="AS433" s="79"/>
      <c r="AT433" s="79"/>
      <c r="AU433" s="79"/>
      <c r="AV433" s="89" t="s">
        <v>212</v>
      </c>
      <c r="AX433" s="79"/>
      <c r="AY433" s="130"/>
      <c r="AZ433" s="130"/>
      <c r="BE433" s="130"/>
      <c r="CE433" s="86"/>
    </row>
    <row r="434" spans="1:83" s="71" customFormat="1" ht="14.25" customHeight="1">
      <c r="A434" s="85"/>
      <c r="H434" s="81" t="s">
        <v>405</v>
      </c>
      <c r="K434" s="81" t="s">
        <v>229</v>
      </c>
      <c r="AP434" s="130"/>
      <c r="CE434" s="86"/>
    </row>
    <row r="435" spans="1:83" s="71" customFormat="1" ht="14.25" customHeight="1">
      <c r="A435" s="85"/>
      <c r="I435" s="81"/>
      <c r="K435" s="79">
        <f>N431</f>
        <v>0.44800000000000001</v>
      </c>
      <c r="L435" s="79"/>
      <c r="M435" s="91"/>
      <c r="N435" s="91"/>
      <c r="O435" s="91"/>
      <c r="P435" s="79" t="s">
        <v>211</v>
      </c>
      <c r="Q435" s="79"/>
      <c r="R435" s="79">
        <f>AX408</f>
        <v>1</v>
      </c>
      <c r="S435" s="131"/>
      <c r="T435" s="79"/>
      <c r="U435" s="79"/>
      <c r="V435" s="79" t="s">
        <v>401</v>
      </c>
      <c r="W435" s="79"/>
      <c r="X435" s="79">
        <f>ROUNDDOWN(K435*R435,3)</f>
        <v>0.44800000000000001</v>
      </c>
      <c r="Y435" s="131"/>
      <c r="Z435" s="131"/>
      <c r="AA435" s="131"/>
      <c r="AB435" s="131"/>
      <c r="AC435" s="131"/>
      <c r="AD435" s="89" t="s">
        <v>212</v>
      </c>
      <c r="AE435" s="131"/>
      <c r="AF435" s="131"/>
      <c r="AG435" s="79"/>
      <c r="AH435" s="79"/>
      <c r="AI435" s="79"/>
      <c r="AJ435" s="79"/>
      <c r="AK435" s="81"/>
      <c r="AL435" s="130"/>
      <c r="AM435" s="130"/>
      <c r="AN435" s="130"/>
      <c r="AP435" s="130"/>
      <c r="CE435" s="86"/>
    </row>
    <row r="436" spans="1:83" s="71" customFormat="1" ht="14.25" customHeight="1">
      <c r="A436" s="85"/>
      <c r="H436" s="81" t="s">
        <v>407</v>
      </c>
      <c r="K436" s="81" t="s">
        <v>455</v>
      </c>
      <c r="AP436" s="130"/>
      <c r="CE436" s="86"/>
    </row>
    <row r="437" spans="1:83" s="71" customFormat="1" ht="14.25" customHeight="1">
      <c r="A437" s="85"/>
      <c r="K437" s="71" t="s">
        <v>456</v>
      </c>
      <c r="N437" s="79">
        <f>P421</f>
        <v>0.4</v>
      </c>
      <c r="O437" s="79"/>
      <c r="P437" s="79"/>
      <c r="Q437" s="79"/>
      <c r="R437" s="79"/>
      <c r="S437" s="91" t="s">
        <v>457</v>
      </c>
      <c r="T437" s="79"/>
      <c r="U437" s="79">
        <f>P423</f>
        <v>0.8</v>
      </c>
      <c r="V437" s="79"/>
      <c r="W437" s="79"/>
      <c r="X437" s="79"/>
      <c r="Y437" s="79"/>
      <c r="Z437" s="71" t="s">
        <v>458</v>
      </c>
      <c r="AC437" s="79">
        <v>2</v>
      </c>
      <c r="AD437" s="79"/>
      <c r="AE437" s="79" t="s">
        <v>211</v>
      </c>
      <c r="AF437" s="79"/>
      <c r="AG437" s="79">
        <f>ROUNDDOWN(SQRT(P425^2+((P423-P421)/2)^2),3)</f>
        <v>1.216</v>
      </c>
      <c r="AH437" s="79"/>
      <c r="AI437" s="79"/>
      <c r="AJ437" s="79"/>
      <c r="AK437" s="79"/>
      <c r="AL437" s="71" t="s">
        <v>451</v>
      </c>
      <c r="AM437" s="79"/>
      <c r="AN437" s="132"/>
      <c r="AO437" s="79">
        <v>2</v>
      </c>
      <c r="AP437" s="79"/>
      <c r="AQ437" s="88" t="s">
        <v>459</v>
      </c>
      <c r="AR437" s="79"/>
      <c r="AS437" s="131"/>
      <c r="AT437" s="79"/>
      <c r="AU437" s="79">
        <f>AG421</f>
        <v>0.4</v>
      </c>
      <c r="AV437" s="79"/>
      <c r="AW437" s="79"/>
      <c r="AX437" s="79"/>
      <c r="AY437" s="79"/>
      <c r="AZ437" s="91" t="s">
        <v>457</v>
      </c>
      <c r="BA437" s="79"/>
      <c r="BB437" s="79">
        <f>AG423</f>
        <v>0.8</v>
      </c>
      <c r="BC437" s="79"/>
      <c r="BD437" s="79"/>
      <c r="BE437" s="79"/>
      <c r="BF437" s="79"/>
      <c r="BG437" s="130" t="s">
        <v>458</v>
      </c>
      <c r="BJ437" s="79">
        <v>2</v>
      </c>
      <c r="BK437" s="79"/>
      <c r="BL437" s="79" t="s">
        <v>211</v>
      </c>
      <c r="BM437" s="79"/>
      <c r="BN437" s="131">
        <f>ROUNDDOWN(SQRT(P425^2+((AG423-AG421)/2)^2),3)</f>
        <v>1.216</v>
      </c>
      <c r="BO437" s="79"/>
      <c r="BP437" s="79"/>
      <c r="BQ437" s="79"/>
      <c r="BR437" s="79"/>
      <c r="BS437" s="130" t="s">
        <v>451</v>
      </c>
      <c r="BV437" s="79">
        <v>2</v>
      </c>
      <c r="BW437" s="79"/>
      <c r="CE437" s="86"/>
    </row>
    <row r="438" spans="1:83" s="71" customFormat="1" ht="14.25" customHeight="1">
      <c r="A438" s="85"/>
      <c r="K438" s="79" t="s">
        <v>227</v>
      </c>
      <c r="L438" s="79"/>
      <c r="M438" s="79">
        <f>ROUNDDOWN(((N437+U437)/2*AG437)*AO437+((AU437+BB437)/2*BN437)*BV437,3)</f>
        <v>2.9180000000000001</v>
      </c>
      <c r="N438" s="79"/>
      <c r="O438" s="79"/>
      <c r="P438" s="79"/>
      <c r="Q438" s="79"/>
      <c r="R438" s="79"/>
      <c r="S438" s="79" t="s">
        <v>211</v>
      </c>
      <c r="T438" s="79"/>
      <c r="U438" s="79">
        <f>R435</f>
        <v>1</v>
      </c>
      <c r="V438" s="79"/>
      <c r="W438" s="79"/>
      <c r="X438" s="79"/>
      <c r="Y438" s="79" t="s">
        <v>227</v>
      </c>
      <c r="Z438" s="79"/>
      <c r="AA438" s="79">
        <f>ROUNDDOWN(M438*U438,3)</f>
        <v>2.9180000000000001</v>
      </c>
      <c r="AB438" s="79"/>
      <c r="AC438" s="79"/>
      <c r="AD438" s="79"/>
      <c r="AE438" s="79"/>
      <c r="AF438" s="79"/>
      <c r="AG438" s="81" t="s">
        <v>483</v>
      </c>
      <c r="CE438" s="86"/>
    </row>
    <row r="439" spans="1:83" s="71" customFormat="1" ht="14.25" customHeight="1">
      <c r="A439" s="85"/>
      <c r="H439" s="81" t="s">
        <v>435</v>
      </c>
      <c r="K439" s="89" t="s">
        <v>484</v>
      </c>
      <c r="AD439" s="133" t="s">
        <v>217</v>
      </c>
      <c r="AF439" s="79">
        <v>4</v>
      </c>
      <c r="AG439" s="79"/>
      <c r="AH439" s="79"/>
      <c r="AI439" s="79"/>
      <c r="AJ439" s="79"/>
      <c r="AK439" s="79"/>
      <c r="AL439" s="81" t="s">
        <v>485</v>
      </c>
      <c r="CE439" s="86"/>
    </row>
    <row r="440" spans="1:83" s="71" customFormat="1" ht="14.25" customHeight="1">
      <c r="A440" s="85"/>
      <c r="H440" s="81" t="s">
        <v>438</v>
      </c>
      <c r="K440" s="89" t="s">
        <v>486</v>
      </c>
      <c r="AD440" s="133" t="s">
        <v>217</v>
      </c>
      <c r="AF440" s="79">
        <v>4</v>
      </c>
      <c r="AG440" s="79"/>
      <c r="AH440" s="79"/>
      <c r="AI440" s="79"/>
      <c r="AJ440" s="79"/>
      <c r="AK440" s="79"/>
      <c r="AL440" s="81" t="s">
        <v>485</v>
      </c>
      <c r="CE440" s="86"/>
    </row>
    <row r="441" spans="1:83" s="71" customFormat="1" ht="14.25" customHeight="1">
      <c r="A441" s="85"/>
      <c r="H441" s="81" t="s">
        <v>487</v>
      </c>
      <c r="K441" s="71" t="s">
        <v>488</v>
      </c>
      <c r="AD441" s="133" t="s">
        <v>217</v>
      </c>
      <c r="AF441" s="79" t="e">
        <f>#REF!</f>
        <v>#REF!</v>
      </c>
      <c r="AG441" s="79"/>
      <c r="AH441" s="79"/>
      <c r="AI441" s="79"/>
      <c r="AJ441" s="79"/>
      <c r="AK441" s="79"/>
      <c r="AL441" s="71" t="s">
        <v>489</v>
      </c>
      <c r="CE441" s="86"/>
    </row>
    <row r="442" spans="1:83" s="71" customFormat="1" ht="14.25" customHeight="1">
      <c r="A442" s="85"/>
      <c r="H442" s="81" t="s">
        <v>490</v>
      </c>
      <c r="K442" s="81" t="s">
        <v>491</v>
      </c>
      <c r="AD442" s="133" t="s">
        <v>217</v>
      </c>
      <c r="AF442" s="79" t="e">
        <f>#REF!</f>
        <v>#REF!</v>
      </c>
      <c r="AG442" s="79"/>
      <c r="AH442" s="79"/>
      <c r="AI442" s="79"/>
      <c r="AJ442" s="79"/>
      <c r="AK442" s="79"/>
      <c r="AL442" s="71" t="s">
        <v>489</v>
      </c>
      <c r="CE442" s="86"/>
    </row>
    <row r="443" spans="1:83" ht="14.25" customHeight="1">
      <c r="A443" s="123"/>
      <c r="CE443" s="124"/>
    </row>
    <row r="444" spans="1:83" s="71" customFormat="1" ht="14.25" customHeight="1">
      <c r="A444" s="85"/>
      <c r="J444" s="120" t="s">
        <v>492</v>
      </c>
      <c r="L444" s="72"/>
      <c r="M444" s="73"/>
      <c r="N444" s="74"/>
      <c r="O444" s="74"/>
      <c r="P444" s="74"/>
      <c r="Q444" s="74"/>
      <c r="R444" s="75"/>
      <c r="S444" s="75"/>
      <c r="T444" s="79"/>
      <c r="U444" s="125"/>
      <c r="W444" s="74"/>
      <c r="X444" s="73"/>
      <c r="Y444" s="74"/>
      <c r="Z444" s="126"/>
      <c r="AV444" s="127" t="s">
        <v>217</v>
      </c>
      <c r="AX444" s="75">
        <v>1</v>
      </c>
      <c r="AY444" s="75"/>
      <c r="AZ444" s="75"/>
      <c r="BA444" s="75"/>
      <c r="BB444" s="75"/>
      <c r="BC444" s="74"/>
      <c r="BD444" s="74" t="s">
        <v>205</v>
      </c>
      <c r="CE444" s="86"/>
    </row>
    <row r="445" spans="1:83" s="71" customFormat="1" ht="14.25" customHeight="1">
      <c r="A445" s="85"/>
      <c r="K445" s="79"/>
      <c r="L445" s="79"/>
      <c r="P445" s="84"/>
      <c r="Q445" s="79"/>
      <c r="R445" s="79"/>
      <c r="S445" s="79"/>
      <c r="T445" s="79"/>
      <c r="AB445" s="79"/>
      <c r="AC445" s="79"/>
      <c r="AG445" s="79"/>
      <c r="AH445" s="79"/>
      <c r="AI445" s="79"/>
      <c r="AJ445" s="79"/>
      <c r="AK445" s="79"/>
      <c r="CE445" s="86"/>
    </row>
    <row r="446" spans="1:83" s="71" customFormat="1" ht="14.25" customHeight="1">
      <c r="A446" s="85"/>
      <c r="H446" s="81" t="s">
        <v>425</v>
      </c>
      <c r="K446" s="89" t="s">
        <v>484</v>
      </c>
      <c r="AD446" s="133" t="s">
        <v>217</v>
      </c>
      <c r="AF446" s="79">
        <v>4</v>
      </c>
      <c r="AG446" s="79"/>
      <c r="AH446" s="79"/>
      <c r="AI446" s="79"/>
      <c r="AJ446" s="79"/>
      <c r="AK446" s="79"/>
      <c r="AL446" s="81" t="s">
        <v>485</v>
      </c>
      <c r="CE446" s="86"/>
    </row>
    <row r="447" spans="1:83" s="71" customFormat="1" ht="14.25" customHeight="1">
      <c r="A447" s="85"/>
      <c r="H447" s="81" t="s">
        <v>381</v>
      </c>
      <c r="K447" s="89" t="s">
        <v>486</v>
      </c>
      <c r="AD447" s="133" t="s">
        <v>217</v>
      </c>
      <c r="AF447" s="79">
        <v>4</v>
      </c>
      <c r="AG447" s="79"/>
      <c r="AH447" s="79"/>
      <c r="AI447" s="79"/>
      <c r="AJ447" s="79"/>
      <c r="AK447" s="79"/>
      <c r="AL447" s="81" t="s">
        <v>485</v>
      </c>
      <c r="CE447" s="86"/>
    </row>
    <row r="448" spans="1:83" s="71" customFormat="1" ht="14.25" customHeight="1">
      <c r="A448" s="85"/>
      <c r="H448" s="81" t="s">
        <v>385</v>
      </c>
      <c r="K448" s="71" t="s">
        <v>488</v>
      </c>
      <c r="AD448" s="133" t="s">
        <v>217</v>
      </c>
      <c r="AF448" s="79" t="e">
        <f>#REF!</f>
        <v>#REF!</v>
      </c>
      <c r="AG448" s="79"/>
      <c r="AH448" s="79"/>
      <c r="AI448" s="79"/>
      <c r="AJ448" s="79"/>
      <c r="AK448" s="79"/>
      <c r="AL448" s="71" t="s">
        <v>489</v>
      </c>
      <c r="CE448" s="86"/>
    </row>
    <row r="449" spans="1:83" s="71" customFormat="1" ht="14.25" customHeight="1">
      <c r="A449" s="85"/>
      <c r="H449" s="81" t="s">
        <v>405</v>
      </c>
      <c r="K449" s="81" t="s">
        <v>491</v>
      </c>
      <c r="AD449" s="133" t="s">
        <v>217</v>
      </c>
      <c r="AF449" s="79" t="e">
        <f>$AF$448</f>
        <v>#REF!</v>
      </c>
      <c r="AG449" s="79"/>
      <c r="AH449" s="79"/>
      <c r="AI449" s="79"/>
      <c r="AJ449" s="79"/>
      <c r="AK449" s="79"/>
      <c r="AL449" s="71" t="s">
        <v>489</v>
      </c>
      <c r="CE449" s="86"/>
    </row>
    <row r="450" spans="1:83" s="71" customFormat="1" ht="14.25" customHeight="1">
      <c r="A450" s="85"/>
      <c r="K450" s="79"/>
      <c r="L450" s="79"/>
      <c r="P450" s="128"/>
      <c r="Q450" s="79"/>
      <c r="R450" s="79"/>
      <c r="S450" s="79"/>
      <c r="T450" s="79"/>
      <c r="AB450" s="79"/>
      <c r="AC450" s="79"/>
      <c r="AG450" s="128"/>
      <c r="AH450" s="79"/>
      <c r="AI450" s="79"/>
      <c r="AJ450" s="79"/>
      <c r="AK450" s="79"/>
      <c r="CE450" s="86"/>
    </row>
    <row r="451" spans="1:83" s="71" customFormat="1" ht="14.25" customHeight="1">
      <c r="A451" s="85"/>
      <c r="K451" s="79"/>
      <c r="L451" s="79"/>
      <c r="P451" s="129"/>
      <c r="Q451" s="79"/>
      <c r="R451" s="79"/>
      <c r="S451" s="79"/>
      <c r="T451" s="79"/>
      <c r="AB451" s="79"/>
      <c r="AC451" s="79"/>
      <c r="AG451" s="128"/>
      <c r="AH451" s="79"/>
      <c r="AI451" s="79"/>
      <c r="AJ451" s="79"/>
      <c r="AK451" s="79"/>
      <c r="CE451" s="86"/>
    </row>
    <row r="452" spans="1:83" s="71" customFormat="1" ht="14.25" customHeight="1">
      <c r="A452" s="85"/>
      <c r="K452" s="79"/>
      <c r="L452" s="79"/>
      <c r="P452" s="79"/>
      <c r="Q452" s="79"/>
      <c r="R452" s="79"/>
      <c r="S452" s="79"/>
      <c r="T452" s="79"/>
      <c r="AB452" s="79"/>
      <c r="AC452" s="79"/>
      <c r="AG452" s="79"/>
      <c r="AH452" s="79"/>
      <c r="AI452" s="79"/>
      <c r="AJ452" s="79"/>
      <c r="AK452" s="79"/>
      <c r="CE452" s="86"/>
    </row>
    <row r="453" spans="1:83" s="71" customFormat="1" ht="14.25" customHeight="1">
      <c r="A453" s="85"/>
      <c r="K453" s="79"/>
      <c r="L453" s="79"/>
      <c r="P453" s="129"/>
      <c r="Q453" s="79"/>
      <c r="R453" s="79"/>
      <c r="S453" s="79"/>
      <c r="T453" s="79"/>
      <c r="AB453" s="79"/>
      <c r="AC453" s="79"/>
      <c r="AF453" s="79"/>
      <c r="AG453" s="79"/>
      <c r="AH453" s="79"/>
      <c r="CE453" s="86"/>
    </row>
    <row r="454" spans="1:83" s="71" customFormat="1" ht="14.25" customHeight="1">
      <c r="A454" s="85"/>
      <c r="H454" s="81"/>
      <c r="K454" s="81"/>
      <c r="AP454" s="130"/>
      <c r="CE454" s="86"/>
    </row>
    <row r="455" spans="1:83" s="71" customFormat="1" ht="14.25" customHeight="1">
      <c r="A455" s="85"/>
      <c r="K455" s="81"/>
      <c r="N455" s="91"/>
      <c r="O455" s="79"/>
      <c r="P455" s="79"/>
      <c r="Q455" s="88"/>
      <c r="R455" s="130"/>
      <c r="X455" s="79"/>
      <c r="Y455" s="79"/>
      <c r="Z455" s="79"/>
      <c r="AA455" s="79"/>
      <c r="AB455" s="131"/>
      <c r="AC455" s="79"/>
      <c r="AD455" s="79"/>
      <c r="AE455" s="79"/>
      <c r="AF455" s="79"/>
      <c r="AG455" s="79"/>
      <c r="AH455" s="79"/>
      <c r="AI455" s="79"/>
      <c r="AJ455" s="79"/>
      <c r="AK455" s="79"/>
      <c r="AO455" s="79"/>
      <c r="AP455" s="79"/>
      <c r="AQ455" s="79"/>
      <c r="AR455" s="79"/>
      <c r="AS455" s="88"/>
      <c r="AV455" s="79"/>
      <c r="AW455" s="79"/>
      <c r="AX455" s="79"/>
      <c r="AY455" s="79"/>
      <c r="AZ455" s="79"/>
      <c r="BA455" s="131"/>
      <c r="BB455" s="79"/>
      <c r="BC455" s="79"/>
      <c r="BD455" s="79"/>
      <c r="BE455" s="79"/>
      <c r="BF455" s="79"/>
      <c r="BG455" s="91"/>
      <c r="BH455" s="79"/>
      <c r="BI455" s="79"/>
      <c r="BM455" s="79"/>
      <c r="BN455" s="79"/>
      <c r="BO455" s="79"/>
      <c r="BP455" s="79"/>
      <c r="BR455" s="130"/>
      <c r="CE455" s="86"/>
    </row>
    <row r="456" spans="1:83" s="71" customFormat="1" ht="14.25" customHeight="1">
      <c r="A456" s="85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  <c r="AA456" s="79"/>
      <c r="AB456" s="79"/>
      <c r="AC456" s="79"/>
      <c r="AD456" s="79"/>
      <c r="AE456" s="79"/>
      <c r="AF456" s="79"/>
      <c r="AG456" s="79"/>
      <c r="AH456" s="89"/>
      <c r="AR456" s="130"/>
      <c r="CE456" s="86"/>
    </row>
    <row r="457" spans="1:83" s="71" customFormat="1" ht="14.25" customHeight="1">
      <c r="A457" s="85"/>
      <c r="H457" s="81"/>
      <c r="K457" s="81"/>
      <c r="AP457" s="130"/>
      <c r="CE457" s="86"/>
    </row>
    <row r="458" spans="1:83" s="71" customFormat="1" ht="14.25" customHeight="1">
      <c r="A458" s="85"/>
      <c r="K458" s="81"/>
      <c r="N458" s="91"/>
      <c r="O458" s="79"/>
      <c r="P458" s="79"/>
      <c r="Q458" s="88"/>
      <c r="R458" s="130"/>
      <c r="X458" s="79"/>
      <c r="Y458" s="79"/>
      <c r="Z458" s="79"/>
      <c r="AA458" s="79"/>
      <c r="AB458" s="131"/>
      <c r="AC458" s="79"/>
      <c r="AD458" s="79"/>
      <c r="AE458" s="79"/>
      <c r="AF458" s="79"/>
      <c r="AG458" s="79"/>
      <c r="AH458" s="79"/>
      <c r="AI458" s="79"/>
      <c r="AJ458" s="79"/>
      <c r="AK458" s="79"/>
      <c r="AO458" s="79"/>
      <c r="AP458" s="79"/>
      <c r="AQ458" s="79"/>
      <c r="AR458" s="79"/>
      <c r="AS458" s="88"/>
      <c r="AV458" s="79"/>
      <c r="AW458" s="79"/>
      <c r="AX458" s="79"/>
      <c r="AY458" s="79"/>
      <c r="AZ458" s="79"/>
      <c r="BA458" s="131"/>
      <c r="BB458" s="79"/>
      <c r="BC458" s="79"/>
      <c r="BD458" s="79"/>
      <c r="BE458" s="79"/>
      <c r="BF458" s="79"/>
      <c r="BG458" s="91"/>
      <c r="BH458" s="79"/>
      <c r="BI458" s="79"/>
      <c r="BM458" s="79"/>
      <c r="BN458" s="79"/>
      <c r="BO458" s="79"/>
      <c r="BP458" s="79"/>
      <c r="BR458" s="130"/>
      <c r="CE458" s="86"/>
    </row>
    <row r="459" spans="1:83" s="71" customFormat="1" ht="14.25" customHeight="1">
      <c r="A459" s="85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  <c r="W459" s="79"/>
      <c r="X459" s="79"/>
      <c r="Y459" s="79"/>
      <c r="Z459" s="79"/>
      <c r="AA459" s="79"/>
      <c r="AB459" s="79"/>
      <c r="AC459" s="79"/>
      <c r="AD459" s="79"/>
      <c r="AE459" s="79"/>
      <c r="AF459" s="79"/>
      <c r="AG459" s="79"/>
      <c r="AH459" s="89"/>
      <c r="AR459" s="130"/>
      <c r="CE459" s="86"/>
    </row>
    <row r="460" spans="1:83" s="71" customFormat="1" ht="14.25" customHeight="1">
      <c r="A460" s="85"/>
      <c r="H460" s="81"/>
      <c r="K460" s="89"/>
      <c r="AP460" s="130"/>
      <c r="CE460" s="86"/>
    </row>
    <row r="461" spans="1:83" s="71" customFormat="1" ht="14.25" customHeight="1">
      <c r="A461" s="85"/>
      <c r="K461" s="81"/>
      <c r="N461" s="91"/>
      <c r="O461" s="79"/>
      <c r="P461" s="91"/>
      <c r="Q461" s="91"/>
      <c r="R461" s="91"/>
      <c r="S461" s="79"/>
      <c r="T461" s="79"/>
      <c r="U461" s="79"/>
      <c r="V461" s="79"/>
      <c r="W461" s="79"/>
      <c r="X461" s="79"/>
      <c r="Y461" s="79"/>
      <c r="Z461" s="79"/>
      <c r="AA461" s="79"/>
      <c r="AB461" s="79"/>
      <c r="AC461" s="131"/>
      <c r="AD461" s="131"/>
      <c r="AE461" s="131"/>
      <c r="AF461" s="131"/>
      <c r="AG461" s="79"/>
      <c r="AH461" s="79"/>
      <c r="AI461" s="131"/>
      <c r="AJ461" s="131"/>
      <c r="AK461" s="131"/>
      <c r="AL461" s="131"/>
      <c r="AM461" s="79"/>
      <c r="AN461" s="79"/>
      <c r="AO461" s="79"/>
      <c r="AP461" s="79"/>
      <c r="AQ461" s="79"/>
      <c r="AR461" s="79"/>
      <c r="AS461" s="79"/>
      <c r="AT461" s="79"/>
      <c r="AU461" s="79"/>
      <c r="AV461" s="89"/>
      <c r="AX461" s="79"/>
      <c r="AY461" s="130"/>
      <c r="AZ461" s="130"/>
      <c r="BE461" s="130"/>
      <c r="CE461" s="86"/>
    </row>
    <row r="462" spans="1:83" s="71" customFormat="1" ht="14.25" customHeight="1">
      <c r="A462" s="85"/>
      <c r="H462" s="81"/>
      <c r="K462" s="81"/>
      <c r="AP462" s="130"/>
      <c r="CE462" s="86"/>
    </row>
    <row r="463" spans="1:83" s="71" customFormat="1" ht="14.25" customHeight="1">
      <c r="A463" s="85"/>
      <c r="I463" s="81"/>
      <c r="K463" s="79"/>
      <c r="L463" s="79"/>
      <c r="M463" s="91"/>
      <c r="N463" s="91"/>
      <c r="O463" s="91"/>
      <c r="P463" s="79"/>
      <c r="Q463" s="79"/>
      <c r="R463" s="79"/>
      <c r="S463" s="131"/>
      <c r="T463" s="79"/>
      <c r="U463" s="79"/>
      <c r="V463" s="79"/>
      <c r="W463" s="79"/>
      <c r="X463" s="79"/>
      <c r="Y463" s="131"/>
      <c r="Z463" s="131"/>
      <c r="AA463" s="131"/>
      <c r="AB463" s="131"/>
      <c r="AC463" s="131"/>
      <c r="AD463" s="89"/>
      <c r="AE463" s="131"/>
      <c r="AF463" s="131"/>
      <c r="AG463" s="79"/>
      <c r="AH463" s="79"/>
      <c r="AI463" s="79"/>
      <c r="AJ463" s="79"/>
      <c r="AK463" s="81"/>
      <c r="AL463" s="130"/>
      <c r="AM463" s="130"/>
      <c r="AN463" s="130"/>
      <c r="AP463" s="130"/>
      <c r="CE463" s="86"/>
    </row>
    <row r="464" spans="1:83" s="71" customFormat="1" ht="14.25" customHeight="1">
      <c r="A464" s="85"/>
      <c r="H464" s="81"/>
      <c r="K464" s="81"/>
      <c r="AP464" s="130"/>
      <c r="CE464" s="86"/>
    </row>
    <row r="465" spans="1:83" s="71" customFormat="1" ht="14.25" customHeight="1">
      <c r="A465" s="85"/>
      <c r="N465" s="79"/>
      <c r="O465" s="79"/>
      <c r="P465" s="79"/>
      <c r="Q465" s="79"/>
      <c r="R465" s="79"/>
      <c r="S465" s="91"/>
      <c r="T465" s="79"/>
      <c r="U465" s="79"/>
      <c r="V465" s="79"/>
      <c r="W465" s="79"/>
      <c r="X465" s="79"/>
      <c r="Y465" s="79"/>
      <c r="AC465" s="79"/>
      <c r="AD465" s="79"/>
      <c r="AE465" s="79"/>
      <c r="AF465" s="79"/>
      <c r="AG465" s="79"/>
      <c r="AH465" s="79"/>
      <c r="AI465" s="79"/>
      <c r="AJ465" s="79"/>
      <c r="AK465" s="79"/>
      <c r="AM465" s="79"/>
      <c r="AN465" s="132"/>
      <c r="AO465" s="79"/>
      <c r="AP465" s="79"/>
      <c r="AQ465" s="88"/>
      <c r="AR465" s="79"/>
      <c r="AS465" s="131"/>
      <c r="AT465" s="79"/>
      <c r="AU465" s="79"/>
      <c r="AV465" s="79"/>
      <c r="AW465" s="79"/>
      <c r="AX465" s="79"/>
      <c r="AY465" s="79"/>
      <c r="AZ465" s="91"/>
      <c r="BA465" s="79"/>
      <c r="BB465" s="79"/>
      <c r="BC465" s="79"/>
      <c r="BD465" s="79"/>
      <c r="BE465" s="79"/>
      <c r="BF465" s="79"/>
      <c r="BG465" s="130"/>
      <c r="BJ465" s="79"/>
      <c r="BK465" s="79"/>
      <c r="BL465" s="79"/>
      <c r="BM465" s="79"/>
      <c r="BN465" s="131"/>
      <c r="BO465" s="79"/>
      <c r="BP465" s="79"/>
      <c r="BQ465" s="79"/>
      <c r="BR465" s="79"/>
      <c r="BS465" s="130"/>
      <c r="BV465" s="79"/>
      <c r="BW465" s="79"/>
      <c r="CE465" s="86"/>
    </row>
    <row r="466" spans="1:83" s="71" customFormat="1" ht="14.25" customHeight="1">
      <c r="A466" s="85"/>
      <c r="K466" s="79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  <c r="W466" s="79"/>
      <c r="X466" s="79"/>
      <c r="Y466" s="79"/>
      <c r="Z466" s="79"/>
      <c r="AA466" s="79"/>
      <c r="AB466" s="79"/>
      <c r="AC466" s="79"/>
      <c r="AD466" s="79"/>
      <c r="AE466" s="79"/>
      <c r="AF466" s="79"/>
      <c r="AG466" s="81"/>
      <c r="CE466" s="86"/>
    </row>
    <row r="467" spans="1:83" s="71" customFormat="1" ht="14.25" customHeight="1">
      <c r="A467" s="85"/>
      <c r="Q467" s="79"/>
      <c r="R467" s="79"/>
      <c r="AY467" s="79"/>
      <c r="AZ467" s="79"/>
      <c r="CE467" s="86"/>
    </row>
    <row r="468" spans="1:83" s="71" customFormat="1" ht="14.25" customHeight="1">
      <c r="A468" s="85"/>
      <c r="CE468" s="86"/>
    </row>
    <row r="469" spans="1:83" s="71" customFormat="1" ht="13.5">
      <c r="A469" s="85"/>
      <c r="CE469" s="86"/>
    </row>
    <row r="470" spans="1:83" s="71" customFormat="1" ht="14.25" customHeight="1">
      <c r="A470" s="85"/>
      <c r="CE470" s="86"/>
    </row>
    <row r="471" spans="1:83" s="71" customFormat="1" ht="14.25" customHeight="1">
      <c r="A471" s="85"/>
      <c r="CE471" s="86"/>
    </row>
    <row r="472" spans="1:83" s="71" customFormat="1" ht="14.25" customHeight="1">
      <c r="A472" s="85"/>
      <c r="CE472" s="86"/>
    </row>
    <row r="473" spans="1:83" s="71" customFormat="1" ht="14.25" customHeight="1">
      <c r="A473" s="85"/>
      <c r="CE473" s="86"/>
    </row>
    <row r="474" spans="1:83" s="71" customFormat="1" ht="14.25" customHeight="1">
      <c r="A474" s="85"/>
      <c r="CE474" s="86"/>
    </row>
    <row r="475" spans="1:83" s="71" customFormat="1" ht="14.25" customHeight="1">
      <c r="A475" s="85"/>
      <c r="CE475" s="86"/>
    </row>
    <row r="476" spans="1:83" s="71" customFormat="1" ht="14.25" customHeight="1">
      <c r="A476" s="85"/>
      <c r="Q476" s="79"/>
      <c r="R476" s="79"/>
      <c r="AY476" s="79"/>
      <c r="AZ476" s="79"/>
      <c r="CE476" s="86"/>
    </row>
    <row r="477" spans="1:83" s="71" customFormat="1" ht="14.25" customHeight="1">
      <c r="A477" s="85"/>
      <c r="Q477" s="79"/>
      <c r="R477" s="79"/>
      <c r="AY477" s="79"/>
      <c r="AZ477" s="79"/>
      <c r="CE477" s="86"/>
    </row>
    <row r="478" spans="1:83" s="71" customFormat="1" ht="14.25" customHeight="1">
      <c r="A478" s="85"/>
      <c r="CE478" s="86"/>
    </row>
    <row r="479" spans="1:83" s="69" customFormat="1" ht="14.25" customHeight="1">
      <c r="A479" s="134"/>
      <c r="B479" s="135"/>
      <c r="C479" s="135"/>
      <c r="D479" s="135"/>
      <c r="E479" s="135"/>
      <c r="F479" s="136"/>
      <c r="G479" s="137"/>
      <c r="H479" s="135"/>
      <c r="I479" s="135"/>
      <c r="J479" s="138" t="s">
        <v>347</v>
      </c>
      <c r="K479" s="139"/>
      <c r="L479" s="140"/>
      <c r="M479" s="140"/>
      <c r="N479" s="140"/>
      <c r="O479" s="140"/>
      <c r="P479" s="141"/>
      <c r="Q479" s="135"/>
      <c r="R479" s="135"/>
      <c r="S479" s="135"/>
      <c r="T479" s="135"/>
      <c r="U479" s="135"/>
      <c r="V479" s="135"/>
      <c r="W479" s="135"/>
      <c r="X479" s="135"/>
      <c r="Y479" s="135"/>
      <c r="Z479" s="135"/>
      <c r="AA479" s="135"/>
      <c r="AB479" s="135"/>
      <c r="AC479" s="135"/>
      <c r="AD479" s="135"/>
      <c r="AE479" s="141"/>
      <c r="AF479" s="141"/>
      <c r="AG479" s="142"/>
      <c r="AH479" s="142"/>
      <c r="AI479" s="142"/>
      <c r="AJ479" s="142"/>
      <c r="AK479" s="142"/>
      <c r="AL479" s="140"/>
      <c r="AM479" s="135"/>
      <c r="AN479" s="141"/>
      <c r="AO479" s="142"/>
      <c r="AP479" s="142"/>
      <c r="AQ479" s="142"/>
      <c r="AR479" s="142"/>
      <c r="AS479" s="142"/>
      <c r="AT479" s="141"/>
      <c r="AU479" s="135"/>
      <c r="AV479" s="143"/>
      <c r="AW479" s="135"/>
      <c r="AX479" s="141">
        <v>1</v>
      </c>
      <c r="AY479" s="144"/>
      <c r="AZ479" s="144"/>
      <c r="BA479" s="144"/>
      <c r="BB479" s="144"/>
      <c r="BC479" s="144"/>
      <c r="BD479" s="136"/>
      <c r="BE479" s="140" t="s">
        <v>206</v>
      </c>
      <c r="BF479" s="135"/>
      <c r="BG479" s="136"/>
      <c r="BH479" s="136"/>
      <c r="BI479" s="136"/>
      <c r="BJ479" s="136"/>
      <c r="BK479" s="135"/>
      <c r="BL479" s="135"/>
      <c r="BM479" s="135"/>
      <c r="BN479" s="135"/>
      <c r="BO479" s="135"/>
      <c r="BP479" s="135"/>
      <c r="BQ479" s="135"/>
      <c r="BR479" s="135"/>
      <c r="BS479" s="135"/>
      <c r="BT479" s="135"/>
      <c r="BU479" s="135"/>
      <c r="BV479" s="135"/>
      <c r="BW479" s="135"/>
      <c r="BX479" s="135"/>
      <c r="BY479" s="135"/>
      <c r="BZ479" s="135"/>
      <c r="CA479" s="135"/>
      <c r="CB479" s="135"/>
      <c r="CC479" s="135"/>
      <c r="CD479" s="135"/>
      <c r="CE479" s="145"/>
    </row>
    <row r="480" spans="1:83" s="69" customFormat="1" ht="14.25" customHeight="1">
      <c r="A480" s="70"/>
      <c r="F480" s="71"/>
      <c r="G480" s="72"/>
      <c r="H480" s="73"/>
      <c r="I480" s="74"/>
      <c r="J480" s="74"/>
      <c r="K480" s="74"/>
      <c r="L480" s="74"/>
      <c r="M480" s="75"/>
      <c r="N480" s="75"/>
      <c r="O480" s="75"/>
      <c r="P480" s="76"/>
      <c r="Q480" s="71"/>
      <c r="R480" s="74"/>
      <c r="S480" s="75"/>
      <c r="T480" s="76"/>
      <c r="U480" s="76"/>
      <c r="V480" s="75"/>
      <c r="W480" s="74"/>
      <c r="X480" s="77"/>
      <c r="Y480" s="78"/>
      <c r="Z480" s="79"/>
      <c r="AA480" s="79"/>
      <c r="AB480" s="79"/>
      <c r="AC480" s="74"/>
      <c r="AD480" s="71"/>
      <c r="AE480" s="71"/>
      <c r="AF480" s="71"/>
      <c r="AG480" s="71"/>
      <c r="AH480" s="71"/>
      <c r="AI480" s="71"/>
      <c r="AJ480" s="71"/>
      <c r="AK480" s="71"/>
      <c r="AL480" s="71"/>
      <c r="AM480" s="71"/>
      <c r="AN480" s="71"/>
      <c r="AO480" s="71"/>
      <c r="AP480" s="71"/>
      <c r="AQ480" s="71"/>
      <c r="CE480" s="80"/>
    </row>
    <row r="481" spans="1:83" s="69" customFormat="1" ht="14.25" customHeight="1">
      <c r="A481" s="70"/>
      <c r="F481" s="71"/>
      <c r="G481" s="72"/>
      <c r="H481" s="73"/>
      <c r="I481" s="74"/>
      <c r="J481" s="74"/>
      <c r="K481" s="74"/>
      <c r="L481" s="74"/>
      <c r="M481" s="75"/>
      <c r="N481" s="75"/>
      <c r="O481" s="75"/>
      <c r="P481" s="76"/>
      <c r="Q481" s="71"/>
      <c r="R481" s="74"/>
      <c r="S481" s="75"/>
      <c r="T481" s="76"/>
      <c r="U481" s="76"/>
      <c r="V481" s="75"/>
      <c r="W481" s="74"/>
      <c r="X481" s="77"/>
      <c r="Y481" s="78"/>
      <c r="Z481" s="79"/>
      <c r="AA481" s="79"/>
      <c r="AB481" s="79"/>
      <c r="AC481" s="74"/>
      <c r="AD481" s="71"/>
      <c r="AE481" s="71"/>
      <c r="AF481" s="71"/>
      <c r="AG481" s="71"/>
      <c r="AH481" s="71"/>
      <c r="AI481" s="71"/>
      <c r="AJ481" s="71"/>
      <c r="AK481" s="71"/>
      <c r="AL481" s="71"/>
      <c r="AM481" s="71"/>
      <c r="AN481" s="71"/>
      <c r="AO481" s="71"/>
      <c r="AP481" s="71"/>
      <c r="AQ481" s="71"/>
      <c r="AR481" s="71"/>
      <c r="AS481" s="71"/>
      <c r="AT481" s="71"/>
      <c r="AU481" s="71"/>
      <c r="AV481" s="71"/>
      <c r="AW481" s="71"/>
      <c r="AX481" s="71"/>
      <c r="AY481" s="71"/>
      <c r="AZ481" s="71"/>
      <c r="BA481" s="71"/>
      <c r="BB481" s="71"/>
      <c r="BC481" s="71"/>
      <c r="BD481" s="71"/>
      <c r="BE481" s="71"/>
      <c r="BF481" s="71"/>
      <c r="BG481" s="71"/>
      <c r="BH481" s="71"/>
      <c r="BI481" s="71"/>
      <c r="BJ481" s="71"/>
      <c r="BK481" s="71"/>
      <c r="BL481" s="71"/>
      <c r="BM481" s="71"/>
      <c r="BN481" s="71"/>
      <c r="BO481" s="71"/>
      <c r="BP481" s="71"/>
      <c r="BQ481" s="71"/>
      <c r="BR481" s="71"/>
      <c r="CE481" s="80"/>
    </row>
    <row r="482" spans="1:83" s="69" customFormat="1" ht="14.25" customHeight="1">
      <c r="A482" s="70"/>
      <c r="F482" s="71"/>
      <c r="G482" s="71"/>
      <c r="H482" s="71"/>
      <c r="I482" s="71"/>
      <c r="J482" s="71"/>
      <c r="K482" s="71"/>
      <c r="L482" s="71"/>
      <c r="M482" s="71"/>
      <c r="N482" s="71"/>
      <c r="O482" s="71"/>
      <c r="P482" s="71"/>
      <c r="Q482" s="71"/>
      <c r="R482" s="71"/>
      <c r="S482" s="71"/>
      <c r="Y482" s="71"/>
      <c r="Z482" s="71"/>
      <c r="AA482" s="71"/>
      <c r="AB482" s="71"/>
      <c r="AC482" s="71"/>
      <c r="AD482" s="71"/>
      <c r="AE482" s="71"/>
      <c r="AF482" s="71"/>
      <c r="AG482" s="71"/>
      <c r="AH482" s="71"/>
      <c r="AI482" s="71"/>
      <c r="AJ482" s="71"/>
      <c r="AK482" s="71"/>
      <c r="AL482" s="71"/>
      <c r="AM482" s="71"/>
      <c r="AN482" s="71"/>
      <c r="AO482" s="71"/>
      <c r="AP482" s="71"/>
      <c r="AQ482" s="71"/>
      <c r="AR482" s="71"/>
      <c r="AS482" s="71"/>
      <c r="AT482" s="71"/>
      <c r="AU482" s="71"/>
      <c r="AV482" s="71"/>
      <c r="AW482" s="71"/>
      <c r="AX482" s="71"/>
      <c r="AY482" s="71"/>
      <c r="AZ482" s="71"/>
      <c r="BA482" s="71"/>
      <c r="BB482" s="71"/>
      <c r="BC482" s="71"/>
      <c r="BD482" s="71"/>
      <c r="BE482" s="71"/>
      <c r="BF482" s="71"/>
      <c r="BG482" s="71"/>
      <c r="BH482" s="71"/>
      <c r="BI482" s="71"/>
      <c r="BJ482" s="71"/>
      <c r="BK482" s="71"/>
      <c r="BL482" s="71"/>
      <c r="BM482" s="71"/>
      <c r="BN482" s="71"/>
      <c r="BO482" s="71"/>
      <c r="BP482" s="71"/>
      <c r="BQ482" s="71"/>
      <c r="BR482" s="71"/>
      <c r="CE482" s="80"/>
    </row>
    <row r="483" spans="1:83" s="69" customFormat="1" ht="14.25" customHeight="1">
      <c r="A483" s="70"/>
      <c r="F483" s="71"/>
      <c r="G483" s="71"/>
      <c r="H483" s="71"/>
      <c r="I483" s="71"/>
      <c r="J483" s="71"/>
      <c r="K483" s="71"/>
      <c r="L483" s="71"/>
      <c r="M483" s="71"/>
      <c r="N483" s="71"/>
      <c r="O483" s="71"/>
      <c r="P483" s="71"/>
      <c r="Q483" s="71"/>
      <c r="Z483" s="71"/>
      <c r="AA483" s="71"/>
      <c r="AB483" s="71"/>
      <c r="AC483" s="71"/>
      <c r="AD483" s="71"/>
      <c r="AE483" s="71"/>
      <c r="AF483" s="71"/>
      <c r="AG483" s="71"/>
      <c r="AI483" s="71"/>
      <c r="AJ483" s="71"/>
      <c r="AK483" s="71"/>
      <c r="AL483" s="71"/>
      <c r="AM483" s="71"/>
      <c r="AN483" s="71"/>
      <c r="AO483" s="71"/>
      <c r="AP483" s="71"/>
      <c r="AQ483" s="71"/>
      <c r="AR483" s="71"/>
      <c r="AS483" s="71"/>
      <c r="AT483" s="71"/>
      <c r="AU483" s="71"/>
      <c r="AV483" s="71"/>
      <c r="AW483" s="71"/>
      <c r="AX483" s="71"/>
      <c r="AY483" s="71"/>
      <c r="AZ483" s="71"/>
      <c r="BA483" s="71"/>
      <c r="BB483" s="71"/>
      <c r="BC483" s="71"/>
      <c r="BD483" s="71"/>
      <c r="BE483" s="71"/>
      <c r="BF483" s="71"/>
      <c r="BG483" s="71"/>
      <c r="BH483" s="71"/>
      <c r="BI483" s="71"/>
      <c r="BJ483" s="71"/>
      <c r="BK483" s="71"/>
      <c r="BL483" s="71"/>
      <c r="BM483" s="71"/>
      <c r="BN483" s="71"/>
      <c r="BO483" s="71"/>
      <c r="BP483" s="71"/>
      <c r="BQ483" s="71"/>
      <c r="BR483" s="71"/>
      <c r="CE483" s="80"/>
    </row>
    <row r="484" spans="1:83" s="69" customFormat="1" ht="14.25" customHeight="1">
      <c r="A484" s="70"/>
      <c r="F484" s="71"/>
      <c r="G484" s="71"/>
      <c r="H484" s="71"/>
      <c r="I484" s="71"/>
      <c r="J484" s="71"/>
      <c r="K484" s="71"/>
      <c r="L484" s="71"/>
      <c r="M484" s="71"/>
      <c r="N484" s="71"/>
      <c r="O484" s="71"/>
      <c r="P484" s="71"/>
      <c r="Q484" s="71"/>
      <c r="R484" s="71"/>
      <c r="S484" s="71"/>
      <c r="T484" s="71"/>
      <c r="U484" s="71"/>
      <c r="V484" s="71"/>
      <c r="W484" s="71"/>
      <c r="X484" s="71"/>
      <c r="Z484" s="71"/>
      <c r="AA484" s="71"/>
      <c r="AB484" s="71"/>
      <c r="AC484" s="71"/>
      <c r="AD484" s="71"/>
      <c r="AE484" s="71"/>
      <c r="AF484" s="71"/>
      <c r="AG484" s="71"/>
      <c r="AH484" s="71"/>
      <c r="AI484" s="71"/>
      <c r="AJ484" s="71"/>
      <c r="AK484" s="71"/>
      <c r="AL484" s="71"/>
      <c r="AM484" s="71"/>
      <c r="AN484" s="71"/>
      <c r="AO484" s="71"/>
      <c r="AP484" s="71"/>
      <c r="AQ484" s="71"/>
      <c r="AR484" s="71"/>
      <c r="AS484" s="71"/>
      <c r="AT484" s="71"/>
      <c r="AU484" s="71"/>
      <c r="AV484" s="71"/>
      <c r="AW484" s="71"/>
      <c r="AX484" s="71"/>
      <c r="AY484" s="71"/>
      <c r="AZ484" s="71"/>
      <c r="BA484" s="71"/>
      <c r="BB484" s="71"/>
      <c r="BC484" s="71"/>
      <c r="BD484" s="71"/>
      <c r="BE484" s="71"/>
      <c r="BF484" s="71"/>
      <c r="BG484" s="71"/>
      <c r="BH484" s="71"/>
      <c r="BI484" s="71"/>
      <c r="BJ484" s="71"/>
      <c r="BK484" s="71"/>
      <c r="BL484" s="71"/>
      <c r="BM484" s="71"/>
      <c r="BN484" s="71"/>
      <c r="BO484" s="71"/>
      <c r="BP484" s="71"/>
      <c r="BQ484" s="71"/>
      <c r="BR484" s="71"/>
      <c r="BT484" s="71" t="s">
        <v>80</v>
      </c>
      <c r="BU484" s="71"/>
      <c r="BV484" s="71"/>
      <c r="BW484" s="71"/>
      <c r="BX484" s="71"/>
      <c r="BY484" s="71"/>
      <c r="BZ484" s="71"/>
      <c r="CA484" s="71"/>
      <c r="CE484" s="80"/>
    </row>
    <row r="485" spans="1:83" s="69" customFormat="1" ht="14.25" customHeight="1">
      <c r="A485" s="70"/>
      <c r="F485" s="71"/>
      <c r="G485" s="71"/>
      <c r="H485" s="71"/>
      <c r="I485" s="71"/>
      <c r="J485" s="81" t="s">
        <v>81</v>
      </c>
      <c r="K485" s="71"/>
      <c r="L485" s="71"/>
      <c r="M485" s="82" t="s">
        <v>82</v>
      </c>
      <c r="N485" s="71"/>
      <c r="O485" s="79">
        <v>0.6</v>
      </c>
      <c r="P485" s="79"/>
      <c r="Q485" s="79"/>
      <c r="R485" s="79"/>
      <c r="S485" s="79"/>
      <c r="T485" s="71"/>
      <c r="U485" s="71"/>
      <c r="V485" s="71"/>
      <c r="W485" s="71"/>
      <c r="X485" s="71"/>
      <c r="Z485" s="71"/>
      <c r="AA485" s="71"/>
      <c r="AB485" s="71"/>
      <c r="AC485" s="71"/>
      <c r="AD485" s="71"/>
      <c r="AE485" s="71"/>
      <c r="AF485" s="71"/>
      <c r="AG485" s="71"/>
      <c r="AH485" s="71"/>
      <c r="AI485" s="71"/>
      <c r="AJ485" s="71"/>
      <c r="AK485" s="81"/>
      <c r="AL485" s="71"/>
      <c r="AM485" s="71"/>
      <c r="AN485" s="71"/>
      <c r="AO485" s="71"/>
      <c r="AP485" s="71"/>
      <c r="AQ485" s="71"/>
      <c r="AR485" s="71"/>
      <c r="AS485" s="71"/>
      <c r="AT485" s="71"/>
      <c r="AU485" s="71"/>
      <c r="AV485" s="71"/>
      <c r="AW485" s="71"/>
      <c r="AX485" s="71"/>
      <c r="AY485" s="71"/>
      <c r="AZ485" s="81"/>
      <c r="BA485" s="71"/>
      <c r="BB485" s="71"/>
      <c r="BC485" s="71"/>
      <c r="BD485" s="71"/>
      <c r="BE485" s="71"/>
      <c r="BF485" s="71"/>
      <c r="BG485" s="71"/>
      <c r="BH485" s="71"/>
      <c r="BI485" s="71"/>
      <c r="BJ485" s="71"/>
      <c r="BK485" s="71"/>
      <c r="BL485" s="71"/>
      <c r="BM485" s="71"/>
      <c r="BN485" s="71"/>
      <c r="BO485" s="71"/>
      <c r="BP485" s="71"/>
      <c r="BQ485" s="71"/>
      <c r="BR485" s="71"/>
      <c r="BS485" s="71"/>
      <c r="BT485" s="71" t="s">
        <v>83</v>
      </c>
      <c r="BU485" s="71"/>
      <c r="BV485" s="71"/>
      <c r="BW485" s="71"/>
      <c r="BX485" s="71"/>
      <c r="BY485" s="71"/>
      <c r="BZ485" s="71"/>
      <c r="CA485" s="71"/>
      <c r="CE485" s="80"/>
    </row>
    <row r="486" spans="1:83" s="69" customFormat="1" ht="14.25" customHeight="1">
      <c r="A486" s="70"/>
      <c r="F486" s="71"/>
      <c r="G486" s="71"/>
      <c r="H486" s="71"/>
      <c r="I486" s="71"/>
      <c r="J486" s="81"/>
      <c r="K486" s="71"/>
      <c r="L486" s="71"/>
      <c r="M486" s="71"/>
      <c r="N486" s="71"/>
      <c r="O486" s="79"/>
      <c r="P486" s="79"/>
      <c r="Q486" s="79"/>
      <c r="R486" s="79"/>
      <c r="S486" s="79"/>
      <c r="T486" s="71"/>
      <c r="U486" s="71"/>
      <c r="V486" s="71"/>
      <c r="W486" s="71"/>
      <c r="X486" s="71"/>
      <c r="Z486" s="83"/>
      <c r="AB486" s="71"/>
      <c r="AC486" s="71"/>
      <c r="AD486" s="71"/>
      <c r="AE486" s="71"/>
      <c r="AF486" s="81"/>
      <c r="AG486" s="81"/>
      <c r="AH486" s="81"/>
      <c r="AI486" s="81"/>
      <c r="AJ486" s="81"/>
      <c r="AK486" s="81"/>
      <c r="AL486" s="81"/>
      <c r="AM486" s="81"/>
      <c r="AN486" s="81"/>
      <c r="AO486" s="81"/>
      <c r="AP486" s="81"/>
      <c r="AQ486" s="71"/>
      <c r="AR486" s="71"/>
      <c r="AS486" s="71"/>
      <c r="AT486" s="71"/>
      <c r="AU486" s="71"/>
      <c r="AV486" s="71"/>
      <c r="AW486" s="71"/>
      <c r="AX486" s="81"/>
      <c r="AY486" s="81"/>
      <c r="AZ486" s="81"/>
      <c r="BA486" s="81"/>
      <c r="BB486" s="81"/>
      <c r="BC486" s="81"/>
      <c r="BD486" s="81"/>
      <c r="BE486" s="81"/>
      <c r="BF486" s="71"/>
      <c r="BG486" s="71"/>
      <c r="BH486" s="71"/>
      <c r="BI486" s="71"/>
      <c r="BJ486" s="71"/>
      <c r="BK486" s="71"/>
      <c r="BL486" s="71"/>
      <c r="BM486" s="71"/>
      <c r="BN486" s="71"/>
      <c r="BO486" s="71"/>
      <c r="BP486" s="81"/>
      <c r="BY486" s="71"/>
      <c r="BZ486" s="71"/>
      <c r="CA486" s="71"/>
      <c r="CE486" s="80"/>
    </row>
    <row r="487" spans="1:83" s="69" customFormat="1" ht="14.25" customHeight="1">
      <c r="A487" s="70"/>
      <c r="F487" s="71"/>
      <c r="G487" s="71"/>
      <c r="H487" s="71"/>
      <c r="I487" s="71"/>
      <c r="J487" s="81" t="s">
        <v>84</v>
      </c>
      <c r="K487" s="71"/>
      <c r="L487" s="71"/>
      <c r="M487" s="82" t="s">
        <v>82</v>
      </c>
      <c r="N487" s="71"/>
      <c r="O487" s="84">
        <v>0.5</v>
      </c>
      <c r="P487" s="79"/>
      <c r="Q487" s="79"/>
      <c r="R487" s="79"/>
      <c r="S487" s="79"/>
      <c r="T487" s="71"/>
      <c r="U487" s="71"/>
      <c r="V487" s="71"/>
      <c r="W487" s="71"/>
      <c r="X487" s="71"/>
      <c r="AB487" s="71"/>
      <c r="AC487" s="71"/>
      <c r="AD487" s="71"/>
      <c r="AE487" s="71"/>
      <c r="AF487" s="81"/>
      <c r="AG487" s="71"/>
      <c r="AH487" s="71"/>
      <c r="AI487" s="71"/>
      <c r="AJ487" s="71"/>
      <c r="AK487" s="71"/>
      <c r="AL487" s="71"/>
      <c r="AM487" s="71"/>
      <c r="AN487" s="71"/>
      <c r="AO487" s="71"/>
      <c r="AP487" s="81"/>
      <c r="AQ487" s="71"/>
      <c r="AR487" s="71"/>
      <c r="AS487" s="71"/>
      <c r="AT487" s="71"/>
      <c r="AU487" s="71"/>
      <c r="AV487" s="71"/>
      <c r="AW487" s="71"/>
      <c r="AX487" s="71"/>
      <c r="AY487" s="71"/>
      <c r="AZ487" s="71"/>
      <c r="BA487" s="71"/>
      <c r="BB487" s="71"/>
      <c r="BC487" s="71"/>
      <c r="BD487" s="71"/>
      <c r="BE487" s="81"/>
      <c r="BF487" s="71"/>
      <c r="BG487" s="71"/>
      <c r="BH487" s="71"/>
      <c r="BI487" s="71"/>
      <c r="BJ487" s="71"/>
      <c r="BK487" s="71"/>
      <c r="BL487" s="71"/>
      <c r="BM487" s="71"/>
      <c r="BN487" s="71"/>
      <c r="BO487" s="71"/>
      <c r="BP487" s="81"/>
      <c r="BY487" s="71"/>
      <c r="BZ487" s="71"/>
      <c r="CA487" s="71"/>
      <c r="CE487" s="80"/>
    </row>
    <row r="488" spans="1:83" s="69" customFormat="1" ht="14.25" customHeight="1">
      <c r="A488" s="70"/>
      <c r="F488" s="71"/>
      <c r="G488" s="71"/>
      <c r="H488" s="71"/>
      <c r="I488" s="71"/>
      <c r="J488" s="81"/>
      <c r="K488" s="71"/>
      <c r="L488" s="71"/>
      <c r="M488" s="71"/>
      <c r="N488" s="71"/>
      <c r="O488" s="79"/>
      <c r="P488" s="79"/>
      <c r="Q488" s="79"/>
      <c r="R488" s="79"/>
      <c r="S488" s="79"/>
      <c r="T488" s="71"/>
      <c r="U488" s="71"/>
      <c r="V488" s="71"/>
      <c r="W488" s="71"/>
      <c r="X488" s="71"/>
      <c r="AB488" s="71"/>
      <c r="AC488" s="71"/>
      <c r="AD488" s="71"/>
      <c r="AE488" s="71"/>
      <c r="AF488" s="71"/>
      <c r="AG488" s="71"/>
      <c r="AH488" s="71"/>
      <c r="AI488" s="71"/>
      <c r="AJ488" s="71"/>
      <c r="AK488" s="71"/>
      <c r="AL488" s="71"/>
      <c r="AM488" s="71"/>
      <c r="AN488" s="71"/>
      <c r="AO488" s="71"/>
      <c r="AP488" s="71"/>
      <c r="AQ488" s="71"/>
      <c r="AR488" s="71"/>
      <c r="AS488" s="71"/>
      <c r="AT488" s="71"/>
      <c r="AU488" s="71"/>
      <c r="AV488" s="71"/>
      <c r="AW488" s="71"/>
      <c r="AX488" s="71"/>
      <c r="AY488" s="71"/>
      <c r="AZ488" s="71"/>
      <c r="BA488" s="71"/>
      <c r="BB488" s="71"/>
      <c r="BC488" s="71"/>
      <c r="BD488" s="71"/>
      <c r="BE488" s="71"/>
      <c r="BF488" s="71"/>
      <c r="BG488" s="71"/>
      <c r="BH488" s="71"/>
      <c r="BI488" s="71"/>
      <c r="BJ488" s="71"/>
      <c r="BK488" s="71"/>
      <c r="BL488" s="71"/>
      <c r="BM488" s="71"/>
      <c r="BN488" s="71"/>
      <c r="BO488" s="71"/>
      <c r="CE488" s="80"/>
    </row>
    <row r="489" spans="1:83" s="69" customFormat="1" ht="14.25" customHeight="1">
      <c r="A489" s="70"/>
      <c r="F489" s="71"/>
      <c r="G489" s="71"/>
      <c r="H489" s="71"/>
      <c r="I489" s="71"/>
      <c r="J489" s="81" t="s">
        <v>85</v>
      </c>
      <c r="K489" s="71"/>
      <c r="L489" s="71"/>
      <c r="M489" s="82" t="s">
        <v>82</v>
      </c>
      <c r="N489" s="71"/>
      <c r="O489" s="79">
        <f>O487+O495*0.1*2</f>
        <v>0.54</v>
      </c>
      <c r="P489" s="79"/>
      <c r="Q489" s="79"/>
      <c r="R489" s="79"/>
      <c r="S489" s="79"/>
      <c r="T489" s="71"/>
      <c r="U489" s="71"/>
      <c r="V489" s="71"/>
      <c r="W489" s="71"/>
      <c r="X489" s="71"/>
      <c r="AB489" s="71"/>
      <c r="AC489" s="71"/>
      <c r="AD489" s="71"/>
      <c r="AE489" s="71"/>
      <c r="AF489" s="71"/>
      <c r="AG489" s="71"/>
      <c r="AH489" s="71"/>
      <c r="AI489" s="71"/>
      <c r="AJ489" s="71"/>
      <c r="AK489" s="71"/>
      <c r="AL489" s="71"/>
      <c r="AM489" s="71"/>
      <c r="AN489" s="71"/>
      <c r="AO489" s="71"/>
      <c r="AP489" s="71"/>
      <c r="AQ489" s="71"/>
      <c r="AR489" s="71"/>
      <c r="AS489" s="71"/>
      <c r="AT489" s="71"/>
      <c r="AU489" s="71"/>
      <c r="AV489" s="71"/>
      <c r="AW489" s="71"/>
      <c r="AX489" s="71"/>
      <c r="AY489" s="71"/>
      <c r="AZ489" s="71"/>
      <c r="BA489" s="71"/>
      <c r="BB489" s="71"/>
      <c r="BC489" s="71"/>
      <c r="BD489" s="71"/>
      <c r="BE489" s="71"/>
      <c r="BF489" s="71"/>
      <c r="BG489" s="71"/>
      <c r="BH489" s="71"/>
      <c r="BI489" s="71"/>
      <c r="BJ489" s="71"/>
      <c r="BK489" s="71"/>
      <c r="BL489" s="71"/>
      <c r="BM489" s="71"/>
      <c r="BN489" s="71"/>
      <c r="BO489" s="71"/>
      <c r="CE489" s="80"/>
    </row>
    <row r="490" spans="1:83" s="69" customFormat="1" ht="14.25" customHeight="1">
      <c r="A490" s="70"/>
      <c r="F490" s="71"/>
      <c r="G490" s="71"/>
      <c r="H490" s="71"/>
      <c r="I490" s="71"/>
      <c r="J490" s="81"/>
      <c r="K490" s="71"/>
      <c r="L490" s="71"/>
      <c r="M490" s="71"/>
      <c r="N490" s="71"/>
      <c r="O490" s="79"/>
      <c r="P490" s="79"/>
      <c r="Q490" s="79"/>
      <c r="R490" s="79"/>
      <c r="S490" s="79"/>
      <c r="T490" s="71"/>
      <c r="U490" s="71"/>
      <c r="V490" s="71"/>
      <c r="W490" s="71"/>
      <c r="X490" s="71"/>
      <c r="AB490" s="71"/>
      <c r="AC490" s="81"/>
      <c r="AD490" s="71"/>
      <c r="AE490" s="71"/>
      <c r="AF490" s="71"/>
      <c r="AG490" s="71"/>
      <c r="AH490" s="71"/>
      <c r="AI490" s="71"/>
      <c r="AJ490" s="71"/>
      <c r="AK490" s="71"/>
      <c r="AL490" s="71"/>
      <c r="AM490" s="71"/>
      <c r="AN490" s="71"/>
      <c r="AO490" s="71"/>
      <c r="AP490" s="81"/>
      <c r="AQ490" s="71"/>
      <c r="AR490" s="71"/>
      <c r="AS490" s="71"/>
      <c r="AT490" s="71"/>
      <c r="AU490" s="81"/>
      <c r="AV490" s="81"/>
      <c r="AW490" s="81"/>
      <c r="AX490" s="81"/>
      <c r="AY490" s="71"/>
      <c r="AZ490" s="71"/>
      <c r="BA490" s="71"/>
      <c r="BB490" s="71"/>
      <c r="BC490" s="71"/>
      <c r="BD490" s="71"/>
      <c r="BE490" s="71"/>
      <c r="BF490" s="71"/>
      <c r="BG490" s="71"/>
      <c r="BH490" s="71"/>
      <c r="BI490" s="71"/>
      <c r="BJ490" s="71"/>
      <c r="BK490" s="71"/>
      <c r="BL490" s="71"/>
      <c r="BM490" s="71"/>
      <c r="BN490" s="71"/>
      <c r="BO490" s="71"/>
      <c r="BP490" s="71"/>
      <c r="BQ490" s="71"/>
      <c r="BR490" s="71"/>
      <c r="CE490" s="80"/>
    </row>
    <row r="491" spans="1:83" s="69" customFormat="1" ht="14.25" customHeight="1">
      <c r="A491" s="70"/>
      <c r="F491" s="71"/>
      <c r="G491" s="71"/>
      <c r="H491" s="71"/>
      <c r="I491" s="71"/>
      <c r="J491" s="81" t="s">
        <v>86</v>
      </c>
      <c r="K491" s="71"/>
      <c r="M491" s="82" t="s">
        <v>82</v>
      </c>
      <c r="O491" s="79">
        <v>0.2</v>
      </c>
      <c r="P491" s="79"/>
      <c r="Q491" s="79"/>
      <c r="R491" s="79"/>
      <c r="S491" s="79"/>
      <c r="AB491" s="71"/>
      <c r="AC491" s="71"/>
      <c r="AD491" s="71"/>
      <c r="AE491" s="71"/>
      <c r="AF491" s="71"/>
      <c r="AG491" s="71"/>
      <c r="AH491" s="71"/>
      <c r="AI491" s="71"/>
      <c r="AJ491" s="71"/>
      <c r="AK491" s="71"/>
      <c r="AL491" s="71"/>
      <c r="AM491" s="71"/>
      <c r="AN491" s="71"/>
      <c r="AO491" s="71"/>
      <c r="AP491" s="71"/>
      <c r="AQ491" s="71"/>
      <c r="AR491" s="71"/>
      <c r="AS491" s="71"/>
      <c r="AT491" s="71"/>
      <c r="AU491" s="71"/>
      <c r="AV491" s="71"/>
      <c r="AW491" s="71"/>
      <c r="AX491" s="81"/>
      <c r="AY491" s="71"/>
      <c r="AZ491" s="71"/>
      <c r="BA491" s="71"/>
      <c r="BB491" s="71"/>
      <c r="BC491" s="71"/>
      <c r="BD491" s="71"/>
      <c r="BE491" s="71"/>
      <c r="BF491" s="71"/>
      <c r="BG491" s="71"/>
      <c r="BH491" s="71"/>
      <c r="BI491" s="71"/>
      <c r="BJ491" s="71"/>
      <c r="BK491" s="71"/>
      <c r="BL491" s="71"/>
      <c r="BM491" s="71"/>
      <c r="BN491" s="81"/>
      <c r="BO491" s="71"/>
      <c r="BP491" s="71"/>
      <c r="BQ491" s="71"/>
      <c r="BR491" s="71"/>
      <c r="CE491" s="80"/>
    </row>
    <row r="492" spans="1:83" s="71" customFormat="1" ht="14.25" customHeight="1">
      <c r="A492" s="85"/>
      <c r="J492" s="81"/>
      <c r="O492" s="79"/>
      <c r="P492" s="79"/>
      <c r="Q492" s="79"/>
      <c r="R492" s="79"/>
      <c r="S492" s="79"/>
      <c r="AX492" s="81"/>
      <c r="BN492" s="81"/>
      <c r="CE492" s="86"/>
    </row>
    <row r="493" spans="1:83" s="71" customFormat="1" ht="14.25" customHeight="1">
      <c r="A493" s="85"/>
      <c r="J493" s="81" t="s">
        <v>87</v>
      </c>
      <c r="M493" s="82" t="s">
        <v>82</v>
      </c>
      <c r="O493" s="87">
        <v>0.3</v>
      </c>
      <c r="P493" s="79"/>
      <c r="Q493" s="79"/>
      <c r="R493" s="79"/>
      <c r="S493" s="79"/>
      <c r="AX493" s="81"/>
      <c r="BN493" s="81"/>
      <c r="CE493" s="86"/>
    </row>
    <row r="494" spans="1:83" s="71" customFormat="1" ht="14.25" customHeight="1">
      <c r="A494" s="85"/>
      <c r="AX494" s="81"/>
      <c r="BN494" s="81"/>
      <c r="CE494" s="86"/>
    </row>
    <row r="495" spans="1:83" s="71" customFormat="1" ht="14.25" customHeight="1">
      <c r="A495" s="85"/>
      <c r="J495" s="81" t="s">
        <v>88</v>
      </c>
      <c r="M495" s="82" t="s">
        <v>82</v>
      </c>
      <c r="O495" s="84">
        <v>0.2</v>
      </c>
      <c r="P495" s="79"/>
      <c r="Q495" s="79"/>
      <c r="R495" s="79"/>
      <c r="S495" s="79"/>
      <c r="AX495" s="81"/>
      <c r="BN495" s="81"/>
      <c r="CE495" s="86"/>
    </row>
    <row r="496" spans="1:83" s="71" customFormat="1" ht="14.25" customHeight="1">
      <c r="A496" s="85"/>
      <c r="AX496" s="81"/>
      <c r="CE496" s="86"/>
    </row>
    <row r="497" spans="1:83" s="71" customFormat="1" ht="14.25" customHeight="1">
      <c r="A497" s="85"/>
      <c r="CE497" s="86"/>
    </row>
    <row r="498" spans="1:83" s="71" customFormat="1" ht="14.25" customHeight="1">
      <c r="A498" s="85"/>
      <c r="G498" s="81"/>
      <c r="H498" s="71" t="s">
        <v>89</v>
      </c>
      <c r="K498" s="81" t="s">
        <v>90</v>
      </c>
      <c r="CE498" s="86"/>
    </row>
    <row r="499" spans="1:83" s="71" customFormat="1" ht="14.25" customHeight="1">
      <c r="A499" s="85"/>
      <c r="I499" s="81" t="s">
        <v>207</v>
      </c>
      <c r="L499" s="88" t="s">
        <v>208</v>
      </c>
      <c r="O499" s="71" t="s">
        <v>403</v>
      </c>
      <c r="P499" s="73"/>
      <c r="R499" s="79">
        <f>O485</f>
        <v>0.6</v>
      </c>
      <c r="S499" s="79"/>
      <c r="T499" s="79"/>
      <c r="U499" s="79"/>
      <c r="V499" s="79"/>
      <c r="W499" s="79" t="s">
        <v>209</v>
      </c>
      <c r="X499" s="79">
        <f>O487</f>
        <v>0.5</v>
      </c>
      <c r="Y499" s="90"/>
      <c r="Z499" s="90"/>
      <c r="AA499" s="90"/>
      <c r="AB499" s="90"/>
      <c r="AC499" s="81" t="s">
        <v>210</v>
      </c>
      <c r="AF499" s="79">
        <f>O491+O493+O495</f>
        <v>0.7</v>
      </c>
      <c r="AG499" s="79"/>
      <c r="AH499" s="79"/>
      <c r="AI499" s="79"/>
      <c r="AJ499" s="79"/>
      <c r="AK499" s="81" t="s">
        <v>211</v>
      </c>
      <c r="AM499" s="79">
        <f>AX479</f>
        <v>1</v>
      </c>
      <c r="AN499" s="79"/>
      <c r="AO499" s="79"/>
      <c r="AP499" s="91"/>
      <c r="AQ499" s="79"/>
      <c r="AR499" s="79" t="s">
        <v>404</v>
      </c>
      <c r="AS499" s="79"/>
      <c r="AT499" s="79">
        <f>ROUNDDOWN((R499+X499)*AF499*AM499/2,3)</f>
        <v>0.38500000000000001</v>
      </c>
      <c r="AU499" s="90"/>
      <c r="AV499" s="79"/>
      <c r="AW499" s="79"/>
      <c r="AX499" s="79"/>
      <c r="AZ499" s="89" t="s">
        <v>212</v>
      </c>
      <c r="CE499" s="86"/>
    </row>
    <row r="500" spans="1:83" s="71" customFormat="1" ht="14.25" customHeight="1">
      <c r="A500" s="85"/>
      <c r="G500" s="81"/>
      <c r="K500" s="89"/>
      <c r="CE500" s="86"/>
    </row>
    <row r="501" spans="1:83" s="71" customFormat="1" ht="14.25" customHeight="1">
      <c r="A501" s="85"/>
      <c r="G501" s="81"/>
      <c r="H501" s="71" t="s">
        <v>381</v>
      </c>
      <c r="K501" s="89" t="s">
        <v>422</v>
      </c>
      <c r="CE501" s="86"/>
    </row>
    <row r="502" spans="1:83" s="71" customFormat="1" ht="14.25" customHeight="1">
      <c r="A502" s="85"/>
      <c r="H502" s="81"/>
      <c r="I502" s="81" t="s">
        <v>213</v>
      </c>
      <c r="K502" s="88"/>
      <c r="P502" s="71" t="s">
        <v>214</v>
      </c>
      <c r="R502" s="73" t="s">
        <v>423</v>
      </c>
      <c r="S502" s="79"/>
      <c r="T502" s="79"/>
      <c r="U502" s="79"/>
      <c r="V502" s="79"/>
      <c r="AE502" s="90"/>
      <c r="AF502" s="79" t="s">
        <v>401</v>
      </c>
      <c r="AG502" s="79"/>
      <c r="AH502" s="90">
        <f>AT499</f>
        <v>0.38500000000000001</v>
      </c>
      <c r="AI502" s="79"/>
      <c r="AJ502" s="90"/>
      <c r="AK502" s="90"/>
      <c r="AL502" s="90"/>
      <c r="AM502" s="79" t="s">
        <v>214</v>
      </c>
      <c r="AN502" s="79"/>
      <c r="AO502" s="79">
        <f>AT505</f>
        <v>0</v>
      </c>
      <c r="AP502" s="90"/>
      <c r="AQ502" s="79"/>
      <c r="AR502" s="79"/>
      <c r="AS502" s="79"/>
      <c r="AT502" s="79" t="s">
        <v>401</v>
      </c>
      <c r="AU502" s="79"/>
      <c r="AV502" s="79">
        <f>ROUNDDOWN(AH502-AO502,3)</f>
        <v>0.38500000000000001</v>
      </c>
      <c r="AW502" s="90"/>
      <c r="AX502" s="90"/>
      <c r="AY502" s="90"/>
      <c r="AZ502" s="90"/>
      <c r="BB502" s="89" t="s">
        <v>212</v>
      </c>
      <c r="CE502" s="86"/>
    </row>
    <row r="503" spans="1:83" s="71" customFormat="1" ht="14.25" customHeight="1">
      <c r="A503" s="85"/>
      <c r="G503" s="81"/>
      <c r="K503" s="89"/>
      <c r="CE503" s="86"/>
    </row>
    <row r="504" spans="1:83" s="71" customFormat="1" ht="14.25" customHeight="1">
      <c r="A504" s="85"/>
      <c r="G504" s="81"/>
      <c r="H504" s="71" t="s">
        <v>385</v>
      </c>
      <c r="K504" s="89" t="s">
        <v>386</v>
      </c>
      <c r="W504" s="71" t="s">
        <v>387</v>
      </c>
      <c r="Y504" s="79">
        <v>1.5</v>
      </c>
      <c r="Z504" s="79"/>
      <c r="AA504" s="79"/>
      <c r="AB504" s="79"/>
      <c r="AC504" s="71" t="s">
        <v>388</v>
      </c>
      <c r="AF504" s="71" t="s">
        <v>434</v>
      </c>
      <c r="CE504" s="86"/>
    </row>
    <row r="505" spans="1:83" s="71" customFormat="1" ht="14.25" customHeight="1">
      <c r="A505" s="85"/>
      <c r="H505" s="81"/>
      <c r="I505" s="81"/>
      <c r="L505" s="88"/>
      <c r="P505" s="73"/>
      <c r="R505" s="79"/>
      <c r="S505" s="79"/>
      <c r="T505" s="79"/>
      <c r="U505" s="79"/>
      <c r="V505" s="79"/>
      <c r="W505" s="79"/>
      <c r="X505" s="79"/>
      <c r="Y505" s="90"/>
      <c r="Z505" s="79"/>
      <c r="AA505" s="79"/>
      <c r="AB505" s="79"/>
      <c r="AC505" s="81"/>
      <c r="AF505" s="79"/>
      <c r="AG505" s="79"/>
      <c r="AH505" s="79"/>
      <c r="AI505" s="79"/>
      <c r="AJ505" s="79"/>
      <c r="AK505" s="81"/>
      <c r="AM505" s="79"/>
      <c r="AN505" s="79"/>
      <c r="AO505" s="91"/>
      <c r="AP505" s="79"/>
      <c r="AQ505" s="79"/>
      <c r="AR505" s="79"/>
      <c r="AS505" s="79"/>
      <c r="AT505" s="79"/>
      <c r="AU505" s="90"/>
      <c r="AV505" s="79"/>
      <c r="AW505" s="79"/>
      <c r="AX505" s="79"/>
      <c r="AZ505" s="89"/>
      <c r="CE505" s="86"/>
    </row>
    <row r="506" spans="1:83" s="71" customFormat="1" ht="14.25" customHeight="1">
      <c r="A506" s="85"/>
      <c r="G506" s="81"/>
      <c r="H506" s="71" t="s">
        <v>405</v>
      </c>
      <c r="K506" s="81" t="s">
        <v>215</v>
      </c>
      <c r="Y506" s="79"/>
      <c r="Z506" s="79"/>
      <c r="AA506" s="79" t="s">
        <v>387</v>
      </c>
      <c r="AB506" s="79"/>
      <c r="AC506" s="1564">
        <v>5.0000000000000001E-4</v>
      </c>
      <c r="AD506" s="1564"/>
      <c r="AE506" s="1564"/>
      <c r="AF506" s="1564"/>
      <c r="AG506" s="1564"/>
      <c r="AH506" s="1564"/>
      <c r="AI506" s="79" t="s">
        <v>436</v>
      </c>
      <c r="AJ506" s="79"/>
      <c r="AK506" s="79">
        <f>Y504</f>
        <v>1.5</v>
      </c>
      <c r="AL506" s="91"/>
      <c r="AM506" s="79"/>
      <c r="AN506" s="79" t="s">
        <v>401</v>
      </c>
      <c r="AO506" s="79"/>
      <c r="AP506" s="122">
        <f>ROUNDDOWN(AC506*AK506,4)</f>
        <v>6.9999999999999999E-4</v>
      </c>
      <c r="AQ506" s="90"/>
      <c r="AR506" s="79"/>
      <c r="AS506" s="79"/>
      <c r="AT506" s="79"/>
      <c r="AU506" s="79"/>
      <c r="AV506" s="81" t="s">
        <v>437</v>
      </c>
      <c r="CE506" s="86"/>
    </row>
    <row r="507" spans="1:83" s="71" customFormat="1" ht="14.25" customHeight="1">
      <c r="A507" s="85"/>
      <c r="H507" s="81"/>
      <c r="I507" s="81"/>
      <c r="L507" s="88"/>
      <c r="P507" s="73"/>
      <c r="R507" s="79"/>
      <c r="S507" s="79"/>
      <c r="T507" s="79"/>
      <c r="U507" s="79"/>
      <c r="V507" s="79"/>
      <c r="W507" s="79"/>
      <c r="X507" s="79"/>
      <c r="Y507" s="90"/>
      <c r="Z507" s="79"/>
      <c r="AA507" s="79"/>
      <c r="AB507" s="79"/>
      <c r="AC507" s="81"/>
      <c r="AF507" s="79"/>
      <c r="AG507" s="79"/>
      <c r="AH507" s="79"/>
      <c r="AI507" s="79"/>
      <c r="AJ507" s="79"/>
      <c r="AK507" s="81"/>
      <c r="AM507" s="79"/>
      <c r="AN507" s="79"/>
      <c r="AO507" s="91"/>
      <c r="AP507" s="79"/>
      <c r="AQ507" s="79"/>
      <c r="AR507" s="79"/>
      <c r="AS507" s="79"/>
      <c r="AT507" s="79"/>
      <c r="AU507" s="90"/>
      <c r="AV507" s="79"/>
      <c r="AW507" s="79"/>
      <c r="AX507" s="79"/>
      <c r="AZ507" s="89"/>
      <c r="CE507" s="86"/>
    </row>
    <row r="508" spans="1:83" s="71" customFormat="1" ht="14.25" customHeight="1">
      <c r="A508" s="85"/>
      <c r="G508" s="81"/>
      <c r="H508" s="71" t="s">
        <v>407</v>
      </c>
      <c r="K508" s="81" t="s">
        <v>216</v>
      </c>
      <c r="Y508" s="79"/>
      <c r="Z508" s="79"/>
      <c r="AA508" s="79" t="s">
        <v>387</v>
      </c>
      <c r="AB508" s="79"/>
      <c r="AC508" s="79">
        <v>1.1999999999999999E-3</v>
      </c>
      <c r="AD508" s="79"/>
      <c r="AE508" s="79"/>
      <c r="AF508" s="79"/>
      <c r="AG508" s="79"/>
      <c r="AH508" s="79"/>
      <c r="AI508" s="79" t="s">
        <v>436</v>
      </c>
      <c r="AJ508" s="79"/>
      <c r="AK508" s="79">
        <f>Y504</f>
        <v>1.5</v>
      </c>
      <c r="AL508" s="91"/>
      <c r="AM508" s="79"/>
      <c r="AN508" s="79" t="s">
        <v>401</v>
      </c>
      <c r="AO508" s="79"/>
      <c r="AP508" s="122">
        <f>ROUNDDOWN(AC508*AK508,4)</f>
        <v>1.8E-3</v>
      </c>
      <c r="AQ508" s="90"/>
      <c r="AR508" s="79"/>
      <c r="AS508" s="79"/>
      <c r="AT508" s="79"/>
      <c r="AU508" s="79"/>
      <c r="AV508" s="81" t="s">
        <v>437</v>
      </c>
      <c r="CE508" s="86"/>
    </row>
    <row r="509" spans="1:83" s="71" customFormat="1" ht="14.25" customHeight="1">
      <c r="A509" s="85"/>
      <c r="H509" s="81"/>
      <c r="I509" s="81"/>
      <c r="L509" s="88"/>
      <c r="P509" s="73"/>
      <c r="R509" s="79"/>
      <c r="S509" s="79"/>
      <c r="T509" s="79"/>
      <c r="U509" s="79"/>
      <c r="V509" s="79"/>
      <c r="W509" s="79"/>
      <c r="X509" s="79"/>
      <c r="Y509" s="90"/>
      <c r="Z509" s="79"/>
      <c r="AA509" s="79"/>
      <c r="AB509" s="79"/>
      <c r="AC509" s="81"/>
      <c r="AF509" s="79"/>
      <c r="AG509" s="79"/>
      <c r="AH509" s="79"/>
      <c r="AI509" s="79"/>
      <c r="AJ509" s="79"/>
      <c r="AK509" s="81"/>
      <c r="AM509" s="79"/>
      <c r="AN509" s="79"/>
      <c r="AO509" s="91"/>
      <c r="AP509" s="79"/>
      <c r="AQ509" s="79"/>
      <c r="AR509" s="79"/>
      <c r="AS509" s="79"/>
      <c r="AT509" s="79"/>
      <c r="AU509" s="90"/>
      <c r="AV509" s="79"/>
      <c r="AW509" s="79"/>
      <c r="AX509" s="79"/>
      <c r="AZ509" s="89"/>
      <c r="CE509" s="86"/>
    </row>
    <row r="510" spans="1:83" s="71" customFormat="1" ht="14.25" customHeight="1">
      <c r="A510" s="85"/>
      <c r="H510" s="81"/>
      <c r="I510" s="81"/>
      <c r="L510" s="88"/>
      <c r="P510" s="73"/>
      <c r="R510" s="79"/>
      <c r="S510" s="79"/>
      <c r="T510" s="79"/>
      <c r="U510" s="79"/>
      <c r="V510" s="79"/>
      <c r="W510" s="79"/>
      <c r="X510" s="79"/>
      <c r="Y510" s="90"/>
      <c r="Z510" s="79"/>
      <c r="AA510" s="79"/>
      <c r="AB510" s="79"/>
      <c r="AC510" s="81"/>
      <c r="AF510" s="79"/>
      <c r="AG510" s="79"/>
      <c r="AH510" s="79"/>
      <c r="AI510" s="79"/>
      <c r="AJ510" s="79"/>
      <c r="AK510" s="81"/>
      <c r="AM510" s="79"/>
      <c r="AN510" s="79"/>
      <c r="AO510" s="91"/>
      <c r="AP510" s="79"/>
      <c r="AQ510" s="79"/>
      <c r="AR510" s="79"/>
      <c r="AS510" s="79"/>
      <c r="AT510" s="79"/>
      <c r="AU510" s="90"/>
      <c r="AV510" s="79"/>
      <c r="AW510" s="79"/>
      <c r="AX510" s="79"/>
      <c r="AZ510" s="89"/>
      <c r="CE510" s="86"/>
    </row>
    <row r="511" spans="1:83" s="71" customFormat="1" ht="14.25" customHeight="1">
      <c r="A511" s="85"/>
      <c r="CE511" s="86"/>
    </row>
    <row r="512" spans="1:83" s="71" customFormat="1" ht="14.25" customHeight="1">
      <c r="A512" s="92"/>
      <c r="B512" s="93"/>
      <c r="C512" s="93"/>
      <c r="D512" s="93"/>
      <c r="E512" s="93"/>
      <c r="F512" s="93"/>
      <c r="G512" s="93"/>
      <c r="H512" s="93"/>
      <c r="I512" s="93"/>
      <c r="J512" s="93"/>
      <c r="K512" s="93"/>
      <c r="L512" s="93"/>
      <c r="M512" s="93"/>
      <c r="N512" s="93"/>
      <c r="O512" s="93"/>
      <c r="P512" s="93"/>
      <c r="Q512" s="93"/>
      <c r="R512" s="93"/>
      <c r="S512" s="93"/>
      <c r="T512" s="93"/>
      <c r="U512" s="93"/>
      <c r="V512" s="93"/>
      <c r="W512" s="93"/>
      <c r="X512" s="93"/>
      <c r="Y512" s="93"/>
      <c r="Z512" s="93"/>
      <c r="AA512" s="93"/>
      <c r="AB512" s="93"/>
      <c r="AC512" s="93"/>
      <c r="AD512" s="93"/>
      <c r="AE512" s="93"/>
      <c r="AF512" s="93"/>
      <c r="AG512" s="93"/>
      <c r="AH512" s="93"/>
      <c r="AI512" s="93"/>
      <c r="AJ512" s="93"/>
      <c r="AK512" s="93"/>
      <c r="AL512" s="93"/>
      <c r="AM512" s="93"/>
      <c r="AN512" s="93"/>
      <c r="AO512" s="93"/>
      <c r="AP512" s="93"/>
      <c r="AQ512" s="93"/>
      <c r="AR512" s="93"/>
      <c r="AS512" s="93"/>
      <c r="AT512" s="93"/>
      <c r="AU512" s="93"/>
      <c r="AV512" s="93"/>
      <c r="AW512" s="93"/>
      <c r="AX512" s="93"/>
      <c r="AY512" s="93"/>
      <c r="AZ512" s="93"/>
      <c r="BA512" s="93"/>
      <c r="BB512" s="93"/>
      <c r="BC512" s="93"/>
      <c r="BD512" s="93"/>
      <c r="BE512" s="93"/>
      <c r="BF512" s="93"/>
      <c r="BG512" s="93"/>
      <c r="BH512" s="93"/>
      <c r="BI512" s="93"/>
      <c r="BJ512" s="93"/>
      <c r="BK512" s="93"/>
      <c r="BL512" s="93"/>
      <c r="BM512" s="93"/>
      <c r="BN512" s="93"/>
      <c r="BO512" s="93"/>
      <c r="BP512" s="93"/>
      <c r="BQ512" s="93"/>
      <c r="BR512" s="93"/>
      <c r="BS512" s="93"/>
      <c r="BT512" s="93"/>
      <c r="BU512" s="93"/>
      <c r="BV512" s="93"/>
      <c r="BW512" s="93"/>
      <c r="BX512" s="93"/>
      <c r="BY512" s="93"/>
      <c r="BZ512" s="93"/>
      <c r="CA512" s="93"/>
      <c r="CB512" s="93"/>
      <c r="CC512" s="93"/>
      <c r="CD512" s="93"/>
      <c r="CE512" s="94"/>
    </row>
    <row r="513" spans="1:83" s="69" customFormat="1" ht="14.25" customHeight="1">
      <c r="A513" s="146"/>
      <c r="B513" s="137"/>
      <c r="C513" s="135"/>
      <c r="D513" s="147" t="s">
        <v>493</v>
      </c>
      <c r="E513" s="148"/>
      <c r="F513" s="140"/>
      <c r="G513" s="140"/>
      <c r="H513" s="140"/>
      <c r="I513" s="140"/>
      <c r="J513" s="141"/>
      <c r="K513" s="135"/>
      <c r="L513" s="135"/>
      <c r="M513" s="135"/>
      <c r="N513" s="135"/>
      <c r="O513" s="135"/>
      <c r="P513" s="135"/>
      <c r="Q513" s="135"/>
      <c r="R513" s="135"/>
      <c r="S513" s="135"/>
      <c r="T513" s="135"/>
      <c r="U513" s="135"/>
      <c r="V513" s="135"/>
      <c r="W513" s="135"/>
      <c r="X513" s="135"/>
      <c r="Y513" s="141" t="s">
        <v>263</v>
      </c>
      <c r="Z513" s="141">
        <v>400</v>
      </c>
      <c r="AA513" s="142"/>
      <c r="AB513" s="142"/>
      <c r="AC513" s="142"/>
      <c r="AD513" s="142"/>
      <c r="AE513" s="142"/>
      <c r="AF513" s="140" t="s">
        <v>211</v>
      </c>
      <c r="AG513" s="135"/>
      <c r="AH513" s="141">
        <v>700</v>
      </c>
      <c r="AI513" s="142"/>
      <c r="AJ513" s="142"/>
      <c r="AK513" s="142"/>
      <c r="AL513" s="142"/>
      <c r="AM513" s="142"/>
      <c r="AN513" s="141" t="s">
        <v>264</v>
      </c>
      <c r="AO513" s="135"/>
      <c r="AP513" s="143" t="s">
        <v>217</v>
      </c>
      <c r="AQ513" s="135"/>
      <c r="AR513" s="141">
        <v>1</v>
      </c>
      <c r="AS513" s="144"/>
      <c r="AT513" s="144"/>
      <c r="AU513" s="144"/>
      <c r="AV513" s="144"/>
      <c r="AW513" s="144"/>
      <c r="AX513" s="136"/>
      <c r="AY513" s="140" t="s">
        <v>265</v>
      </c>
      <c r="AZ513" s="135"/>
      <c r="BA513" s="136"/>
      <c r="BB513" s="136"/>
      <c r="BC513" s="136"/>
      <c r="BD513" s="135"/>
      <c r="BE513" s="135"/>
      <c r="BF513" s="135"/>
      <c r="BG513" s="135"/>
      <c r="BH513" s="135"/>
      <c r="BI513" s="135"/>
      <c r="BJ513" s="135"/>
      <c r="BK513" s="135"/>
      <c r="BL513" s="135"/>
      <c r="BM513" s="135"/>
      <c r="BN513" s="135"/>
      <c r="BO513" s="135"/>
      <c r="BP513" s="135"/>
      <c r="BQ513" s="135"/>
      <c r="BR513" s="135"/>
      <c r="BS513" s="135"/>
      <c r="BT513" s="135"/>
      <c r="BU513" s="135"/>
      <c r="BV513" s="135"/>
      <c r="BW513" s="135"/>
      <c r="BX513" s="135"/>
      <c r="BY513" s="135"/>
      <c r="BZ513" s="135"/>
      <c r="CA513" s="135"/>
      <c r="CB513" s="135"/>
      <c r="CC513" s="135"/>
      <c r="CD513" s="135"/>
      <c r="CE513" s="145"/>
    </row>
    <row r="514" spans="1:83" s="69" customFormat="1" ht="14.25" customHeight="1">
      <c r="A514" s="108"/>
      <c r="B514" s="109"/>
      <c r="C514" s="110"/>
      <c r="D514" s="111"/>
      <c r="E514" s="111"/>
      <c r="F514" s="111"/>
      <c r="G514" s="111"/>
      <c r="H514" s="112"/>
      <c r="I514" s="112"/>
      <c r="J514" s="112"/>
      <c r="K514" s="113"/>
      <c r="L514" s="105"/>
      <c r="M514" s="111"/>
      <c r="N514" s="112"/>
      <c r="O514" s="113"/>
      <c r="P514" s="113"/>
      <c r="Q514" s="112"/>
      <c r="R514" s="111"/>
      <c r="S514" s="114"/>
      <c r="T514" s="115"/>
      <c r="U514" s="116"/>
      <c r="V514" s="116"/>
      <c r="W514" s="116"/>
      <c r="X514" s="111"/>
      <c r="Y514" s="105"/>
      <c r="Z514" s="105"/>
      <c r="AA514" s="105"/>
      <c r="AB514" s="105"/>
      <c r="AC514" s="105"/>
      <c r="AD514" s="105"/>
      <c r="AE514" s="105"/>
      <c r="AF514" s="105"/>
      <c r="AG514" s="105"/>
      <c r="AH514" s="105"/>
      <c r="AI514" s="105"/>
      <c r="AJ514" s="105"/>
      <c r="AK514" s="105"/>
      <c r="AL514" s="105"/>
      <c r="AM514" s="104"/>
      <c r="AN514" s="104"/>
      <c r="AO514" s="104"/>
      <c r="AP514" s="104"/>
      <c r="AQ514" s="104"/>
      <c r="AR514" s="104"/>
      <c r="AS514" s="104"/>
      <c r="AT514" s="104"/>
      <c r="AU514" s="104"/>
      <c r="AV514" s="104"/>
      <c r="AW514" s="104"/>
      <c r="AX514" s="104"/>
      <c r="AY514" s="104"/>
      <c r="AZ514" s="104"/>
      <c r="BA514" s="104"/>
      <c r="BB514" s="104"/>
      <c r="BC514" s="104"/>
      <c r="BD514" s="104"/>
      <c r="BE514" s="104"/>
      <c r="BF514" s="104"/>
      <c r="BG514" s="104"/>
      <c r="BH514" s="104"/>
      <c r="BI514" s="104"/>
      <c r="BJ514" s="104"/>
      <c r="BK514" s="104"/>
      <c r="BL514" s="104"/>
      <c r="BM514" s="104"/>
      <c r="BN514" s="104"/>
      <c r="BO514" s="104"/>
      <c r="BP514" s="104"/>
      <c r="BQ514" s="104"/>
      <c r="BR514" s="104"/>
      <c r="BS514" s="104"/>
      <c r="BT514" s="104"/>
      <c r="BU514" s="104"/>
      <c r="BV514" s="104"/>
      <c r="BW514" s="104"/>
      <c r="BX514" s="104"/>
      <c r="BY514" s="104"/>
      <c r="BZ514" s="104"/>
      <c r="CA514" s="104"/>
      <c r="CB514" s="104"/>
      <c r="CC514" s="104"/>
      <c r="CD514" s="104"/>
      <c r="CE514" s="106"/>
    </row>
    <row r="515" spans="1:83" s="69" customFormat="1" ht="14.25" customHeight="1">
      <c r="A515" s="85"/>
      <c r="B515" s="72"/>
      <c r="C515" s="118"/>
      <c r="D515" s="74"/>
      <c r="E515" s="74"/>
      <c r="F515" s="74"/>
      <c r="G515" s="74"/>
      <c r="H515" s="75"/>
      <c r="I515" s="75"/>
      <c r="J515" s="75"/>
      <c r="K515" s="76"/>
      <c r="L515" s="71"/>
      <c r="M515" s="74"/>
      <c r="N515" s="75"/>
      <c r="O515" s="76"/>
      <c r="P515" s="76"/>
      <c r="Q515" s="75"/>
      <c r="R515" s="74"/>
      <c r="S515" s="77"/>
      <c r="T515" s="78"/>
      <c r="U515" s="79"/>
      <c r="V515" s="79"/>
      <c r="W515" s="79"/>
      <c r="X515" s="74"/>
      <c r="Y515" s="71"/>
      <c r="Z515" s="71"/>
      <c r="AA515" s="71"/>
      <c r="AB515" s="71"/>
      <c r="AC515" s="71"/>
      <c r="AD515" s="71"/>
      <c r="AE515" s="71"/>
      <c r="AF515" s="71"/>
      <c r="AG515" s="71"/>
      <c r="AH515" s="71"/>
      <c r="AI515" s="71"/>
      <c r="AJ515" s="71"/>
      <c r="AK515" s="71"/>
      <c r="AL515" s="71"/>
      <c r="AM515" s="71"/>
      <c r="AN515" s="71"/>
      <c r="AO515" s="71"/>
      <c r="AP515" s="71"/>
      <c r="AQ515" s="71"/>
      <c r="AR515" s="71"/>
      <c r="AS515" s="71"/>
      <c r="AT515" s="71"/>
      <c r="AU515" s="71"/>
      <c r="AV515" s="71"/>
      <c r="AW515" s="71"/>
      <c r="AX515" s="71"/>
      <c r="AY515" s="71"/>
      <c r="AZ515" s="71"/>
      <c r="BA515" s="71"/>
      <c r="BB515" s="71"/>
      <c r="BC515" s="71"/>
      <c r="BD515" s="71"/>
      <c r="BE515" s="71"/>
      <c r="BF515" s="71"/>
      <c r="BG515" s="71"/>
      <c r="BH515" s="71"/>
      <c r="BI515" s="71"/>
      <c r="BJ515" s="71"/>
      <c r="BK515" s="71"/>
      <c r="BL515" s="71"/>
      <c r="BM515" s="71"/>
      <c r="CE515" s="80"/>
    </row>
    <row r="516" spans="1:83" s="69" customFormat="1" ht="14.25" customHeight="1">
      <c r="A516" s="85"/>
      <c r="B516" s="71"/>
      <c r="C516" s="71"/>
      <c r="D516" s="71"/>
      <c r="E516" s="81" t="s">
        <v>235</v>
      </c>
      <c r="F516" s="71"/>
      <c r="G516" s="71"/>
      <c r="H516" s="82" t="s">
        <v>217</v>
      </c>
      <c r="I516" s="71"/>
      <c r="J516" s="84">
        <v>0.4</v>
      </c>
      <c r="K516" s="79"/>
      <c r="L516" s="79"/>
      <c r="M516" s="79"/>
      <c r="N516" s="79"/>
      <c r="O516" s="71"/>
      <c r="T516" s="71"/>
      <c r="U516" s="71"/>
      <c r="V516" s="71"/>
      <c r="W516" s="71"/>
      <c r="X516" s="71"/>
      <c r="Y516" s="71"/>
      <c r="Z516" s="71"/>
      <c r="AA516" s="71"/>
      <c r="AB516" s="71"/>
      <c r="AC516" s="71"/>
      <c r="AD516" s="71"/>
      <c r="AE516" s="71"/>
      <c r="AF516" s="71"/>
      <c r="AG516" s="71"/>
      <c r="AH516" s="71"/>
      <c r="AI516" s="71"/>
      <c r="AJ516" s="71"/>
      <c r="AK516" s="71"/>
      <c r="AL516" s="71"/>
      <c r="AM516" s="71"/>
      <c r="AN516" s="71"/>
      <c r="AO516" s="71"/>
      <c r="AP516" s="71"/>
      <c r="AQ516" s="71"/>
      <c r="AR516" s="71"/>
      <c r="AS516" s="71"/>
      <c r="AT516" s="71"/>
      <c r="AU516" s="71"/>
      <c r="AV516" s="71"/>
      <c r="AW516" s="71"/>
      <c r="AX516" s="71"/>
      <c r="AY516" s="71"/>
      <c r="AZ516" s="71"/>
      <c r="BA516" s="71"/>
      <c r="BB516" s="71"/>
      <c r="BC516" s="71"/>
      <c r="BD516" s="71"/>
      <c r="BE516" s="71"/>
      <c r="BF516" s="71"/>
      <c r="BG516" s="71"/>
      <c r="BH516" s="71"/>
      <c r="BI516" s="71"/>
      <c r="BJ516" s="71"/>
      <c r="BK516" s="71"/>
      <c r="BL516" s="71"/>
      <c r="BM516" s="71"/>
      <c r="CE516" s="80"/>
    </row>
    <row r="517" spans="1:83" s="69" customFormat="1" ht="14.25" customHeight="1">
      <c r="A517" s="85"/>
      <c r="B517" s="71"/>
      <c r="C517" s="71"/>
      <c r="D517" s="71"/>
      <c r="E517" s="81"/>
      <c r="F517" s="71"/>
      <c r="G517" s="71"/>
      <c r="H517" s="71"/>
      <c r="I517" s="71"/>
      <c r="J517" s="79"/>
      <c r="K517" s="79"/>
      <c r="L517" s="79"/>
      <c r="M517" s="79"/>
      <c r="N517" s="79"/>
      <c r="O517" s="71"/>
      <c r="P517" s="71"/>
      <c r="U517" s="71"/>
      <c r="V517" s="71"/>
      <c r="W517" s="71"/>
      <c r="X517" s="71"/>
      <c r="Y517" s="71"/>
      <c r="Z517" s="71"/>
      <c r="AA517" s="71"/>
      <c r="AB517" s="71"/>
      <c r="AD517" s="71"/>
      <c r="AE517" s="71"/>
      <c r="AF517" s="71"/>
      <c r="AG517" s="71"/>
      <c r="AH517" s="71"/>
      <c r="AI517" s="71"/>
      <c r="AJ517" s="71"/>
      <c r="AK517" s="71"/>
      <c r="AL517" s="71"/>
      <c r="AM517" s="71"/>
      <c r="AN517" s="71"/>
      <c r="AO517" s="71"/>
      <c r="AP517" s="71"/>
      <c r="AQ517" s="71"/>
      <c r="AR517" s="71"/>
      <c r="AS517" s="71"/>
      <c r="AT517" s="71"/>
      <c r="AU517" s="71"/>
      <c r="AV517" s="71"/>
      <c r="AW517" s="71"/>
      <c r="AX517" s="71"/>
      <c r="AY517" s="71"/>
      <c r="AZ517" s="71"/>
      <c r="BA517" s="71"/>
      <c r="BB517" s="71"/>
      <c r="BC517" s="71"/>
      <c r="BD517" s="71"/>
      <c r="BE517" s="71"/>
      <c r="BF517" s="71"/>
      <c r="BG517" s="71"/>
      <c r="BH517" s="71"/>
      <c r="BI517" s="71"/>
      <c r="BJ517" s="71"/>
      <c r="BK517" s="71"/>
      <c r="BL517" s="71"/>
      <c r="BM517" s="71"/>
      <c r="CE517" s="80"/>
    </row>
    <row r="518" spans="1:83" s="69" customFormat="1" ht="14.25" customHeight="1">
      <c r="A518" s="85"/>
      <c r="B518" s="71"/>
      <c r="C518" s="71"/>
      <c r="D518" s="71"/>
      <c r="E518" s="81" t="s">
        <v>226</v>
      </c>
      <c r="F518" s="71"/>
      <c r="H518" s="82" t="s">
        <v>217</v>
      </c>
      <c r="J518" s="84">
        <v>0.7</v>
      </c>
      <c r="K518" s="79"/>
      <c r="L518" s="79"/>
      <c r="M518" s="79"/>
      <c r="N518" s="79"/>
      <c r="O518" s="71"/>
      <c r="P518" s="71"/>
      <c r="Q518" s="71"/>
      <c r="R518" s="71"/>
      <c r="S518" s="71"/>
      <c r="U518" s="71"/>
      <c r="V518" s="71"/>
      <c r="W518" s="71"/>
      <c r="X518" s="71"/>
      <c r="Y518" s="71"/>
      <c r="Z518" s="71"/>
      <c r="AA518" s="71"/>
      <c r="AB518" s="71"/>
      <c r="AC518" s="71"/>
      <c r="AD518" s="71"/>
      <c r="AE518" s="71"/>
      <c r="AF518" s="71"/>
      <c r="AG518" s="71"/>
      <c r="AH518" s="71"/>
      <c r="AI518" s="71"/>
      <c r="AJ518" s="71"/>
      <c r="AK518" s="71"/>
      <c r="AL518" s="71"/>
      <c r="AM518" s="71"/>
      <c r="AN518" s="71"/>
      <c r="AO518" s="71"/>
      <c r="AP518" s="71"/>
      <c r="AQ518" s="71"/>
      <c r="AR518" s="71"/>
      <c r="AS518" s="71"/>
      <c r="AT518" s="71"/>
      <c r="AU518" s="71"/>
      <c r="AV518" s="71"/>
      <c r="AW518" s="71"/>
      <c r="AX518" s="71"/>
      <c r="AY518" s="71"/>
      <c r="AZ518" s="71"/>
      <c r="BA518" s="71"/>
      <c r="BB518" s="71"/>
      <c r="BC518" s="71"/>
      <c r="BD518" s="71"/>
      <c r="BE518" s="71"/>
      <c r="BF518" s="71"/>
      <c r="BG518" s="71"/>
      <c r="BH518" s="71"/>
      <c r="BI518" s="71"/>
      <c r="BJ518" s="71"/>
      <c r="BK518" s="71"/>
      <c r="BL518" s="71"/>
      <c r="BM518" s="71"/>
      <c r="CE518" s="80"/>
    </row>
    <row r="519" spans="1:83" s="69" customFormat="1" ht="14.25" customHeight="1">
      <c r="A519" s="85"/>
      <c r="B519" s="71"/>
      <c r="C519" s="71"/>
      <c r="D519" s="71"/>
      <c r="N519" s="79"/>
      <c r="O519" s="71"/>
      <c r="P519" s="71"/>
      <c r="Q519" s="71"/>
      <c r="R519" s="71"/>
      <c r="S519" s="71"/>
      <c r="U519" s="71"/>
      <c r="V519" s="71"/>
      <c r="W519" s="71"/>
      <c r="X519" s="71"/>
      <c r="Y519" s="71"/>
      <c r="Z519" s="71"/>
      <c r="AA519" s="71"/>
      <c r="AB519" s="71"/>
      <c r="AC519" s="71"/>
      <c r="AD519" s="71"/>
      <c r="AE519" s="71"/>
      <c r="AF519" s="81"/>
      <c r="AG519" s="71"/>
      <c r="AH519" s="71"/>
      <c r="AI519" s="71"/>
      <c r="AJ519" s="71"/>
      <c r="AK519" s="71"/>
      <c r="AL519" s="71"/>
      <c r="AM519" s="71"/>
      <c r="AN519" s="71"/>
      <c r="AO519" s="71"/>
      <c r="AP519" s="71"/>
      <c r="AQ519" s="71"/>
      <c r="AR519" s="71"/>
      <c r="AS519" s="71"/>
      <c r="AT519" s="71"/>
      <c r="AU519" s="81"/>
      <c r="AV519" s="71"/>
      <c r="AW519" s="71"/>
      <c r="AX519" s="71"/>
      <c r="AY519" s="71"/>
      <c r="AZ519" s="71"/>
      <c r="BA519" s="71"/>
      <c r="BB519" s="71"/>
      <c r="BC519" s="71"/>
      <c r="BD519" s="71"/>
      <c r="BE519" s="71"/>
      <c r="BF519" s="71"/>
      <c r="BG519" s="71"/>
      <c r="BH519" s="71"/>
      <c r="BI519" s="71"/>
      <c r="BJ519" s="71"/>
      <c r="BK519" s="71"/>
      <c r="BL519" s="71"/>
      <c r="BM519" s="71"/>
      <c r="CE519" s="80"/>
    </row>
    <row r="520" spans="1:83" s="69" customFormat="1" ht="14.25" customHeight="1">
      <c r="A520" s="85"/>
      <c r="B520" s="71"/>
      <c r="C520" s="71"/>
      <c r="D520" s="71"/>
      <c r="E520" s="81" t="s">
        <v>236</v>
      </c>
      <c r="F520" s="71"/>
      <c r="H520" s="82" t="s">
        <v>217</v>
      </c>
      <c r="J520" s="79">
        <v>0.05</v>
      </c>
      <c r="K520" s="79"/>
      <c r="L520" s="79"/>
      <c r="M520" s="79"/>
      <c r="N520" s="79"/>
      <c r="O520" s="71"/>
      <c r="P520" s="71"/>
      <c r="Q520" s="71"/>
      <c r="R520" s="71"/>
      <c r="S520" s="71"/>
      <c r="U520" s="83"/>
      <c r="W520" s="71"/>
      <c r="X520" s="71"/>
      <c r="Y520" s="71"/>
      <c r="Z520" s="71"/>
      <c r="AA520" s="81"/>
      <c r="AB520" s="81"/>
      <c r="AC520" s="81"/>
      <c r="AD520" s="81"/>
      <c r="AE520" s="81"/>
      <c r="AF520" s="81"/>
      <c r="AG520" s="81"/>
      <c r="AH520" s="81"/>
      <c r="AI520" s="81"/>
      <c r="AJ520" s="81"/>
      <c r="AK520" s="81"/>
      <c r="AL520" s="71"/>
      <c r="AM520" s="71"/>
      <c r="AN520" s="71"/>
      <c r="AO520" s="71"/>
      <c r="AP520" s="71"/>
      <c r="AQ520" s="71"/>
      <c r="AR520" s="71"/>
      <c r="AS520" s="81"/>
      <c r="AT520" s="81"/>
      <c r="AU520" s="81"/>
      <c r="AV520" s="81"/>
      <c r="AW520" s="81"/>
      <c r="AX520" s="81"/>
      <c r="AY520" s="81"/>
      <c r="AZ520" s="81"/>
      <c r="BA520" s="71"/>
      <c r="BB520" s="71"/>
      <c r="BC520" s="71"/>
      <c r="BD520" s="71"/>
      <c r="BE520" s="71"/>
      <c r="BF520" s="71"/>
      <c r="BG520" s="71"/>
      <c r="BH520" s="71"/>
      <c r="BI520" s="71"/>
      <c r="BJ520" s="71"/>
      <c r="BK520" s="71"/>
      <c r="BL520" s="71"/>
      <c r="BM520" s="71"/>
      <c r="CE520" s="80"/>
    </row>
    <row r="521" spans="1:83" s="69" customFormat="1" ht="14.25" customHeight="1">
      <c r="A521" s="85"/>
      <c r="B521" s="71"/>
      <c r="C521" s="71"/>
      <c r="D521" s="71"/>
      <c r="E521" s="81"/>
      <c r="F521" s="71"/>
      <c r="G521" s="71"/>
      <c r="H521" s="71"/>
      <c r="I521" s="71"/>
      <c r="J521" s="79"/>
      <c r="K521" s="79"/>
      <c r="L521" s="79"/>
      <c r="M521" s="79"/>
      <c r="N521" s="71"/>
      <c r="O521" s="71"/>
      <c r="P521" s="71"/>
      <c r="Q521" s="71"/>
      <c r="R521" s="71"/>
      <c r="S521" s="71"/>
      <c r="W521" s="71"/>
      <c r="X521" s="71"/>
      <c r="Y521" s="71"/>
      <c r="Z521" s="71"/>
      <c r="AA521" s="81"/>
      <c r="AB521" s="71"/>
      <c r="AC521" s="71"/>
      <c r="AD521" s="71"/>
      <c r="AE521" s="71"/>
      <c r="AF521" s="71"/>
      <c r="AG521" s="71"/>
      <c r="AH521" s="71"/>
      <c r="AI521" s="71"/>
      <c r="AJ521" s="71"/>
      <c r="AK521" s="81"/>
      <c r="AL521" s="71"/>
      <c r="AM521" s="71"/>
      <c r="AN521" s="71"/>
      <c r="AO521" s="71"/>
      <c r="AP521" s="71"/>
      <c r="AQ521" s="71"/>
      <c r="AR521" s="71"/>
      <c r="AS521" s="71"/>
      <c r="AT521" s="71"/>
      <c r="AU521" s="71"/>
      <c r="AV521" s="71"/>
      <c r="AW521" s="71"/>
      <c r="AX521" s="71"/>
      <c r="AY521" s="71"/>
      <c r="AZ521" s="81"/>
      <c r="BA521" s="71"/>
      <c r="BB521" s="71"/>
      <c r="BC521" s="71"/>
      <c r="BD521" s="71"/>
      <c r="BE521" s="71"/>
      <c r="BF521" s="71"/>
      <c r="BG521" s="71"/>
      <c r="BH521" s="71"/>
      <c r="BI521" s="71"/>
      <c r="BJ521" s="71"/>
      <c r="BK521" s="71"/>
      <c r="BL521" s="71"/>
      <c r="BM521" s="71"/>
      <c r="CE521" s="80"/>
    </row>
    <row r="522" spans="1:83" s="69" customFormat="1" ht="14.25" customHeight="1">
      <c r="A522" s="85"/>
      <c r="B522" s="71"/>
      <c r="C522" s="71"/>
      <c r="D522" s="71"/>
      <c r="E522" s="81" t="s">
        <v>237</v>
      </c>
      <c r="F522" s="71"/>
      <c r="G522" s="71"/>
      <c r="H522" s="82" t="s">
        <v>217</v>
      </c>
      <c r="I522" s="71"/>
      <c r="J522" s="79">
        <v>0.1</v>
      </c>
      <c r="K522" s="79"/>
      <c r="L522" s="79"/>
      <c r="M522" s="79"/>
      <c r="N522" s="79"/>
      <c r="P522" s="71"/>
      <c r="Q522" s="71"/>
      <c r="R522" s="71"/>
      <c r="S522" s="71"/>
      <c r="W522" s="71"/>
      <c r="X522" s="71"/>
      <c r="Y522" s="71"/>
      <c r="Z522" s="71"/>
      <c r="AA522" s="71"/>
      <c r="AB522" s="71"/>
      <c r="AC522" s="71"/>
      <c r="AD522" s="71"/>
      <c r="AE522" s="71"/>
      <c r="AF522" s="71"/>
      <c r="AG522" s="71"/>
      <c r="AH522" s="71"/>
      <c r="AI522" s="71"/>
      <c r="AJ522" s="71"/>
      <c r="AK522" s="71"/>
      <c r="AL522" s="71"/>
      <c r="AM522" s="71"/>
      <c r="AN522" s="71"/>
      <c r="AO522" s="71"/>
      <c r="AP522" s="71"/>
      <c r="AQ522" s="71"/>
      <c r="AR522" s="71"/>
      <c r="AS522" s="71"/>
      <c r="AT522" s="71"/>
      <c r="AU522" s="71"/>
      <c r="AV522" s="71"/>
      <c r="AW522" s="71"/>
      <c r="AX522" s="71"/>
      <c r="AY522" s="71"/>
      <c r="AZ522" s="71"/>
      <c r="BA522" s="71"/>
      <c r="BB522" s="71"/>
      <c r="BC522" s="71"/>
      <c r="BD522" s="71"/>
      <c r="BE522" s="71"/>
      <c r="BF522" s="71"/>
      <c r="BG522" s="71"/>
      <c r="BH522" s="71"/>
      <c r="BI522" s="71"/>
      <c r="BJ522" s="71"/>
      <c r="BK522" s="71"/>
      <c r="BL522" s="71"/>
      <c r="BM522" s="71"/>
      <c r="CE522" s="80"/>
    </row>
    <row r="523" spans="1:83" s="69" customFormat="1" ht="14.25" customHeight="1">
      <c r="A523" s="85"/>
      <c r="B523" s="71"/>
      <c r="C523" s="71"/>
      <c r="D523" s="71"/>
      <c r="E523" s="71"/>
      <c r="F523" s="71"/>
      <c r="G523" s="71"/>
      <c r="H523" s="71"/>
      <c r="I523" s="71"/>
      <c r="J523" s="71"/>
      <c r="K523" s="71"/>
      <c r="L523" s="71"/>
      <c r="M523" s="71"/>
      <c r="O523" s="71"/>
      <c r="P523" s="71"/>
      <c r="Q523" s="71"/>
      <c r="R523" s="71"/>
      <c r="S523" s="71"/>
      <c r="W523" s="71"/>
      <c r="X523" s="71"/>
      <c r="Y523" s="71"/>
      <c r="Z523" s="71"/>
      <c r="AA523" s="71"/>
      <c r="AB523" s="71"/>
      <c r="AC523" s="71"/>
      <c r="AD523" s="71"/>
      <c r="AE523" s="71"/>
      <c r="AF523" s="71"/>
      <c r="AG523" s="71"/>
      <c r="AH523" s="71"/>
      <c r="AI523" s="71"/>
      <c r="AJ523" s="71"/>
      <c r="AK523" s="71"/>
      <c r="AL523" s="71"/>
      <c r="AM523" s="71"/>
      <c r="AN523" s="71"/>
      <c r="AO523" s="71"/>
      <c r="AP523" s="71"/>
      <c r="AQ523" s="71"/>
      <c r="AR523" s="71"/>
      <c r="AS523" s="71"/>
      <c r="AT523" s="71"/>
      <c r="AU523" s="71"/>
      <c r="AV523" s="71"/>
      <c r="AW523" s="71"/>
      <c r="AX523" s="71"/>
      <c r="AY523" s="71"/>
      <c r="AZ523" s="71"/>
      <c r="BA523" s="71"/>
      <c r="BB523" s="71"/>
      <c r="BC523" s="71"/>
      <c r="BD523" s="71"/>
      <c r="BE523" s="71"/>
      <c r="BF523" s="71"/>
      <c r="BG523" s="71"/>
      <c r="BH523" s="71"/>
      <c r="BI523" s="71"/>
      <c r="BJ523" s="71"/>
      <c r="BK523" s="71"/>
      <c r="BL523" s="71"/>
      <c r="BM523" s="71"/>
      <c r="CE523" s="80"/>
    </row>
    <row r="524" spans="1:83" s="69" customFormat="1" ht="14.25" customHeight="1">
      <c r="A524" s="85"/>
      <c r="B524" s="71"/>
      <c r="C524" s="71"/>
      <c r="D524" s="71"/>
      <c r="E524" s="81" t="s">
        <v>238</v>
      </c>
      <c r="F524" s="71"/>
      <c r="G524" s="71"/>
      <c r="H524" s="82" t="s">
        <v>217</v>
      </c>
      <c r="I524" s="71"/>
      <c r="J524" s="79">
        <v>0.2</v>
      </c>
      <c r="K524" s="79"/>
      <c r="L524" s="79"/>
      <c r="M524" s="79"/>
      <c r="N524" s="79"/>
      <c r="O524" s="71"/>
      <c r="Q524" s="71"/>
      <c r="R524" s="71"/>
      <c r="S524" s="71"/>
      <c r="W524" s="71"/>
      <c r="X524" s="81"/>
      <c r="Y524" s="71"/>
      <c r="Z524" s="71"/>
      <c r="AA524" s="71"/>
      <c r="AB524" s="71"/>
      <c r="AC524" s="71"/>
      <c r="AD524" s="71"/>
      <c r="AE524" s="71"/>
      <c r="AF524" s="71"/>
      <c r="AG524" s="71"/>
      <c r="AH524" s="71"/>
      <c r="AI524" s="71"/>
      <c r="AJ524" s="71"/>
      <c r="AK524" s="81"/>
      <c r="AL524" s="71"/>
      <c r="AM524" s="71"/>
      <c r="AN524" s="71"/>
      <c r="AO524" s="71"/>
      <c r="AP524" s="81"/>
      <c r="AQ524" s="81"/>
      <c r="AR524" s="81"/>
      <c r="AS524" s="81"/>
      <c r="AT524" s="71"/>
      <c r="AU524" s="71"/>
      <c r="AV524" s="71"/>
      <c r="AW524" s="71"/>
      <c r="AX524" s="71"/>
      <c r="AY524" s="71"/>
      <c r="AZ524" s="71"/>
      <c r="BA524" s="71"/>
      <c r="BB524" s="71"/>
      <c r="BC524" s="71"/>
      <c r="BD524" s="71"/>
      <c r="BE524" s="71"/>
      <c r="BF524" s="71"/>
      <c r="BG524" s="71"/>
      <c r="BH524" s="71"/>
      <c r="BI524" s="71"/>
      <c r="BJ524" s="71"/>
      <c r="BK524" s="71"/>
      <c r="BL524" s="71"/>
      <c r="BM524" s="71"/>
      <c r="CE524" s="80"/>
    </row>
    <row r="525" spans="1:83" s="69" customFormat="1" ht="14.25" customHeight="1">
      <c r="A525" s="85"/>
      <c r="B525" s="71"/>
      <c r="C525" s="71"/>
      <c r="D525" s="71"/>
      <c r="N525" s="71"/>
      <c r="O525" s="71"/>
      <c r="P525" s="71"/>
      <c r="W525" s="71"/>
      <c r="X525" s="71"/>
      <c r="Y525" s="71"/>
      <c r="Z525" s="71"/>
      <c r="AA525" s="71"/>
      <c r="AB525" s="71"/>
      <c r="AC525" s="71"/>
      <c r="AD525" s="71"/>
      <c r="AE525" s="71"/>
      <c r="AF525" s="71"/>
      <c r="AG525" s="71"/>
      <c r="AH525" s="71"/>
      <c r="AI525" s="71"/>
      <c r="AJ525" s="71"/>
      <c r="AK525" s="71"/>
      <c r="AL525" s="71"/>
      <c r="AM525" s="71"/>
      <c r="AN525" s="71"/>
      <c r="AO525" s="71"/>
      <c r="AP525" s="71"/>
      <c r="AQ525" s="71"/>
      <c r="AR525" s="71"/>
      <c r="AS525" s="81"/>
      <c r="AT525" s="71"/>
      <c r="AU525" s="71"/>
      <c r="AV525" s="71"/>
      <c r="AW525" s="71"/>
      <c r="AX525" s="71"/>
      <c r="AY525" s="71"/>
      <c r="AZ525" s="71"/>
      <c r="BA525" s="71"/>
      <c r="BB525" s="71"/>
      <c r="BC525" s="71"/>
      <c r="BD525" s="71"/>
      <c r="BE525" s="71"/>
      <c r="BF525" s="71"/>
      <c r="BG525" s="71"/>
      <c r="BH525" s="71"/>
      <c r="BI525" s="81"/>
      <c r="BJ525" s="71"/>
      <c r="BK525" s="71"/>
      <c r="BL525" s="71"/>
      <c r="BM525" s="71"/>
      <c r="CE525" s="80"/>
    </row>
    <row r="526" spans="1:83" s="71" customFormat="1" ht="14.25" customHeight="1">
      <c r="A526" s="85"/>
      <c r="E526" s="81" t="s">
        <v>239</v>
      </c>
      <c r="H526" s="82" t="s">
        <v>217</v>
      </c>
      <c r="J526" s="79">
        <f>J518-(J520+J522+J524)</f>
        <v>0.34999999999999992</v>
      </c>
      <c r="K526" s="79"/>
      <c r="L526" s="79"/>
      <c r="M526" s="79"/>
      <c r="N526" s="79"/>
      <c r="AS526" s="81"/>
      <c r="BI526" s="81"/>
      <c r="CE526" s="86"/>
    </row>
    <row r="527" spans="1:83" s="71" customFormat="1" ht="14.25" customHeight="1">
      <c r="A527" s="85"/>
      <c r="AS527" s="81"/>
      <c r="BI527" s="81"/>
      <c r="CE527" s="86"/>
    </row>
    <row r="528" spans="1:83" s="71" customFormat="1" ht="14.25" customHeight="1">
      <c r="A528" s="85"/>
      <c r="E528" s="81"/>
      <c r="H528" s="82"/>
      <c r="J528" s="79"/>
      <c r="K528" s="79"/>
      <c r="L528" s="79"/>
      <c r="M528" s="79"/>
      <c r="N528" s="79"/>
      <c r="AS528" s="81"/>
      <c r="BI528" s="81"/>
      <c r="CE528" s="86"/>
    </row>
    <row r="529" spans="1:83" s="71" customFormat="1" ht="14.25" customHeight="1">
      <c r="A529" s="85"/>
      <c r="AS529" s="81"/>
      <c r="BI529" s="81"/>
      <c r="CE529" s="86"/>
    </row>
    <row r="530" spans="1:83" s="71" customFormat="1" ht="14.25" customHeight="1">
      <c r="A530" s="85"/>
      <c r="C530" s="71" t="s">
        <v>494</v>
      </c>
      <c r="P530" s="71" t="s">
        <v>217</v>
      </c>
      <c r="R530" s="79">
        <f>J516</f>
        <v>0.4</v>
      </c>
      <c r="S530" s="91"/>
      <c r="T530" s="79"/>
      <c r="U530" s="79"/>
      <c r="V530" s="79" t="s">
        <v>211</v>
      </c>
      <c r="W530" s="117"/>
      <c r="X530" s="79">
        <f>AR513</f>
        <v>1</v>
      </c>
      <c r="Y530" s="79"/>
      <c r="Z530" s="79"/>
      <c r="AA530" s="79"/>
      <c r="AB530" s="79"/>
      <c r="AC530" s="79" t="s">
        <v>227</v>
      </c>
      <c r="AD530" s="79"/>
      <c r="AE530" s="79">
        <f>ROUNDDOWN(R530*X530,3)</f>
        <v>0.4</v>
      </c>
      <c r="AF530" s="79"/>
      <c r="AG530" s="117"/>
      <c r="AH530" s="117"/>
      <c r="AI530" s="79"/>
      <c r="AJ530" s="79"/>
      <c r="AK530" s="71" t="s">
        <v>240</v>
      </c>
      <c r="AN530" s="79" t="s">
        <v>227</v>
      </c>
      <c r="AO530" s="79"/>
      <c r="AP530" s="79">
        <f>ROUNDDOWN(AE530/100,3)</f>
        <v>4.0000000000000001E-3</v>
      </c>
      <c r="AQ530" s="79"/>
      <c r="AR530" s="79"/>
      <c r="AS530" s="79"/>
      <c r="AT530" s="79"/>
      <c r="AU530" s="79"/>
      <c r="AV530" s="79" t="s">
        <v>241</v>
      </c>
      <c r="AW530" s="79"/>
      <c r="AX530" s="79"/>
      <c r="BI530" s="81"/>
      <c r="CE530" s="86"/>
    </row>
    <row r="531" spans="1:83" s="71" customFormat="1" ht="14.25" customHeight="1">
      <c r="A531" s="85"/>
      <c r="B531" s="81"/>
      <c r="C531" s="71" t="s">
        <v>242</v>
      </c>
      <c r="F531" s="81" t="s">
        <v>243</v>
      </c>
      <c r="CE531" s="86"/>
    </row>
    <row r="532" spans="1:83" s="71" customFormat="1" ht="14.25" customHeight="1">
      <c r="A532" s="85"/>
      <c r="D532" s="81"/>
      <c r="F532" s="79">
        <f>J520</f>
        <v>0.05</v>
      </c>
      <c r="G532" s="91"/>
      <c r="H532" s="79"/>
      <c r="I532" s="79"/>
      <c r="J532" s="79" t="s">
        <v>211</v>
      </c>
      <c r="K532" s="117"/>
      <c r="L532" s="79">
        <f>AE530</f>
        <v>0.4</v>
      </c>
      <c r="M532" s="79"/>
      <c r="N532" s="79"/>
      <c r="O532" s="79"/>
      <c r="P532" s="79"/>
      <c r="Q532" s="79"/>
      <c r="R532" s="79" t="s">
        <v>211</v>
      </c>
      <c r="S532" s="79"/>
      <c r="T532" s="79">
        <v>2.3199999999999998</v>
      </c>
      <c r="U532" s="79"/>
      <c r="V532" s="79"/>
      <c r="W532" s="79"/>
      <c r="X532" s="79" t="s">
        <v>227</v>
      </c>
      <c r="Y532" s="79"/>
      <c r="Z532" s="79">
        <f>ROUNDDOWN(F532*L532*T532,3)</f>
        <v>4.5999999999999999E-2</v>
      </c>
      <c r="AA532" s="79"/>
      <c r="AB532" s="79"/>
      <c r="AC532" s="79"/>
      <c r="AD532" s="79"/>
      <c r="AE532" s="79"/>
      <c r="AG532" s="79" t="s">
        <v>244</v>
      </c>
      <c r="AH532" s="91"/>
      <c r="AP532" s="118"/>
      <c r="AU532" s="88"/>
      <c r="CE532" s="86"/>
    </row>
    <row r="533" spans="1:83" s="71" customFormat="1" ht="14.25" customHeight="1">
      <c r="A533" s="85"/>
      <c r="B533" s="81"/>
      <c r="C533" s="71" t="s">
        <v>245</v>
      </c>
      <c r="F533" s="81" t="s">
        <v>246</v>
      </c>
      <c r="CE533" s="86"/>
    </row>
    <row r="534" spans="1:83" s="71" customFormat="1" ht="14.25" customHeight="1">
      <c r="A534" s="85"/>
      <c r="D534" s="81"/>
      <c r="F534" s="79">
        <f>J522</f>
        <v>0.1</v>
      </c>
      <c r="G534" s="91"/>
      <c r="H534" s="79"/>
      <c r="I534" s="79"/>
      <c r="J534" s="79" t="s">
        <v>211</v>
      </c>
      <c r="K534" s="117"/>
      <c r="L534" s="79">
        <f>AE530</f>
        <v>0.4</v>
      </c>
      <c r="M534" s="79"/>
      <c r="N534" s="79"/>
      <c r="O534" s="79"/>
      <c r="P534" s="79"/>
      <c r="Q534" s="79"/>
      <c r="R534" s="79" t="s">
        <v>211</v>
      </c>
      <c r="S534" s="79"/>
      <c r="T534" s="79">
        <v>2.3199999999999998</v>
      </c>
      <c r="U534" s="79"/>
      <c r="V534" s="79"/>
      <c r="W534" s="79"/>
      <c r="X534" s="79" t="s">
        <v>227</v>
      </c>
      <c r="Y534" s="79"/>
      <c r="Z534" s="79">
        <f>ROUNDDOWN(F534*L534*T534,3)</f>
        <v>9.1999999999999998E-2</v>
      </c>
      <c r="AA534" s="79"/>
      <c r="AB534" s="79"/>
      <c r="AC534" s="79"/>
      <c r="AD534" s="79"/>
      <c r="AE534" s="79"/>
      <c r="AG534" s="79" t="s">
        <v>244</v>
      </c>
      <c r="AH534" s="91"/>
      <c r="AP534" s="118"/>
      <c r="AU534" s="88"/>
      <c r="CE534" s="86"/>
    </row>
    <row r="535" spans="1:83" s="71" customFormat="1" ht="14.25" customHeight="1">
      <c r="A535" s="85"/>
      <c r="B535" s="81"/>
      <c r="C535" s="71" t="s">
        <v>247</v>
      </c>
      <c r="F535" s="81" t="s">
        <v>248</v>
      </c>
      <c r="CE535" s="86"/>
    </row>
    <row r="536" spans="1:83" s="71" customFormat="1" ht="14.25" customHeight="1">
      <c r="A536" s="85"/>
      <c r="D536" s="81"/>
      <c r="F536" s="79">
        <f>J524</f>
        <v>0.2</v>
      </c>
      <c r="G536" s="91"/>
      <c r="H536" s="79"/>
      <c r="I536" s="79"/>
      <c r="J536" s="79" t="s">
        <v>211</v>
      </c>
      <c r="K536" s="79"/>
      <c r="L536" s="79">
        <f>AE530</f>
        <v>0.4</v>
      </c>
      <c r="M536" s="79"/>
      <c r="N536" s="79"/>
      <c r="O536" s="117"/>
      <c r="P536" s="117"/>
      <c r="Q536" s="117" t="s">
        <v>211</v>
      </c>
      <c r="R536" s="117"/>
      <c r="S536" s="79">
        <v>1.175</v>
      </c>
      <c r="T536" s="79"/>
      <c r="U536" s="79"/>
      <c r="V536" s="79"/>
      <c r="W536" s="79" t="s">
        <v>249</v>
      </c>
      <c r="X536" s="79"/>
      <c r="Y536" s="79">
        <v>0.95</v>
      </c>
      <c r="Z536" s="79"/>
      <c r="AA536" s="79"/>
      <c r="AB536" s="79"/>
      <c r="AC536" s="79" t="s">
        <v>227</v>
      </c>
      <c r="AD536" s="79"/>
      <c r="AE536" s="79">
        <f>ROUNDDOWN(F536*L536*S536/Y536,3)</f>
        <v>9.8000000000000004E-2</v>
      </c>
      <c r="AF536" s="79"/>
      <c r="AG536" s="79"/>
      <c r="AH536" s="79"/>
      <c r="AI536" s="79"/>
      <c r="AJ536" s="79"/>
      <c r="AL536" s="89" t="s">
        <v>212</v>
      </c>
      <c r="AM536" s="91"/>
      <c r="CE536" s="86"/>
    </row>
    <row r="537" spans="1:83" s="71" customFormat="1" ht="14.25" customHeight="1">
      <c r="A537" s="85"/>
      <c r="B537" s="81"/>
      <c r="C537" s="71" t="s">
        <v>250</v>
      </c>
      <c r="F537" s="81" t="s">
        <v>251</v>
      </c>
      <c r="CE537" s="86"/>
    </row>
    <row r="538" spans="1:83" s="71" customFormat="1" ht="14.25" customHeight="1">
      <c r="A538" s="85"/>
      <c r="D538" s="81"/>
      <c r="F538" s="79">
        <f>AE530</f>
        <v>0.4</v>
      </c>
      <c r="G538" s="79"/>
      <c r="H538" s="79"/>
      <c r="I538" s="117"/>
      <c r="J538" s="117"/>
      <c r="K538" s="117" t="s">
        <v>249</v>
      </c>
      <c r="L538" s="117"/>
      <c r="M538" s="79">
        <v>100</v>
      </c>
      <c r="N538" s="79"/>
      <c r="O538" s="79"/>
      <c r="P538" s="79"/>
      <c r="Q538" s="79" t="s">
        <v>211</v>
      </c>
      <c r="R538" s="79"/>
      <c r="S538" s="79">
        <v>30</v>
      </c>
      <c r="T538" s="79"/>
      <c r="U538" s="79"/>
      <c r="V538" s="79"/>
      <c r="W538" s="71" t="s">
        <v>252</v>
      </c>
      <c r="AA538" s="117" t="s">
        <v>249</v>
      </c>
      <c r="AB538" s="79"/>
      <c r="AC538" s="79">
        <v>200</v>
      </c>
      <c r="AD538" s="79"/>
      <c r="AE538" s="79"/>
      <c r="AF538" s="79"/>
      <c r="AG538" s="79" t="s">
        <v>227</v>
      </c>
      <c r="AH538" s="79"/>
      <c r="AI538" s="122">
        <f>ROUNDDOWN(F538/M538*S538/AC538,4)</f>
        <v>5.9999999999999995E-4</v>
      </c>
      <c r="AJ538" s="79"/>
      <c r="AK538" s="79"/>
      <c r="AL538" s="79"/>
      <c r="AM538" s="79"/>
      <c r="AN538" s="79"/>
      <c r="AP538" s="79" t="s">
        <v>253</v>
      </c>
      <c r="AQ538" s="91"/>
      <c r="CE538" s="86"/>
    </row>
    <row r="539" spans="1:83" s="71" customFormat="1" ht="14.25" customHeight="1">
      <c r="A539" s="85"/>
      <c r="B539" s="81"/>
      <c r="C539" s="71" t="s">
        <v>254</v>
      </c>
      <c r="F539" s="81" t="s">
        <v>255</v>
      </c>
      <c r="CE539" s="86"/>
    </row>
    <row r="540" spans="1:83" s="71" customFormat="1" ht="14.25" customHeight="1">
      <c r="A540" s="85"/>
      <c r="D540" s="81"/>
      <c r="F540" s="79">
        <f>AE530</f>
        <v>0.4</v>
      </c>
      <c r="G540" s="79"/>
      <c r="H540" s="79"/>
      <c r="I540" s="117"/>
      <c r="J540" s="117"/>
      <c r="K540" s="117" t="s">
        <v>249</v>
      </c>
      <c r="L540" s="117"/>
      <c r="M540" s="79">
        <v>100</v>
      </c>
      <c r="N540" s="79"/>
      <c r="O540" s="79"/>
      <c r="P540" s="79"/>
      <c r="Q540" s="79" t="s">
        <v>211</v>
      </c>
      <c r="R540" s="79"/>
      <c r="S540" s="79">
        <v>75</v>
      </c>
      <c r="T540" s="79"/>
      <c r="U540" s="79"/>
      <c r="V540" s="79"/>
      <c r="W540" s="71" t="s">
        <v>252</v>
      </c>
      <c r="AA540" s="117" t="s">
        <v>249</v>
      </c>
      <c r="AB540" s="79"/>
      <c r="AC540" s="79">
        <v>200</v>
      </c>
      <c r="AD540" s="79"/>
      <c r="AE540" s="79"/>
      <c r="AF540" s="79"/>
      <c r="AG540" s="79" t="s">
        <v>227</v>
      </c>
      <c r="AH540" s="79"/>
      <c r="AI540" s="79">
        <f>ROUNDDOWN(F540/M540*S540/AC540,3)</f>
        <v>1E-3</v>
      </c>
      <c r="AJ540" s="79"/>
      <c r="AK540" s="79"/>
      <c r="AL540" s="79"/>
      <c r="AM540" s="79"/>
      <c r="AN540" s="79"/>
      <c r="AP540" s="79" t="s">
        <v>253</v>
      </c>
      <c r="AQ540" s="91"/>
      <c r="CE540" s="86"/>
    </row>
    <row r="541" spans="1:83" s="71" customFormat="1" ht="14.25" customHeight="1">
      <c r="A541" s="85"/>
      <c r="B541" s="81"/>
      <c r="C541" s="71" t="s">
        <v>256</v>
      </c>
      <c r="F541" s="81" t="s">
        <v>230</v>
      </c>
      <c r="CE541" s="86"/>
    </row>
    <row r="542" spans="1:83" s="71" customFormat="1" ht="14.25" customHeight="1">
      <c r="A542" s="85"/>
      <c r="F542" s="79">
        <f>X530</f>
        <v>1</v>
      </c>
      <c r="G542" s="79"/>
      <c r="H542" s="79"/>
      <c r="I542" s="79"/>
      <c r="J542" s="79"/>
      <c r="K542" s="79"/>
      <c r="L542" s="79" t="s">
        <v>211</v>
      </c>
      <c r="M542" s="79"/>
      <c r="N542" s="79">
        <v>2</v>
      </c>
      <c r="O542" s="79"/>
      <c r="P542" s="79"/>
      <c r="Q542" s="79" t="s">
        <v>227</v>
      </c>
      <c r="R542" s="79"/>
      <c r="S542" s="79">
        <f>F542*N542</f>
        <v>2</v>
      </c>
      <c r="T542" s="79"/>
      <c r="U542" s="79"/>
      <c r="V542" s="79"/>
      <c r="W542" s="79"/>
      <c r="X542" s="79"/>
      <c r="Y542" s="89" t="s">
        <v>257</v>
      </c>
      <c r="Z542" s="79"/>
      <c r="AA542" s="79"/>
      <c r="AB542" s="79"/>
      <c r="AC542" s="79"/>
      <c r="AD542" s="79"/>
      <c r="AE542" s="79"/>
      <c r="AF542" s="79"/>
      <c r="AG542" s="79"/>
      <c r="AH542" s="79"/>
      <c r="AI542" s="79"/>
      <c r="AJ542" s="79"/>
      <c r="AK542" s="79"/>
      <c r="AL542" s="79"/>
      <c r="AM542" s="79"/>
      <c r="AN542" s="79"/>
      <c r="AO542" s="79"/>
      <c r="AP542" s="79"/>
      <c r="AQ542" s="79"/>
      <c r="AR542" s="79"/>
      <c r="AS542" s="79"/>
      <c r="AT542" s="79"/>
      <c r="AU542" s="79"/>
      <c r="AV542" s="79"/>
      <c r="CE542" s="86"/>
    </row>
    <row r="543" spans="1:83" s="71" customFormat="1" ht="14.25" customHeight="1">
      <c r="A543" s="85"/>
      <c r="B543" s="81"/>
      <c r="C543" s="71" t="s">
        <v>258</v>
      </c>
      <c r="F543" s="81" t="s">
        <v>495</v>
      </c>
      <c r="CE543" s="86"/>
    </row>
    <row r="544" spans="1:83" s="71" customFormat="1" ht="14.25" customHeight="1">
      <c r="A544" s="85"/>
      <c r="F544" s="79">
        <f>AE530</f>
        <v>0.4</v>
      </c>
      <c r="G544" s="79"/>
      <c r="H544" s="79"/>
      <c r="I544" s="79"/>
      <c r="J544" s="79"/>
      <c r="K544" s="79"/>
      <c r="L544" s="79" t="s">
        <v>211</v>
      </c>
      <c r="M544" s="79"/>
      <c r="N544" s="79">
        <f>J520+J522</f>
        <v>0.15000000000000002</v>
      </c>
      <c r="O544" s="79"/>
      <c r="P544" s="79"/>
      <c r="Q544" s="79"/>
      <c r="R544" s="79"/>
      <c r="S544" s="79" t="s">
        <v>227</v>
      </c>
      <c r="T544" s="79"/>
      <c r="U544" s="79">
        <f>ROUNDDOWN(F544*N544,3)</f>
        <v>0.06</v>
      </c>
      <c r="V544" s="79"/>
      <c r="W544" s="79"/>
      <c r="X544" s="79"/>
      <c r="Y544" s="79"/>
      <c r="Z544" s="79"/>
      <c r="AA544" s="89" t="s">
        <v>212</v>
      </c>
      <c r="AB544" s="79"/>
      <c r="AC544" s="79"/>
      <c r="AD544" s="79"/>
      <c r="AE544" s="79"/>
      <c r="AF544" s="79"/>
      <c r="AG544" s="79"/>
      <c r="AH544" s="79"/>
      <c r="AI544" s="79"/>
      <c r="AJ544" s="79"/>
      <c r="AK544" s="79"/>
      <c r="AL544" s="79"/>
      <c r="AM544" s="79"/>
      <c r="AN544" s="79"/>
      <c r="AO544" s="79"/>
      <c r="AP544" s="79"/>
      <c r="AQ544" s="79"/>
      <c r="AR544" s="79"/>
      <c r="AS544" s="79"/>
      <c r="AT544" s="79"/>
      <c r="AU544" s="79"/>
      <c r="AV544" s="79"/>
      <c r="CE544" s="86"/>
    </row>
    <row r="545" spans="1:83" s="71" customFormat="1" ht="14.25" customHeight="1">
      <c r="A545" s="85"/>
      <c r="B545" s="81"/>
      <c r="C545" s="71" t="s">
        <v>259</v>
      </c>
      <c r="F545" s="81" t="s">
        <v>260</v>
      </c>
      <c r="CE545" s="86"/>
    </row>
    <row r="546" spans="1:83" s="71" customFormat="1" ht="14.25" customHeight="1">
      <c r="A546" s="85"/>
      <c r="F546" s="79">
        <f>F544</f>
        <v>0.4</v>
      </c>
      <c r="G546" s="79"/>
      <c r="H546" s="79"/>
      <c r="I546" s="79"/>
      <c r="J546" s="79"/>
      <c r="K546" s="79"/>
      <c r="L546" s="79" t="s">
        <v>211</v>
      </c>
      <c r="M546" s="79"/>
      <c r="N546" s="79">
        <f>N544</f>
        <v>0.15000000000000002</v>
      </c>
      <c r="O546" s="79"/>
      <c r="P546" s="79"/>
      <c r="Q546" s="79"/>
      <c r="R546" s="79"/>
      <c r="S546" s="79" t="s">
        <v>211</v>
      </c>
      <c r="T546" s="79"/>
      <c r="U546" s="79">
        <v>2.35</v>
      </c>
      <c r="V546" s="79"/>
      <c r="W546" s="79"/>
      <c r="X546" s="79"/>
      <c r="Z546" s="79" t="s">
        <v>227</v>
      </c>
      <c r="AA546" s="79"/>
      <c r="AB546" s="79">
        <f>ROUNDDOWN(F546*N546*U546,3)</f>
        <v>0.14099999999999999</v>
      </c>
      <c r="AC546" s="79"/>
      <c r="AD546" s="79"/>
      <c r="AE546" s="79"/>
      <c r="AF546" s="79"/>
      <c r="AG546" s="79"/>
      <c r="AH546" s="89" t="s">
        <v>244</v>
      </c>
      <c r="AI546" s="79"/>
      <c r="AJ546" s="79"/>
      <c r="AK546" s="79"/>
      <c r="AL546" s="79"/>
      <c r="AM546" s="79"/>
      <c r="AR546" s="79"/>
      <c r="AS546" s="79"/>
      <c r="AT546" s="79"/>
      <c r="AU546" s="79"/>
      <c r="AV546" s="79"/>
      <c r="CE546" s="86"/>
    </row>
    <row r="547" spans="1:83" s="71" customFormat="1" ht="14.25" customHeight="1">
      <c r="A547" s="85"/>
      <c r="B547" s="81"/>
      <c r="C547" s="71" t="s">
        <v>261</v>
      </c>
      <c r="F547" s="81" t="s">
        <v>496</v>
      </c>
      <c r="CE547" s="86"/>
    </row>
    <row r="548" spans="1:83" s="71" customFormat="1" ht="14.25" customHeight="1">
      <c r="A548" s="85"/>
      <c r="D548" s="81"/>
      <c r="F548" s="79">
        <f>J526</f>
        <v>0.34999999999999992</v>
      </c>
      <c r="G548" s="91"/>
      <c r="H548" s="79"/>
      <c r="I548" s="79"/>
      <c r="J548" s="79" t="s">
        <v>211</v>
      </c>
      <c r="K548" s="117"/>
      <c r="L548" s="79">
        <f>AE530</f>
        <v>0.4</v>
      </c>
      <c r="M548" s="79"/>
      <c r="N548" s="79"/>
      <c r="O548" s="79"/>
      <c r="P548" s="79"/>
      <c r="Q548" s="79"/>
      <c r="R548" s="79" t="s">
        <v>227</v>
      </c>
      <c r="S548" s="79"/>
      <c r="T548" s="79">
        <f>ROUNDDOWN(F548*L548,3)</f>
        <v>0.14000000000000001</v>
      </c>
      <c r="U548" s="79"/>
      <c r="V548" s="79"/>
      <c r="W548" s="79"/>
      <c r="X548" s="79"/>
      <c r="Y548" s="79"/>
      <c r="Z548" s="89" t="s">
        <v>212</v>
      </c>
      <c r="AA548" s="79"/>
      <c r="AB548" s="91"/>
      <c r="AP548" s="118"/>
      <c r="AU548" s="88"/>
      <c r="CE548" s="86"/>
    </row>
    <row r="549" spans="1:83" s="71" customFormat="1" ht="14.25" customHeight="1">
      <c r="A549" s="85"/>
      <c r="B549" s="81"/>
      <c r="C549" s="71" t="s">
        <v>262</v>
      </c>
      <c r="F549" s="81" t="s">
        <v>497</v>
      </c>
      <c r="CE549" s="86"/>
    </row>
    <row r="550" spans="1:83" s="71" customFormat="1" ht="14.25" customHeight="1">
      <c r="A550" s="92"/>
      <c r="B550" s="96"/>
      <c r="C550" s="93"/>
      <c r="D550" s="93"/>
      <c r="E550" s="93"/>
      <c r="F550" s="101" t="s">
        <v>227</v>
      </c>
      <c r="G550" s="101"/>
      <c r="H550" s="101">
        <f>T548</f>
        <v>0.14000000000000001</v>
      </c>
      <c r="I550" s="101"/>
      <c r="J550" s="101"/>
      <c r="K550" s="101"/>
      <c r="L550" s="101"/>
      <c r="M550" s="101"/>
      <c r="N550" s="99" t="s">
        <v>212</v>
      </c>
      <c r="O550" s="101"/>
      <c r="P550" s="102"/>
      <c r="Q550" s="93"/>
      <c r="R550" s="93"/>
      <c r="S550" s="93"/>
      <c r="T550" s="93"/>
      <c r="U550" s="93"/>
      <c r="V550" s="93"/>
      <c r="W550" s="93"/>
      <c r="X550" s="93"/>
      <c r="Y550" s="93"/>
      <c r="Z550" s="93"/>
      <c r="AA550" s="93"/>
      <c r="AB550" s="93"/>
      <c r="AC550" s="93"/>
      <c r="AD550" s="93"/>
      <c r="AE550" s="93"/>
      <c r="AF550" s="93"/>
      <c r="AG550" s="93"/>
      <c r="AH550" s="93"/>
      <c r="AI550" s="93"/>
      <c r="AJ550" s="93"/>
      <c r="AK550" s="93"/>
      <c r="AL550" s="93"/>
      <c r="AM550" s="93"/>
      <c r="AN550" s="93"/>
      <c r="AO550" s="93"/>
      <c r="AP550" s="93"/>
      <c r="AQ550" s="93"/>
      <c r="AR550" s="93"/>
      <c r="AS550" s="93"/>
      <c r="AT550" s="93"/>
      <c r="AU550" s="93"/>
      <c r="AV550" s="93"/>
      <c r="AW550" s="93"/>
      <c r="AX550" s="93"/>
      <c r="AY550" s="93"/>
      <c r="AZ550" s="93"/>
      <c r="BA550" s="93"/>
      <c r="BB550" s="93"/>
      <c r="BC550" s="93"/>
      <c r="BD550" s="93"/>
      <c r="BE550" s="93"/>
      <c r="BF550" s="93"/>
      <c r="BG550" s="93"/>
      <c r="BH550" s="93"/>
      <c r="BI550" s="93"/>
      <c r="BJ550" s="93"/>
      <c r="BK550" s="93"/>
      <c r="BL550" s="93"/>
      <c r="BM550" s="93"/>
      <c r="BN550" s="93"/>
      <c r="BO550" s="93"/>
      <c r="BP550" s="93"/>
      <c r="BQ550" s="93"/>
      <c r="BR550" s="93"/>
      <c r="BS550" s="93"/>
      <c r="BT550" s="93"/>
      <c r="BU550" s="93"/>
      <c r="BV550" s="93"/>
      <c r="BW550" s="93"/>
      <c r="BX550" s="93"/>
      <c r="BY550" s="93"/>
      <c r="BZ550" s="93"/>
      <c r="CA550" s="93"/>
      <c r="CB550" s="93"/>
      <c r="CC550" s="93"/>
      <c r="CD550" s="93"/>
      <c r="CE550" s="94"/>
    </row>
    <row r="551" spans="1:83" s="69" customFormat="1" ht="14.25" customHeight="1">
      <c r="A551" s="71"/>
      <c r="B551" s="71"/>
      <c r="C551" s="71"/>
      <c r="D551" s="71"/>
      <c r="E551" s="71"/>
      <c r="F551" s="71"/>
      <c r="G551" s="71"/>
      <c r="H551" s="71"/>
      <c r="I551" s="71"/>
      <c r="J551" s="71"/>
      <c r="K551" s="71"/>
      <c r="L551" s="71"/>
      <c r="M551" s="71"/>
      <c r="N551" s="71"/>
      <c r="O551" s="71"/>
      <c r="P551" s="71"/>
      <c r="Q551" s="71"/>
      <c r="R551" s="71"/>
      <c r="S551" s="71"/>
      <c r="T551" s="71"/>
      <c r="U551" s="71"/>
      <c r="V551" s="71"/>
      <c r="W551" s="71"/>
      <c r="X551" s="71"/>
      <c r="Y551" s="71"/>
      <c r="Z551" s="71"/>
      <c r="AA551" s="71"/>
      <c r="AB551" s="71"/>
      <c r="AC551" s="71"/>
      <c r="AD551" s="71"/>
      <c r="AE551" s="71"/>
      <c r="AF551" s="71"/>
      <c r="AG551" s="71"/>
      <c r="AH551" s="71"/>
      <c r="AI551" s="71"/>
      <c r="AJ551" s="71"/>
      <c r="AK551" s="71"/>
      <c r="AL551" s="71"/>
    </row>
    <row r="552" spans="1:83" s="69" customFormat="1" ht="14.25" customHeight="1">
      <c r="A552" s="71"/>
      <c r="B552" s="134"/>
      <c r="C552" s="135"/>
      <c r="D552" s="135"/>
      <c r="E552" s="147" t="s">
        <v>498</v>
      </c>
      <c r="F552" s="149"/>
      <c r="G552" s="140"/>
      <c r="H552" s="140"/>
      <c r="I552" s="140"/>
      <c r="J552" s="140"/>
      <c r="K552" s="141"/>
      <c r="L552" s="140"/>
      <c r="M552" s="141"/>
      <c r="N552" s="141"/>
      <c r="O552" s="150"/>
      <c r="P552" s="151"/>
      <c r="Q552" s="136"/>
      <c r="R552" s="140"/>
      <c r="S552" s="149"/>
      <c r="T552" s="140"/>
      <c r="U552" s="152"/>
      <c r="V552" s="144"/>
      <c r="W552" s="150"/>
      <c r="X552" s="150"/>
      <c r="Y552" s="150"/>
      <c r="Z552" s="140"/>
      <c r="AA552" s="136"/>
      <c r="AB552" s="136"/>
      <c r="AC552" s="136"/>
      <c r="AD552" s="136"/>
      <c r="AE552" s="136"/>
      <c r="AF552" s="136"/>
      <c r="AG552" s="136"/>
      <c r="AH552" s="136"/>
      <c r="AI552" s="136"/>
      <c r="AJ552" s="136"/>
      <c r="AK552" s="136"/>
      <c r="AL552" s="136"/>
      <c r="AM552" s="136"/>
      <c r="AN552" s="135"/>
      <c r="AO552" s="135"/>
      <c r="AP552" s="135"/>
      <c r="AQ552" s="135"/>
      <c r="AR552" s="135"/>
      <c r="AS552" s="135"/>
      <c r="AT552" s="135"/>
      <c r="AU552" s="135"/>
      <c r="AV552" s="135"/>
      <c r="AW552" s="135"/>
      <c r="AX552" s="135"/>
      <c r="AY552" s="135"/>
      <c r="AZ552" s="135"/>
      <c r="BA552" s="135"/>
      <c r="BB552" s="135"/>
      <c r="BC552" s="135"/>
      <c r="BD552" s="135"/>
      <c r="BE552" s="135"/>
      <c r="BF552" s="135"/>
      <c r="BG552" s="135"/>
      <c r="BH552" s="135"/>
      <c r="BI552" s="135"/>
      <c r="BJ552" s="135"/>
      <c r="BK552" s="135"/>
      <c r="BL552" s="135"/>
      <c r="BM552" s="135"/>
      <c r="BN552" s="135"/>
      <c r="BO552" s="135"/>
      <c r="BP552" s="135"/>
      <c r="BQ552" s="135"/>
      <c r="BR552" s="135"/>
      <c r="BS552" s="145"/>
    </row>
    <row r="553" spans="1:83" s="69" customFormat="1" ht="14.25" customHeight="1">
      <c r="A553" s="71"/>
      <c r="B553" s="153"/>
      <c r="C553" s="154"/>
      <c r="D553" s="74"/>
      <c r="E553" s="74"/>
      <c r="F553" s="74"/>
      <c r="G553" s="74"/>
      <c r="H553" s="75"/>
      <c r="I553" s="75"/>
      <c r="J553" s="79"/>
      <c r="K553" s="125"/>
      <c r="L553" s="71"/>
      <c r="M553" s="74"/>
      <c r="N553" s="154"/>
      <c r="O553" s="74"/>
      <c r="P553" s="126"/>
      <c r="Q553" s="78"/>
      <c r="R553" s="79"/>
      <c r="S553" s="79"/>
      <c r="T553" s="79"/>
      <c r="U553" s="74"/>
      <c r="V553" s="71"/>
      <c r="W553" s="71"/>
      <c r="X553" s="71"/>
      <c r="Y553" s="71"/>
      <c r="Z553" s="71"/>
      <c r="AA553" s="71"/>
      <c r="AB553" s="71"/>
      <c r="AC553" s="71"/>
      <c r="AD553" s="71"/>
      <c r="AE553" s="71"/>
      <c r="AF553" s="71"/>
      <c r="AG553" s="71"/>
      <c r="AH553" s="71"/>
      <c r="AI553" s="71"/>
      <c r="AJ553" s="71"/>
      <c r="AK553" s="71"/>
      <c r="AL553" s="71"/>
      <c r="BS553" s="80"/>
    </row>
    <row r="554" spans="1:83" s="69" customFormat="1" ht="14.25" customHeight="1">
      <c r="A554" s="71"/>
      <c r="B554" s="153"/>
      <c r="C554" s="154"/>
      <c r="D554" s="74"/>
      <c r="E554" s="74"/>
      <c r="F554" s="74"/>
      <c r="G554" s="74"/>
      <c r="H554" s="75"/>
      <c r="I554" s="75"/>
      <c r="J554" s="79"/>
      <c r="K554" s="125"/>
      <c r="L554" s="71"/>
      <c r="M554" s="74"/>
      <c r="N554" s="71"/>
      <c r="O554" s="71"/>
      <c r="P554" s="71"/>
      <c r="Q554" s="71"/>
      <c r="R554" s="71"/>
      <c r="S554" s="71"/>
      <c r="T554" s="71"/>
      <c r="U554" s="71"/>
      <c r="V554" s="71"/>
      <c r="W554" s="71"/>
      <c r="X554" s="71"/>
      <c r="Y554" s="71"/>
      <c r="Z554" s="71"/>
      <c r="AA554" s="71"/>
      <c r="AB554" s="71"/>
      <c r="AC554" s="71"/>
      <c r="AD554" s="71"/>
      <c r="AE554" s="71"/>
      <c r="AF554" s="71"/>
      <c r="AG554" s="71"/>
      <c r="AH554" s="71"/>
      <c r="AI554" s="71"/>
      <c r="AJ554" s="71"/>
      <c r="AK554" s="71"/>
      <c r="AL554" s="71"/>
      <c r="AM554" s="71"/>
      <c r="AN554" s="71"/>
      <c r="AO554" s="71"/>
      <c r="AP554" s="71"/>
      <c r="AQ554" s="71"/>
      <c r="AR554" s="71"/>
      <c r="AS554" s="71"/>
      <c r="AT554" s="71"/>
      <c r="AU554" s="71"/>
      <c r="AV554" s="71"/>
      <c r="AW554" s="71"/>
      <c r="AX554" s="71"/>
      <c r="AY554" s="71"/>
      <c r="AZ554" s="71"/>
      <c r="BA554" s="71"/>
      <c r="BB554" s="71"/>
      <c r="BC554" s="71"/>
      <c r="BD554" s="71"/>
      <c r="BE554" s="71"/>
      <c r="BS554" s="80"/>
    </row>
    <row r="555" spans="1:83" s="69" customFormat="1" ht="14.25" customHeight="1">
      <c r="A555" s="71"/>
      <c r="B555" s="153"/>
      <c r="C555" s="154"/>
      <c r="D555" s="74"/>
      <c r="E555" s="74"/>
      <c r="F555" s="74"/>
      <c r="G555" s="74"/>
      <c r="H555" s="75"/>
      <c r="I555" s="75"/>
      <c r="J555" s="79"/>
      <c r="K555" s="125"/>
      <c r="L555" s="71"/>
      <c r="M555" s="74"/>
      <c r="N555" s="155"/>
      <c r="O555" s="71"/>
      <c r="P555" s="71"/>
      <c r="Q555" s="71"/>
      <c r="R555" s="71"/>
      <c r="S555" s="71"/>
      <c r="T555" s="71"/>
      <c r="U555" s="71"/>
      <c r="V555" s="71"/>
      <c r="W555" s="71"/>
      <c r="X555" s="71"/>
      <c r="Y555" s="71"/>
      <c r="Z555" s="71"/>
      <c r="AA555" s="71"/>
      <c r="AB555" s="71"/>
      <c r="AC555" s="71"/>
      <c r="AD555" s="71"/>
      <c r="AE555" s="71"/>
      <c r="AF555" s="71"/>
      <c r="AG555" s="71"/>
      <c r="AH555" s="71"/>
      <c r="AI555" s="71"/>
      <c r="AJ555" s="71"/>
      <c r="AK555" s="71"/>
      <c r="AL555" s="71"/>
      <c r="AM555" s="71"/>
      <c r="AN555" s="71"/>
      <c r="AO555" s="71"/>
      <c r="AP555" s="71"/>
      <c r="AQ555" s="71"/>
      <c r="AR555" s="71"/>
      <c r="AS555" s="71"/>
      <c r="AT555" s="71"/>
      <c r="AU555" s="71"/>
      <c r="AV555" s="71"/>
      <c r="AW555" s="71"/>
      <c r="AX555" s="71"/>
      <c r="AY555" s="71"/>
      <c r="AZ555" s="71"/>
      <c r="BA555" s="71"/>
      <c r="BB555" s="71"/>
      <c r="BC555" s="71"/>
      <c r="BD555" s="71"/>
      <c r="BE555" s="71"/>
      <c r="BS555" s="80"/>
    </row>
    <row r="556" spans="1:83" s="69" customFormat="1" ht="14.25" customHeight="1">
      <c r="A556" s="71"/>
      <c r="B556" s="153"/>
      <c r="C556" s="154"/>
      <c r="D556" s="74"/>
      <c r="E556" s="74"/>
      <c r="F556" s="74"/>
      <c r="G556" s="74"/>
      <c r="H556" s="75"/>
      <c r="I556" s="75"/>
      <c r="J556" s="79"/>
      <c r="K556" s="125"/>
      <c r="L556" s="71"/>
      <c r="M556" s="74"/>
      <c r="N556" s="154"/>
      <c r="O556" s="71"/>
      <c r="P556" s="71"/>
      <c r="Q556" s="71"/>
      <c r="R556" s="71"/>
      <c r="S556" s="71"/>
      <c r="T556" s="71"/>
      <c r="U556" s="71"/>
      <c r="V556" s="71"/>
      <c r="W556" s="71"/>
      <c r="X556" s="71"/>
      <c r="Y556" s="71"/>
      <c r="Z556" s="71"/>
      <c r="AA556" s="71"/>
      <c r="AB556" s="71"/>
      <c r="AC556" s="71"/>
      <c r="AD556" s="71"/>
      <c r="AE556" s="71"/>
      <c r="AF556" s="71"/>
      <c r="AG556" s="71"/>
      <c r="AH556" s="71"/>
      <c r="AI556" s="71"/>
      <c r="AJ556" s="71"/>
      <c r="AK556" s="71"/>
      <c r="AL556" s="71"/>
      <c r="AM556" s="71"/>
      <c r="AN556" s="71"/>
      <c r="AO556" s="71"/>
      <c r="AP556" s="71"/>
      <c r="AQ556" s="71"/>
      <c r="AR556" s="71"/>
      <c r="AS556" s="71"/>
      <c r="AT556" s="71"/>
      <c r="AU556" s="71"/>
      <c r="AV556" s="71"/>
      <c r="AW556" s="71"/>
      <c r="AX556" s="71"/>
      <c r="AY556" s="71"/>
      <c r="AZ556" s="71"/>
      <c r="BA556" s="71"/>
      <c r="BB556" s="71"/>
      <c r="BC556" s="71"/>
      <c r="BD556" s="71"/>
      <c r="BE556" s="71"/>
      <c r="BS556" s="80"/>
    </row>
    <row r="557" spans="1:83" s="69" customFormat="1" ht="14.25" customHeight="1">
      <c r="A557" s="71"/>
      <c r="B557" s="153"/>
      <c r="C557" s="154"/>
      <c r="D557" s="74"/>
      <c r="E557" s="74"/>
      <c r="F557" s="74"/>
      <c r="G557" s="74"/>
      <c r="H557" s="75"/>
      <c r="I557" s="75"/>
      <c r="J557" s="79"/>
      <c r="K557" s="125"/>
      <c r="L557" s="71"/>
      <c r="M557" s="74"/>
      <c r="N557" s="154"/>
      <c r="O557" s="71"/>
      <c r="P557" s="71"/>
      <c r="Q557" s="71"/>
      <c r="R557" s="71"/>
      <c r="S557" s="71"/>
      <c r="T557" s="71"/>
      <c r="U557" s="71"/>
      <c r="V557" s="71"/>
      <c r="W557" s="71"/>
      <c r="X557" s="71"/>
      <c r="Y557" s="71"/>
      <c r="Z557" s="71"/>
      <c r="AA557" s="71"/>
      <c r="AB557" s="71"/>
      <c r="AC557" s="71"/>
      <c r="AD557" s="71"/>
      <c r="AE557" s="71"/>
      <c r="AF557" s="71"/>
      <c r="AG557" s="71"/>
      <c r="AH557" s="71"/>
      <c r="AI557" s="71"/>
      <c r="AJ557" s="71"/>
      <c r="AK557" s="71"/>
      <c r="AL557" s="71"/>
      <c r="AM557" s="71"/>
      <c r="AN557" s="71"/>
      <c r="AO557" s="71"/>
      <c r="AP557" s="71"/>
      <c r="AQ557" s="71"/>
      <c r="AR557" s="71"/>
      <c r="AS557" s="71"/>
      <c r="AT557" s="71"/>
      <c r="AU557" s="71"/>
      <c r="AV557" s="71"/>
      <c r="AW557" s="71"/>
      <c r="AX557" s="71"/>
      <c r="AY557" s="71"/>
      <c r="AZ557" s="71"/>
      <c r="BA557" s="71"/>
      <c r="BB557" s="71"/>
      <c r="BC557" s="71"/>
      <c r="BD557" s="71"/>
      <c r="BE557" s="71"/>
      <c r="BS557" s="80"/>
    </row>
    <row r="558" spans="1:83" s="69" customFormat="1" ht="14.25" customHeight="1">
      <c r="A558" s="71"/>
      <c r="B558" s="153"/>
      <c r="C558" s="154"/>
      <c r="D558" s="74"/>
      <c r="E558" s="74"/>
      <c r="F558" s="74"/>
      <c r="G558" s="74"/>
      <c r="H558" s="75"/>
      <c r="I558" s="75"/>
      <c r="J558" s="79"/>
      <c r="K558" s="125"/>
      <c r="L558" s="71"/>
      <c r="M558" s="74"/>
      <c r="N558" s="154"/>
      <c r="O558" s="71"/>
      <c r="P558" s="71"/>
      <c r="Q558" s="71"/>
      <c r="R558" s="71"/>
      <c r="S558" s="71"/>
      <c r="T558" s="71"/>
      <c r="U558" s="71"/>
      <c r="V558" s="71"/>
      <c r="W558" s="71"/>
      <c r="X558" s="71"/>
      <c r="Y558" s="71"/>
      <c r="Z558" s="71"/>
      <c r="AA558" s="71"/>
      <c r="AB558" s="71"/>
      <c r="AC558" s="71"/>
      <c r="AD558" s="71"/>
      <c r="AE558" s="71"/>
      <c r="AF558" s="71"/>
      <c r="AG558" s="71"/>
      <c r="AH558" s="71"/>
      <c r="AI558" s="71"/>
      <c r="AJ558" s="71"/>
      <c r="AK558" s="71"/>
      <c r="AL558" s="71"/>
      <c r="AM558" s="71"/>
      <c r="AN558" s="71"/>
      <c r="AO558" s="71"/>
      <c r="AP558" s="71"/>
      <c r="AQ558" s="71"/>
      <c r="AR558" s="71"/>
      <c r="AS558" s="71"/>
      <c r="AT558" s="71"/>
      <c r="AU558" s="71"/>
      <c r="AV558" s="71"/>
      <c r="AW558" s="71"/>
      <c r="AX558" s="71"/>
      <c r="AY558" s="71"/>
      <c r="AZ558" s="71"/>
      <c r="BA558" s="71"/>
      <c r="BB558" s="71"/>
      <c r="BC558" s="71"/>
      <c r="BD558" s="71"/>
      <c r="BE558" s="71"/>
      <c r="BS558" s="80"/>
    </row>
    <row r="559" spans="1:83" s="69" customFormat="1" ht="14.25" customHeight="1">
      <c r="A559" s="71"/>
      <c r="B559" s="153"/>
      <c r="C559" s="154"/>
      <c r="D559" s="74"/>
      <c r="E559" s="74"/>
      <c r="F559" s="74"/>
      <c r="G559" s="74"/>
      <c r="H559" s="75"/>
      <c r="I559" s="75"/>
      <c r="J559" s="79"/>
      <c r="K559" s="125"/>
      <c r="L559" s="71"/>
      <c r="M559" s="74"/>
      <c r="N559" s="154"/>
      <c r="O559" s="71"/>
      <c r="P559" s="71"/>
      <c r="Q559" s="71"/>
      <c r="R559" s="71"/>
      <c r="S559" s="71"/>
      <c r="T559" s="71"/>
      <c r="U559" s="71"/>
      <c r="V559" s="71"/>
      <c r="W559" s="71"/>
      <c r="X559" s="71"/>
      <c r="Y559" s="71"/>
      <c r="Z559" s="71"/>
      <c r="AA559" s="71"/>
      <c r="AB559" s="71"/>
      <c r="AC559" s="71"/>
      <c r="AD559" s="71"/>
      <c r="AE559" s="71"/>
      <c r="AF559" s="71"/>
      <c r="AG559" s="71"/>
      <c r="AH559" s="71"/>
      <c r="AI559" s="71"/>
      <c r="AJ559" s="71"/>
      <c r="AK559" s="71"/>
      <c r="AL559" s="71"/>
      <c r="AM559" s="71"/>
      <c r="AN559" s="71"/>
      <c r="AO559" s="71"/>
      <c r="AP559" s="71"/>
      <c r="AQ559" s="71"/>
      <c r="AR559" s="71"/>
      <c r="AS559" s="71"/>
      <c r="AT559" s="71"/>
      <c r="AU559" s="71"/>
      <c r="AV559" s="71"/>
      <c r="AW559" s="71"/>
      <c r="AX559" s="71"/>
      <c r="AY559" s="71"/>
      <c r="AZ559" s="71"/>
      <c r="BA559" s="71"/>
      <c r="BB559" s="71"/>
      <c r="BC559" s="71"/>
      <c r="BD559" s="71"/>
      <c r="BE559" s="71"/>
      <c r="BS559" s="80"/>
    </row>
    <row r="560" spans="1:83" s="69" customFormat="1" ht="14.25" customHeight="1">
      <c r="A560" s="71"/>
      <c r="B560" s="153"/>
      <c r="C560" s="154"/>
      <c r="D560" s="74"/>
      <c r="E560" s="74"/>
      <c r="F560" s="74"/>
      <c r="G560" s="74"/>
      <c r="H560" s="75"/>
      <c r="I560" s="75"/>
      <c r="J560" s="79"/>
      <c r="K560" s="125"/>
      <c r="L560" s="71"/>
      <c r="M560" s="74"/>
      <c r="N560" s="154"/>
      <c r="O560" s="71"/>
      <c r="P560" s="71"/>
      <c r="Q560" s="71"/>
      <c r="R560" s="71"/>
      <c r="S560" s="71"/>
      <c r="T560" s="71"/>
      <c r="U560" s="71"/>
      <c r="V560" s="71"/>
      <c r="W560" s="71"/>
      <c r="X560" s="71"/>
      <c r="Y560" s="71"/>
      <c r="Z560" s="71"/>
      <c r="AA560" s="71"/>
      <c r="AB560" s="71"/>
      <c r="AC560" s="71"/>
      <c r="AD560" s="71"/>
      <c r="AE560" s="71"/>
      <c r="AF560" s="71"/>
      <c r="AG560" s="71"/>
      <c r="AH560" s="71"/>
      <c r="AI560" s="71"/>
      <c r="AJ560" s="71"/>
      <c r="AK560" s="71"/>
      <c r="AL560" s="71"/>
      <c r="AM560" s="71"/>
      <c r="AN560" s="71"/>
      <c r="AO560" s="71"/>
      <c r="AP560" s="71"/>
      <c r="AQ560" s="71"/>
      <c r="AR560" s="71"/>
      <c r="AS560" s="71"/>
      <c r="AT560" s="71"/>
      <c r="AU560" s="71"/>
      <c r="AV560" s="71"/>
      <c r="AW560" s="71"/>
      <c r="AX560" s="71"/>
      <c r="AY560" s="71"/>
      <c r="AZ560" s="71"/>
      <c r="BA560" s="71"/>
      <c r="BB560" s="71"/>
      <c r="BC560" s="71"/>
      <c r="BD560" s="71"/>
      <c r="BE560" s="71"/>
      <c r="BS560" s="80"/>
    </row>
    <row r="561" spans="1:71" s="69" customFormat="1" ht="14.25" customHeight="1">
      <c r="A561" s="71"/>
      <c r="B561" s="153"/>
      <c r="C561" s="154"/>
      <c r="D561" s="74"/>
      <c r="E561" s="74"/>
      <c r="F561" s="74"/>
      <c r="G561" s="74"/>
      <c r="H561" s="75"/>
      <c r="I561" s="75"/>
      <c r="J561" s="79"/>
      <c r="K561" s="125"/>
      <c r="L561" s="71"/>
      <c r="N561" s="74"/>
      <c r="O561" s="154"/>
      <c r="P561" s="71"/>
      <c r="Q561" s="71"/>
      <c r="R561" s="71"/>
      <c r="S561" s="71"/>
      <c r="T561" s="71"/>
      <c r="U561" s="71"/>
      <c r="V561" s="71"/>
      <c r="W561" s="71"/>
      <c r="X561" s="71"/>
      <c r="Y561" s="71"/>
      <c r="Z561" s="71"/>
      <c r="AA561" s="71"/>
      <c r="AB561" s="71"/>
      <c r="AC561" s="71"/>
      <c r="AD561" s="71"/>
      <c r="AE561" s="71"/>
      <c r="AF561" s="71"/>
      <c r="AG561" s="71"/>
      <c r="AH561" s="71"/>
      <c r="AI561" s="71"/>
      <c r="AJ561" s="71"/>
      <c r="AK561" s="71"/>
      <c r="AL561" s="71"/>
      <c r="AM561" s="71"/>
      <c r="AN561" s="71"/>
      <c r="AO561" s="71"/>
      <c r="AP561" s="71"/>
      <c r="AQ561" s="71"/>
      <c r="AR561" s="71"/>
      <c r="AS561" s="71"/>
      <c r="AT561" s="71"/>
      <c r="AU561" s="71"/>
      <c r="AV561" s="71"/>
      <c r="AW561" s="71"/>
      <c r="AX561" s="71"/>
      <c r="AY561" s="71"/>
      <c r="AZ561" s="71"/>
      <c r="BA561" s="71"/>
      <c r="BB561" s="71"/>
      <c r="BC561" s="71"/>
      <c r="BD561" s="71"/>
      <c r="BE561" s="71"/>
      <c r="BF561" s="71"/>
      <c r="BG561" s="71"/>
      <c r="BH561" s="71"/>
      <c r="BI561" s="71"/>
      <c r="BJ561" s="71"/>
      <c r="BK561" s="71"/>
      <c r="BL561" s="71"/>
      <c r="BM561" s="71"/>
      <c r="BN561" s="71"/>
      <c r="BO561" s="71"/>
      <c r="BP561" s="71"/>
      <c r="BQ561" s="71"/>
      <c r="BR561" s="71"/>
      <c r="BS561" s="80"/>
    </row>
    <row r="562" spans="1:71" s="69" customFormat="1" ht="14.25" customHeight="1">
      <c r="A562" s="71"/>
      <c r="B562" s="70"/>
      <c r="D562" s="71"/>
      <c r="F562" s="71"/>
      <c r="G562" s="71"/>
      <c r="H562" s="71"/>
      <c r="I562" s="71"/>
      <c r="J562" s="71"/>
      <c r="M562" s="79"/>
      <c r="N562" s="83"/>
      <c r="O562" s="79"/>
      <c r="P562" s="79"/>
      <c r="Q562" s="71"/>
      <c r="R562" s="71"/>
      <c r="S562" s="71"/>
      <c r="T562" s="71"/>
      <c r="U562" s="71"/>
      <c r="V562" s="75"/>
      <c r="W562" s="79"/>
      <c r="X562" s="79"/>
      <c r="Y562" s="79"/>
      <c r="Z562" s="79"/>
      <c r="AA562" s="74"/>
      <c r="AB562" s="71"/>
      <c r="AC562" s="71"/>
      <c r="AD562" s="71"/>
      <c r="AE562" s="71"/>
      <c r="AF562" s="71"/>
      <c r="AG562" s="71"/>
      <c r="AH562" s="71"/>
      <c r="AI562" s="71"/>
      <c r="AJ562" s="71"/>
      <c r="AK562" s="71"/>
      <c r="AL562" s="71"/>
      <c r="AM562" s="71"/>
      <c r="AN562" s="71"/>
      <c r="AO562" s="71"/>
      <c r="AP562" s="71"/>
      <c r="AQ562" s="71"/>
      <c r="AR562" s="71"/>
      <c r="AS562" s="71"/>
      <c r="AT562" s="71"/>
      <c r="AU562" s="71"/>
      <c r="AV562" s="71"/>
      <c r="AW562" s="71"/>
      <c r="AX562" s="71"/>
      <c r="AY562" s="71"/>
      <c r="AZ562" s="71"/>
      <c r="BA562" s="71"/>
      <c r="BB562" s="71"/>
      <c r="BC562" s="71"/>
      <c r="BD562" s="71"/>
      <c r="BE562" s="71"/>
      <c r="BF562" s="71"/>
      <c r="BG562" s="71"/>
      <c r="BH562" s="71"/>
      <c r="BI562" s="71"/>
      <c r="BJ562" s="71"/>
      <c r="BK562" s="71"/>
      <c r="BL562" s="71"/>
      <c r="BM562" s="71"/>
      <c r="BN562" s="71"/>
      <c r="BO562" s="71"/>
      <c r="BP562" s="71"/>
      <c r="BQ562" s="71"/>
      <c r="BR562" s="71"/>
      <c r="BS562" s="80"/>
    </row>
    <row r="563" spans="1:71" s="69" customFormat="1" ht="14.25" customHeight="1">
      <c r="A563" s="71"/>
      <c r="B563" s="70"/>
      <c r="D563" s="71"/>
      <c r="F563" s="71"/>
      <c r="G563" s="71"/>
      <c r="H563" s="71"/>
      <c r="I563" s="71"/>
      <c r="J563" s="79"/>
      <c r="L563" s="79"/>
      <c r="N563" s="79"/>
      <c r="O563" s="71"/>
      <c r="P563" s="71"/>
      <c r="Q563" s="71"/>
      <c r="R563" s="71"/>
      <c r="S563" s="71"/>
      <c r="T563" s="74" t="s">
        <v>499</v>
      </c>
      <c r="U563" s="71"/>
      <c r="V563" s="71"/>
      <c r="W563" s="71"/>
      <c r="X563" s="71"/>
      <c r="Y563" s="71"/>
      <c r="Z563" s="71"/>
      <c r="AA563" s="71"/>
      <c r="AB563" s="71"/>
      <c r="AC563" s="71"/>
      <c r="AD563" s="71"/>
      <c r="AE563" s="71"/>
      <c r="AF563" s="71"/>
      <c r="AG563" s="71"/>
      <c r="AH563" s="71"/>
      <c r="AI563" s="71"/>
      <c r="AJ563" s="71"/>
      <c r="AL563" s="71"/>
      <c r="AP563" s="121" t="s">
        <v>217</v>
      </c>
      <c r="AR563" s="75">
        <v>1</v>
      </c>
      <c r="AS563" s="75"/>
      <c r="AT563" s="79"/>
      <c r="AU563" s="75"/>
      <c r="AV563" s="74" t="s">
        <v>205</v>
      </c>
      <c r="AW563" s="71"/>
      <c r="AX563" s="71"/>
      <c r="AY563" s="71"/>
      <c r="AZ563" s="71"/>
      <c r="BA563" s="71"/>
      <c r="BB563" s="71"/>
      <c r="BC563" s="71"/>
      <c r="BD563" s="71"/>
      <c r="BE563" s="71"/>
      <c r="BF563" s="71"/>
      <c r="BG563" s="71"/>
      <c r="BH563" s="71"/>
      <c r="BI563" s="71"/>
      <c r="BJ563" s="71"/>
      <c r="BK563" s="71"/>
      <c r="BL563" s="71"/>
      <c r="BM563" s="71"/>
      <c r="BN563" s="71"/>
      <c r="BO563" s="71"/>
      <c r="BP563" s="71"/>
      <c r="BQ563" s="71"/>
      <c r="BR563" s="71"/>
      <c r="BS563" s="80"/>
    </row>
    <row r="564" spans="1:71" s="69" customFormat="1" ht="14.25" customHeight="1">
      <c r="A564" s="71"/>
      <c r="B564" s="70"/>
      <c r="D564" s="71"/>
      <c r="F564" s="71"/>
      <c r="G564" s="71"/>
      <c r="H564" s="71"/>
      <c r="I564" s="71"/>
      <c r="J564" s="71"/>
      <c r="K564" s="71"/>
      <c r="L564" s="71"/>
      <c r="M564" s="71"/>
      <c r="N564" s="71"/>
      <c r="O564" s="154"/>
      <c r="P564" s="71"/>
      <c r="Q564" s="154"/>
      <c r="R564" s="71"/>
      <c r="S564" s="154"/>
      <c r="T564" s="154"/>
      <c r="U564" s="74"/>
      <c r="V564" s="126"/>
      <c r="W564" s="78"/>
      <c r="X564" s="79"/>
      <c r="Y564" s="79"/>
      <c r="Z564" s="79"/>
      <c r="AA564" s="74"/>
      <c r="AB564" s="71"/>
      <c r="AC564" s="71"/>
      <c r="AD564" s="71"/>
      <c r="AE564" s="71"/>
      <c r="AF564" s="71"/>
      <c r="AG564" s="71"/>
      <c r="AH564" s="71"/>
      <c r="AI564" s="71"/>
      <c r="AJ564" s="71"/>
      <c r="AK564" s="71"/>
      <c r="AL564" s="71"/>
      <c r="AM564" s="71"/>
      <c r="AN564" s="71"/>
      <c r="AO564" s="71"/>
      <c r="AP564" s="71"/>
      <c r="AQ564" s="71"/>
      <c r="AR564" s="71"/>
      <c r="AS564" s="71"/>
      <c r="AT564" s="71"/>
      <c r="AU564" s="71"/>
      <c r="AV564" s="71"/>
      <c r="AW564" s="71"/>
      <c r="AX564" s="71"/>
      <c r="AY564" s="71"/>
      <c r="AZ564" s="71"/>
      <c r="BA564" s="71"/>
      <c r="BB564" s="71"/>
      <c r="BC564" s="71"/>
      <c r="BD564" s="71"/>
      <c r="BE564" s="71"/>
      <c r="BF564" s="71"/>
      <c r="BG564" s="71"/>
      <c r="BH564" s="71"/>
      <c r="BI564" s="71"/>
      <c r="BJ564" s="71"/>
      <c r="BK564" s="71"/>
      <c r="BL564" s="71"/>
      <c r="BM564" s="71"/>
      <c r="BN564" s="71"/>
      <c r="BO564" s="71"/>
      <c r="BP564" s="71"/>
      <c r="BQ564" s="71"/>
      <c r="BR564" s="71"/>
      <c r="BS564" s="80"/>
    </row>
    <row r="565" spans="1:71" s="69" customFormat="1" ht="14.25" customHeight="1">
      <c r="A565" s="71"/>
      <c r="B565" s="70"/>
      <c r="D565" s="71"/>
      <c r="F565" s="71"/>
      <c r="G565" s="71"/>
      <c r="H565" s="71"/>
      <c r="I565" s="71"/>
      <c r="J565" s="71"/>
      <c r="N565" s="71"/>
      <c r="O565" s="71"/>
      <c r="P565" s="71"/>
      <c r="Q565" s="154"/>
      <c r="R565" s="71"/>
      <c r="S565" s="154"/>
      <c r="T565" s="71" t="s">
        <v>231</v>
      </c>
      <c r="U565" s="154"/>
      <c r="V565" s="79"/>
      <c r="W565" s="79"/>
      <c r="X565" s="79"/>
      <c r="Y565" s="79"/>
      <c r="Z565" s="71"/>
      <c r="AA565" s="71"/>
      <c r="AB565" s="71"/>
      <c r="AC565" s="71"/>
      <c r="AD565" s="71"/>
      <c r="AE565" s="71"/>
      <c r="AF565" s="71"/>
      <c r="AG565" s="71"/>
      <c r="AH565" s="71"/>
      <c r="AI565" s="71"/>
      <c r="AJ565" s="71"/>
      <c r="AK565" s="71"/>
      <c r="AL565" s="71"/>
      <c r="AM565" s="71"/>
      <c r="AN565" s="71"/>
      <c r="AO565" s="71"/>
      <c r="AP565" s="71"/>
      <c r="AQ565" s="71"/>
      <c r="AR565" s="71"/>
      <c r="AS565" s="71"/>
      <c r="AT565" s="71"/>
      <c r="AU565" s="71"/>
      <c r="AV565" s="71"/>
      <c r="AW565" s="71"/>
      <c r="AX565" s="71"/>
      <c r="AY565" s="71"/>
      <c r="AZ565" s="71"/>
      <c r="BA565" s="71"/>
      <c r="BB565" s="71"/>
      <c r="BC565" s="71"/>
      <c r="BD565" s="71"/>
      <c r="BE565" s="71"/>
      <c r="BF565" s="71"/>
      <c r="BG565" s="71"/>
      <c r="BH565" s="71"/>
      <c r="BI565" s="71"/>
      <c r="BJ565" s="71"/>
      <c r="BK565" s="71"/>
      <c r="BL565" s="71"/>
      <c r="BM565" s="71"/>
      <c r="BN565" s="71"/>
      <c r="BO565" s="71"/>
      <c r="BP565" s="71"/>
      <c r="BQ565" s="71"/>
      <c r="BR565" s="71"/>
      <c r="BS565" s="80"/>
    </row>
    <row r="566" spans="1:71" s="69" customFormat="1" ht="14.25" customHeight="1">
      <c r="A566" s="71"/>
      <c r="B566" s="70"/>
      <c r="D566" s="71"/>
      <c r="F566" s="71"/>
      <c r="G566" s="71"/>
      <c r="H566" s="71"/>
      <c r="I566" s="71"/>
      <c r="J566" s="71"/>
      <c r="K566" s="71"/>
      <c r="L566" s="71"/>
      <c r="M566" s="71"/>
      <c r="N566" s="71"/>
      <c r="O566" s="71"/>
      <c r="P566" s="71"/>
      <c r="Q566" s="154"/>
      <c r="R566" s="71"/>
      <c r="S566" s="154"/>
      <c r="T566" s="71"/>
      <c r="U566" s="154" t="s">
        <v>232</v>
      </c>
      <c r="V566" s="154"/>
      <c r="W566" s="71"/>
      <c r="X566" s="154"/>
      <c r="Y566" s="154"/>
      <c r="Z566" s="154"/>
      <c r="AA566" s="154"/>
      <c r="AB566" s="154"/>
      <c r="AC566" s="154"/>
      <c r="AD566" s="154"/>
      <c r="AE566" s="154"/>
      <c r="AF566" s="154"/>
      <c r="AG566" s="154"/>
      <c r="AH566" s="154"/>
      <c r="AI566" s="154"/>
      <c r="AJ566" s="154"/>
      <c r="AK566" s="154"/>
      <c r="AL566" s="154"/>
      <c r="AM566" s="154"/>
      <c r="AN566" s="71"/>
      <c r="AO566" s="71"/>
      <c r="AP566" s="71"/>
      <c r="AQ566" s="71"/>
      <c r="AR566" s="71"/>
      <c r="AS566" s="71"/>
      <c r="AT566" s="71"/>
      <c r="AU566" s="71"/>
      <c r="AV566" s="71"/>
      <c r="AW566" s="71"/>
      <c r="AX566" s="71"/>
      <c r="AY566" s="71"/>
      <c r="AZ566" s="71"/>
      <c r="BA566" s="71"/>
      <c r="BB566" s="71"/>
      <c r="BC566" s="71"/>
      <c r="BD566" s="71"/>
      <c r="BE566" s="71"/>
      <c r="BF566" s="71"/>
      <c r="BG566" s="71"/>
      <c r="BH566" s="71"/>
      <c r="BI566" s="71"/>
      <c r="BJ566" s="71"/>
      <c r="BK566" s="71"/>
      <c r="BL566" s="71"/>
      <c r="BM566" s="71"/>
      <c r="BN566" s="71"/>
      <c r="BO566" s="71"/>
      <c r="BP566" s="71"/>
      <c r="BQ566" s="71"/>
      <c r="BR566" s="71"/>
      <c r="BS566" s="80"/>
    </row>
    <row r="567" spans="1:71" s="69" customFormat="1" ht="14.25" customHeight="1">
      <c r="A567" s="71"/>
      <c r="B567" s="70"/>
      <c r="F567" s="71"/>
      <c r="G567" s="71"/>
      <c r="H567" s="71"/>
      <c r="I567" s="71"/>
      <c r="J567" s="71"/>
      <c r="K567" s="71"/>
      <c r="L567" s="71"/>
      <c r="M567" s="71"/>
      <c r="N567" s="71"/>
      <c r="O567" s="71"/>
      <c r="P567" s="71"/>
      <c r="Q567" s="154"/>
      <c r="R567" s="71"/>
      <c r="S567" s="154"/>
      <c r="T567" s="71"/>
      <c r="U567" s="133" t="s">
        <v>500</v>
      </c>
      <c r="V567" s="79">
        <f>M570</f>
        <v>0.23</v>
      </c>
      <c r="W567" s="79"/>
      <c r="X567" s="156"/>
      <c r="Y567" s="156"/>
      <c r="Z567" s="156"/>
      <c r="AA567" s="156" t="s">
        <v>457</v>
      </c>
      <c r="AB567" s="79">
        <f>M571</f>
        <v>0.23</v>
      </c>
      <c r="AC567" s="79"/>
      <c r="AD567" s="156"/>
      <c r="AE567" s="156"/>
      <c r="AF567" s="156"/>
      <c r="AG567" s="71" t="s">
        <v>451</v>
      </c>
      <c r="AH567" s="71"/>
      <c r="AI567" s="71"/>
      <c r="AJ567" s="79">
        <v>2</v>
      </c>
      <c r="AK567" s="79"/>
      <c r="AL567" s="79" t="s">
        <v>211</v>
      </c>
      <c r="AM567" s="79"/>
      <c r="AN567" s="79">
        <v>2</v>
      </c>
      <c r="AO567" s="79"/>
      <c r="AP567" s="79" t="s">
        <v>211</v>
      </c>
      <c r="AQ567" s="79"/>
      <c r="AR567" s="79">
        <v>0.56000000000000005</v>
      </c>
      <c r="AS567" s="79"/>
      <c r="AT567" s="79"/>
      <c r="AU567" s="79"/>
      <c r="AV567" s="79" t="s">
        <v>211</v>
      </c>
      <c r="AW567" s="79"/>
      <c r="AX567" s="79">
        <f>AR563</f>
        <v>1</v>
      </c>
      <c r="AY567" s="79"/>
      <c r="AZ567" s="79"/>
      <c r="BA567" s="79" t="s">
        <v>227</v>
      </c>
      <c r="BB567" s="79"/>
      <c r="BC567" s="79">
        <f>ROUNDDOWN((V567+AB567)*AJ567*AN567*AR567*AX567,3)</f>
        <v>1.03</v>
      </c>
      <c r="BD567" s="79"/>
      <c r="BE567" s="79"/>
      <c r="BF567" s="79"/>
      <c r="BG567" s="79"/>
      <c r="BH567" s="79"/>
      <c r="BI567" s="71" t="s">
        <v>233</v>
      </c>
      <c r="BJ567" s="71"/>
      <c r="BK567" s="71"/>
      <c r="BL567" s="71"/>
      <c r="BM567" s="71"/>
      <c r="BN567" s="71"/>
      <c r="BO567" s="71"/>
      <c r="BP567" s="71"/>
      <c r="BQ567" s="71"/>
      <c r="BR567" s="71"/>
      <c r="BS567" s="80"/>
    </row>
    <row r="568" spans="1:71" s="69" customFormat="1" ht="14.25" customHeight="1">
      <c r="A568" s="71"/>
      <c r="B568" s="70"/>
      <c r="D568" s="71"/>
      <c r="F568" s="71"/>
      <c r="G568" s="71"/>
      <c r="H568" s="71"/>
      <c r="I568" s="71"/>
      <c r="J568" s="71"/>
      <c r="K568" s="71"/>
      <c r="L568" s="71"/>
      <c r="M568" s="71"/>
      <c r="N568" s="71"/>
      <c r="O568" s="71"/>
      <c r="P568" s="71"/>
      <c r="Q568" s="154"/>
      <c r="R568" s="71"/>
      <c r="S568" s="154"/>
      <c r="T568" s="154"/>
      <c r="U568" s="154"/>
      <c r="V568" s="154"/>
      <c r="W568" s="154"/>
      <c r="X568" s="154"/>
      <c r="Y568" s="154"/>
      <c r="Z568" s="154"/>
      <c r="AA568" s="154"/>
      <c r="AB568" s="154"/>
      <c r="AC568" s="154"/>
      <c r="AD568" s="154"/>
      <c r="AE568" s="154"/>
      <c r="AF568" s="154"/>
      <c r="AG568" s="154"/>
      <c r="AH568" s="154"/>
      <c r="AI568" s="154"/>
      <c r="AJ568" s="154"/>
      <c r="AK568" s="154"/>
      <c r="AL568" s="154"/>
      <c r="AM568" s="154"/>
      <c r="AN568" s="154"/>
      <c r="AO568" s="71"/>
      <c r="AP568" s="71"/>
      <c r="AQ568" s="71"/>
      <c r="AR568" s="71"/>
      <c r="AS568" s="71"/>
      <c r="AT568" s="71"/>
      <c r="AU568" s="71"/>
      <c r="AV568" s="71"/>
      <c r="AW568" s="71"/>
      <c r="AX568" s="71"/>
      <c r="AY568" s="71"/>
      <c r="AZ568" s="71"/>
      <c r="BA568" s="71"/>
      <c r="BB568" s="71"/>
      <c r="BC568" s="71"/>
      <c r="BD568" s="71"/>
      <c r="BE568" s="71"/>
      <c r="BF568" s="71"/>
      <c r="BG568" s="71"/>
      <c r="BH568" s="71"/>
      <c r="BI568" s="71"/>
      <c r="BJ568" s="71"/>
      <c r="BK568" s="71"/>
      <c r="BL568" s="71"/>
      <c r="BM568" s="71"/>
      <c r="BN568" s="71"/>
      <c r="BO568" s="71"/>
      <c r="BP568" s="71"/>
      <c r="BQ568" s="71"/>
      <c r="BR568" s="71"/>
      <c r="BS568" s="80"/>
    </row>
    <row r="569" spans="1:71" s="69" customFormat="1" ht="14.25" customHeight="1">
      <c r="A569" s="71"/>
      <c r="B569" s="70"/>
      <c r="D569" s="71"/>
      <c r="F569" s="71"/>
      <c r="G569" s="71"/>
      <c r="H569" s="71"/>
      <c r="I569" s="71"/>
      <c r="J569" s="71"/>
      <c r="K569" s="71"/>
      <c r="L569" s="71"/>
      <c r="M569" s="71"/>
      <c r="N569" s="71"/>
      <c r="O569" s="71"/>
      <c r="P569" s="71"/>
      <c r="Q569" s="154"/>
      <c r="R569" s="71"/>
      <c r="S569" s="154"/>
      <c r="T569" s="71" t="s">
        <v>234</v>
      </c>
      <c r="U569" s="154"/>
      <c r="V569" s="154"/>
      <c r="W569" s="154"/>
      <c r="X569" s="154"/>
      <c r="Y569" s="154"/>
      <c r="Z569" s="154"/>
      <c r="AA569" s="154"/>
      <c r="AB569" s="154"/>
      <c r="AC569" s="154"/>
      <c r="AD569" s="154"/>
      <c r="AE569" s="154"/>
      <c r="AF569" s="154"/>
      <c r="AG569" s="154"/>
      <c r="AH569" s="154"/>
      <c r="AI569" s="154"/>
      <c r="AJ569" s="154"/>
      <c r="AK569" s="154"/>
      <c r="AL569" s="154"/>
      <c r="AM569" s="154"/>
      <c r="AN569" s="154"/>
      <c r="AO569" s="71"/>
      <c r="AP569" s="71"/>
      <c r="AQ569" s="71"/>
      <c r="AR569" s="71"/>
      <c r="AS569" s="71"/>
      <c r="AT569" s="71"/>
      <c r="AU569" s="71"/>
      <c r="AV569" s="71"/>
      <c r="AW569" s="71"/>
      <c r="AX569" s="71"/>
      <c r="AY569" s="71"/>
      <c r="AZ569" s="71"/>
      <c r="BA569" s="71"/>
      <c r="BB569" s="71"/>
      <c r="BC569" s="71"/>
      <c r="BD569" s="71"/>
      <c r="BE569" s="71"/>
      <c r="BF569" s="71"/>
      <c r="BG569" s="71"/>
      <c r="BH569" s="71"/>
      <c r="BI569" s="71"/>
      <c r="BJ569" s="71"/>
      <c r="BK569" s="71"/>
      <c r="BL569" s="71"/>
      <c r="BM569" s="71"/>
      <c r="BN569" s="71"/>
      <c r="BO569" s="71"/>
      <c r="BP569" s="71"/>
      <c r="BQ569" s="71"/>
      <c r="BR569" s="71"/>
      <c r="BS569" s="80"/>
    </row>
    <row r="570" spans="1:71" s="69" customFormat="1" ht="14.25" customHeight="1">
      <c r="A570" s="71"/>
      <c r="B570" s="70"/>
      <c r="D570" s="71"/>
      <c r="F570" s="71"/>
      <c r="G570" s="71"/>
      <c r="H570" s="71"/>
      <c r="I570" s="71" t="s">
        <v>501</v>
      </c>
      <c r="J570" s="71"/>
      <c r="M570" s="79">
        <v>0.23</v>
      </c>
      <c r="N570" s="83"/>
      <c r="O570" s="79"/>
      <c r="P570" s="79"/>
      <c r="Q570" s="71"/>
      <c r="R570" s="71"/>
      <c r="S570" s="71"/>
      <c r="T570" s="75"/>
      <c r="U570" s="154"/>
      <c r="V570" s="154" t="s">
        <v>502</v>
      </c>
      <c r="W570" s="154"/>
      <c r="X570" s="154"/>
      <c r="Y570" s="154"/>
      <c r="Z570" s="154"/>
      <c r="AA570" s="154"/>
      <c r="AB570" s="154"/>
      <c r="AH570" s="156">
        <v>4</v>
      </c>
      <c r="AI570" s="156"/>
      <c r="AJ570" s="154" t="s">
        <v>177</v>
      </c>
      <c r="AK570" s="154"/>
      <c r="AL570" s="71"/>
      <c r="AM570" s="71"/>
      <c r="AN570" s="71"/>
      <c r="AO570" s="71"/>
      <c r="AP570" s="71"/>
      <c r="AQ570" s="71"/>
      <c r="AR570" s="71"/>
      <c r="AT570" s="71"/>
      <c r="AU570" s="71"/>
      <c r="AV570" s="71"/>
      <c r="AW570" s="71"/>
      <c r="AX570" s="71"/>
      <c r="AY570" s="71"/>
      <c r="AZ570" s="71"/>
      <c r="BA570" s="71"/>
      <c r="BB570" s="71"/>
      <c r="BC570" s="71"/>
      <c r="BD570" s="71"/>
      <c r="BE570" s="71"/>
      <c r="BF570" s="71"/>
      <c r="BG570" s="71"/>
      <c r="BH570" s="71"/>
      <c r="BI570" s="71"/>
      <c r="BJ570" s="71"/>
      <c r="BK570" s="71"/>
      <c r="BL570" s="71"/>
      <c r="BM570" s="71"/>
      <c r="BN570" s="71"/>
      <c r="BO570" s="71"/>
      <c r="BP570" s="71"/>
      <c r="BQ570" s="71"/>
      <c r="BR570" s="71"/>
      <c r="BS570" s="80"/>
    </row>
    <row r="571" spans="1:71" s="69" customFormat="1" ht="14.25" customHeight="1">
      <c r="A571" s="71"/>
      <c r="B571" s="70"/>
      <c r="D571" s="71"/>
      <c r="F571" s="71"/>
      <c r="G571" s="71"/>
      <c r="H571" s="71"/>
      <c r="I571" s="71" t="s">
        <v>503</v>
      </c>
      <c r="J571" s="71"/>
      <c r="M571" s="79">
        <v>0.23</v>
      </c>
      <c r="N571" s="83"/>
      <c r="O571" s="79"/>
      <c r="P571" s="79"/>
      <c r="Q571" s="71"/>
      <c r="R571" s="71"/>
      <c r="S571" s="71"/>
      <c r="T571" s="71"/>
      <c r="U571" s="71"/>
      <c r="V571" s="75"/>
      <c r="W571" s="79"/>
      <c r="X571" s="79"/>
      <c r="Y571" s="79"/>
      <c r="Z571" s="79"/>
      <c r="AA571" s="74"/>
      <c r="AB571" s="71"/>
      <c r="AC571" s="71"/>
      <c r="AD571" s="71"/>
      <c r="AE571" s="71"/>
      <c r="AF571" s="71"/>
      <c r="AG571" s="71"/>
      <c r="AH571" s="71"/>
      <c r="AI571" s="71"/>
      <c r="AJ571" s="71"/>
      <c r="AK571" s="71"/>
      <c r="AL571" s="71"/>
      <c r="AM571" s="71"/>
      <c r="AN571" s="71"/>
      <c r="AO571" s="71"/>
      <c r="AP571" s="71"/>
      <c r="AQ571" s="71"/>
      <c r="AR571" s="71"/>
      <c r="AS571" s="71"/>
      <c r="AT571" s="71"/>
      <c r="AU571" s="71"/>
      <c r="AV571" s="71"/>
      <c r="AW571" s="71"/>
      <c r="AX571" s="71"/>
      <c r="AY571" s="71"/>
      <c r="AZ571" s="71"/>
      <c r="BA571" s="71"/>
      <c r="BB571" s="71"/>
      <c r="BC571" s="71"/>
      <c r="BD571" s="71"/>
      <c r="BE571" s="71"/>
      <c r="BF571" s="71"/>
      <c r="BG571" s="71"/>
      <c r="BH571" s="71"/>
      <c r="BI571" s="71"/>
      <c r="BJ571" s="71"/>
      <c r="BK571" s="71"/>
      <c r="BL571" s="71"/>
      <c r="BM571" s="71"/>
      <c r="BN571" s="71"/>
      <c r="BO571" s="71"/>
      <c r="BP571" s="71"/>
      <c r="BQ571" s="71"/>
      <c r="BR571" s="71"/>
      <c r="BS571" s="80"/>
    </row>
    <row r="572" spans="1:71" s="69" customFormat="1" ht="14.25" customHeight="1">
      <c r="A572" s="71"/>
      <c r="B572" s="70"/>
      <c r="D572" s="71"/>
      <c r="F572" s="71"/>
      <c r="G572" s="71"/>
      <c r="H572" s="71"/>
      <c r="I572" s="71"/>
      <c r="J572" s="71"/>
      <c r="M572" s="79"/>
      <c r="N572" s="83"/>
      <c r="O572" s="79"/>
      <c r="P572" s="79"/>
      <c r="Q572" s="71"/>
      <c r="R572" s="71"/>
      <c r="S572" s="71"/>
      <c r="T572" s="71"/>
      <c r="U572" s="71"/>
      <c r="V572" s="75"/>
      <c r="W572" s="79"/>
      <c r="X572" s="79"/>
      <c r="Y572" s="79"/>
      <c r="Z572" s="79"/>
      <c r="AA572" s="74"/>
      <c r="AB572" s="71"/>
      <c r="AC572" s="71"/>
      <c r="AD572" s="71"/>
      <c r="AE572" s="71"/>
      <c r="AF572" s="71"/>
      <c r="AG572" s="71"/>
      <c r="AH572" s="71"/>
      <c r="AI572" s="71"/>
      <c r="AJ572" s="71"/>
      <c r="AK572" s="71"/>
      <c r="AL572" s="71"/>
      <c r="AM572" s="71"/>
      <c r="AN572" s="71"/>
      <c r="AO572" s="71"/>
      <c r="AP572" s="71"/>
      <c r="AQ572" s="71"/>
      <c r="AR572" s="71"/>
      <c r="AS572" s="71"/>
      <c r="AT572" s="71"/>
      <c r="AU572" s="71"/>
      <c r="AV572" s="71"/>
      <c r="AW572" s="71"/>
      <c r="AX572" s="71"/>
      <c r="AY572" s="71"/>
      <c r="AZ572" s="71"/>
      <c r="BA572" s="71"/>
      <c r="BB572" s="71"/>
      <c r="BC572" s="71"/>
      <c r="BD572" s="71"/>
      <c r="BE572" s="71"/>
      <c r="BF572" s="71"/>
      <c r="BG572" s="71"/>
      <c r="BH572" s="71"/>
      <c r="BI572" s="71"/>
      <c r="BJ572" s="71"/>
      <c r="BK572" s="71"/>
      <c r="BL572" s="71"/>
      <c r="BM572" s="71"/>
      <c r="BN572" s="71"/>
      <c r="BO572" s="71"/>
      <c r="BP572" s="71"/>
      <c r="BQ572" s="71"/>
      <c r="BR572" s="71"/>
      <c r="BS572" s="80"/>
    </row>
    <row r="573" spans="1:71" s="69" customFormat="1" ht="14.25" customHeight="1">
      <c r="A573" s="71"/>
      <c r="B573" s="70"/>
      <c r="D573" s="71"/>
      <c r="F573" s="71"/>
      <c r="G573" s="71"/>
      <c r="H573" s="71"/>
      <c r="I573" s="71"/>
      <c r="J573" s="79"/>
      <c r="L573" s="79"/>
      <c r="N573" s="79"/>
      <c r="O573" s="71"/>
      <c r="P573" s="71"/>
      <c r="Q573" s="71"/>
      <c r="R573" s="71"/>
      <c r="S573" s="71"/>
      <c r="T573" s="74" t="s">
        <v>504</v>
      </c>
      <c r="U573" s="71"/>
      <c r="V573" s="71"/>
      <c r="W573" s="71"/>
      <c r="X573" s="71"/>
      <c r="Y573" s="71"/>
      <c r="Z573" s="71"/>
      <c r="AA573" s="71"/>
      <c r="AB573" s="71"/>
      <c r="AC573" s="71"/>
      <c r="AD573" s="71"/>
      <c r="AE573" s="71"/>
      <c r="AF573" s="71"/>
      <c r="AG573" s="71"/>
      <c r="AH573" s="71"/>
      <c r="AI573" s="71"/>
      <c r="AJ573" s="71"/>
      <c r="AL573" s="71"/>
      <c r="AP573" s="121" t="s">
        <v>217</v>
      </c>
      <c r="AR573" s="75">
        <v>1</v>
      </c>
      <c r="AS573" s="75"/>
      <c r="AT573" s="79"/>
      <c r="AU573" s="75"/>
      <c r="AV573" s="74" t="s">
        <v>205</v>
      </c>
      <c r="AW573" s="71"/>
      <c r="AX573" s="71"/>
      <c r="AY573" s="71"/>
      <c r="AZ573" s="71"/>
      <c r="BA573" s="71"/>
      <c r="BB573" s="71"/>
      <c r="BC573" s="71"/>
      <c r="BD573" s="71"/>
      <c r="BE573" s="71"/>
      <c r="BF573" s="71"/>
      <c r="BG573" s="71"/>
      <c r="BH573" s="71"/>
      <c r="BI573" s="71"/>
      <c r="BJ573" s="71"/>
      <c r="BK573" s="71"/>
      <c r="BL573" s="71"/>
      <c r="BM573" s="71"/>
      <c r="BN573" s="71"/>
      <c r="BO573" s="71"/>
      <c r="BP573" s="71"/>
      <c r="BQ573" s="71"/>
      <c r="BR573" s="71"/>
      <c r="BS573" s="80"/>
    </row>
    <row r="574" spans="1:71" s="69" customFormat="1" ht="14.25" customHeight="1">
      <c r="A574" s="71"/>
      <c r="B574" s="70"/>
      <c r="D574" s="71"/>
      <c r="F574" s="71"/>
      <c r="G574" s="71"/>
      <c r="H574" s="71"/>
      <c r="I574" s="71"/>
      <c r="J574" s="71"/>
      <c r="K574" s="71"/>
      <c r="L574" s="71"/>
      <c r="M574" s="71"/>
      <c r="N574" s="71"/>
      <c r="O574" s="154"/>
      <c r="P574" s="71"/>
      <c r="Q574" s="154"/>
      <c r="R574" s="71"/>
      <c r="S574" s="154"/>
      <c r="T574" s="154"/>
      <c r="U574" s="74"/>
      <c r="V574" s="126"/>
      <c r="W574" s="78"/>
      <c r="X574" s="79"/>
      <c r="Y574" s="79"/>
      <c r="Z574" s="79"/>
      <c r="AA574" s="74"/>
      <c r="AB574" s="71"/>
      <c r="AC574" s="71"/>
      <c r="AD574" s="71"/>
      <c r="AE574" s="71"/>
      <c r="AF574" s="71"/>
      <c r="AG574" s="71"/>
      <c r="AH574" s="71"/>
      <c r="AI574" s="71"/>
      <c r="AJ574" s="71"/>
      <c r="AK574" s="71"/>
      <c r="AL574" s="71"/>
      <c r="AM574" s="71"/>
      <c r="AN574" s="71"/>
      <c r="AO574" s="71"/>
      <c r="AP574" s="71"/>
      <c r="AQ574" s="71"/>
      <c r="AR574" s="71"/>
      <c r="AS574" s="71"/>
      <c r="AT574" s="71"/>
      <c r="AU574" s="71"/>
      <c r="AV574" s="71"/>
      <c r="AW574" s="71"/>
      <c r="AX574" s="71"/>
      <c r="AY574" s="71"/>
      <c r="AZ574" s="71"/>
      <c r="BA574" s="71"/>
      <c r="BB574" s="71"/>
      <c r="BC574" s="71"/>
      <c r="BD574" s="71"/>
      <c r="BE574" s="71"/>
      <c r="BF574" s="71"/>
      <c r="BG574" s="71"/>
      <c r="BH574" s="71"/>
      <c r="BI574" s="71"/>
      <c r="BJ574" s="71"/>
      <c r="BK574" s="71"/>
      <c r="BL574" s="71"/>
      <c r="BM574" s="71"/>
      <c r="BN574" s="71"/>
      <c r="BO574" s="71"/>
      <c r="BP574" s="71"/>
      <c r="BQ574" s="71"/>
      <c r="BR574" s="71"/>
      <c r="BS574" s="80"/>
    </row>
    <row r="575" spans="1:71" s="69" customFormat="1" ht="14.25" customHeight="1">
      <c r="A575" s="71"/>
      <c r="B575" s="70"/>
      <c r="D575" s="71"/>
      <c r="F575" s="71"/>
      <c r="G575" s="71"/>
      <c r="H575" s="71"/>
      <c r="I575" s="71"/>
      <c r="J575" s="71"/>
      <c r="N575" s="71"/>
      <c r="O575" s="71"/>
      <c r="P575" s="71"/>
      <c r="Q575" s="154"/>
      <c r="R575" s="71"/>
      <c r="S575" s="154"/>
      <c r="T575" s="71" t="s">
        <v>231</v>
      </c>
      <c r="U575" s="154"/>
      <c r="V575" s="79"/>
      <c r="W575" s="79"/>
      <c r="X575" s="79"/>
      <c r="Y575" s="79"/>
      <c r="Z575" s="71"/>
      <c r="AA575" s="71"/>
      <c r="AB575" s="71"/>
      <c r="AC575" s="71"/>
      <c r="AD575" s="71"/>
      <c r="AE575" s="71"/>
      <c r="AF575" s="71"/>
      <c r="AG575" s="71"/>
      <c r="AH575" s="71"/>
      <c r="AI575" s="71"/>
      <c r="AJ575" s="71"/>
      <c r="AK575" s="71"/>
      <c r="AL575" s="71"/>
      <c r="AM575" s="71"/>
      <c r="AN575" s="71"/>
      <c r="AO575" s="71"/>
      <c r="AP575" s="71"/>
      <c r="AQ575" s="71"/>
      <c r="AR575" s="71"/>
      <c r="AS575" s="71"/>
      <c r="AT575" s="71"/>
      <c r="AU575" s="71"/>
      <c r="AV575" s="71"/>
      <c r="AW575" s="71"/>
      <c r="AX575" s="71"/>
      <c r="AY575" s="71"/>
      <c r="AZ575" s="71"/>
      <c r="BA575" s="71"/>
      <c r="BB575" s="71"/>
      <c r="BC575" s="71"/>
      <c r="BD575" s="71"/>
      <c r="BE575" s="71"/>
      <c r="BF575" s="71"/>
      <c r="BG575" s="71"/>
      <c r="BH575" s="71"/>
      <c r="BI575" s="71"/>
      <c r="BJ575" s="71"/>
      <c r="BK575" s="71"/>
      <c r="BL575" s="71"/>
      <c r="BM575" s="71"/>
      <c r="BN575" s="71"/>
      <c r="BO575" s="71"/>
      <c r="BP575" s="71"/>
      <c r="BQ575" s="71"/>
      <c r="BR575" s="71"/>
      <c r="BS575" s="80"/>
    </row>
    <row r="576" spans="1:71" s="69" customFormat="1" ht="14.25" customHeight="1">
      <c r="A576" s="71"/>
      <c r="B576" s="70"/>
      <c r="D576" s="71"/>
      <c r="F576" s="71"/>
      <c r="G576" s="71"/>
      <c r="H576" s="71"/>
      <c r="I576" s="71"/>
      <c r="J576" s="71"/>
      <c r="K576" s="71"/>
      <c r="L576" s="71"/>
      <c r="M576" s="71"/>
      <c r="N576" s="71"/>
      <c r="O576" s="71"/>
      <c r="P576" s="71"/>
      <c r="Q576" s="154"/>
      <c r="R576" s="71"/>
      <c r="S576" s="154"/>
      <c r="T576" s="71"/>
      <c r="U576" s="154" t="s">
        <v>232</v>
      </c>
      <c r="V576" s="154"/>
      <c r="W576" s="71"/>
      <c r="X576" s="154"/>
      <c r="Y576" s="154"/>
      <c r="Z576" s="154"/>
      <c r="AA576" s="154"/>
      <c r="AB576" s="154"/>
      <c r="AC576" s="154"/>
      <c r="AD576" s="154"/>
      <c r="AE576" s="154"/>
      <c r="AF576" s="154"/>
      <c r="AG576" s="154"/>
      <c r="AH576" s="154"/>
      <c r="AI576" s="154"/>
      <c r="AJ576" s="154"/>
      <c r="AK576" s="154"/>
      <c r="AL576" s="154"/>
      <c r="AM576" s="154"/>
      <c r="AN576" s="71"/>
      <c r="AO576" s="71"/>
      <c r="AP576" s="71"/>
      <c r="AQ576" s="71"/>
      <c r="AR576" s="71"/>
      <c r="AS576" s="71"/>
      <c r="AT576" s="71"/>
      <c r="AU576" s="71"/>
      <c r="AV576" s="71"/>
      <c r="AW576" s="71"/>
      <c r="AX576" s="71"/>
      <c r="AY576" s="71"/>
      <c r="AZ576" s="71"/>
      <c r="BA576" s="71"/>
      <c r="BB576" s="71"/>
      <c r="BC576" s="71"/>
      <c r="BD576" s="71"/>
      <c r="BE576" s="71"/>
      <c r="BF576" s="71"/>
      <c r="BG576" s="71"/>
      <c r="BH576" s="71"/>
      <c r="BI576" s="71"/>
      <c r="BJ576" s="71"/>
      <c r="BK576" s="71"/>
      <c r="BL576" s="71"/>
      <c r="BM576" s="71"/>
      <c r="BN576" s="71"/>
      <c r="BO576" s="71"/>
      <c r="BP576" s="71"/>
      <c r="BQ576" s="71"/>
      <c r="BR576" s="71"/>
      <c r="BS576" s="80"/>
    </row>
    <row r="577" spans="1:71" s="69" customFormat="1" ht="14.25" customHeight="1">
      <c r="A577" s="71"/>
      <c r="B577" s="70"/>
      <c r="F577" s="71"/>
      <c r="G577" s="71"/>
      <c r="H577" s="71"/>
      <c r="I577" s="71"/>
      <c r="J577" s="71"/>
      <c r="K577" s="71"/>
      <c r="L577" s="71"/>
      <c r="M577" s="71"/>
      <c r="N577" s="71"/>
      <c r="O577" s="71"/>
      <c r="P577" s="71"/>
      <c r="Q577" s="154"/>
      <c r="R577" s="71"/>
      <c r="S577" s="154"/>
      <c r="T577" s="71"/>
      <c r="U577" s="133" t="s">
        <v>500</v>
      </c>
      <c r="V577" s="79">
        <v>0.26</v>
      </c>
      <c r="W577" s="79"/>
      <c r="X577" s="156"/>
      <c r="Y577" s="156"/>
      <c r="Z577" s="156"/>
      <c r="AA577" s="156" t="s">
        <v>457</v>
      </c>
      <c r="AB577" s="79">
        <v>0.26</v>
      </c>
      <c r="AC577" s="79"/>
      <c r="AD577" s="156"/>
      <c r="AE577" s="156"/>
      <c r="AF577" s="156"/>
      <c r="AG577" s="71" t="s">
        <v>451</v>
      </c>
      <c r="AH577" s="71"/>
      <c r="AI577" s="71"/>
      <c r="AJ577" s="79">
        <v>2</v>
      </c>
      <c r="AK577" s="79"/>
      <c r="AL577" s="79" t="s">
        <v>211</v>
      </c>
      <c r="AM577" s="79"/>
      <c r="AN577" s="79">
        <v>2</v>
      </c>
      <c r="AO577" s="79"/>
      <c r="AP577" s="79" t="s">
        <v>211</v>
      </c>
      <c r="AQ577" s="79"/>
      <c r="AR577" s="79">
        <v>0.56000000000000005</v>
      </c>
      <c r="AS577" s="79"/>
      <c r="AT577" s="79"/>
      <c r="AU577" s="79"/>
      <c r="AV577" s="79" t="s">
        <v>211</v>
      </c>
      <c r="AW577" s="79"/>
      <c r="AX577" s="79">
        <f>AR573</f>
        <v>1</v>
      </c>
      <c r="AY577" s="79"/>
      <c r="AZ577" s="79"/>
      <c r="BA577" s="79" t="s">
        <v>227</v>
      </c>
      <c r="BB577" s="79"/>
      <c r="BC577" s="79">
        <f>ROUNDDOWN((V577+AB577)*AJ577*AN577*AR577*AX577,3)</f>
        <v>1.1639999999999999</v>
      </c>
      <c r="BD577" s="79"/>
      <c r="BE577" s="79"/>
      <c r="BF577" s="79"/>
      <c r="BG577" s="79"/>
      <c r="BH577" s="79"/>
      <c r="BI577" s="71" t="s">
        <v>233</v>
      </c>
      <c r="BJ577" s="71"/>
      <c r="BK577" s="71"/>
      <c r="BL577" s="71"/>
      <c r="BM577" s="71"/>
      <c r="BN577" s="71"/>
      <c r="BO577" s="71"/>
      <c r="BP577" s="71"/>
      <c r="BQ577" s="71"/>
      <c r="BR577" s="71"/>
      <c r="BS577" s="80"/>
    </row>
    <row r="578" spans="1:71" s="69" customFormat="1" ht="14.25" customHeight="1">
      <c r="A578" s="71"/>
      <c r="B578" s="70"/>
      <c r="D578" s="71"/>
      <c r="F578" s="71"/>
      <c r="G578" s="71"/>
      <c r="H578" s="71"/>
      <c r="I578" s="71"/>
      <c r="J578" s="71"/>
      <c r="K578" s="71"/>
      <c r="L578" s="71"/>
      <c r="M578" s="71"/>
      <c r="N578" s="71"/>
      <c r="O578" s="71"/>
      <c r="P578" s="71"/>
      <c r="Q578" s="154"/>
      <c r="R578" s="71"/>
      <c r="S578" s="154"/>
      <c r="T578" s="154"/>
      <c r="U578" s="154"/>
      <c r="V578" s="154"/>
      <c r="W578" s="154"/>
      <c r="X578" s="154"/>
      <c r="Y578" s="154"/>
      <c r="Z578" s="154"/>
      <c r="AA578" s="154"/>
      <c r="AB578" s="154"/>
      <c r="AC578" s="154"/>
      <c r="AD578" s="154"/>
      <c r="AE578" s="154"/>
      <c r="AF578" s="154"/>
      <c r="AG578" s="154"/>
      <c r="AH578" s="154"/>
      <c r="AI578" s="154"/>
      <c r="AJ578" s="154"/>
      <c r="AK578" s="154"/>
      <c r="AL578" s="154"/>
      <c r="AM578" s="154"/>
      <c r="AN578" s="154"/>
      <c r="AO578" s="71"/>
      <c r="AP578" s="71"/>
      <c r="AQ578" s="71"/>
      <c r="AR578" s="71"/>
      <c r="AS578" s="71"/>
      <c r="AT578" s="71"/>
      <c r="AU578" s="71"/>
      <c r="AV578" s="71"/>
      <c r="AW578" s="71"/>
      <c r="AX578" s="71"/>
      <c r="AY578" s="71"/>
      <c r="AZ578" s="71"/>
      <c r="BA578" s="71"/>
      <c r="BB578" s="71"/>
      <c r="BC578" s="71"/>
      <c r="BD578" s="71"/>
      <c r="BE578" s="71"/>
      <c r="BF578" s="71"/>
      <c r="BG578" s="71"/>
      <c r="BH578" s="71"/>
      <c r="BI578" s="71"/>
      <c r="BJ578" s="71"/>
      <c r="BK578" s="71"/>
      <c r="BL578" s="71"/>
      <c r="BM578" s="71"/>
      <c r="BN578" s="71"/>
      <c r="BO578" s="71"/>
      <c r="BP578" s="71"/>
      <c r="BQ578" s="71"/>
      <c r="BR578" s="71"/>
      <c r="BS578" s="80"/>
    </row>
    <row r="579" spans="1:71" s="69" customFormat="1" ht="14.25" customHeight="1">
      <c r="A579" s="71"/>
      <c r="B579" s="70"/>
      <c r="D579" s="71"/>
      <c r="F579" s="71"/>
      <c r="G579" s="71"/>
      <c r="H579" s="71"/>
      <c r="I579" s="71"/>
      <c r="J579" s="71"/>
      <c r="K579" s="71"/>
      <c r="L579" s="71"/>
      <c r="M579" s="71"/>
      <c r="N579" s="71"/>
      <c r="O579" s="71"/>
      <c r="P579" s="71"/>
      <c r="Q579" s="154"/>
      <c r="R579" s="71"/>
      <c r="S579" s="154"/>
      <c r="T579" s="71" t="s">
        <v>234</v>
      </c>
      <c r="U579" s="154"/>
      <c r="V579" s="154"/>
      <c r="W579" s="154"/>
      <c r="X579" s="154"/>
      <c r="Y579" s="154"/>
      <c r="Z579" s="154"/>
      <c r="AA579" s="154"/>
      <c r="AB579" s="154"/>
      <c r="AC579" s="154"/>
      <c r="AD579" s="154"/>
      <c r="AE579" s="154"/>
      <c r="AF579" s="154"/>
      <c r="AG579" s="154"/>
      <c r="AH579" s="154"/>
      <c r="AI579" s="154"/>
      <c r="AJ579" s="154"/>
      <c r="AK579" s="154"/>
      <c r="AL579" s="154"/>
      <c r="AM579" s="154"/>
      <c r="AN579" s="154"/>
      <c r="AO579" s="71"/>
      <c r="AP579" s="71"/>
      <c r="AQ579" s="71"/>
      <c r="AR579" s="71"/>
      <c r="AS579" s="71"/>
      <c r="AT579" s="71"/>
      <c r="AU579" s="71"/>
      <c r="AV579" s="71"/>
      <c r="AW579" s="71"/>
      <c r="AX579" s="71"/>
      <c r="AY579" s="71"/>
      <c r="AZ579" s="71"/>
      <c r="BA579" s="71"/>
      <c r="BB579" s="71"/>
      <c r="BC579" s="71"/>
      <c r="BD579" s="71"/>
      <c r="BE579" s="71"/>
      <c r="BF579" s="71"/>
      <c r="BG579" s="71"/>
      <c r="BH579" s="71"/>
      <c r="BI579" s="71"/>
      <c r="BJ579" s="71"/>
      <c r="BK579" s="71"/>
      <c r="BL579" s="71"/>
      <c r="BM579" s="71"/>
      <c r="BN579" s="71"/>
      <c r="BO579" s="71"/>
      <c r="BP579" s="71"/>
      <c r="BQ579" s="71"/>
      <c r="BR579" s="71"/>
      <c r="BS579" s="80"/>
    </row>
    <row r="580" spans="1:71" s="69" customFormat="1" ht="14.25" customHeight="1">
      <c r="A580" s="71"/>
      <c r="B580" s="70"/>
      <c r="D580" s="71"/>
      <c r="F580" s="71"/>
      <c r="G580" s="71"/>
      <c r="H580" s="71"/>
      <c r="I580" s="71" t="s">
        <v>501</v>
      </c>
      <c r="J580" s="71"/>
      <c r="M580" s="79">
        <v>0.45</v>
      </c>
      <c r="N580" s="83"/>
      <c r="O580" s="79"/>
      <c r="P580" s="79"/>
      <c r="Q580" s="71"/>
      <c r="R580" s="71"/>
      <c r="S580" s="71"/>
      <c r="T580" s="75"/>
      <c r="U580" s="154"/>
      <c r="V580" s="154" t="s">
        <v>502</v>
      </c>
      <c r="W580" s="154"/>
      <c r="X580" s="154"/>
      <c r="Y580" s="154"/>
      <c r="Z580" s="154"/>
      <c r="AA580" s="154"/>
      <c r="AB580" s="154"/>
      <c r="AH580" s="156">
        <v>4</v>
      </c>
      <c r="AI580" s="156"/>
      <c r="AJ580" s="154" t="s">
        <v>177</v>
      </c>
      <c r="AK580" s="154"/>
      <c r="AL580" s="71"/>
      <c r="AM580" s="71"/>
      <c r="AN580" s="71"/>
      <c r="AO580" s="71"/>
      <c r="AP580" s="71"/>
      <c r="AQ580" s="71"/>
      <c r="AR580" s="71"/>
      <c r="AT580" s="71"/>
      <c r="AU580" s="71"/>
      <c r="AV580" s="71"/>
      <c r="AW580" s="71"/>
      <c r="AX580" s="71"/>
      <c r="AY580" s="71"/>
      <c r="AZ580" s="71"/>
      <c r="BA580" s="71"/>
      <c r="BB580" s="71"/>
      <c r="BC580" s="71"/>
      <c r="BD580" s="71"/>
      <c r="BE580" s="71"/>
      <c r="BF580" s="71"/>
      <c r="BG580" s="71"/>
      <c r="BH580" s="71"/>
      <c r="BI580" s="71"/>
      <c r="BJ580" s="71"/>
      <c r="BK580" s="71"/>
      <c r="BL580" s="71"/>
      <c r="BM580" s="71"/>
      <c r="BN580" s="71"/>
      <c r="BO580" s="71"/>
      <c r="BP580" s="71"/>
      <c r="BQ580" s="71"/>
      <c r="BR580" s="71"/>
      <c r="BS580" s="80"/>
    </row>
    <row r="581" spans="1:71" s="69" customFormat="1" ht="14.25" customHeight="1">
      <c r="A581" s="71"/>
      <c r="B581" s="70"/>
      <c r="D581" s="71"/>
      <c r="F581" s="71"/>
      <c r="G581" s="71"/>
      <c r="H581" s="71"/>
      <c r="I581" s="71" t="s">
        <v>503</v>
      </c>
      <c r="J581" s="71"/>
      <c r="M581" s="79">
        <v>0.3</v>
      </c>
      <c r="N581" s="83"/>
      <c r="O581" s="79"/>
      <c r="P581" s="79"/>
      <c r="Q581" s="71"/>
      <c r="R581" s="71"/>
      <c r="S581" s="71"/>
      <c r="T581" s="71"/>
      <c r="U581" s="71"/>
      <c r="V581" s="75"/>
      <c r="W581" s="79"/>
      <c r="X581" s="79"/>
      <c r="Y581" s="79"/>
      <c r="Z581" s="79"/>
      <c r="AA581" s="74"/>
      <c r="AB581" s="71"/>
      <c r="AC581" s="71"/>
      <c r="AD581" s="71"/>
      <c r="AE581" s="71"/>
      <c r="AF581" s="71"/>
      <c r="AG581" s="71"/>
      <c r="AH581" s="71"/>
      <c r="AI581" s="71"/>
      <c r="AJ581" s="71"/>
      <c r="AK581" s="71"/>
      <c r="AL581" s="71"/>
      <c r="AM581" s="71"/>
      <c r="AN581" s="71"/>
      <c r="AO581" s="71"/>
      <c r="AP581" s="71"/>
      <c r="AQ581" s="71"/>
      <c r="AR581" s="71"/>
      <c r="AS581" s="71"/>
      <c r="AT581" s="71"/>
      <c r="AU581" s="71"/>
      <c r="AV581" s="71"/>
      <c r="AW581" s="71"/>
      <c r="AX581" s="71"/>
      <c r="AY581" s="71"/>
      <c r="AZ581" s="71"/>
      <c r="BA581" s="71"/>
      <c r="BB581" s="71"/>
      <c r="BC581" s="71"/>
      <c r="BD581" s="71"/>
      <c r="BE581" s="71"/>
      <c r="BF581" s="71"/>
      <c r="BG581" s="71"/>
      <c r="BH581" s="71"/>
      <c r="BI581" s="71"/>
      <c r="BJ581" s="71"/>
      <c r="BK581" s="71"/>
      <c r="BL581" s="71"/>
      <c r="BM581" s="71"/>
      <c r="BN581" s="71"/>
      <c r="BO581" s="71"/>
      <c r="BP581" s="71"/>
      <c r="BQ581" s="71"/>
      <c r="BR581" s="71"/>
      <c r="BS581" s="80"/>
    </row>
    <row r="582" spans="1:71" s="69" customFormat="1" ht="14.25" customHeight="1">
      <c r="A582" s="71"/>
      <c r="B582" s="70"/>
      <c r="D582" s="71"/>
      <c r="F582" s="71"/>
      <c r="G582" s="71"/>
      <c r="H582" s="71"/>
      <c r="I582" s="71"/>
      <c r="J582" s="71"/>
      <c r="M582" s="79"/>
      <c r="N582" s="83"/>
      <c r="O582" s="79"/>
      <c r="P582" s="79"/>
      <c r="Q582" s="71"/>
      <c r="R582" s="71"/>
      <c r="S582" s="71"/>
      <c r="T582" s="71"/>
      <c r="U582" s="71"/>
      <c r="V582" s="75"/>
      <c r="W582" s="79"/>
      <c r="X582" s="79"/>
      <c r="Y582" s="79"/>
      <c r="Z582" s="79"/>
      <c r="AA582" s="74"/>
      <c r="AB582" s="71"/>
      <c r="AC582" s="71"/>
      <c r="AD582" s="71"/>
      <c r="AE582" s="71"/>
      <c r="AF582" s="71"/>
      <c r="AG582" s="71"/>
      <c r="AH582" s="71"/>
      <c r="AI582" s="71"/>
      <c r="AJ582" s="71"/>
      <c r="AK582" s="71"/>
      <c r="AL582" s="71"/>
      <c r="AM582" s="71"/>
      <c r="AN582" s="71"/>
      <c r="AO582" s="71"/>
      <c r="AP582" s="71"/>
      <c r="AQ582" s="71"/>
      <c r="AR582" s="71"/>
      <c r="AS582" s="71"/>
      <c r="AT582" s="71"/>
      <c r="AU582" s="71"/>
      <c r="AV582" s="71"/>
      <c r="AW582" s="71"/>
      <c r="AX582" s="71"/>
      <c r="AY582" s="71"/>
      <c r="AZ582" s="71"/>
      <c r="BA582" s="71"/>
      <c r="BB582" s="71"/>
      <c r="BC582" s="71"/>
      <c r="BD582" s="71"/>
      <c r="BE582" s="71"/>
      <c r="BF582" s="71"/>
      <c r="BG582" s="71"/>
      <c r="BH582" s="71"/>
      <c r="BI582" s="71"/>
      <c r="BJ582" s="71"/>
      <c r="BK582" s="71"/>
      <c r="BL582" s="71"/>
      <c r="BM582" s="71"/>
      <c r="BN582" s="71"/>
      <c r="BO582" s="71"/>
      <c r="BP582" s="71"/>
      <c r="BQ582" s="71"/>
      <c r="BR582" s="71"/>
      <c r="BS582" s="80"/>
    </row>
    <row r="583" spans="1:71" s="69" customFormat="1" ht="14.25" customHeight="1">
      <c r="A583" s="71"/>
      <c r="B583" s="70"/>
      <c r="D583" s="71"/>
      <c r="F583" s="71"/>
      <c r="G583" s="71"/>
      <c r="H583" s="71"/>
      <c r="I583" s="71"/>
      <c r="J583" s="71"/>
      <c r="M583" s="79"/>
      <c r="N583" s="83"/>
      <c r="O583" s="79"/>
      <c r="P583" s="79"/>
      <c r="Q583" s="71"/>
      <c r="R583" s="71"/>
      <c r="S583" s="71"/>
      <c r="T583" s="71"/>
      <c r="U583" s="71"/>
      <c r="V583" s="75"/>
      <c r="W583" s="79"/>
      <c r="X583" s="79"/>
      <c r="Y583" s="79"/>
      <c r="Z583" s="79"/>
      <c r="AA583" s="74"/>
      <c r="AB583" s="71"/>
      <c r="AC583" s="71"/>
      <c r="AD583" s="71"/>
      <c r="AE583" s="71"/>
      <c r="AF583" s="71"/>
      <c r="AG583" s="71"/>
      <c r="AH583" s="71"/>
      <c r="AI583" s="71"/>
      <c r="AJ583" s="71"/>
      <c r="AK583" s="71"/>
      <c r="AL583" s="71"/>
      <c r="AM583" s="71"/>
      <c r="AN583" s="71"/>
      <c r="AO583" s="71"/>
      <c r="AP583" s="71"/>
      <c r="AQ583" s="71"/>
      <c r="AR583" s="71"/>
      <c r="AS583" s="71"/>
      <c r="AT583" s="71"/>
      <c r="AU583" s="71"/>
      <c r="AV583" s="71"/>
      <c r="AW583" s="71"/>
      <c r="AX583" s="71"/>
      <c r="AY583" s="71"/>
      <c r="AZ583" s="71"/>
      <c r="BA583" s="71"/>
      <c r="BB583" s="71"/>
      <c r="BC583" s="71"/>
      <c r="BD583" s="71"/>
      <c r="BE583" s="71"/>
      <c r="BF583" s="71"/>
      <c r="BG583" s="71"/>
      <c r="BH583" s="71"/>
      <c r="BI583" s="71"/>
      <c r="BJ583" s="71"/>
      <c r="BK583" s="71"/>
      <c r="BL583" s="71"/>
      <c r="BM583" s="71"/>
      <c r="BN583" s="71"/>
      <c r="BO583" s="71"/>
      <c r="BP583" s="71"/>
      <c r="BQ583" s="71"/>
      <c r="BR583" s="71"/>
      <c r="BS583" s="80"/>
    </row>
    <row r="584" spans="1:71" s="69" customFormat="1" ht="14.25" customHeight="1">
      <c r="A584" s="71"/>
      <c r="B584" s="70"/>
      <c r="D584" s="71"/>
      <c r="F584" s="71"/>
      <c r="G584" s="71"/>
      <c r="H584" s="71"/>
      <c r="I584" s="71"/>
      <c r="J584" s="71"/>
      <c r="M584" s="79"/>
      <c r="N584" s="83"/>
      <c r="O584" s="79"/>
      <c r="P584" s="79"/>
      <c r="Q584" s="71"/>
      <c r="R584" s="71"/>
      <c r="S584" s="71"/>
      <c r="T584" s="71"/>
      <c r="U584" s="71"/>
      <c r="V584" s="75"/>
      <c r="W584" s="79"/>
      <c r="X584" s="79"/>
      <c r="Y584" s="79"/>
      <c r="Z584" s="79"/>
      <c r="AA584" s="74"/>
      <c r="AB584" s="71"/>
      <c r="AC584" s="71"/>
      <c r="AD584" s="71"/>
      <c r="AE584" s="71"/>
      <c r="AF584" s="71"/>
      <c r="AG584" s="71"/>
      <c r="AH584" s="71"/>
      <c r="AI584" s="71"/>
      <c r="AJ584" s="71"/>
      <c r="AK584" s="71"/>
      <c r="AL584" s="71"/>
      <c r="AM584" s="71"/>
      <c r="AN584" s="71"/>
      <c r="AO584" s="71"/>
      <c r="AP584" s="71"/>
      <c r="AQ584" s="71"/>
      <c r="AR584" s="71"/>
      <c r="AS584" s="71"/>
      <c r="AT584" s="71"/>
      <c r="AU584" s="71"/>
      <c r="AV584" s="71"/>
      <c r="AW584" s="71"/>
      <c r="AX584" s="71"/>
      <c r="AY584" s="71"/>
      <c r="AZ584" s="71"/>
      <c r="BA584" s="71"/>
      <c r="BB584" s="71"/>
      <c r="BC584" s="71"/>
      <c r="BD584" s="71"/>
      <c r="BE584" s="71"/>
      <c r="BF584" s="71"/>
      <c r="BG584" s="71"/>
      <c r="BH584" s="71"/>
      <c r="BI584" s="71"/>
      <c r="BJ584" s="71"/>
      <c r="BK584" s="71"/>
      <c r="BL584" s="71"/>
      <c r="BM584" s="71"/>
      <c r="BN584" s="71"/>
      <c r="BO584" s="71"/>
      <c r="BP584" s="71"/>
      <c r="BQ584" s="71"/>
      <c r="BR584" s="71"/>
      <c r="BS584" s="80"/>
    </row>
    <row r="585" spans="1:71" s="69" customFormat="1" ht="14.25" customHeight="1">
      <c r="A585" s="71"/>
      <c r="B585" s="70"/>
      <c r="D585" s="71"/>
      <c r="F585" s="71"/>
      <c r="G585" s="71"/>
      <c r="H585" s="71"/>
      <c r="I585" s="71"/>
      <c r="J585" s="71"/>
      <c r="M585" s="79"/>
      <c r="N585" s="83"/>
      <c r="O585" s="79"/>
      <c r="P585" s="79"/>
      <c r="Q585" s="71"/>
      <c r="R585" s="71"/>
      <c r="S585" s="71"/>
      <c r="T585" s="71"/>
      <c r="U585" s="71"/>
      <c r="V585" s="75"/>
      <c r="W585" s="79"/>
      <c r="X585" s="79"/>
      <c r="Y585" s="79"/>
      <c r="Z585" s="79"/>
      <c r="AA585" s="74"/>
      <c r="AB585" s="71"/>
      <c r="AC585" s="71"/>
      <c r="AD585" s="71"/>
      <c r="AE585" s="71"/>
      <c r="AF585" s="71"/>
      <c r="AG585" s="71"/>
      <c r="AH585" s="71"/>
      <c r="AI585" s="71"/>
      <c r="AJ585" s="71"/>
      <c r="AK585" s="71"/>
      <c r="AL585" s="71"/>
      <c r="AM585" s="71"/>
      <c r="AN585" s="71"/>
      <c r="AO585" s="71"/>
      <c r="AP585" s="71"/>
      <c r="AQ585" s="71"/>
      <c r="AR585" s="71"/>
      <c r="AS585" s="71"/>
      <c r="AT585" s="71"/>
      <c r="AU585" s="71"/>
      <c r="AV585" s="71"/>
      <c r="AW585" s="71"/>
      <c r="AX585" s="71"/>
      <c r="AY585" s="71"/>
      <c r="AZ585" s="71"/>
      <c r="BA585" s="71"/>
      <c r="BB585" s="71"/>
      <c r="BC585" s="71"/>
      <c r="BD585" s="71"/>
      <c r="BE585" s="71"/>
      <c r="BF585" s="71"/>
      <c r="BG585" s="71"/>
      <c r="BH585" s="71"/>
      <c r="BI585" s="71"/>
      <c r="BJ585" s="71"/>
      <c r="BK585" s="71"/>
      <c r="BL585" s="71"/>
      <c r="BM585" s="71"/>
      <c r="BN585" s="71"/>
      <c r="BO585" s="71"/>
      <c r="BP585" s="71"/>
      <c r="BQ585" s="71"/>
      <c r="BR585" s="71"/>
      <c r="BS585" s="80"/>
    </row>
    <row r="586" spans="1:71" s="69" customFormat="1" ht="14.25" customHeight="1">
      <c r="A586" s="71"/>
      <c r="B586" s="70"/>
      <c r="D586" s="71"/>
      <c r="F586" s="71"/>
      <c r="G586" s="71"/>
      <c r="H586" s="71"/>
      <c r="I586" s="71"/>
      <c r="J586" s="71"/>
      <c r="M586" s="79"/>
      <c r="N586" s="83"/>
      <c r="O586" s="79"/>
      <c r="P586" s="79"/>
      <c r="Q586" s="71"/>
      <c r="R586" s="71"/>
      <c r="S586" s="71"/>
      <c r="T586" s="71"/>
      <c r="U586" s="71"/>
      <c r="V586" s="75"/>
      <c r="W586" s="79"/>
      <c r="X586" s="79"/>
      <c r="Y586" s="79"/>
      <c r="Z586" s="79"/>
      <c r="AA586" s="74"/>
      <c r="AB586" s="71"/>
      <c r="AC586" s="71"/>
      <c r="AD586" s="71"/>
      <c r="AE586" s="71"/>
      <c r="AF586" s="71"/>
      <c r="AG586" s="71"/>
      <c r="AH586" s="71"/>
      <c r="AI586" s="71"/>
      <c r="AJ586" s="71"/>
      <c r="AK586" s="71"/>
      <c r="AL586" s="71"/>
      <c r="AM586" s="71"/>
      <c r="AN586" s="71"/>
      <c r="AO586" s="71"/>
      <c r="AP586" s="71"/>
      <c r="AQ586" s="71"/>
      <c r="AR586" s="71"/>
      <c r="AS586" s="71"/>
      <c r="AT586" s="71"/>
      <c r="AU586" s="71"/>
      <c r="AV586" s="71"/>
      <c r="AW586" s="71"/>
      <c r="AX586" s="71"/>
      <c r="AY586" s="71"/>
      <c r="AZ586" s="71"/>
      <c r="BA586" s="71"/>
      <c r="BB586" s="71"/>
      <c r="BC586" s="71"/>
      <c r="BD586" s="71"/>
      <c r="BE586" s="71"/>
      <c r="BF586" s="71"/>
      <c r="BG586" s="71"/>
      <c r="BH586" s="71"/>
      <c r="BI586" s="71"/>
      <c r="BJ586" s="71"/>
      <c r="BK586" s="71"/>
      <c r="BL586" s="71"/>
      <c r="BM586" s="71"/>
      <c r="BN586" s="71"/>
      <c r="BO586" s="71"/>
      <c r="BP586" s="71"/>
      <c r="BQ586" s="71"/>
      <c r="BR586" s="71"/>
      <c r="BS586" s="80"/>
    </row>
    <row r="587" spans="1:71" s="69" customFormat="1" ht="14.25" customHeight="1">
      <c r="A587" s="71"/>
      <c r="B587" s="70"/>
      <c r="D587" s="71"/>
      <c r="F587" s="71"/>
      <c r="G587" s="71"/>
      <c r="H587" s="71"/>
      <c r="I587" s="71"/>
      <c r="J587" s="71"/>
      <c r="M587" s="79"/>
      <c r="N587" s="83"/>
      <c r="O587" s="79"/>
      <c r="P587" s="79"/>
      <c r="Q587" s="71"/>
      <c r="R587" s="71"/>
      <c r="S587" s="71"/>
      <c r="T587" s="71"/>
      <c r="U587" s="71"/>
      <c r="V587" s="75"/>
      <c r="W587" s="79"/>
      <c r="X587" s="79"/>
      <c r="Y587" s="79"/>
      <c r="Z587" s="79"/>
      <c r="AA587" s="74"/>
      <c r="AB587" s="71"/>
      <c r="AC587" s="71"/>
      <c r="AD587" s="71"/>
      <c r="AE587" s="71"/>
      <c r="AF587" s="71"/>
      <c r="AG587" s="71"/>
      <c r="AH587" s="71"/>
      <c r="AI587" s="71"/>
      <c r="AJ587" s="71"/>
      <c r="AK587" s="71"/>
      <c r="AL587" s="71"/>
      <c r="AM587" s="71"/>
      <c r="AN587" s="71"/>
      <c r="AO587" s="71"/>
      <c r="AP587" s="71"/>
      <c r="AQ587" s="71"/>
      <c r="AR587" s="71"/>
      <c r="AS587" s="71"/>
      <c r="AT587" s="71"/>
      <c r="AU587" s="71"/>
      <c r="AV587" s="71"/>
      <c r="AW587" s="71"/>
      <c r="AX587" s="71"/>
      <c r="AY587" s="71"/>
      <c r="AZ587" s="71"/>
      <c r="BA587" s="71"/>
      <c r="BB587" s="71"/>
      <c r="BC587" s="71"/>
      <c r="BD587" s="71"/>
      <c r="BE587" s="71"/>
      <c r="BF587" s="71"/>
      <c r="BG587" s="71"/>
      <c r="BH587" s="71"/>
      <c r="BI587" s="71"/>
      <c r="BJ587" s="71"/>
      <c r="BK587" s="71"/>
      <c r="BL587" s="71"/>
      <c r="BM587" s="71"/>
      <c r="BN587" s="71"/>
      <c r="BO587" s="71"/>
      <c r="BP587" s="71"/>
      <c r="BQ587" s="71"/>
      <c r="BR587" s="71"/>
      <c r="BS587" s="80"/>
    </row>
    <row r="588" spans="1:71" s="69" customFormat="1" ht="14.25" customHeight="1">
      <c r="A588" s="71"/>
      <c r="B588" s="70"/>
      <c r="D588" s="71"/>
      <c r="F588" s="71"/>
      <c r="G588" s="71"/>
      <c r="H588" s="71"/>
      <c r="I588" s="71"/>
      <c r="J588" s="71"/>
      <c r="M588" s="79"/>
      <c r="N588" s="83"/>
      <c r="O588" s="79"/>
      <c r="P588" s="79"/>
      <c r="Q588" s="71"/>
      <c r="R588" s="71"/>
      <c r="S588" s="71"/>
      <c r="T588" s="71"/>
      <c r="U588" s="71"/>
      <c r="V588" s="75"/>
      <c r="W588" s="79"/>
      <c r="X588" s="79"/>
      <c r="Y588" s="79"/>
      <c r="Z588" s="79"/>
      <c r="AA588" s="74"/>
      <c r="AB588" s="71"/>
      <c r="AC588" s="71"/>
      <c r="AD588" s="71"/>
      <c r="AE588" s="71"/>
      <c r="AF588" s="71"/>
      <c r="AG588" s="71"/>
      <c r="AH588" s="71"/>
      <c r="AI588" s="71"/>
      <c r="AJ588" s="71"/>
      <c r="AK588" s="71"/>
      <c r="AL588" s="71"/>
      <c r="AM588" s="71"/>
      <c r="AN588" s="71"/>
      <c r="AO588" s="71"/>
      <c r="AP588" s="71"/>
      <c r="AQ588" s="71"/>
      <c r="AR588" s="71"/>
      <c r="AS588" s="71"/>
      <c r="AT588" s="71"/>
      <c r="AU588" s="71"/>
      <c r="AV588" s="71"/>
      <c r="AW588" s="71"/>
      <c r="AX588" s="71"/>
      <c r="AY588" s="71"/>
      <c r="AZ588" s="71"/>
      <c r="BA588" s="71"/>
      <c r="BB588" s="71"/>
      <c r="BC588" s="71"/>
      <c r="BD588" s="71"/>
      <c r="BE588" s="71"/>
      <c r="BF588" s="71"/>
      <c r="BG588" s="71"/>
      <c r="BH588" s="71"/>
      <c r="BI588" s="71"/>
      <c r="BJ588" s="71"/>
      <c r="BK588" s="71"/>
      <c r="BL588" s="71"/>
      <c r="BM588" s="71"/>
      <c r="BN588" s="71"/>
      <c r="BO588" s="71"/>
      <c r="BP588" s="71"/>
      <c r="BQ588" s="71"/>
      <c r="BR588" s="71"/>
      <c r="BS588" s="80"/>
    </row>
    <row r="589" spans="1:71" s="69" customFormat="1" ht="14.25" customHeight="1">
      <c r="A589" s="71"/>
      <c r="B589" s="70"/>
      <c r="D589" s="71"/>
      <c r="F589" s="71"/>
      <c r="G589" s="71"/>
      <c r="H589" s="71"/>
      <c r="I589" s="71"/>
      <c r="J589" s="71"/>
      <c r="M589" s="79"/>
      <c r="N589" s="83"/>
      <c r="O589" s="79"/>
      <c r="P589" s="79"/>
      <c r="Q589" s="71"/>
      <c r="R589" s="71"/>
      <c r="S589" s="71"/>
      <c r="T589" s="71"/>
      <c r="U589" s="71"/>
      <c r="V589" s="75"/>
      <c r="W589" s="79"/>
      <c r="X589" s="79"/>
      <c r="Y589" s="79"/>
      <c r="Z589" s="79"/>
      <c r="AA589" s="74"/>
      <c r="AB589" s="71"/>
      <c r="AC589" s="71"/>
      <c r="AD589" s="71"/>
      <c r="AE589" s="71"/>
      <c r="AF589" s="71"/>
      <c r="AG589" s="71"/>
      <c r="AH589" s="71"/>
      <c r="AI589" s="71"/>
      <c r="AJ589" s="71"/>
      <c r="AK589" s="71"/>
      <c r="AL589" s="71"/>
      <c r="AM589" s="71"/>
      <c r="AN589" s="71"/>
      <c r="AO589" s="71"/>
      <c r="AP589" s="71"/>
      <c r="AQ589" s="71"/>
      <c r="AR589" s="71"/>
      <c r="AS589" s="71"/>
      <c r="AT589" s="71"/>
      <c r="AU589" s="71"/>
      <c r="AV589" s="71"/>
      <c r="AW589" s="71"/>
      <c r="AX589" s="71"/>
      <c r="AY589" s="71"/>
      <c r="AZ589" s="71"/>
      <c r="BA589" s="71"/>
      <c r="BB589" s="71"/>
      <c r="BC589" s="71"/>
      <c r="BD589" s="71"/>
      <c r="BE589" s="71"/>
      <c r="BF589" s="71"/>
      <c r="BG589" s="71"/>
      <c r="BH589" s="71"/>
      <c r="BI589" s="71"/>
      <c r="BJ589" s="71"/>
      <c r="BK589" s="71"/>
      <c r="BL589" s="71"/>
      <c r="BM589" s="71"/>
      <c r="BN589" s="71"/>
      <c r="BO589" s="71"/>
      <c r="BP589" s="71"/>
      <c r="BQ589" s="71"/>
      <c r="BR589" s="71"/>
      <c r="BS589" s="80"/>
    </row>
    <row r="590" spans="1:71" s="69" customFormat="1" ht="14.25" customHeight="1">
      <c r="A590" s="71"/>
      <c r="B590" s="70"/>
      <c r="D590" s="71"/>
      <c r="F590" s="71"/>
      <c r="G590" s="71"/>
      <c r="H590" s="71"/>
      <c r="I590" s="71"/>
      <c r="J590" s="71"/>
      <c r="M590" s="79"/>
      <c r="N590" s="83"/>
      <c r="O590" s="79"/>
      <c r="P590" s="79"/>
      <c r="Q590" s="71"/>
      <c r="R590" s="71"/>
      <c r="S590" s="71"/>
      <c r="T590" s="71"/>
      <c r="U590" s="71"/>
      <c r="V590" s="75"/>
      <c r="W590" s="79"/>
      <c r="X590" s="79"/>
      <c r="Y590" s="79"/>
      <c r="Z590" s="79"/>
      <c r="AA590" s="74"/>
      <c r="AB590" s="71"/>
      <c r="AC590" s="71"/>
      <c r="AD590" s="71"/>
      <c r="AE590" s="71"/>
      <c r="AF590" s="71"/>
      <c r="AG590" s="71"/>
      <c r="AH590" s="71"/>
      <c r="AI590" s="71"/>
      <c r="AJ590" s="71"/>
      <c r="AK590" s="71"/>
      <c r="AL590" s="71"/>
      <c r="AM590" s="71"/>
      <c r="AN590" s="71"/>
      <c r="AO590" s="71"/>
      <c r="AP590" s="71"/>
      <c r="AQ590" s="71"/>
      <c r="AR590" s="71"/>
      <c r="AS590" s="71"/>
      <c r="AT590" s="71"/>
      <c r="AU590" s="71"/>
      <c r="AV590" s="71"/>
      <c r="AW590" s="71"/>
      <c r="AX590" s="71"/>
      <c r="AY590" s="71"/>
      <c r="AZ590" s="71"/>
      <c r="BA590" s="71"/>
      <c r="BB590" s="71"/>
      <c r="BC590" s="71"/>
      <c r="BD590" s="71"/>
      <c r="BE590" s="71"/>
      <c r="BF590" s="71"/>
      <c r="BG590" s="71"/>
      <c r="BH590" s="71"/>
      <c r="BI590" s="71"/>
      <c r="BJ590" s="71"/>
      <c r="BK590" s="71"/>
      <c r="BL590" s="71"/>
      <c r="BM590" s="71"/>
      <c r="BN590" s="71"/>
      <c r="BO590" s="71"/>
      <c r="BP590" s="71"/>
      <c r="BQ590" s="71"/>
      <c r="BR590" s="71"/>
      <c r="BS590" s="80"/>
    </row>
    <row r="591" spans="1:71" s="69" customFormat="1" ht="14.25" customHeight="1">
      <c r="A591" s="71"/>
      <c r="B591" s="70"/>
      <c r="D591" s="71"/>
      <c r="F591" s="71"/>
      <c r="G591" s="71"/>
      <c r="H591" s="71"/>
      <c r="I591" s="71"/>
      <c r="J591" s="71"/>
      <c r="M591" s="79"/>
      <c r="N591" s="83"/>
      <c r="O591" s="79"/>
      <c r="P591" s="79"/>
      <c r="Q591" s="71"/>
      <c r="R591" s="71"/>
      <c r="S591" s="71"/>
      <c r="T591" s="71"/>
      <c r="U591" s="71"/>
      <c r="V591" s="75"/>
      <c r="W591" s="79"/>
      <c r="X591" s="79"/>
      <c r="Y591" s="79"/>
      <c r="Z591" s="79"/>
      <c r="AA591" s="74"/>
      <c r="AB591" s="71"/>
      <c r="AC591" s="71"/>
      <c r="AD591" s="71"/>
      <c r="AE591" s="71"/>
      <c r="AF591" s="71"/>
      <c r="AG591" s="71"/>
      <c r="AH591" s="71"/>
      <c r="AI591" s="71"/>
      <c r="AJ591" s="71"/>
      <c r="AK591" s="71"/>
      <c r="AL591" s="71"/>
      <c r="AM591" s="71"/>
      <c r="AN591" s="71"/>
      <c r="AO591" s="71"/>
      <c r="AP591" s="71"/>
      <c r="AQ591" s="71"/>
      <c r="AR591" s="71"/>
      <c r="AS591" s="71"/>
      <c r="AT591" s="71"/>
      <c r="AU591" s="71"/>
      <c r="AV591" s="71"/>
      <c r="AW591" s="71"/>
      <c r="AX591" s="71"/>
      <c r="AY591" s="71"/>
      <c r="AZ591" s="71"/>
      <c r="BA591" s="71"/>
      <c r="BB591" s="71"/>
      <c r="BC591" s="71"/>
      <c r="BD591" s="71"/>
      <c r="BE591" s="71"/>
      <c r="BF591" s="71"/>
      <c r="BG591" s="71"/>
      <c r="BH591" s="71"/>
      <c r="BI591" s="71"/>
      <c r="BJ591" s="71"/>
      <c r="BK591" s="71"/>
      <c r="BL591" s="71"/>
      <c r="BM591" s="71"/>
      <c r="BN591" s="71"/>
      <c r="BO591" s="71"/>
      <c r="BP591" s="71"/>
      <c r="BQ591" s="71"/>
      <c r="BR591" s="71"/>
      <c r="BS591" s="80"/>
    </row>
    <row r="592" spans="1:71" s="69" customFormat="1" ht="14.25" customHeight="1">
      <c r="A592" s="71"/>
      <c r="B592" s="157"/>
      <c r="C592" s="158"/>
      <c r="D592" s="93"/>
      <c r="E592" s="158"/>
      <c r="F592" s="93"/>
      <c r="G592" s="93"/>
      <c r="H592" s="93"/>
      <c r="I592" s="93"/>
      <c r="J592" s="93"/>
      <c r="K592" s="158"/>
      <c r="L592" s="158"/>
      <c r="M592" s="101"/>
      <c r="N592" s="159"/>
      <c r="O592" s="101"/>
      <c r="P592" s="101"/>
      <c r="Q592" s="93"/>
      <c r="R592" s="93"/>
      <c r="S592" s="93"/>
      <c r="T592" s="93"/>
      <c r="U592" s="93"/>
      <c r="V592" s="160"/>
      <c r="W592" s="101"/>
      <c r="X592" s="101"/>
      <c r="Y592" s="101"/>
      <c r="Z592" s="101"/>
      <c r="AA592" s="161"/>
      <c r="AB592" s="93"/>
      <c r="AC592" s="93"/>
      <c r="AD592" s="93"/>
      <c r="AE592" s="93"/>
      <c r="AF592" s="93"/>
      <c r="AG592" s="93"/>
      <c r="AH592" s="93"/>
      <c r="AI592" s="93"/>
      <c r="AJ592" s="93"/>
      <c r="AK592" s="93"/>
      <c r="AL592" s="93"/>
      <c r="AM592" s="93"/>
      <c r="AN592" s="93"/>
      <c r="AO592" s="93"/>
      <c r="AP592" s="93"/>
      <c r="AQ592" s="93"/>
      <c r="AR592" s="93"/>
      <c r="AS592" s="93"/>
      <c r="AT592" s="93"/>
      <c r="AU592" s="93"/>
      <c r="AV592" s="93"/>
      <c r="AW592" s="93"/>
      <c r="AX592" s="93"/>
      <c r="AY592" s="93"/>
      <c r="AZ592" s="93"/>
      <c r="BA592" s="93"/>
      <c r="BB592" s="93"/>
      <c r="BC592" s="93"/>
      <c r="BD592" s="93"/>
      <c r="BE592" s="93"/>
      <c r="BF592" s="93"/>
      <c r="BG592" s="93"/>
      <c r="BH592" s="93"/>
      <c r="BI592" s="93"/>
      <c r="BJ592" s="93"/>
      <c r="BK592" s="93"/>
      <c r="BL592" s="93"/>
      <c r="BM592" s="93"/>
      <c r="BN592" s="93"/>
      <c r="BO592" s="93"/>
      <c r="BP592" s="93"/>
      <c r="BQ592" s="93"/>
      <c r="BR592" s="93"/>
      <c r="BS592" s="162"/>
    </row>
    <row r="593" s="71" customFormat="1" ht="18" customHeight="1"/>
    <row r="594" s="71" customFormat="1" ht="18" customHeight="1"/>
  </sheetData>
  <mergeCells count="234">
    <mergeCell ref="A127:G127"/>
    <mergeCell ref="O130:S130"/>
    <mergeCell ref="Z83:AD83"/>
    <mergeCell ref="O132:S132"/>
    <mergeCell ref="AM153:AQ153"/>
    <mergeCell ref="X153:AB153"/>
    <mergeCell ref="F112:AX112"/>
    <mergeCell ref="AT86:AX86"/>
    <mergeCell ref="R86:U86"/>
    <mergeCell ref="AG83:AL83"/>
    <mergeCell ref="AT153:AY153"/>
    <mergeCell ref="AF153:AJ153"/>
    <mergeCell ref="AC506:AH506"/>
    <mergeCell ref="AC365:AH365"/>
    <mergeCell ref="AC113:AF113"/>
    <mergeCell ref="Z119:AA119"/>
    <mergeCell ref="AB119:AG119"/>
    <mergeCell ref="L121:Q121"/>
    <mergeCell ref="R121:S121"/>
    <mergeCell ref="F120:AX120"/>
    <mergeCell ref="F122:AX122"/>
    <mergeCell ref="F117:K117"/>
    <mergeCell ref="N117:R117"/>
    <mergeCell ref="F119:K119"/>
    <mergeCell ref="F121:I121"/>
    <mergeCell ref="U117:Z117"/>
    <mergeCell ref="S117:T117"/>
    <mergeCell ref="F113:J113"/>
    <mergeCell ref="H123:M123"/>
    <mergeCell ref="U119:Y119"/>
    <mergeCell ref="AI113:AN113"/>
    <mergeCell ref="T121:Y121"/>
    <mergeCell ref="F118:AX118"/>
    <mergeCell ref="N119:R119"/>
    <mergeCell ref="F116:AX116"/>
    <mergeCell ref="AG113:AH113"/>
    <mergeCell ref="AV185:AZ185"/>
    <mergeCell ref="L182:N182"/>
    <mergeCell ref="P161:S161"/>
    <mergeCell ref="F110:AX110"/>
    <mergeCell ref="S111:V111"/>
    <mergeCell ref="AC109:AD109"/>
    <mergeCell ref="F109:I109"/>
    <mergeCell ref="F104:AX104"/>
    <mergeCell ref="Z105:AE105"/>
    <mergeCell ref="T107:W107"/>
    <mergeCell ref="Y109:AB109"/>
    <mergeCell ref="S109:V109"/>
    <mergeCell ref="X105:Y105"/>
    <mergeCell ref="F114:AX114"/>
    <mergeCell ref="M113:P113"/>
    <mergeCell ref="F108:AX108"/>
    <mergeCell ref="F106:AX106"/>
    <mergeCell ref="Z144:AE144"/>
    <mergeCell ref="X107:Y107"/>
    <mergeCell ref="V144:X144"/>
    <mergeCell ref="Z147:AE147"/>
    <mergeCell ref="A157:G157"/>
    <mergeCell ref="Z156:AE156"/>
    <mergeCell ref="R182:U182"/>
    <mergeCell ref="AH185:AL185"/>
    <mergeCell ref="Q173:S173"/>
    <mergeCell ref="AE109:AK109"/>
    <mergeCell ref="AE103:AJ103"/>
    <mergeCell ref="L105:Q105"/>
    <mergeCell ref="T105:W105"/>
    <mergeCell ref="L107:Q107"/>
    <mergeCell ref="Z107:AE107"/>
    <mergeCell ref="AI111:AN111"/>
    <mergeCell ref="L156:N156"/>
    <mergeCell ref="AM182:AQ182"/>
    <mergeCell ref="AO185:AS185"/>
    <mergeCell ref="R103:U103"/>
    <mergeCell ref="X182:AB182"/>
    <mergeCell ref="R179:W179"/>
    <mergeCell ref="W173:Z173"/>
    <mergeCell ref="L144:N144"/>
    <mergeCell ref="O136:S136"/>
    <mergeCell ref="R150:V150"/>
    <mergeCell ref="L173:N173"/>
    <mergeCell ref="P159:S159"/>
    <mergeCell ref="Q156:S156"/>
    <mergeCell ref="V156:X156"/>
    <mergeCell ref="P163:S163"/>
    <mergeCell ref="O7:S7"/>
    <mergeCell ref="O10:S10"/>
    <mergeCell ref="O37:S37"/>
    <mergeCell ref="AG111:AH111"/>
    <mergeCell ref="L179:O179"/>
    <mergeCell ref="P179:Q179"/>
    <mergeCell ref="AG179:AL179"/>
    <mergeCell ref="P169:S169"/>
    <mergeCell ref="AF182:AJ182"/>
    <mergeCell ref="P167:S167"/>
    <mergeCell ref="P69:S69"/>
    <mergeCell ref="L77:N77"/>
    <mergeCell ref="L86:N86"/>
    <mergeCell ref="AF150:AJ150"/>
    <mergeCell ref="Q147:S147"/>
    <mergeCell ref="Q144:S144"/>
    <mergeCell ref="O134:S134"/>
    <mergeCell ref="O140:S140"/>
    <mergeCell ref="O138:S138"/>
    <mergeCell ref="AF86:AJ86"/>
    <mergeCell ref="V147:X147"/>
    <mergeCell ref="T80:V80"/>
    <mergeCell ref="W80:Z80"/>
    <mergeCell ref="L147:N147"/>
    <mergeCell ref="AT182:AX182"/>
    <mergeCell ref="J98:N98"/>
    <mergeCell ref="O40:S40"/>
    <mergeCell ref="T176:V176"/>
    <mergeCell ref="W176:Z176"/>
    <mergeCell ref="P165:S165"/>
    <mergeCell ref="X179:Y179"/>
    <mergeCell ref="Z179:AD179"/>
    <mergeCell ref="P65:S65"/>
    <mergeCell ref="P83:Q83"/>
    <mergeCell ref="T173:V173"/>
    <mergeCell ref="AR182:AS182"/>
    <mergeCell ref="AC111:AF111"/>
    <mergeCell ref="AO89:AS89"/>
    <mergeCell ref="AT150:AY150"/>
    <mergeCell ref="AV89:AZ89"/>
    <mergeCell ref="AR86:AS86"/>
    <mergeCell ref="R153:V153"/>
    <mergeCell ref="X150:AA150"/>
    <mergeCell ref="AT18:AX18"/>
    <mergeCell ref="AT48:AX48"/>
    <mergeCell ref="Z18:AJ18"/>
    <mergeCell ref="Z48:AJ48"/>
    <mergeCell ref="P67:S67"/>
    <mergeCell ref="J102:N102"/>
    <mergeCell ref="J100:N100"/>
    <mergeCell ref="AM18:AQ18"/>
    <mergeCell ref="AM48:AQ48"/>
    <mergeCell ref="R18:X18"/>
    <mergeCell ref="O34:S34"/>
    <mergeCell ref="X83:Y83"/>
    <mergeCell ref="AM86:AQ86"/>
    <mergeCell ref="T77:V77"/>
    <mergeCell ref="P71:S71"/>
    <mergeCell ref="P73:S73"/>
    <mergeCell ref="AH89:AL89"/>
    <mergeCell ref="X86:AB86"/>
    <mergeCell ref="A1:G1"/>
    <mergeCell ref="A61:G61"/>
    <mergeCell ref="N115:P115"/>
    <mergeCell ref="S113:V113"/>
    <mergeCell ref="J92:N92"/>
    <mergeCell ref="L109:P109"/>
    <mergeCell ref="F107:I107"/>
    <mergeCell ref="M111:P111"/>
    <mergeCell ref="A90:G90"/>
    <mergeCell ref="F105:I105"/>
    <mergeCell ref="F111:J111"/>
    <mergeCell ref="F115:K115"/>
    <mergeCell ref="S115:X115"/>
    <mergeCell ref="J96:N96"/>
    <mergeCell ref="J94:N94"/>
    <mergeCell ref="X103:AB103"/>
    <mergeCell ref="A31:G31"/>
    <mergeCell ref="R48:X48"/>
    <mergeCell ref="L83:O83"/>
    <mergeCell ref="R83:W83"/>
    <mergeCell ref="Q77:S77"/>
    <mergeCell ref="W77:Z77"/>
    <mergeCell ref="P63:S63"/>
    <mergeCell ref="O4:S4"/>
    <mergeCell ref="A187:G187"/>
    <mergeCell ref="J189:N189"/>
    <mergeCell ref="J191:N191"/>
    <mergeCell ref="J193:N193"/>
    <mergeCell ref="J195:N195"/>
    <mergeCell ref="J197:N197"/>
    <mergeCell ref="J199:N199"/>
    <mergeCell ref="R200:U200"/>
    <mergeCell ref="X200:AB200"/>
    <mergeCell ref="AE200:AJ200"/>
    <mergeCell ref="F201:AX201"/>
    <mergeCell ref="F202:I202"/>
    <mergeCell ref="L202:Q202"/>
    <mergeCell ref="T202:W202"/>
    <mergeCell ref="X202:Y202"/>
    <mergeCell ref="Z202:AE202"/>
    <mergeCell ref="F203:AX203"/>
    <mergeCell ref="F204:I204"/>
    <mergeCell ref="L204:Q204"/>
    <mergeCell ref="T204:W204"/>
    <mergeCell ref="X204:Y204"/>
    <mergeCell ref="Z204:AE204"/>
    <mergeCell ref="F205:AX205"/>
    <mergeCell ref="F206:I206"/>
    <mergeCell ref="L206:P206"/>
    <mergeCell ref="S206:V206"/>
    <mergeCell ref="Y206:AB206"/>
    <mergeCell ref="AC206:AD206"/>
    <mergeCell ref="AE206:AK206"/>
    <mergeCell ref="F207:AX207"/>
    <mergeCell ref="F208:J208"/>
    <mergeCell ref="M208:P208"/>
    <mergeCell ref="S208:V208"/>
    <mergeCell ref="AC208:AF208"/>
    <mergeCell ref="AG208:AH208"/>
    <mergeCell ref="AI208:AN208"/>
    <mergeCell ref="F209:AX209"/>
    <mergeCell ref="F210:J210"/>
    <mergeCell ref="M210:P210"/>
    <mergeCell ref="S210:V210"/>
    <mergeCell ref="AC210:AF210"/>
    <mergeCell ref="AG210:AH210"/>
    <mergeCell ref="AI210:AN210"/>
    <mergeCell ref="F211:AX211"/>
    <mergeCell ref="F212:K212"/>
    <mergeCell ref="N212:P212"/>
    <mergeCell ref="S212:X212"/>
    <mergeCell ref="F217:AX217"/>
    <mergeCell ref="F218:I218"/>
    <mergeCell ref="L218:Q218"/>
    <mergeCell ref="R218:S218"/>
    <mergeCell ref="T218:Y218"/>
    <mergeCell ref="F219:AX219"/>
    <mergeCell ref="H220:M220"/>
    <mergeCell ref="F213:AX213"/>
    <mergeCell ref="F214:K214"/>
    <mergeCell ref="N214:R214"/>
    <mergeCell ref="S214:T214"/>
    <mergeCell ref="U214:Z214"/>
    <mergeCell ref="F215:AX215"/>
    <mergeCell ref="F216:K216"/>
    <mergeCell ref="N216:R216"/>
    <mergeCell ref="U216:Y216"/>
    <mergeCell ref="Z216:AA216"/>
    <mergeCell ref="AB216:AG216"/>
  </mergeCells>
  <phoneticPr fontId="51" type="noConversion"/>
  <printOptions horizontalCentered="1" verticalCentered="1"/>
  <pageMargins left="0.59055118110236227" right="0.39370078740157483" top="0.86614173228346458" bottom="0.43307086614173229" header="0.43307086614173229" footer="0.55118110236220474"/>
  <pageSetup paperSize="9" scale="92" orientation="landscape" r:id="rId1"/>
  <headerFooter alignWithMargins="0">
    <oddHeader>&amp;C&amp;"맑은 고딕,굵게"&amp;20&amp;U일 위 대 가 산 출 서</oddHeader>
  </headerFooter>
  <drawing r:id="rId2"/>
  <legacyDrawing r:id="rId3"/>
  <oleObjects>
    <mc:AlternateContent xmlns:mc="http://schemas.openxmlformats.org/markup-compatibility/2006">
      <mc:Choice Requires="x14">
        <oleObject progId="AutoCAD.Drawing.15" shapeId="1825525" r:id="rId4">
          <objectPr defaultSize="0" autoPict="0" r:id="rId5">
            <anchor moveWithCells="1">
              <from>
                <xdr:col>44</xdr:col>
                <xdr:colOff>28575</xdr:colOff>
                <xdr:row>62</xdr:row>
                <xdr:rowOff>9525</xdr:rowOff>
              </from>
              <to>
                <xdr:col>78</xdr:col>
                <xdr:colOff>0</xdr:colOff>
                <xdr:row>74</xdr:row>
                <xdr:rowOff>38100</xdr:rowOff>
              </to>
            </anchor>
          </objectPr>
        </oleObject>
      </mc:Choice>
      <mc:Fallback>
        <oleObject progId="AutoCAD.Drawing.15" shapeId="1825525" r:id="rId4"/>
      </mc:Fallback>
    </mc:AlternateContent>
    <mc:AlternateContent xmlns:mc="http://schemas.openxmlformats.org/markup-compatibility/2006">
      <mc:Choice Requires="x14">
        <oleObject progId="AutoCAD Drawing" shapeId="1825526" r:id="rId6">
          <objectPr defaultSize="0" autoPict="0" r:id="rId7">
            <anchor moveWithCells="1">
              <from>
                <xdr:col>34</xdr:col>
                <xdr:colOff>38100</xdr:colOff>
                <xdr:row>32</xdr:row>
                <xdr:rowOff>114300</xdr:rowOff>
              </from>
              <to>
                <xdr:col>78</xdr:col>
                <xdr:colOff>142875</xdr:colOff>
                <xdr:row>44</xdr:row>
                <xdr:rowOff>47625</xdr:rowOff>
              </to>
            </anchor>
          </objectPr>
        </oleObject>
      </mc:Choice>
      <mc:Fallback>
        <oleObject progId="AutoCAD Drawing" shapeId="1825526" r:id="rId6"/>
      </mc:Fallback>
    </mc:AlternateContent>
  </oleObjec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42"/>
  <dimension ref="A1:BF302"/>
  <sheetViews>
    <sheetView view="pageBreakPreview" zoomScale="85" zoomScaleNormal="100" zoomScaleSheetLayoutView="85" workbookViewId="0">
      <selection activeCell="J24" sqref="J24:M24"/>
    </sheetView>
  </sheetViews>
  <sheetFormatPr defaultColWidth="2.77734375" defaultRowHeight="15.95" customHeight="1"/>
  <cols>
    <col min="1" max="1" width="4.21875" style="169" customWidth="1"/>
    <col min="2" max="2" width="3.88671875" style="169" customWidth="1"/>
    <col min="3" max="3" width="3.44140625" style="169" customWidth="1"/>
    <col min="4" max="7" width="2.77734375" style="169" customWidth="1"/>
    <col min="8" max="8" width="3.33203125" style="169" customWidth="1"/>
    <col min="9" max="16" width="2.77734375" style="169"/>
    <col min="17" max="17" width="3.21875" style="169" bestFit="1" customWidth="1"/>
    <col min="18" max="18" width="2.77734375" style="169"/>
    <col min="19" max="19" width="2.88671875" style="169" bestFit="1" customWidth="1"/>
    <col min="20" max="20" width="2.77734375" style="169"/>
    <col min="21" max="21" width="2.88671875" style="169" bestFit="1" customWidth="1"/>
    <col min="22" max="41" width="2.77734375" style="169"/>
    <col min="42" max="42" width="12.21875" style="169" bestFit="1" customWidth="1"/>
    <col min="43" max="43" width="11.77734375" style="169" customWidth="1"/>
    <col min="44" max="16384" width="2.77734375" style="169"/>
  </cols>
  <sheetData>
    <row r="1" spans="1:58" s="480" customFormat="1" ht="15.95" customHeight="1">
      <c r="A1" s="1578" t="s">
        <v>785</v>
      </c>
      <c r="B1" s="1372"/>
      <c r="C1" s="1372"/>
      <c r="D1" s="1372"/>
      <c r="E1" s="1372"/>
      <c r="F1" s="1372"/>
      <c r="G1" s="1372"/>
      <c r="H1" s="1372"/>
      <c r="I1" s="1372"/>
      <c r="J1" s="1372"/>
      <c r="K1" s="1372"/>
      <c r="L1" s="1372"/>
      <c r="M1" s="1372"/>
      <c r="N1" s="1372"/>
      <c r="O1" s="1372"/>
      <c r="P1" s="1372"/>
      <c r="Q1" s="1372"/>
      <c r="R1" s="1372"/>
      <c r="S1" s="1372"/>
      <c r="T1" s="1372"/>
      <c r="U1" s="1372"/>
      <c r="V1" s="1372"/>
      <c r="W1" s="1372"/>
      <c r="X1" s="1372"/>
      <c r="Y1" s="1372"/>
      <c r="Z1" s="1372"/>
      <c r="AA1" s="1372"/>
      <c r="AB1" s="1372"/>
      <c r="AC1" s="1372"/>
      <c r="AD1" s="1372"/>
      <c r="AE1" s="1372"/>
      <c r="AF1" s="1372"/>
      <c r="AG1" s="1372"/>
      <c r="AH1" s="1372"/>
      <c r="AI1" s="1372"/>
      <c r="AJ1" s="1372"/>
      <c r="AK1" s="1372"/>
      <c r="AL1" s="1372"/>
      <c r="AM1" s="1372"/>
      <c r="AN1" s="1372"/>
      <c r="AO1" s="1372"/>
      <c r="BF1" s="478"/>
    </row>
    <row r="2" spans="1:58" s="164" customFormat="1" ht="15.95" customHeight="1">
      <c r="B2" s="165"/>
      <c r="C2" s="165"/>
      <c r="H2" s="165"/>
      <c r="I2" s="165"/>
      <c r="L2" s="163"/>
      <c r="M2" s="163"/>
      <c r="N2" s="163"/>
      <c r="O2" s="163"/>
      <c r="P2" s="163"/>
      <c r="Q2" s="163"/>
      <c r="R2" s="163"/>
      <c r="S2" s="163"/>
      <c r="T2" s="163"/>
      <c r="U2" s="163"/>
      <c r="V2" s="163"/>
      <c r="W2" s="163"/>
      <c r="X2" s="163"/>
      <c r="Z2" s="163"/>
      <c r="AA2" s="163"/>
      <c r="AB2" s="163"/>
      <c r="AC2" s="163"/>
      <c r="AD2" s="163"/>
      <c r="AE2" s="163"/>
      <c r="AF2" s="163"/>
      <c r="AG2" s="163"/>
      <c r="AH2" s="163"/>
      <c r="AI2" s="163"/>
      <c r="AJ2" s="163"/>
      <c r="AK2" s="163"/>
      <c r="BF2" s="165"/>
    </row>
    <row r="3" spans="1:58" ht="15.95" customHeight="1">
      <c r="B3" s="166"/>
      <c r="C3" s="167"/>
      <c r="D3" s="167"/>
      <c r="E3" s="167"/>
      <c r="F3" s="167"/>
      <c r="G3" s="167"/>
      <c r="H3" s="167"/>
      <c r="I3" s="167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7"/>
      <c r="AM3" s="167"/>
      <c r="AN3" s="167"/>
      <c r="AO3" s="168"/>
    </row>
    <row r="4" spans="1:58" ht="15.95" customHeight="1">
      <c r="B4" s="170"/>
      <c r="Y4" s="169" t="s">
        <v>166</v>
      </c>
      <c r="AK4" s="1575">
        <v>35307</v>
      </c>
      <c r="AL4" s="1576"/>
      <c r="AM4" s="171" t="s">
        <v>107</v>
      </c>
      <c r="AO4" s="172"/>
      <c r="AP4" s="668" t="s">
        <v>533</v>
      </c>
    </row>
    <row r="5" spans="1:58" ht="15.95" customHeight="1">
      <c r="B5" s="170"/>
      <c r="C5" s="169" t="s">
        <v>270</v>
      </c>
      <c r="D5" s="169" t="s">
        <v>271</v>
      </c>
      <c r="AO5" s="172"/>
    </row>
    <row r="6" spans="1:58" ht="15.95" customHeight="1">
      <c r="B6" s="170"/>
      <c r="AO6" s="172"/>
    </row>
    <row r="7" spans="1:58" ht="15.95" customHeight="1">
      <c r="B7" s="170"/>
      <c r="C7" s="1580" t="s">
        <v>539</v>
      </c>
      <c r="D7" s="1581"/>
      <c r="E7" s="1581"/>
      <c r="F7" s="1581"/>
      <c r="G7" s="169" t="s">
        <v>82</v>
      </c>
      <c r="H7" s="173">
        <v>1</v>
      </c>
      <c r="I7" s="173" t="s">
        <v>272</v>
      </c>
      <c r="J7" s="173" t="s">
        <v>92</v>
      </c>
      <c r="K7" s="1577">
        <f>$AQ$7</f>
        <v>240042</v>
      </c>
      <c r="L7" s="1577"/>
      <c r="M7" s="1577"/>
      <c r="N7" s="173" t="s">
        <v>273</v>
      </c>
      <c r="O7" s="173" t="s">
        <v>92</v>
      </c>
      <c r="P7" s="174">
        <v>1</v>
      </c>
      <c r="Q7" s="175" t="s">
        <v>274</v>
      </c>
      <c r="R7" s="176">
        <v>8</v>
      </c>
      <c r="S7" s="173" t="s">
        <v>92</v>
      </c>
      <c r="T7" s="169">
        <v>25</v>
      </c>
      <c r="U7" s="175" t="s">
        <v>274</v>
      </c>
      <c r="V7" s="176">
        <v>20</v>
      </c>
      <c r="W7" s="173" t="s">
        <v>92</v>
      </c>
      <c r="X7" s="169">
        <v>16</v>
      </c>
      <c r="Y7" s="175" t="s">
        <v>274</v>
      </c>
      <c r="Z7" s="176">
        <v>12</v>
      </c>
      <c r="AA7" s="173" t="s">
        <v>91</v>
      </c>
      <c r="AB7" s="173"/>
      <c r="AC7" s="173"/>
      <c r="AD7" s="173"/>
      <c r="AE7" s="173"/>
      <c r="AF7" s="173"/>
      <c r="AG7" s="173"/>
      <c r="AH7" s="173"/>
      <c r="AI7" s="173"/>
      <c r="AJ7" s="173"/>
      <c r="AK7" s="1565">
        <f>INT(H7*K7*P7/R7*T7/V7*X7/Z7)</f>
        <v>50008</v>
      </c>
      <c r="AL7" s="1565"/>
      <c r="AM7" s="1565"/>
      <c r="AN7" s="169" t="s">
        <v>275</v>
      </c>
      <c r="AO7" s="172"/>
      <c r="AP7" s="49" t="s">
        <v>95</v>
      </c>
      <c r="AQ7" s="669">
        <f>VLOOKUP($AP$7,인건비!A:B,2,FALSE)</f>
        <v>240042</v>
      </c>
    </row>
    <row r="8" spans="1:58" ht="15.95" customHeight="1">
      <c r="B8" s="170"/>
      <c r="H8" s="173"/>
      <c r="I8" s="173"/>
      <c r="J8" s="173"/>
      <c r="K8" s="177"/>
      <c r="L8" s="177"/>
      <c r="M8" s="177"/>
      <c r="N8" s="173"/>
      <c r="O8" s="173"/>
      <c r="P8" s="174"/>
      <c r="Q8" s="175"/>
      <c r="R8" s="176"/>
      <c r="S8" s="173"/>
      <c r="U8" s="175"/>
      <c r="V8" s="176"/>
      <c r="W8" s="173"/>
      <c r="Y8" s="175"/>
      <c r="Z8" s="176"/>
      <c r="AA8" s="173"/>
      <c r="AB8" s="173"/>
      <c r="AC8" s="173"/>
      <c r="AD8" s="173"/>
      <c r="AE8" s="173"/>
      <c r="AF8" s="173"/>
      <c r="AG8" s="173"/>
      <c r="AH8" s="173"/>
      <c r="AI8" s="173"/>
      <c r="AJ8" s="173"/>
      <c r="AK8" s="173"/>
      <c r="AL8" s="173"/>
      <c r="AM8" s="173"/>
      <c r="AO8" s="172"/>
    </row>
    <row r="9" spans="1:58" ht="15.95" customHeight="1">
      <c r="B9" s="170"/>
      <c r="H9" s="173"/>
      <c r="I9" s="173"/>
      <c r="J9" s="173"/>
      <c r="K9" s="1577"/>
      <c r="L9" s="1577"/>
      <c r="M9" s="1577"/>
      <c r="N9" s="173"/>
      <c r="O9" s="173"/>
      <c r="P9" s="174"/>
      <c r="Q9" s="175"/>
      <c r="R9" s="176"/>
      <c r="S9" s="173"/>
      <c r="U9" s="175"/>
      <c r="V9" s="176"/>
      <c r="W9" s="173"/>
      <c r="Y9" s="175"/>
      <c r="Z9" s="176"/>
      <c r="AA9" s="173"/>
      <c r="AB9" s="173"/>
      <c r="AC9" s="173"/>
      <c r="AD9" s="173"/>
      <c r="AE9" s="173"/>
      <c r="AF9" s="173"/>
      <c r="AG9" s="173"/>
      <c r="AH9" s="173"/>
      <c r="AI9" s="173"/>
      <c r="AJ9" s="173"/>
      <c r="AK9" s="1565"/>
      <c r="AL9" s="1565"/>
      <c r="AM9" s="1565"/>
      <c r="AO9" s="172"/>
    </row>
    <row r="10" spans="1:58" ht="15.95" customHeight="1">
      <c r="B10" s="170"/>
      <c r="C10" s="178"/>
      <c r="D10" s="178"/>
      <c r="E10" s="178"/>
      <c r="F10" s="178"/>
      <c r="G10" s="178"/>
      <c r="H10" s="179"/>
      <c r="I10" s="179"/>
      <c r="J10" s="179"/>
      <c r="K10" s="180"/>
      <c r="L10" s="180"/>
      <c r="M10" s="180"/>
      <c r="N10" s="179"/>
      <c r="O10" s="179"/>
      <c r="P10" s="181"/>
      <c r="Q10" s="182"/>
      <c r="R10" s="183"/>
      <c r="S10" s="179"/>
      <c r="T10" s="178"/>
      <c r="U10" s="182"/>
      <c r="V10" s="183"/>
      <c r="W10" s="179"/>
      <c r="X10" s="178"/>
      <c r="Y10" s="182"/>
      <c r="Z10" s="183"/>
      <c r="AA10" s="179"/>
      <c r="AB10" s="179"/>
      <c r="AC10" s="179"/>
      <c r="AD10" s="179"/>
      <c r="AE10" s="179"/>
      <c r="AF10" s="179"/>
      <c r="AG10" s="179"/>
      <c r="AH10" s="179"/>
      <c r="AI10" s="179"/>
      <c r="AJ10" s="179"/>
      <c r="AK10" s="179"/>
      <c r="AL10" s="179"/>
      <c r="AM10" s="179"/>
      <c r="AN10" s="178"/>
      <c r="AO10" s="184"/>
    </row>
    <row r="11" spans="1:58" ht="15.95" customHeight="1">
      <c r="B11" s="170"/>
      <c r="C11" s="185"/>
      <c r="D11" s="185"/>
      <c r="E11" s="185"/>
      <c r="F11" s="185"/>
      <c r="G11" s="185"/>
      <c r="H11" s="186"/>
      <c r="I11" s="186"/>
      <c r="J11" s="186"/>
      <c r="K11" s="187"/>
      <c r="L11" s="187"/>
      <c r="M11" s="187"/>
      <c r="N11" s="186"/>
      <c r="O11" s="186"/>
      <c r="P11" s="188"/>
      <c r="Q11" s="189"/>
      <c r="R11" s="190"/>
      <c r="S11" s="186"/>
      <c r="T11" s="185"/>
      <c r="U11" s="189"/>
      <c r="V11" s="190"/>
      <c r="W11" s="186"/>
      <c r="X11" s="185"/>
      <c r="Y11" s="189"/>
      <c r="Z11" s="190"/>
      <c r="AA11" s="186"/>
      <c r="AB11" s="186"/>
      <c r="AC11" s="186"/>
      <c r="AD11" s="186"/>
      <c r="AE11" s="186"/>
      <c r="AF11" s="186"/>
      <c r="AG11" s="186"/>
      <c r="AH11" s="186"/>
      <c r="AI11" s="186"/>
      <c r="AJ11" s="186"/>
      <c r="AK11" s="186"/>
      <c r="AL11" s="186"/>
      <c r="AM11" s="186"/>
      <c r="AN11" s="185"/>
      <c r="AO11" s="191"/>
    </row>
    <row r="12" spans="1:58" ht="15.95" customHeight="1">
      <c r="B12" s="170"/>
      <c r="D12" s="169" t="s">
        <v>276</v>
      </c>
      <c r="H12" s="192"/>
      <c r="I12" s="192"/>
      <c r="J12" s="192"/>
      <c r="K12" s="177"/>
      <c r="L12" s="193"/>
      <c r="M12" s="193"/>
      <c r="N12" s="192"/>
      <c r="O12" s="173"/>
      <c r="P12" s="192"/>
      <c r="Q12" s="194"/>
      <c r="R12" s="192"/>
      <c r="U12" s="175"/>
      <c r="V12" s="176"/>
      <c r="W12" s="173"/>
      <c r="Y12" s="175"/>
      <c r="Z12" s="176"/>
      <c r="AA12" s="173"/>
      <c r="AB12" s="173"/>
      <c r="AC12" s="173"/>
      <c r="AD12" s="173"/>
      <c r="AE12" s="173"/>
      <c r="AF12" s="173"/>
      <c r="AG12" s="173"/>
      <c r="AH12" s="173"/>
      <c r="AI12" s="173"/>
      <c r="AJ12" s="173"/>
      <c r="AK12" s="1565">
        <f>AK7+AK9</f>
        <v>50008</v>
      </c>
      <c r="AL12" s="1565"/>
      <c r="AM12" s="1565"/>
      <c r="AN12" s="169" t="s">
        <v>275</v>
      </c>
      <c r="AO12" s="172"/>
    </row>
    <row r="13" spans="1:58" ht="15.95" customHeight="1">
      <c r="B13" s="170"/>
      <c r="AO13" s="172"/>
    </row>
    <row r="14" spans="1:58" ht="15.95" customHeight="1">
      <c r="B14" s="170"/>
      <c r="C14" s="477" t="s">
        <v>692</v>
      </c>
      <c r="D14" s="477" t="s">
        <v>693</v>
      </c>
      <c r="AO14" s="172"/>
    </row>
    <row r="15" spans="1:58" ht="15.95" customHeight="1">
      <c r="B15" s="170"/>
      <c r="AO15" s="172"/>
    </row>
    <row r="16" spans="1:58" ht="15.95" customHeight="1">
      <c r="B16" s="170"/>
      <c r="D16" s="169" t="s">
        <v>277</v>
      </c>
      <c r="G16" s="169" t="s">
        <v>82</v>
      </c>
      <c r="H16" s="1579">
        <v>2.9</v>
      </c>
      <c r="I16" s="1579"/>
      <c r="J16" s="174" t="s">
        <v>0</v>
      </c>
      <c r="L16" s="173" t="s">
        <v>92</v>
      </c>
      <c r="M16" s="1565" t="e">
        <f>#REF!</f>
        <v>#REF!</v>
      </c>
      <c r="N16" s="1565"/>
      <c r="O16" s="169" t="s">
        <v>273</v>
      </c>
      <c r="P16" s="173" t="s">
        <v>91</v>
      </c>
      <c r="Q16" s="1565" t="e">
        <f>INT(H16*M16)</f>
        <v>#REF!</v>
      </c>
      <c r="R16" s="1565"/>
      <c r="S16" s="1565"/>
      <c r="T16" s="169" t="s">
        <v>275</v>
      </c>
      <c r="AO16" s="172"/>
    </row>
    <row r="17" spans="1:58" ht="15.95" customHeight="1">
      <c r="B17" s="170"/>
      <c r="AO17" s="172"/>
    </row>
    <row r="18" spans="1:58" ht="15.95" customHeight="1">
      <c r="B18" s="170"/>
      <c r="D18" s="169" t="s">
        <v>1</v>
      </c>
      <c r="G18" s="169" t="s">
        <v>82</v>
      </c>
      <c r="H18" s="169" t="s">
        <v>2</v>
      </c>
      <c r="L18" s="173" t="s">
        <v>92</v>
      </c>
      <c r="M18" s="1572">
        <v>0.2</v>
      </c>
      <c r="N18" s="1572"/>
      <c r="P18" s="173" t="s">
        <v>91</v>
      </c>
      <c r="Q18" s="1565" t="e">
        <f>INT(Q16*M18)</f>
        <v>#REF!</v>
      </c>
      <c r="R18" s="1565"/>
      <c r="S18" s="1565"/>
      <c r="T18" s="169" t="s">
        <v>275</v>
      </c>
      <c r="AO18" s="172"/>
    </row>
    <row r="19" spans="1:58" ht="15.95" customHeight="1">
      <c r="B19" s="170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78"/>
      <c r="N19" s="178"/>
      <c r="O19" s="178"/>
      <c r="P19" s="178"/>
      <c r="Q19" s="178"/>
      <c r="R19" s="178"/>
      <c r="S19" s="178"/>
      <c r="T19" s="178"/>
      <c r="U19" s="178"/>
      <c r="V19" s="178"/>
      <c r="W19" s="178"/>
      <c r="AO19" s="172"/>
    </row>
    <row r="20" spans="1:58" ht="15.95" customHeight="1">
      <c r="B20" s="170"/>
      <c r="AO20" s="172"/>
    </row>
    <row r="21" spans="1:58" ht="15.95" customHeight="1">
      <c r="B21" s="170"/>
      <c r="D21" s="169" t="s">
        <v>276</v>
      </c>
      <c r="Q21" s="1565" t="e">
        <f>Q16+Q18</f>
        <v>#REF!</v>
      </c>
      <c r="R21" s="1565"/>
      <c r="S21" s="1565"/>
      <c r="T21" s="169" t="s">
        <v>275</v>
      </c>
      <c r="AO21" s="172"/>
    </row>
    <row r="22" spans="1:58" ht="15.95" customHeight="1">
      <c r="B22" s="170"/>
      <c r="AO22" s="172"/>
    </row>
    <row r="23" spans="1:58" ht="15.95" customHeight="1">
      <c r="B23" s="170"/>
      <c r="C23" s="477" t="s">
        <v>694</v>
      </c>
      <c r="D23" s="477" t="s">
        <v>695</v>
      </c>
      <c r="AO23" s="172"/>
    </row>
    <row r="24" spans="1:58" ht="15.95" customHeight="1">
      <c r="B24" s="170"/>
      <c r="AO24" s="172"/>
    </row>
    <row r="25" spans="1:58" ht="15.95" customHeight="1">
      <c r="B25" s="170"/>
      <c r="D25" s="1565">
        <v>2598</v>
      </c>
      <c r="E25" s="1565"/>
      <c r="F25" s="175" t="s">
        <v>274</v>
      </c>
      <c r="G25" s="1565">
        <v>10000000</v>
      </c>
      <c r="H25" s="1565"/>
      <c r="I25" s="1565"/>
      <c r="J25" s="1565"/>
      <c r="K25" s="173" t="s">
        <v>92</v>
      </c>
      <c r="L25" s="1574">
        <f>AK4</f>
        <v>35307</v>
      </c>
      <c r="M25" s="1574"/>
      <c r="N25" s="1574"/>
      <c r="O25" s="1574"/>
      <c r="P25" s="173" t="s">
        <v>91</v>
      </c>
      <c r="Q25" s="1565">
        <f>INT(D25/G25*L25*1000)</f>
        <v>9172</v>
      </c>
      <c r="R25" s="1565"/>
      <c r="S25" s="1565"/>
      <c r="T25" s="169" t="s">
        <v>275</v>
      </c>
      <c r="AO25" s="172"/>
    </row>
    <row r="26" spans="1:58" ht="15.95" customHeight="1">
      <c r="B26" s="170"/>
      <c r="AO26" s="172"/>
    </row>
    <row r="27" spans="1:58" ht="15.95" customHeight="1">
      <c r="B27" s="170"/>
      <c r="AO27" s="172"/>
    </row>
    <row r="28" spans="1:58" ht="15.95" customHeight="1">
      <c r="B28" s="170"/>
      <c r="C28" s="169" t="s">
        <v>3</v>
      </c>
      <c r="D28" s="169" t="s">
        <v>4</v>
      </c>
      <c r="AO28" s="172"/>
    </row>
    <row r="29" spans="1:58" ht="15.95" customHeight="1">
      <c r="B29" s="170"/>
      <c r="AO29" s="172"/>
    </row>
    <row r="30" spans="1:58" ht="15.95" customHeight="1">
      <c r="B30" s="170"/>
      <c r="D30" s="1565">
        <f>AK12</f>
        <v>50008</v>
      </c>
      <c r="E30" s="1565"/>
      <c r="F30" s="1565"/>
      <c r="G30" s="173" t="s">
        <v>79</v>
      </c>
      <c r="H30" s="1565" t="e">
        <f>Q21</f>
        <v>#REF!</v>
      </c>
      <c r="I30" s="1565"/>
      <c r="J30" s="1565"/>
      <c r="K30" s="173" t="s">
        <v>79</v>
      </c>
      <c r="L30" s="1565">
        <f>Q25</f>
        <v>9172</v>
      </c>
      <c r="M30" s="1565"/>
      <c r="N30" s="1565"/>
      <c r="P30" s="173" t="s">
        <v>91</v>
      </c>
      <c r="Q30" s="1565" t="e">
        <f>D30+H30+L30</f>
        <v>#REF!</v>
      </c>
      <c r="R30" s="1565"/>
      <c r="S30" s="1565"/>
      <c r="T30" s="169" t="s">
        <v>275</v>
      </c>
      <c r="AO30" s="172"/>
    </row>
    <row r="31" spans="1:58" ht="15.95" customHeight="1">
      <c r="B31" s="195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6"/>
      <c r="U31" s="196"/>
      <c r="V31" s="196"/>
      <c r="W31" s="196"/>
      <c r="X31" s="196"/>
      <c r="Y31" s="196"/>
      <c r="Z31" s="196"/>
      <c r="AA31" s="196"/>
      <c r="AB31" s="196"/>
      <c r="AC31" s="196"/>
      <c r="AD31" s="196"/>
      <c r="AE31" s="196"/>
      <c r="AF31" s="196"/>
      <c r="AG31" s="196"/>
      <c r="AH31" s="196"/>
      <c r="AI31" s="196"/>
      <c r="AJ31" s="196"/>
      <c r="AK31" s="196"/>
      <c r="AL31" s="196"/>
      <c r="AM31" s="196"/>
      <c r="AN31" s="196"/>
      <c r="AO31" s="197"/>
    </row>
    <row r="32" spans="1:58" s="480" customFormat="1" ht="15.95" hidden="1" customHeight="1">
      <c r="A32" s="1571" t="s">
        <v>847</v>
      </c>
      <c r="B32" s="1462"/>
      <c r="C32" s="1462"/>
      <c r="D32" s="1462"/>
      <c r="E32" s="1462"/>
      <c r="F32" s="1462"/>
      <c r="G32" s="1462"/>
      <c r="H32" s="1462"/>
      <c r="I32" s="1462"/>
      <c r="J32" s="1462"/>
      <c r="K32" s="1462"/>
      <c r="L32" s="1462"/>
      <c r="M32" s="1462"/>
      <c r="N32" s="1462"/>
      <c r="O32" s="1462"/>
      <c r="P32" s="1462"/>
      <c r="Q32" s="1462"/>
      <c r="R32" s="1462"/>
      <c r="S32" s="1462"/>
      <c r="T32" s="1462"/>
      <c r="U32" s="1462"/>
      <c r="V32" s="1462"/>
      <c r="W32" s="1462"/>
      <c r="X32" s="1462"/>
      <c r="Y32" s="1462"/>
      <c r="Z32" s="1462"/>
      <c r="AA32" s="1462"/>
      <c r="AB32" s="1462"/>
      <c r="AC32" s="1462"/>
      <c r="AD32" s="1462"/>
      <c r="AE32" s="1462"/>
      <c r="AF32" s="1462"/>
      <c r="AG32" s="1462"/>
      <c r="AH32" s="1462"/>
      <c r="AI32" s="1462"/>
      <c r="AJ32" s="1462"/>
      <c r="AK32" s="1462"/>
      <c r="AL32" s="1462"/>
      <c r="AM32" s="1462"/>
      <c r="AN32" s="1462"/>
      <c r="AO32" s="1462"/>
      <c r="BF32" s="478"/>
    </row>
    <row r="33" spans="2:58" s="164" customFormat="1" ht="15.95" hidden="1" customHeight="1">
      <c r="B33" s="165"/>
      <c r="C33" s="165"/>
      <c r="H33" s="165"/>
      <c r="I33" s="165"/>
      <c r="L33" s="163"/>
      <c r="M33" s="163"/>
      <c r="N33" s="163"/>
      <c r="O33" s="163"/>
      <c r="P33" s="163"/>
      <c r="Q33" s="163"/>
      <c r="R33" s="163"/>
      <c r="S33" s="163"/>
      <c r="T33" s="163"/>
      <c r="U33" s="163"/>
      <c r="V33" s="163"/>
      <c r="W33" s="163"/>
      <c r="X33" s="163"/>
      <c r="Z33" s="163"/>
      <c r="AA33" s="163"/>
      <c r="AB33" s="163"/>
      <c r="AC33" s="163"/>
      <c r="AD33" s="163"/>
      <c r="AE33" s="163"/>
      <c r="AF33" s="163"/>
      <c r="AG33" s="163"/>
      <c r="AH33" s="163"/>
      <c r="AI33" s="163"/>
      <c r="AJ33" s="163"/>
      <c r="AK33" s="163"/>
      <c r="BF33" s="165"/>
    </row>
    <row r="34" spans="2:58" ht="15.95" hidden="1" customHeight="1">
      <c r="B34" s="166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M34" s="167"/>
      <c r="N34" s="167"/>
      <c r="O34" s="167"/>
      <c r="P34" s="167"/>
      <c r="Q34" s="167"/>
      <c r="R34" s="167"/>
      <c r="S34" s="167"/>
      <c r="T34" s="167"/>
      <c r="U34" s="167"/>
      <c r="V34" s="167"/>
      <c r="W34" s="167"/>
      <c r="X34" s="167"/>
      <c r="Y34" s="167"/>
      <c r="Z34" s="167"/>
      <c r="AA34" s="167"/>
      <c r="AB34" s="167"/>
      <c r="AC34" s="167"/>
      <c r="AD34" s="167"/>
      <c r="AE34" s="167"/>
      <c r="AF34" s="167"/>
      <c r="AG34" s="167"/>
      <c r="AH34" s="167"/>
      <c r="AI34" s="167"/>
      <c r="AJ34" s="167"/>
      <c r="AK34" s="167"/>
      <c r="AL34" s="167"/>
      <c r="AM34" s="167"/>
      <c r="AN34" s="167"/>
      <c r="AO34" s="168"/>
    </row>
    <row r="35" spans="2:58" ht="15.95" hidden="1" customHeight="1">
      <c r="B35" s="170"/>
      <c r="Y35" s="169" t="s">
        <v>166</v>
      </c>
      <c r="AK35" s="1575">
        <v>42791</v>
      </c>
      <c r="AL35" s="1582"/>
      <c r="AM35" s="171" t="s">
        <v>107</v>
      </c>
      <c r="AO35" s="172"/>
      <c r="AP35" s="668" t="s">
        <v>533</v>
      </c>
    </row>
    <row r="36" spans="2:58" ht="15.95" hidden="1" customHeight="1">
      <c r="B36" s="170"/>
      <c r="C36" s="169" t="s">
        <v>270</v>
      </c>
      <c r="D36" s="169" t="s">
        <v>271</v>
      </c>
      <c r="AO36" s="172"/>
    </row>
    <row r="37" spans="2:58" ht="15.95" hidden="1" customHeight="1">
      <c r="B37" s="170"/>
      <c r="AO37" s="172"/>
    </row>
    <row r="38" spans="2:58" ht="15.95" hidden="1" customHeight="1">
      <c r="B38" s="170"/>
      <c r="C38" s="1583" t="s">
        <v>539</v>
      </c>
      <c r="D38" s="1567"/>
      <c r="E38" s="1567"/>
      <c r="F38" s="1567"/>
      <c r="G38" s="169" t="s">
        <v>82</v>
      </c>
      <c r="H38" s="173">
        <v>1</v>
      </c>
      <c r="I38" s="173" t="s">
        <v>272</v>
      </c>
      <c r="J38" s="173" t="s">
        <v>92</v>
      </c>
      <c r="K38" s="1577">
        <f>$AQ$7</f>
        <v>240042</v>
      </c>
      <c r="L38" s="1577"/>
      <c r="M38" s="1577"/>
      <c r="N38" s="173" t="s">
        <v>273</v>
      </c>
      <c r="O38" s="173" t="s">
        <v>92</v>
      </c>
      <c r="P38" s="174">
        <v>1</v>
      </c>
      <c r="Q38" s="175" t="s">
        <v>274</v>
      </c>
      <c r="R38" s="176">
        <v>8</v>
      </c>
      <c r="S38" s="173" t="s">
        <v>92</v>
      </c>
      <c r="T38" s="169">
        <v>25</v>
      </c>
      <c r="U38" s="175" t="s">
        <v>274</v>
      </c>
      <c r="V38" s="176">
        <v>20</v>
      </c>
      <c r="W38" s="173" t="s">
        <v>92</v>
      </c>
      <c r="X38" s="169">
        <v>16</v>
      </c>
      <c r="Y38" s="175" t="s">
        <v>274</v>
      </c>
      <c r="Z38" s="176">
        <v>12</v>
      </c>
      <c r="AA38" s="173" t="s">
        <v>91</v>
      </c>
      <c r="AB38" s="173"/>
      <c r="AC38" s="173"/>
      <c r="AD38" s="173"/>
      <c r="AE38" s="173"/>
      <c r="AF38" s="173"/>
      <c r="AG38" s="173"/>
      <c r="AH38" s="173"/>
      <c r="AI38" s="173"/>
      <c r="AJ38" s="173"/>
      <c r="AK38" s="1565">
        <f>INT(H38*K38*P38/R38*T38/V38*X38/Z38)</f>
        <v>50008</v>
      </c>
      <c r="AL38" s="1565"/>
      <c r="AM38" s="1565"/>
      <c r="AN38" s="169" t="s">
        <v>275</v>
      </c>
      <c r="AO38" s="172"/>
      <c r="AP38" s="49" t="s">
        <v>95</v>
      </c>
      <c r="AQ38" s="669">
        <f>VLOOKUP($AP$7,인건비!A:B,2,FALSE)</f>
        <v>240042</v>
      </c>
    </row>
    <row r="39" spans="2:58" ht="15.95" hidden="1" customHeight="1">
      <c r="B39" s="170"/>
      <c r="H39" s="173"/>
      <c r="I39" s="173"/>
      <c r="J39" s="173"/>
      <c r="K39" s="177"/>
      <c r="L39" s="177"/>
      <c r="M39" s="177"/>
      <c r="N39" s="173"/>
      <c r="O39" s="173"/>
      <c r="P39" s="174"/>
      <c r="Q39" s="175"/>
      <c r="R39" s="176"/>
      <c r="S39" s="173"/>
      <c r="U39" s="175"/>
      <c r="V39" s="176"/>
      <c r="W39" s="173"/>
      <c r="Y39" s="175"/>
      <c r="Z39" s="176"/>
      <c r="AA39" s="173"/>
      <c r="AB39" s="173"/>
      <c r="AC39" s="173"/>
      <c r="AD39" s="173"/>
      <c r="AE39" s="173"/>
      <c r="AF39" s="173"/>
      <c r="AG39" s="173"/>
      <c r="AH39" s="173"/>
      <c r="AI39" s="173"/>
      <c r="AJ39" s="173"/>
      <c r="AK39" s="173"/>
      <c r="AL39" s="173"/>
      <c r="AM39" s="173"/>
      <c r="AO39" s="172"/>
    </row>
    <row r="40" spans="2:58" ht="15.95" hidden="1" customHeight="1">
      <c r="B40" s="170"/>
      <c r="H40" s="173"/>
      <c r="I40" s="173"/>
      <c r="J40" s="173"/>
      <c r="K40" s="1577"/>
      <c r="L40" s="1577"/>
      <c r="M40" s="1577"/>
      <c r="N40" s="173"/>
      <c r="O40" s="173"/>
      <c r="P40" s="174"/>
      <c r="Q40" s="175"/>
      <c r="R40" s="176"/>
      <c r="S40" s="173"/>
      <c r="U40" s="175"/>
      <c r="V40" s="176"/>
      <c r="W40" s="173"/>
      <c r="Y40" s="175"/>
      <c r="Z40" s="176"/>
      <c r="AA40" s="173"/>
      <c r="AB40" s="173"/>
      <c r="AC40" s="173"/>
      <c r="AD40" s="173"/>
      <c r="AE40" s="173"/>
      <c r="AF40" s="173"/>
      <c r="AG40" s="173"/>
      <c r="AH40" s="173"/>
      <c r="AI40" s="173"/>
      <c r="AJ40" s="173"/>
      <c r="AK40" s="1565"/>
      <c r="AL40" s="1565"/>
      <c r="AM40" s="1565"/>
      <c r="AO40" s="172"/>
    </row>
    <row r="41" spans="2:58" ht="15.95" hidden="1" customHeight="1">
      <c r="B41" s="170"/>
      <c r="C41" s="178"/>
      <c r="D41" s="178"/>
      <c r="E41" s="178"/>
      <c r="F41" s="178"/>
      <c r="G41" s="178"/>
      <c r="H41" s="179"/>
      <c r="I41" s="179"/>
      <c r="J41" s="179"/>
      <c r="K41" s="180"/>
      <c r="L41" s="180"/>
      <c r="M41" s="180"/>
      <c r="N41" s="179"/>
      <c r="O41" s="179"/>
      <c r="P41" s="181"/>
      <c r="Q41" s="182"/>
      <c r="R41" s="183"/>
      <c r="S41" s="179"/>
      <c r="T41" s="178"/>
      <c r="U41" s="182"/>
      <c r="V41" s="183"/>
      <c r="W41" s="179"/>
      <c r="X41" s="178"/>
      <c r="Y41" s="182"/>
      <c r="Z41" s="183"/>
      <c r="AA41" s="179"/>
      <c r="AB41" s="179"/>
      <c r="AC41" s="179"/>
      <c r="AD41" s="179"/>
      <c r="AE41" s="179"/>
      <c r="AF41" s="179"/>
      <c r="AG41" s="179"/>
      <c r="AH41" s="179"/>
      <c r="AI41" s="179"/>
      <c r="AJ41" s="179"/>
      <c r="AK41" s="179"/>
      <c r="AL41" s="179"/>
      <c r="AM41" s="179"/>
      <c r="AN41" s="178"/>
      <c r="AO41" s="184"/>
    </row>
    <row r="42" spans="2:58" ht="15.95" hidden="1" customHeight="1">
      <c r="B42" s="170"/>
      <c r="C42" s="185"/>
      <c r="D42" s="185"/>
      <c r="E42" s="185"/>
      <c r="F42" s="185"/>
      <c r="G42" s="185"/>
      <c r="H42" s="186"/>
      <c r="I42" s="186"/>
      <c r="J42" s="186"/>
      <c r="K42" s="187"/>
      <c r="L42" s="187"/>
      <c r="M42" s="187"/>
      <c r="N42" s="186"/>
      <c r="O42" s="186"/>
      <c r="P42" s="188"/>
      <c r="Q42" s="189"/>
      <c r="R42" s="190"/>
      <c r="S42" s="186"/>
      <c r="T42" s="185"/>
      <c r="U42" s="189"/>
      <c r="V42" s="190"/>
      <c r="W42" s="186"/>
      <c r="X42" s="185"/>
      <c r="Y42" s="189"/>
      <c r="Z42" s="190"/>
      <c r="AA42" s="186"/>
      <c r="AB42" s="186"/>
      <c r="AC42" s="186"/>
      <c r="AD42" s="186"/>
      <c r="AE42" s="186"/>
      <c r="AF42" s="186"/>
      <c r="AG42" s="186"/>
      <c r="AH42" s="186"/>
      <c r="AI42" s="186"/>
      <c r="AJ42" s="186"/>
      <c r="AK42" s="186"/>
      <c r="AL42" s="186"/>
      <c r="AM42" s="186"/>
      <c r="AN42" s="185"/>
      <c r="AO42" s="191"/>
    </row>
    <row r="43" spans="2:58" ht="15.95" hidden="1" customHeight="1">
      <c r="B43" s="170"/>
      <c r="D43" s="169" t="s">
        <v>276</v>
      </c>
      <c r="H43" s="192"/>
      <c r="I43" s="192"/>
      <c r="J43" s="192"/>
      <c r="K43" s="177"/>
      <c r="L43" s="193"/>
      <c r="M43" s="193"/>
      <c r="N43" s="192"/>
      <c r="O43" s="173"/>
      <c r="P43" s="192"/>
      <c r="Q43" s="194"/>
      <c r="R43" s="192"/>
      <c r="U43" s="175"/>
      <c r="V43" s="176"/>
      <c r="W43" s="173"/>
      <c r="Y43" s="175"/>
      <c r="Z43" s="176"/>
      <c r="AA43" s="173"/>
      <c r="AB43" s="173"/>
      <c r="AC43" s="173"/>
      <c r="AD43" s="173"/>
      <c r="AE43" s="173"/>
      <c r="AF43" s="173"/>
      <c r="AG43" s="173"/>
      <c r="AH43" s="173"/>
      <c r="AI43" s="173"/>
      <c r="AJ43" s="173"/>
      <c r="AK43" s="1565">
        <f>INT(AK38+AK40)</f>
        <v>50008</v>
      </c>
      <c r="AL43" s="1565"/>
      <c r="AM43" s="1565"/>
      <c r="AN43" s="169" t="s">
        <v>275</v>
      </c>
      <c r="AO43" s="172"/>
    </row>
    <row r="44" spans="2:58" ht="15.95" hidden="1" customHeight="1">
      <c r="B44" s="170"/>
      <c r="AO44" s="172"/>
    </row>
    <row r="45" spans="2:58" ht="15.95" hidden="1" customHeight="1">
      <c r="B45" s="170"/>
      <c r="C45" s="477" t="s">
        <v>692</v>
      </c>
      <c r="D45" s="477" t="s">
        <v>696</v>
      </c>
      <c r="E45" s="477"/>
      <c r="AO45" s="172"/>
    </row>
    <row r="46" spans="2:58" ht="15.95" hidden="1" customHeight="1">
      <c r="B46" s="170"/>
      <c r="AO46" s="172"/>
    </row>
    <row r="47" spans="2:58" ht="15.95" hidden="1" customHeight="1">
      <c r="B47" s="170"/>
      <c r="D47" s="169" t="s">
        <v>277</v>
      </c>
      <c r="G47" s="169" t="s">
        <v>82</v>
      </c>
      <c r="H47" s="1579">
        <v>5.0999999999999996</v>
      </c>
      <c r="I47" s="1579"/>
      <c r="J47" s="174" t="s">
        <v>0</v>
      </c>
      <c r="L47" s="173" t="s">
        <v>92</v>
      </c>
      <c r="M47" s="1565" t="e">
        <f>#REF!</f>
        <v>#REF!</v>
      </c>
      <c r="N47" s="1565"/>
      <c r="O47" s="169" t="s">
        <v>273</v>
      </c>
      <c r="P47" s="173" t="s">
        <v>91</v>
      </c>
      <c r="Q47" s="1565" t="e">
        <f>INT(H47*M47)</f>
        <v>#REF!</v>
      </c>
      <c r="R47" s="1565"/>
      <c r="S47" s="1565"/>
      <c r="T47" s="169" t="s">
        <v>275</v>
      </c>
      <c r="AO47" s="172"/>
    </row>
    <row r="48" spans="2:58" ht="15.95" hidden="1" customHeight="1">
      <c r="B48" s="170"/>
      <c r="AO48" s="172"/>
    </row>
    <row r="49" spans="1:41" ht="15.95" hidden="1" customHeight="1">
      <c r="B49" s="170"/>
      <c r="D49" s="169" t="s">
        <v>1</v>
      </c>
      <c r="G49" s="169" t="s">
        <v>82</v>
      </c>
      <c r="H49" s="169" t="s">
        <v>2</v>
      </c>
      <c r="L49" s="173" t="s">
        <v>92</v>
      </c>
      <c r="M49" s="1572">
        <v>0.2</v>
      </c>
      <c r="N49" s="1572"/>
      <c r="P49" s="173" t="s">
        <v>91</v>
      </c>
      <c r="Q49" s="1565" t="e">
        <f>INT(Q47*M49)</f>
        <v>#REF!</v>
      </c>
      <c r="R49" s="1565"/>
      <c r="S49" s="1565"/>
      <c r="T49" s="169" t="s">
        <v>275</v>
      </c>
      <c r="AO49" s="172"/>
    </row>
    <row r="50" spans="1:41" ht="15.95" hidden="1" customHeight="1">
      <c r="B50" s="170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AO50" s="172"/>
    </row>
    <row r="51" spans="1:41" ht="15.95" hidden="1" customHeight="1">
      <c r="B51" s="170"/>
      <c r="AO51" s="172"/>
    </row>
    <row r="52" spans="1:41" ht="15.95" hidden="1" customHeight="1">
      <c r="B52" s="170"/>
      <c r="D52" s="169" t="s">
        <v>276</v>
      </c>
      <c r="Q52" s="1565" t="e">
        <f>INT(Q47+Q49)</f>
        <v>#REF!</v>
      </c>
      <c r="R52" s="1565"/>
      <c r="S52" s="1565"/>
      <c r="T52" s="169" t="s">
        <v>275</v>
      </c>
      <c r="AO52" s="172"/>
    </row>
    <row r="53" spans="1:41" ht="15.95" hidden="1" customHeight="1">
      <c r="B53" s="170"/>
      <c r="AO53" s="172"/>
    </row>
    <row r="54" spans="1:41" ht="15.95" hidden="1" customHeight="1">
      <c r="B54" s="170"/>
      <c r="C54" s="477" t="s">
        <v>694</v>
      </c>
      <c r="D54" s="477" t="s">
        <v>697</v>
      </c>
      <c r="E54" s="477"/>
      <c r="AO54" s="172"/>
    </row>
    <row r="55" spans="1:41" ht="15.95" hidden="1" customHeight="1">
      <c r="B55" s="170"/>
      <c r="AO55" s="172"/>
    </row>
    <row r="56" spans="1:41" ht="15.95" hidden="1" customHeight="1">
      <c r="B56" s="170"/>
      <c r="D56" s="1565">
        <v>2598</v>
      </c>
      <c r="E56" s="1565"/>
      <c r="F56" s="175" t="s">
        <v>274</v>
      </c>
      <c r="G56" s="1565">
        <v>10000000</v>
      </c>
      <c r="H56" s="1565"/>
      <c r="I56" s="1565"/>
      <c r="J56" s="1565"/>
      <c r="K56" s="173" t="s">
        <v>92</v>
      </c>
      <c r="L56" s="1574">
        <f>AK35</f>
        <v>42791</v>
      </c>
      <c r="M56" s="1574"/>
      <c r="N56" s="1574"/>
      <c r="O56" s="1574"/>
      <c r="P56" s="173" t="s">
        <v>91</v>
      </c>
      <c r="Q56" s="1565">
        <f>INT(D56/G56*L56*1000)</f>
        <v>11117</v>
      </c>
      <c r="R56" s="1565"/>
      <c r="S56" s="1565"/>
      <c r="T56" s="169" t="s">
        <v>275</v>
      </c>
      <c r="AO56" s="172"/>
    </row>
    <row r="57" spans="1:41" ht="15.95" hidden="1" customHeight="1">
      <c r="B57" s="170"/>
      <c r="AO57" s="172"/>
    </row>
    <row r="58" spans="1:41" ht="15.95" hidden="1" customHeight="1">
      <c r="B58" s="170"/>
      <c r="AO58" s="172"/>
    </row>
    <row r="59" spans="1:41" ht="15.95" hidden="1" customHeight="1">
      <c r="B59" s="170"/>
      <c r="C59" s="169" t="s">
        <v>3</v>
      </c>
      <c r="D59" s="169" t="s">
        <v>4</v>
      </c>
      <c r="AO59" s="172"/>
    </row>
    <row r="60" spans="1:41" ht="15.95" hidden="1" customHeight="1">
      <c r="B60" s="170"/>
      <c r="AO60" s="172"/>
    </row>
    <row r="61" spans="1:41" ht="15.95" hidden="1" customHeight="1">
      <c r="B61" s="170"/>
      <c r="D61" s="1565">
        <f>AK43</f>
        <v>50008</v>
      </c>
      <c r="E61" s="1565"/>
      <c r="F61" s="1565"/>
      <c r="G61" s="173" t="s">
        <v>79</v>
      </c>
      <c r="H61" s="1565" t="e">
        <f>Q52</f>
        <v>#REF!</v>
      </c>
      <c r="I61" s="1565"/>
      <c r="J61" s="1565"/>
      <c r="K61" s="173" t="s">
        <v>79</v>
      </c>
      <c r="L61" s="1565">
        <f>Q56</f>
        <v>11117</v>
      </c>
      <c r="M61" s="1565"/>
      <c r="N61" s="1565"/>
      <c r="P61" s="173" t="s">
        <v>91</v>
      </c>
      <c r="Q61" s="1565" t="e">
        <f>D61+H61+L61</f>
        <v>#REF!</v>
      </c>
      <c r="R61" s="1565"/>
      <c r="S61" s="1565"/>
      <c r="T61" s="169" t="s">
        <v>275</v>
      </c>
      <c r="AO61" s="172"/>
    </row>
    <row r="62" spans="1:41" ht="15.95" hidden="1" customHeight="1">
      <c r="B62" s="195"/>
      <c r="C62" s="196"/>
      <c r="D62" s="196"/>
      <c r="E62" s="196"/>
      <c r="F62" s="196"/>
      <c r="G62" s="196"/>
      <c r="H62" s="196"/>
      <c r="I62" s="196"/>
      <c r="J62" s="196"/>
      <c r="K62" s="196"/>
      <c r="L62" s="196"/>
      <c r="M62" s="196"/>
      <c r="N62" s="196"/>
      <c r="O62" s="196"/>
      <c r="P62" s="196"/>
      <c r="Q62" s="196"/>
      <c r="R62" s="196"/>
      <c r="S62" s="196"/>
      <c r="T62" s="196"/>
      <c r="U62" s="196"/>
      <c r="V62" s="196"/>
      <c r="W62" s="196"/>
      <c r="X62" s="196"/>
      <c r="Y62" s="196"/>
      <c r="Z62" s="196"/>
      <c r="AA62" s="196"/>
      <c r="AB62" s="196"/>
      <c r="AC62" s="196"/>
      <c r="AD62" s="196"/>
      <c r="AE62" s="196"/>
      <c r="AF62" s="196"/>
      <c r="AG62" s="196"/>
      <c r="AH62" s="196"/>
      <c r="AI62" s="196"/>
      <c r="AJ62" s="196"/>
      <c r="AK62" s="196"/>
      <c r="AL62" s="196"/>
      <c r="AM62" s="196"/>
      <c r="AN62" s="196"/>
      <c r="AO62" s="197"/>
    </row>
    <row r="63" spans="1:41" s="479" customFormat="1" ht="15.95" customHeight="1">
      <c r="A63" s="1571" t="s">
        <v>1065</v>
      </c>
      <c r="B63" s="1462"/>
      <c r="C63" s="1462"/>
      <c r="D63" s="1462"/>
      <c r="E63" s="1462"/>
      <c r="F63" s="1462"/>
      <c r="G63" s="1462"/>
      <c r="H63" s="1462"/>
      <c r="I63" s="1462"/>
      <c r="J63" s="1462"/>
      <c r="K63" s="1462"/>
      <c r="L63" s="1462"/>
      <c r="M63" s="1462"/>
      <c r="N63" s="1462"/>
      <c r="O63" s="1462"/>
      <c r="P63" s="1462"/>
      <c r="Q63" s="1462"/>
      <c r="R63" s="1462"/>
      <c r="S63" s="1462"/>
      <c r="T63" s="1462"/>
      <c r="U63" s="1462"/>
      <c r="V63" s="1462"/>
      <c r="W63" s="1462"/>
      <c r="X63" s="1462"/>
      <c r="Y63" s="1462"/>
      <c r="Z63" s="1462"/>
      <c r="AA63" s="1462"/>
      <c r="AB63" s="1462"/>
      <c r="AC63" s="1462"/>
      <c r="AD63" s="1462"/>
      <c r="AE63" s="1462"/>
      <c r="AF63" s="1462"/>
      <c r="AG63" s="1462"/>
      <c r="AH63" s="1462"/>
      <c r="AI63" s="1462"/>
      <c r="AJ63" s="1462"/>
      <c r="AK63" s="1462"/>
      <c r="AL63" s="1462"/>
      <c r="AM63" s="1462"/>
      <c r="AN63" s="1462"/>
      <c r="AO63" s="1462"/>
    </row>
    <row r="65" spans="2:41" ht="15.95" customHeight="1">
      <c r="B65" s="166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  <c r="S65" s="167"/>
      <c r="T65" s="167"/>
      <c r="U65" s="167"/>
      <c r="V65" s="167"/>
      <c r="W65" s="167"/>
      <c r="X65" s="167"/>
      <c r="Y65" s="167"/>
      <c r="Z65" s="167"/>
      <c r="AA65" s="167"/>
      <c r="AB65" s="167"/>
      <c r="AC65" s="167"/>
      <c r="AD65" s="167"/>
      <c r="AE65" s="167"/>
      <c r="AF65" s="167"/>
      <c r="AG65" s="167"/>
      <c r="AH65" s="167"/>
      <c r="AI65" s="167"/>
      <c r="AJ65" s="167"/>
      <c r="AK65" s="167"/>
      <c r="AL65" s="167"/>
      <c r="AM65" s="167"/>
      <c r="AN65" s="167"/>
      <c r="AO65" s="168"/>
    </row>
    <row r="66" spans="2:41" ht="15.95" customHeight="1">
      <c r="B66" s="170"/>
      <c r="C66" s="198" t="s">
        <v>5</v>
      </c>
      <c r="D66" s="169" t="s">
        <v>353</v>
      </c>
      <c r="AO66" s="172"/>
    </row>
    <row r="67" spans="2:41" ht="15.95" customHeight="1">
      <c r="B67" s="170"/>
      <c r="AO67" s="172"/>
    </row>
    <row r="68" spans="2:41" ht="18" customHeight="1">
      <c r="B68" s="170"/>
      <c r="D68" s="1565" t="s">
        <v>6</v>
      </c>
      <c r="E68" s="1565" t="s">
        <v>91</v>
      </c>
      <c r="F68" s="1565" t="s">
        <v>7</v>
      </c>
      <c r="G68" s="1565"/>
      <c r="H68" s="1565" t="s">
        <v>91</v>
      </c>
      <c r="I68" s="1565">
        <v>33</v>
      </c>
      <c r="J68" s="1565"/>
      <c r="K68" s="1565" t="s">
        <v>91</v>
      </c>
      <c r="L68" s="1572">
        <f>(I68/I69)</f>
        <v>36.666666666666664</v>
      </c>
      <c r="M68" s="1572"/>
      <c r="N68" s="1565" t="s">
        <v>8</v>
      </c>
      <c r="O68" s="1565"/>
      <c r="AO68" s="172"/>
    </row>
    <row r="69" spans="2:41" ht="18" customHeight="1">
      <c r="B69" s="170"/>
      <c r="D69" s="1565"/>
      <c r="E69" s="1565"/>
      <c r="F69" s="1566" t="s">
        <v>9</v>
      </c>
      <c r="G69" s="1566"/>
      <c r="H69" s="1565"/>
      <c r="I69" s="1573">
        <v>0.9</v>
      </c>
      <c r="J69" s="1573"/>
      <c r="K69" s="1565"/>
      <c r="L69" s="1572"/>
      <c r="M69" s="1572"/>
      <c r="N69" s="1565"/>
      <c r="O69" s="1565"/>
      <c r="AO69" s="172"/>
    </row>
    <row r="70" spans="2:41" ht="15.95" customHeight="1">
      <c r="B70" s="170"/>
      <c r="AO70" s="172"/>
    </row>
    <row r="71" spans="2:41" ht="15.95" customHeight="1">
      <c r="B71" s="170"/>
      <c r="D71" s="169" t="s">
        <v>10</v>
      </c>
      <c r="F71" s="169" t="s">
        <v>6</v>
      </c>
      <c r="G71" s="169" t="s">
        <v>82</v>
      </c>
      <c r="H71" s="169" t="s">
        <v>11</v>
      </c>
      <c r="AO71" s="172"/>
    </row>
    <row r="72" spans="2:41" ht="15.95" customHeight="1">
      <c r="B72" s="170"/>
      <c r="AO72" s="172"/>
    </row>
    <row r="73" spans="2:41" ht="15.95" customHeight="1">
      <c r="B73" s="170"/>
      <c r="F73" s="169" t="s">
        <v>7</v>
      </c>
      <c r="G73" s="169" t="s">
        <v>82</v>
      </c>
      <c r="H73" s="169" t="s">
        <v>12</v>
      </c>
      <c r="AO73" s="172"/>
    </row>
    <row r="74" spans="2:41" ht="15.95" customHeight="1">
      <c r="B74" s="170"/>
      <c r="AO74" s="172"/>
    </row>
    <row r="75" spans="2:41" ht="15.95" customHeight="1">
      <c r="B75" s="170"/>
      <c r="F75" s="169" t="s">
        <v>9</v>
      </c>
      <c r="G75" s="169" t="s">
        <v>82</v>
      </c>
      <c r="H75" s="169" t="s">
        <v>18</v>
      </c>
      <c r="AO75" s="172"/>
    </row>
    <row r="76" spans="2:41" ht="15.95" customHeight="1">
      <c r="B76" s="170"/>
      <c r="V76" s="199"/>
      <c r="W76" s="199"/>
      <c r="X76" s="199"/>
      <c r="Y76" s="199"/>
      <c r="Z76" s="199"/>
      <c r="AA76" s="199"/>
      <c r="AB76" s="199"/>
      <c r="AC76" s="199"/>
      <c r="AD76" s="199"/>
      <c r="AE76" s="199"/>
      <c r="AF76" s="199"/>
      <c r="AG76" s="199"/>
      <c r="AH76" s="199"/>
      <c r="AI76" s="199"/>
      <c r="AJ76" s="199"/>
      <c r="AK76" s="199"/>
      <c r="AL76" s="199"/>
      <c r="AM76" s="199"/>
      <c r="AN76" s="199"/>
      <c r="AO76" s="172"/>
    </row>
    <row r="77" spans="2:41" ht="15.95" customHeight="1">
      <c r="B77" s="170"/>
      <c r="AO77" s="172"/>
    </row>
    <row r="78" spans="2:41" ht="15.95" customHeight="1">
      <c r="B78" s="170"/>
      <c r="C78" s="198" t="s">
        <v>19</v>
      </c>
      <c r="D78" s="169" t="s">
        <v>20</v>
      </c>
      <c r="AO78" s="172"/>
    </row>
    <row r="79" spans="2:41" ht="15.95" customHeight="1">
      <c r="B79" s="170"/>
      <c r="AO79" s="172"/>
    </row>
    <row r="80" spans="2:41" ht="18" customHeight="1">
      <c r="B80" s="170"/>
      <c r="D80" s="1565" t="s">
        <v>21</v>
      </c>
      <c r="E80" s="1565"/>
      <c r="F80" s="1565"/>
      <c r="G80" s="1565"/>
      <c r="H80" s="1565"/>
      <c r="I80" s="1565">
        <f>$AK$12</f>
        <v>50008</v>
      </c>
      <c r="J80" s="1565"/>
      <c r="K80" s="1565"/>
      <c r="L80" s="1565" t="s">
        <v>22</v>
      </c>
      <c r="M80" s="1565"/>
      <c r="O80" s="1565" t="s">
        <v>92</v>
      </c>
      <c r="Q80" s="1565" t="s">
        <v>6</v>
      </c>
      <c r="R80" s="1565"/>
      <c r="T80" s="1565" t="s">
        <v>91</v>
      </c>
      <c r="U80" s="1565">
        <f>INT(I80*L68/60)</f>
        <v>30560</v>
      </c>
      <c r="V80" s="1565"/>
      <c r="W80" s="1565"/>
      <c r="X80" s="1565" t="s">
        <v>23</v>
      </c>
      <c r="Y80" s="1565"/>
      <c r="AO80" s="172"/>
    </row>
    <row r="81" spans="1:41" ht="18" customHeight="1">
      <c r="B81" s="170"/>
      <c r="D81" s="1565"/>
      <c r="E81" s="1565"/>
      <c r="F81" s="1565"/>
      <c r="G81" s="1565"/>
      <c r="H81" s="1565"/>
      <c r="I81" s="1565"/>
      <c r="J81" s="1565"/>
      <c r="K81" s="1565"/>
      <c r="L81" s="1565"/>
      <c r="M81" s="1565"/>
      <c r="O81" s="1565"/>
      <c r="Q81" s="1566">
        <v>60</v>
      </c>
      <c r="R81" s="1566"/>
      <c r="T81" s="1565"/>
      <c r="U81" s="1565"/>
      <c r="V81" s="1565"/>
      <c r="W81" s="1565"/>
      <c r="X81" s="1565"/>
      <c r="Y81" s="1565"/>
      <c r="AO81" s="172"/>
    </row>
    <row r="82" spans="1:41" ht="18" customHeight="1">
      <c r="B82" s="170"/>
      <c r="D82" s="173"/>
      <c r="E82" s="1567" t="s">
        <v>167</v>
      </c>
      <c r="F82" s="1567"/>
      <c r="G82" s="1567"/>
      <c r="H82" s="173"/>
      <c r="I82" s="1567">
        <f>VLOOKUP($E82,인건비!A:B,2,FALSE)</f>
        <v>276108</v>
      </c>
      <c r="J82" s="1567"/>
      <c r="K82" s="1567"/>
      <c r="L82" s="173"/>
      <c r="M82" s="173"/>
      <c r="O82" s="173" t="s">
        <v>92</v>
      </c>
      <c r="P82" s="1568">
        <v>0.31</v>
      </c>
      <c r="Q82" s="1569"/>
      <c r="R82" s="1569"/>
      <c r="T82" s="173" t="s">
        <v>91</v>
      </c>
      <c r="U82" s="1567">
        <f>INT(I82*P82)</f>
        <v>85593</v>
      </c>
      <c r="V82" s="1567"/>
      <c r="W82" s="1567"/>
      <c r="X82" s="176" t="s">
        <v>168</v>
      </c>
      <c r="Y82" s="173"/>
      <c r="AO82" s="172"/>
    </row>
    <row r="83" spans="1:41" ht="15.95" customHeight="1">
      <c r="B83" s="170"/>
      <c r="D83" s="185"/>
      <c r="E83" s="185"/>
      <c r="F83" s="185"/>
      <c r="G83" s="185"/>
      <c r="H83" s="185"/>
      <c r="I83" s="185"/>
      <c r="J83" s="185"/>
      <c r="K83" s="185"/>
      <c r="L83" s="185"/>
      <c r="M83" s="185"/>
      <c r="N83" s="185"/>
      <c r="O83" s="185"/>
      <c r="P83" s="185"/>
      <c r="Q83" s="185"/>
      <c r="R83" s="185" t="s">
        <v>276</v>
      </c>
      <c r="S83" s="185"/>
      <c r="T83" s="185"/>
      <c r="U83" s="1570">
        <f>U80+U82</f>
        <v>116153</v>
      </c>
      <c r="V83" s="1570"/>
      <c r="W83" s="1570"/>
      <c r="X83" s="185"/>
      <c r="Y83" s="185"/>
      <c r="Z83" s="185"/>
      <c r="AO83" s="172"/>
    </row>
    <row r="84" spans="1:41" ht="18" customHeight="1">
      <c r="B84" s="170"/>
      <c r="D84" s="1565" t="s">
        <v>24</v>
      </c>
      <c r="E84" s="1565"/>
      <c r="F84" s="1565"/>
      <c r="G84" s="1565"/>
      <c r="H84" s="1565"/>
      <c r="I84" s="1565" t="e">
        <f>$Q$21</f>
        <v>#REF!</v>
      </c>
      <c r="J84" s="1565"/>
      <c r="K84" s="1565"/>
      <c r="L84" s="1565" t="s">
        <v>22</v>
      </c>
      <c r="M84" s="1565"/>
      <c r="O84" s="1565" t="s">
        <v>92</v>
      </c>
      <c r="Q84" s="1565" t="s">
        <v>6</v>
      </c>
      <c r="R84" s="1565"/>
      <c r="T84" s="1565" t="s">
        <v>91</v>
      </c>
      <c r="U84" s="1565" t="e">
        <f>INT(I84*L68/60)</f>
        <v>#REF!</v>
      </c>
      <c r="V84" s="1565"/>
      <c r="W84" s="1565"/>
      <c r="X84" s="1565" t="s">
        <v>23</v>
      </c>
      <c r="Y84" s="1565"/>
      <c r="AO84" s="172"/>
    </row>
    <row r="85" spans="1:41" ht="18" customHeight="1">
      <c r="B85" s="170"/>
      <c r="D85" s="1565"/>
      <c r="E85" s="1565"/>
      <c r="F85" s="1565"/>
      <c r="G85" s="1565"/>
      <c r="H85" s="1565"/>
      <c r="I85" s="1565"/>
      <c r="J85" s="1565"/>
      <c r="K85" s="1565"/>
      <c r="L85" s="1565"/>
      <c r="M85" s="1565"/>
      <c r="O85" s="1565"/>
      <c r="Q85" s="1566">
        <v>60</v>
      </c>
      <c r="R85" s="1566"/>
      <c r="T85" s="1565"/>
      <c r="U85" s="1565"/>
      <c r="V85" s="1565"/>
      <c r="W85" s="1565"/>
      <c r="X85" s="1565"/>
      <c r="Y85" s="1565"/>
      <c r="AO85" s="172"/>
    </row>
    <row r="86" spans="1:41" ht="15.95" customHeight="1">
      <c r="B86" s="170"/>
      <c r="AO86" s="172"/>
    </row>
    <row r="87" spans="1:41" ht="18" customHeight="1">
      <c r="B87" s="170"/>
      <c r="D87" s="1565" t="s">
        <v>25</v>
      </c>
      <c r="E87" s="1565"/>
      <c r="F87" s="1565"/>
      <c r="G87" s="1565"/>
      <c r="H87" s="1565"/>
      <c r="I87" s="1565">
        <f>$Q$25</f>
        <v>9172</v>
      </c>
      <c r="J87" s="1565"/>
      <c r="K87" s="1565"/>
      <c r="L87" s="1565" t="s">
        <v>22</v>
      </c>
      <c r="M87" s="1565"/>
      <c r="O87" s="1565" t="s">
        <v>92</v>
      </c>
      <c r="Q87" s="1565" t="s">
        <v>6</v>
      </c>
      <c r="R87" s="1565"/>
      <c r="T87" s="1565" t="s">
        <v>91</v>
      </c>
      <c r="U87" s="1565">
        <f>INT(I87*L68/60)</f>
        <v>5605</v>
      </c>
      <c r="V87" s="1565"/>
      <c r="W87" s="1565"/>
      <c r="X87" s="1565" t="s">
        <v>23</v>
      </c>
      <c r="Y87" s="1565"/>
      <c r="AO87" s="172"/>
    </row>
    <row r="88" spans="1:41" ht="18" customHeight="1">
      <c r="B88" s="170"/>
      <c r="D88" s="1565"/>
      <c r="E88" s="1565"/>
      <c r="F88" s="1565"/>
      <c r="G88" s="1565"/>
      <c r="H88" s="1565"/>
      <c r="I88" s="1565"/>
      <c r="J88" s="1565"/>
      <c r="K88" s="1565"/>
      <c r="L88" s="1565"/>
      <c r="M88" s="1565"/>
      <c r="O88" s="1565"/>
      <c r="Q88" s="1566">
        <v>60</v>
      </c>
      <c r="R88" s="1566"/>
      <c r="T88" s="1565"/>
      <c r="U88" s="1565"/>
      <c r="V88" s="1565"/>
      <c r="W88" s="1565"/>
      <c r="X88" s="1565"/>
      <c r="Y88" s="1565"/>
      <c r="AO88" s="172"/>
    </row>
    <row r="89" spans="1:41" ht="15.95" customHeight="1">
      <c r="B89" s="170"/>
      <c r="AO89" s="172"/>
    </row>
    <row r="90" spans="1:41" ht="15.95" customHeight="1">
      <c r="B90" s="170"/>
      <c r="C90" s="185"/>
      <c r="D90" s="185"/>
      <c r="E90" s="185"/>
      <c r="F90" s="185"/>
      <c r="G90" s="185"/>
      <c r="H90" s="185"/>
      <c r="I90" s="185"/>
      <c r="J90" s="185"/>
      <c r="K90" s="185"/>
      <c r="L90" s="185"/>
      <c r="M90" s="185"/>
      <c r="N90" s="185"/>
      <c r="O90" s="185"/>
      <c r="P90" s="185"/>
      <c r="Q90" s="185"/>
      <c r="R90" s="185"/>
      <c r="S90" s="185"/>
      <c r="T90" s="185"/>
      <c r="U90" s="185"/>
      <c r="V90" s="185"/>
      <c r="W90" s="185"/>
      <c r="X90" s="185"/>
      <c r="Y90" s="185"/>
      <c r="Z90" s="185"/>
      <c r="AO90" s="172"/>
    </row>
    <row r="91" spans="1:41" ht="15.95" customHeight="1">
      <c r="B91" s="170"/>
      <c r="R91" s="169" t="s">
        <v>276</v>
      </c>
      <c r="U91" s="1565" t="e">
        <f>U83+U84+U87</f>
        <v>#REF!</v>
      </c>
      <c r="V91" s="1565"/>
      <c r="W91" s="1565"/>
      <c r="X91" s="169" t="s">
        <v>269</v>
      </c>
      <c r="AO91" s="172"/>
    </row>
    <row r="92" spans="1:41" ht="15.95" customHeight="1">
      <c r="B92" s="195"/>
      <c r="C92" s="196"/>
      <c r="D92" s="196"/>
      <c r="E92" s="196"/>
      <c r="F92" s="196"/>
      <c r="G92" s="196"/>
      <c r="H92" s="196"/>
      <c r="I92" s="196"/>
      <c r="J92" s="196"/>
      <c r="K92" s="196"/>
      <c r="L92" s="196"/>
      <c r="M92" s="196"/>
      <c r="N92" s="196"/>
      <c r="O92" s="196"/>
      <c r="P92" s="196"/>
      <c r="Q92" s="196"/>
      <c r="R92" s="196"/>
      <c r="S92" s="196"/>
      <c r="T92" s="196"/>
      <c r="U92" s="196"/>
      <c r="V92" s="196"/>
      <c r="W92" s="196"/>
      <c r="X92" s="196"/>
      <c r="Y92" s="196"/>
      <c r="Z92" s="196"/>
      <c r="AA92" s="196"/>
      <c r="AB92" s="196"/>
      <c r="AC92" s="196"/>
      <c r="AD92" s="196"/>
      <c r="AE92" s="196"/>
      <c r="AF92" s="196"/>
      <c r="AG92" s="196"/>
      <c r="AH92" s="196"/>
      <c r="AI92" s="196"/>
      <c r="AJ92" s="196"/>
      <c r="AK92" s="196"/>
      <c r="AL92" s="196"/>
      <c r="AM92" s="196"/>
      <c r="AN92" s="196"/>
      <c r="AO92" s="197"/>
    </row>
    <row r="93" spans="1:41" s="479" customFormat="1" ht="15.95" hidden="1" customHeight="1">
      <c r="A93" s="1571" t="s">
        <v>593</v>
      </c>
      <c r="B93" s="1462"/>
      <c r="C93" s="1462"/>
      <c r="D93" s="1462"/>
      <c r="E93" s="1462"/>
      <c r="F93" s="1462"/>
      <c r="G93" s="1462"/>
      <c r="H93" s="1462"/>
      <c r="I93" s="1462"/>
      <c r="J93" s="1462"/>
      <c r="K93" s="1462"/>
      <c r="L93" s="1462"/>
      <c r="M93" s="1462"/>
      <c r="N93" s="1462"/>
      <c r="O93" s="1462"/>
      <c r="P93" s="1462"/>
      <c r="Q93" s="1462"/>
      <c r="R93" s="1462"/>
      <c r="S93" s="1462"/>
      <c r="T93" s="1462"/>
      <c r="U93" s="1462"/>
      <c r="V93" s="1462"/>
      <c r="W93" s="1462"/>
      <c r="X93" s="1462"/>
      <c r="Y93" s="1462"/>
      <c r="Z93" s="1462"/>
      <c r="AA93" s="1462"/>
      <c r="AB93" s="1462"/>
      <c r="AC93" s="1462"/>
      <c r="AD93" s="1462"/>
      <c r="AE93" s="1462"/>
      <c r="AF93" s="1462"/>
      <c r="AG93" s="1462"/>
      <c r="AH93" s="1462"/>
      <c r="AI93" s="1462"/>
      <c r="AJ93" s="1462"/>
      <c r="AK93" s="1462"/>
      <c r="AL93" s="1462"/>
      <c r="AM93" s="1462"/>
      <c r="AN93" s="1462"/>
      <c r="AO93" s="1462"/>
    </row>
    <row r="94" spans="1:41" ht="15.95" hidden="1" customHeight="1"/>
    <row r="95" spans="1:41" ht="15.95" hidden="1" customHeight="1">
      <c r="B95" s="166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67"/>
      <c r="T95" s="167"/>
      <c r="U95" s="167"/>
      <c r="V95" s="167"/>
      <c r="W95" s="167"/>
      <c r="X95" s="167"/>
      <c r="Y95" s="167"/>
      <c r="Z95" s="167"/>
      <c r="AA95" s="167"/>
      <c r="AB95" s="167"/>
      <c r="AC95" s="167"/>
      <c r="AD95" s="167"/>
      <c r="AE95" s="167"/>
      <c r="AF95" s="167"/>
      <c r="AG95" s="167"/>
      <c r="AH95" s="167"/>
      <c r="AI95" s="167"/>
      <c r="AJ95" s="167"/>
      <c r="AK95" s="167"/>
      <c r="AL95" s="167"/>
      <c r="AM95" s="167"/>
      <c r="AN95" s="167"/>
      <c r="AO95" s="168"/>
    </row>
    <row r="96" spans="1:41" ht="15.95" hidden="1" customHeight="1">
      <c r="B96" s="170"/>
      <c r="C96" s="198" t="s">
        <v>5</v>
      </c>
      <c r="D96" s="169" t="s">
        <v>353</v>
      </c>
      <c r="AO96" s="172"/>
    </row>
    <row r="97" spans="2:41" ht="15.95" hidden="1" customHeight="1">
      <c r="B97" s="170"/>
      <c r="AO97" s="172"/>
    </row>
    <row r="98" spans="2:41" ht="18" hidden="1" customHeight="1">
      <c r="B98" s="170"/>
      <c r="D98" s="1565" t="s">
        <v>6</v>
      </c>
      <c r="E98" s="1565" t="s">
        <v>91</v>
      </c>
      <c r="F98" s="1565" t="s">
        <v>7</v>
      </c>
      <c r="G98" s="1565"/>
      <c r="H98" s="1565" t="s">
        <v>91</v>
      </c>
      <c r="I98" s="1565">
        <v>36</v>
      </c>
      <c r="J98" s="1565"/>
      <c r="K98" s="1565" t="s">
        <v>91</v>
      </c>
      <c r="L98" s="1572">
        <f>(I98/I99)</f>
        <v>40</v>
      </c>
      <c r="M98" s="1572"/>
      <c r="N98" s="1565" t="s">
        <v>8</v>
      </c>
      <c r="O98" s="1565"/>
      <c r="AO98" s="172"/>
    </row>
    <row r="99" spans="2:41" ht="18" hidden="1" customHeight="1">
      <c r="B99" s="170"/>
      <c r="D99" s="1565"/>
      <c r="E99" s="1565"/>
      <c r="F99" s="1566" t="s">
        <v>9</v>
      </c>
      <c r="G99" s="1566"/>
      <c r="H99" s="1565"/>
      <c r="I99" s="1573">
        <v>0.9</v>
      </c>
      <c r="J99" s="1573"/>
      <c r="K99" s="1565"/>
      <c r="L99" s="1572"/>
      <c r="M99" s="1572"/>
      <c r="N99" s="1565"/>
      <c r="O99" s="1565"/>
      <c r="AO99" s="172"/>
    </row>
    <row r="100" spans="2:41" ht="15.95" hidden="1" customHeight="1">
      <c r="B100" s="170"/>
      <c r="AO100" s="172"/>
    </row>
    <row r="101" spans="2:41" ht="15.95" hidden="1" customHeight="1">
      <c r="B101" s="170"/>
      <c r="D101" s="169" t="s">
        <v>10</v>
      </c>
      <c r="F101" s="169" t="s">
        <v>6</v>
      </c>
      <c r="G101" s="169" t="s">
        <v>82</v>
      </c>
      <c r="H101" s="169" t="s">
        <v>11</v>
      </c>
      <c r="AO101" s="172"/>
    </row>
    <row r="102" spans="2:41" ht="15.95" hidden="1" customHeight="1">
      <c r="B102" s="170"/>
      <c r="AO102" s="172"/>
    </row>
    <row r="103" spans="2:41" ht="15.95" hidden="1" customHeight="1">
      <c r="B103" s="170"/>
      <c r="F103" s="169" t="s">
        <v>7</v>
      </c>
      <c r="G103" s="169" t="s">
        <v>82</v>
      </c>
      <c r="H103" s="169" t="s">
        <v>12</v>
      </c>
      <c r="AO103" s="172"/>
    </row>
    <row r="104" spans="2:41" ht="15.95" hidden="1" customHeight="1">
      <c r="B104" s="170"/>
      <c r="AO104" s="172"/>
    </row>
    <row r="105" spans="2:41" ht="15.95" hidden="1" customHeight="1">
      <c r="B105" s="170"/>
      <c r="F105" s="169" t="s">
        <v>9</v>
      </c>
      <c r="G105" s="169" t="s">
        <v>82</v>
      </c>
      <c r="H105" s="169" t="s">
        <v>18</v>
      </c>
      <c r="AO105" s="172"/>
    </row>
    <row r="106" spans="2:41" ht="15.95" hidden="1" customHeight="1">
      <c r="B106" s="170"/>
      <c r="V106" s="199"/>
      <c r="W106" s="199"/>
      <c r="X106" s="199"/>
      <c r="Y106" s="199"/>
      <c r="Z106" s="199"/>
      <c r="AA106" s="199"/>
      <c r="AB106" s="199"/>
      <c r="AC106" s="199"/>
      <c r="AD106" s="199"/>
      <c r="AE106" s="199"/>
      <c r="AF106" s="199"/>
      <c r="AG106" s="199"/>
      <c r="AH106" s="199"/>
      <c r="AI106" s="199"/>
      <c r="AJ106" s="199"/>
      <c r="AK106" s="199"/>
      <c r="AL106" s="199"/>
      <c r="AM106" s="199"/>
      <c r="AN106" s="199"/>
      <c r="AO106" s="172"/>
    </row>
    <row r="107" spans="2:41" ht="15.95" hidden="1" customHeight="1">
      <c r="B107" s="170"/>
      <c r="AO107" s="172"/>
    </row>
    <row r="108" spans="2:41" ht="15.95" hidden="1" customHeight="1">
      <c r="B108" s="170"/>
      <c r="C108" s="198" t="s">
        <v>19</v>
      </c>
      <c r="D108" s="169" t="s">
        <v>20</v>
      </c>
      <c r="AO108" s="172"/>
    </row>
    <row r="109" spans="2:41" ht="15.95" hidden="1" customHeight="1">
      <c r="B109" s="170"/>
      <c r="AO109" s="172"/>
    </row>
    <row r="110" spans="2:41" ht="18" hidden="1" customHeight="1">
      <c r="B110" s="170"/>
      <c r="D110" s="1565" t="s">
        <v>21</v>
      </c>
      <c r="E110" s="1565"/>
      <c r="F110" s="1565"/>
      <c r="G110" s="1565"/>
      <c r="H110" s="1565"/>
      <c r="I110" s="1565">
        <f>$AK$43</f>
        <v>50008</v>
      </c>
      <c r="J110" s="1565"/>
      <c r="K110" s="1565"/>
      <c r="L110" s="1565" t="s">
        <v>22</v>
      </c>
      <c r="M110" s="1565"/>
      <c r="O110" s="1565" t="s">
        <v>92</v>
      </c>
      <c r="Q110" s="1565" t="s">
        <v>6</v>
      </c>
      <c r="R110" s="1565"/>
      <c r="T110" s="1565" t="s">
        <v>91</v>
      </c>
      <c r="U110" s="1565">
        <f>INT(I110*L98/60)</f>
        <v>33338</v>
      </c>
      <c r="V110" s="1565"/>
      <c r="W110" s="1565"/>
      <c r="X110" s="1565" t="s">
        <v>23</v>
      </c>
      <c r="Y110" s="1565"/>
      <c r="AO110" s="172"/>
    </row>
    <row r="111" spans="2:41" ht="18" hidden="1" customHeight="1">
      <c r="B111" s="170"/>
      <c r="D111" s="1565"/>
      <c r="E111" s="1565"/>
      <c r="F111" s="1565"/>
      <c r="G111" s="1565"/>
      <c r="H111" s="1565"/>
      <c r="I111" s="1565"/>
      <c r="J111" s="1565"/>
      <c r="K111" s="1565"/>
      <c r="L111" s="1565"/>
      <c r="M111" s="1565"/>
      <c r="O111" s="1565"/>
      <c r="Q111" s="1566">
        <v>60</v>
      </c>
      <c r="R111" s="1566"/>
      <c r="T111" s="1565"/>
      <c r="U111" s="1565"/>
      <c r="V111" s="1565"/>
      <c r="W111" s="1565"/>
      <c r="X111" s="1565"/>
      <c r="Y111" s="1565"/>
      <c r="AO111" s="172"/>
    </row>
    <row r="112" spans="2:41" ht="18" hidden="1" customHeight="1">
      <c r="B112" s="170"/>
      <c r="D112" s="173"/>
      <c r="E112" s="1567" t="s">
        <v>167</v>
      </c>
      <c r="F112" s="1567"/>
      <c r="G112" s="1567"/>
      <c r="H112" s="173"/>
      <c r="I112" s="1567">
        <f>VLOOKUP($E112,인건비!A:B,2,FALSE)</f>
        <v>276108</v>
      </c>
      <c r="J112" s="1567"/>
      <c r="K112" s="1567"/>
      <c r="L112" s="173"/>
      <c r="M112" s="173"/>
      <c r="O112" s="173" t="s">
        <v>92</v>
      </c>
      <c r="P112" s="1568">
        <v>0.36</v>
      </c>
      <c r="Q112" s="1569"/>
      <c r="R112" s="1569"/>
      <c r="T112" s="173" t="s">
        <v>91</v>
      </c>
      <c r="U112" s="1567">
        <f>INT(I112*P112)</f>
        <v>99398</v>
      </c>
      <c r="V112" s="1567"/>
      <c r="W112" s="1567"/>
      <c r="X112" s="176" t="s">
        <v>168</v>
      </c>
      <c r="Y112" s="173"/>
      <c r="AO112" s="172"/>
    </row>
    <row r="113" spans="1:41" ht="15.95" hidden="1" customHeight="1">
      <c r="B113" s="170"/>
      <c r="D113" s="185"/>
      <c r="E113" s="185"/>
      <c r="F113" s="185"/>
      <c r="G113" s="185"/>
      <c r="H113" s="185"/>
      <c r="I113" s="185"/>
      <c r="J113" s="185"/>
      <c r="K113" s="185"/>
      <c r="L113" s="185"/>
      <c r="M113" s="185"/>
      <c r="N113" s="185"/>
      <c r="O113" s="185"/>
      <c r="P113" s="185"/>
      <c r="Q113" s="185"/>
      <c r="R113" s="185" t="s">
        <v>276</v>
      </c>
      <c r="S113" s="185"/>
      <c r="T113" s="185"/>
      <c r="U113" s="1570">
        <f>U110+U112</f>
        <v>132736</v>
      </c>
      <c r="V113" s="1570"/>
      <c r="W113" s="1570"/>
      <c r="X113" s="185"/>
      <c r="Y113" s="185"/>
      <c r="Z113" s="185"/>
      <c r="AO113" s="172"/>
    </row>
    <row r="114" spans="1:41" ht="18" hidden="1" customHeight="1">
      <c r="B114" s="170"/>
      <c r="D114" s="1565" t="s">
        <v>24</v>
      </c>
      <c r="E114" s="1565"/>
      <c r="F114" s="1565"/>
      <c r="G114" s="1565"/>
      <c r="H114" s="1565"/>
      <c r="I114" s="1565" t="e">
        <f>$Q$52</f>
        <v>#REF!</v>
      </c>
      <c r="J114" s="1565"/>
      <c r="K114" s="1565"/>
      <c r="L114" s="1565" t="s">
        <v>22</v>
      </c>
      <c r="M114" s="1565"/>
      <c r="O114" s="1565" t="s">
        <v>92</v>
      </c>
      <c r="Q114" s="1565" t="s">
        <v>6</v>
      </c>
      <c r="R114" s="1565"/>
      <c r="T114" s="1565" t="s">
        <v>91</v>
      </c>
      <c r="U114" s="1565" t="e">
        <f>INT(I114*L98/60)</f>
        <v>#REF!</v>
      </c>
      <c r="V114" s="1565"/>
      <c r="W114" s="1565"/>
      <c r="X114" s="1565" t="s">
        <v>23</v>
      </c>
      <c r="Y114" s="1565"/>
      <c r="AO114" s="172"/>
    </row>
    <row r="115" spans="1:41" ht="18" hidden="1" customHeight="1">
      <c r="B115" s="170"/>
      <c r="D115" s="1565"/>
      <c r="E115" s="1565"/>
      <c r="F115" s="1565"/>
      <c r="G115" s="1565"/>
      <c r="H115" s="1565"/>
      <c r="I115" s="1565"/>
      <c r="J115" s="1565"/>
      <c r="K115" s="1565"/>
      <c r="L115" s="1565"/>
      <c r="M115" s="1565"/>
      <c r="O115" s="1565"/>
      <c r="Q115" s="1566">
        <v>60</v>
      </c>
      <c r="R115" s="1566"/>
      <c r="T115" s="1565"/>
      <c r="U115" s="1565"/>
      <c r="V115" s="1565"/>
      <c r="W115" s="1565"/>
      <c r="X115" s="1565"/>
      <c r="Y115" s="1565"/>
      <c r="AO115" s="172"/>
    </row>
    <row r="116" spans="1:41" ht="15.95" hidden="1" customHeight="1">
      <c r="B116" s="170"/>
      <c r="AO116" s="172"/>
    </row>
    <row r="117" spans="1:41" ht="18" hidden="1" customHeight="1">
      <c r="B117" s="170"/>
      <c r="D117" s="1565" t="s">
        <v>25</v>
      </c>
      <c r="E117" s="1565"/>
      <c r="F117" s="1565"/>
      <c r="G117" s="1565"/>
      <c r="H117" s="1565"/>
      <c r="I117" s="1565">
        <f>$Q$56</f>
        <v>11117</v>
      </c>
      <c r="J117" s="1565"/>
      <c r="K117" s="1565"/>
      <c r="L117" s="1565" t="s">
        <v>22</v>
      </c>
      <c r="M117" s="1565"/>
      <c r="O117" s="1565" t="s">
        <v>92</v>
      </c>
      <c r="Q117" s="1565" t="s">
        <v>6</v>
      </c>
      <c r="R117" s="1565"/>
      <c r="T117" s="1565" t="s">
        <v>91</v>
      </c>
      <c r="U117" s="1565">
        <f>INT(I117*L98/60)</f>
        <v>7411</v>
      </c>
      <c r="V117" s="1565"/>
      <c r="W117" s="1565"/>
      <c r="X117" s="1565" t="s">
        <v>23</v>
      </c>
      <c r="Y117" s="1565"/>
      <c r="AO117" s="172"/>
    </row>
    <row r="118" spans="1:41" ht="18" hidden="1" customHeight="1">
      <c r="B118" s="170"/>
      <c r="D118" s="1565"/>
      <c r="E118" s="1565"/>
      <c r="F118" s="1565"/>
      <c r="G118" s="1565"/>
      <c r="H118" s="1565"/>
      <c r="I118" s="1565"/>
      <c r="J118" s="1565"/>
      <c r="K118" s="1565"/>
      <c r="L118" s="1565"/>
      <c r="M118" s="1565"/>
      <c r="O118" s="1565"/>
      <c r="Q118" s="1566">
        <v>60</v>
      </c>
      <c r="R118" s="1566"/>
      <c r="T118" s="1565"/>
      <c r="U118" s="1565"/>
      <c r="V118" s="1565"/>
      <c r="W118" s="1565"/>
      <c r="X118" s="1565"/>
      <c r="Y118" s="1565"/>
      <c r="AO118" s="172"/>
    </row>
    <row r="119" spans="1:41" ht="15.95" hidden="1" customHeight="1">
      <c r="B119" s="170"/>
      <c r="AO119" s="172"/>
    </row>
    <row r="120" spans="1:41" ht="15.95" hidden="1" customHeight="1">
      <c r="B120" s="170"/>
      <c r="C120" s="185"/>
      <c r="D120" s="185"/>
      <c r="E120" s="185"/>
      <c r="F120" s="185"/>
      <c r="G120" s="185"/>
      <c r="H120" s="185"/>
      <c r="I120" s="185"/>
      <c r="J120" s="185"/>
      <c r="K120" s="185"/>
      <c r="L120" s="185"/>
      <c r="M120" s="185"/>
      <c r="N120" s="185"/>
      <c r="O120" s="185"/>
      <c r="P120" s="185"/>
      <c r="Q120" s="185"/>
      <c r="R120" s="185"/>
      <c r="S120" s="185"/>
      <c r="T120" s="185"/>
      <c r="U120" s="185"/>
      <c r="V120" s="185"/>
      <c r="W120" s="185"/>
      <c r="X120" s="185"/>
      <c r="Y120" s="185"/>
      <c r="Z120" s="185"/>
      <c r="AO120" s="172"/>
    </row>
    <row r="121" spans="1:41" ht="15.95" hidden="1" customHeight="1">
      <c r="B121" s="170"/>
      <c r="R121" s="169" t="s">
        <v>276</v>
      </c>
      <c r="U121" s="1565" t="e">
        <f>U113+U114+U117</f>
        <v>#REF!</v>
      </c>
      <c r="V121" s="1565"/>
      <c r="W121" s="1565"/>
      <c r="X121" s="169" t="s">
        <v>269</v>
      </c>
      <c r="AO121" s="172"/>
    </row>
    <row r="122" spans="1:41" ht="15.95" hidden="1" customHeight="1">
      <c r="B122" s="195"/>
      <c r="C122" s="196"/>
      <c r="D122" s="196"/>
      <c r="E122" s="196"/>
      <c r="F122" s="196"/>
      <c r="G122" s="196"/>
      <c r="H122" s="196"/>
      <c r="I122" s="196"/>
      <c r="J122" s="196"/>
      <c r="K122" s="196"/>
      <c r="L122" s="196"/>
      <c r="M122" s="196"/>
      <c r="N122" s="196"/>
      <c r="O122" s="196"/>
      <c r="P122" s="196"/>
      <c r="Q122" s="196"/>
      <c r="R122" s="196"/>
      <c r="S122" s="196"/>
      <c r="T122" s="196"/>
      <c r="U122" s="196"/>
      <c r="V122" s="196"/>
      <c r="W122" s="196"/>
      <c r="X122" s="196"/>
      <c r="Y122" s="196"/>
      <c r="Z122" s="196"/>
      <c r="AA122" s="196"/>
      <c r="AB122" s="196"/>
      <c r="AC122" s="196"/>
      <c r="AD122" s="196"/>
      <c r="AE122" s="196"/>
      <c r="AF122" s="196"/>
      <c r="AG122" s="196"/>
      <c r="AH122" s="196"/>
      <c r="AI122" s="196"/>
      <c r="AJ122" s="196"/>
      <c r="AK122" s="196"/>
      <c r="AL122" s="196"/>
      <c r="AM122" s="196"/>
      <c r="AN122" s="196"/>
      <c r="AO122" s="197"/>
    </row>
    <row r="123" spans="1:41" s="479" customFormat="1" ht="15.95" hidden="1" customHeight="1">
      <c r="A123" s="1571" t="s">
        <v>864</v>
      </c>
      <c r="B123" s="1462"/>
      <c r="C123" s="1462"/>
      <c r="D123" s="1462"/>
      <c r="E123" s="1462"/>
      <c r="F123" s="1462"/>
      <c r="G123" s="1462"/>
      <c r="H123" s="1462"/>
      <c r="I123" s="1462"/>
      <c r="J123" s="1462"/>
      <c r="K123" s="1462"/>
      <c r="L123" s="1462"/>
      <c r="M123" s="1462"/>
      <c r="N123" s="1462"/>
      <c r="O123" s="1462"/>
      <c r="P123" s="1462"/>
      <c r="Q123" s="1462"/>
      <c r="R123" s="1462"/>
      <c r="S123" s="1462"/>
      <c r="T123" s="1462"/>
      <c r="U123" s="1462"/>
      <c r="V123" s="1462"/>
      <c r="W123" s="1462"/>
      <c r="X123" s="1462"/>
      <c r="Y123" s="1462"/>
      <c r="Z123" s="1462"/>
      <c r="AA123" s="1462"/>
      <c r="AB123" s="1462"/>
      <c r="AC123" s="1462"/>
      <c r="AD123" s="1462"/>
      <c r="AE123" s="1462"/>
      <c r="AF123" s="1462"/>
      <c r="AG123" s="1462"/>
      <c r="AH123" s="1462"/>
      <c r="AI123" s="1462"/>
      <c r="AJ123" s="1462"/>
      <c r="AK123" s="1462"/>
      <c r="AL123" s="1462"/>
      <c r="AM123" s="1462"/>
      <c r="AN123" s="1462"/>
      <c r="AO123" s="1462"/>
    </row>
    <row r="124" spans="1:41" ht="15.95" hidden="1" customHeight="1"/>
    <row r="125" spans="1:41" ht="15.95" hidden="1" customHeight="1">
      <c r="B125" s="166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67"/>
      <c r="T125" s="167"/>
      <c r="U125" s="167"/>
      <c r="V125" s="167"/>
      <c r="W125" s="167"/>
      <c r="X125" s="167"/>
      <c r="Y125" s="167"/>
      <c r="Z125" s="167"/>
      <c r="AA125" s="167"/>
      <c r="AB125" s="167"/>
      <c r="AC125" s="167"/>
      <c r="AD125" s="167"/>
      <c r="AE125" s="167"/>
      <c r="AF125" s="167"/>
      <c r="AG125" s="167"/>
      <c r="AH125" s="167"/>
      <c r="AI125" s="167"/>
      <c r="AJ125" s="167"/>
      <c r="AK125" s="167"/>
      <c r="AL125" s="167"/>
      <c r="AM125" s="167"/>
      <c r="AN125" s="167"/>
      <c r="AO125" s="168"/>
    </row>
    <row r="126" spans="1:41" ht="15.95" hidden="1" customHeight="1">
      <c r="B126" s="170"/>
      <c r="C126" s="198" t="s">
        <v>5</v>
      </c>
      <c r="D126" s="169" t="s">
        <v>353</v>
      </c>
      <c r="AO126" s="172"/>
    </row>
    <row r="127" spans="1:41" ht="15.95" hidden="1" customHeight="1">
      <c r="B127" s="170"/>
      <c r="AO127" s="172"/>
    </row>
    <row r="128" spans="1:41" ht="18" hidden="1" customHeight="1">
      <c r="B128" s="170"/>
      <c r="D128" s="1565" t="s">
        <v>6</v>
      </c>
      <c r="E128" s="1565" t="s">
        <v>91</v>
      </c>
      <c r="F128" s="1565" t="s">
        <v>7</v>
      </c>
      <c r="G128" s="1565"/>
      <c r="H128" s="1565" t="s">
        <v>91</v>
      </c>
      <c r="I128" s="1565">
        <v>33</v>
      </c>
      <c r="J128" s="1565"/>
      <c r="K128" s="1565" t="s">
        <v>91</v>
      </c>
      <c r="L128" s="1572">
        <f>(I128/I129)</f>
        <v>36.666666666666664</v>
      </c>
      <c r="M128" s="1572"/>
      <c r="N128" s="1565" t="s">
        <v>8</v>
      </c>
      <c r="O128" s="1565"/>
      <c r="AO128" s="172"/>
    </row>
    <row r="129" spans="2:41" ht="18" hidden="1" customHeight="1">
      <c r="B129" s="170"/>
      <c r="D129" s="1565"/>
      <c r="E129" s="1565"/>
      <c r="F129" s="1566" t="s">
        <v>9</v>
      </c>
      <c r="G129" s="1566"/>
      <c r="H129" s="1565"/>
      <c r="I129" s="1573">
        <v>0.9</v>
      </c>
      <c r="J129" s="1573"/>
      <c r="K129" s="1565"/>
      <c r="L129" s="1572"/>
      <c r="M129" s="1572"/>
      <c r="N129" s="1565"/>
      <c r="O129" s="1565"/>
      <c r="AO129" s="172"/>
    </row>
    <row r="130" spans="2:41" ht="15.95" hidden="1" customHeight="1">
      <c r="B130" s="170"/>
      <c r="AO130" s="172"/>
    </row>
    <row r="131" spans="2:41" ht="15.95" hidden="1" customHeight="1">
      <c r="B131" s="170"/>
      <c r="D131" s="169" t="s">
        <v>10</v>
      </c>
      <c r="F131" s="169" t="s">
        <v>6</v>
      </c>
      <c r="G131" s="169" t="s">
        <v>82</v>
      </c>
      <c r="H131" s="169" t="s">
        <v>11</v>
      </c>
      <c r="AO131" s="172"/>
    </row>
    <row r="132" spans="2:41" ht="15.95" hidden="1" customHeight="1">
      <c r="B132" s="170"/>
      <c r="AO132" s="172"/>
    </row>
    <row r="133" spans="2:41" ht="15.95" hidden="1" customHeight="1">
      <c r="B133" s="170"/>
      <c r="F133" s="169" t="s">
        <v>7</v>
      </c>
      <c r="G133" s="169" t="s">
        <v>82</v>
      </c>
      <c r="H133" s="169" t="s">
        <v>12</v>
      </c>
      <c r="AO133" s="172"/>
    </row>
    <row r="134" spans="2:41" ht="15.95" hidden="1" customHeight="1">
      <c r="B134" s="170"/>
      <c r="AO134" s="172"/>
    </row>
    <row r="135" spans="2:41" ht="15.95" hidden="1" customHeight="1">
      <c r="B135" s="170"/>
      <c r="F135" s="169" t="s">
        <v>9</v>
      </c>
      <c r="G135" s="169" t="s">
        <v>82</v>
      </c>
      <c r="H135" s="169" t="s">
        <v>18</v>
      </c>
      <c r="AO135" s="172"/>
    </row>
    <row r="136" spans="2:41" ht="15.95" hidden="1" customHeight="1">
      <c r="B136" s="170"/>
      <c r="V136" s="199"/>
      <c r="W136" s="199"/>
      <c r="X136" s="199"/>
      <c r="Y136" s="199"/>
      <c r="Z136" s="199"/>
      <c r="AA136" s="199"/>
      <c r="AB136" s="199"/>
      <c r="AC136" s="199"/>
      <c r="AD136" s="199"/>
      <c r="AE136" s="199"/>
      <c r="AF136" s="199"/>
      <c r="AG136" s="199"/>
      <c r="AH136" s="199"/>
      <c r="AI136" s="199"/>
      <c r="AJ136" s="199"/>
      <c r="AK136" s="199"/>
      <c r="AL136" s="199"/>
      <c r="AM136" s="199"/>
      <c r="AN136" s="199"/>
      <c r="AO136" s="172"/>
    </row>
    <row r="137" spans="2:41" ht="15.95" hidden="1" customHeight="1">
      <c r="B137" s="170"/>
      <c r="AO137" s="172"/>
    </row>
    <row r="138" spans="2:41" ht="15.95" hidden="1" customHeight="1">
      <c r="B138" s="170"/>
      <c r="C138" s="198" t="s">
        <v>19</v>
      </c>
      <c r="D138" s="169" t="s">
        <v>20</v>
      </c>
      <c r="AO138" s="172"/>
    </row>
    <row r="139" spans="2:41" ht="15.95" hidden="1" customHeight="1">
      <c r="B139" s="170"/>
      <c r="AO139" s="172"/>
    </row>
    <row r="140" spans="2:41" ht="18" hidden="1" customHeight="1">
      <c r="B140" s="170"/>
      <c r="D140" s="1565" t="s">
        <v>21</v>
      </c>
      <c r="E140" s="1565"/>
      <c r="F140" s="1565"/>
      <c r="G140" s="1565"/>
      <c r="H140" s="1565"/>
      <c r="I140" s="1565">
        <f>$AK$43</f>
        <v>50008</v>
      </c>
      <c r="J140" s="1565"/>
      <c r="K140" s="1565"/>
      <c r="L140" s="1565" t="s">
        <v>22</v>
      </c>
      <c r="M140" s="1565"/>
      <c r="O140" s="1565" t="s">
        <v>92</v>
      </c>
      <c r="Q140" s="1565" t="s">
        <v>6</v>
      </c>
      <c r="R140" s="1565"/>
      <c r="T140" s="1565" t="s">
        <v>91</v>
      </c>
      <c r="U140" s="1565">
        <f>INT(I140*L128/60)</f>
        <v>30560</v>
      </c>
      <c r="V140" s="1565"/>
      <c r="W140" s="1565"/>
      <c r="X140" s="1565" t="s">
        <v>23</v>
      </c>
      <c r="Y140" s="1565"/>
      <c r="AO140" s="172"/>
    </row>
    <row r="141" spans="2:41" ht="18" hidden="1" customHeight="1">
      <c r="B141" s="170"/>
      <c r="D141" s="1565"/>
      <c r="E141" s="1565"/>
      <c r="F141" s="1565"/>
      <c r="G141" s="1565"/>
      <c r="H141" s="1565"/>
      <c r="I141" s="1565"/>
      <c r="J141" s="1565"/>
      <c r="K141" s="1565"/>
      <c r="L141" s="1565"/>
      <c r="M141" s="1565"/>
      <c r="O141" s="1565"/>
      <c r="Q141" s="1566">
        <v>60</v>
      </c>
      <c r="R141" s="1566"/>
      <c r="T141" s="1565"/>
      <c r="U141" s="1565"/>
      <c r="V141" s="1565"/>
      <c r="W141" s="1565"/>
      <c r="X141" s="1565"/>
      <c r="Y141" s="1565"/>
      <c r="AO141" s="172"/>
    </row>
    <row r="142" spans="2:41" ht="18" hidden="1" customHeight="1">
      <c r="B142" s="170"/>
      <c r="D142" s="173"/>
      <c r="E142" s="1567" t="s">
        <v>167</v>
      </c>
      <c r="F142" s="1567"/>
      <c r="G142" s="1567"/>
      <c r="H142" s="173"/>
      <c r="I142" s="1567">
        <f>VLOOKUP($E142,인건비!A:B,2,FALSE)</f>
        <v>276108</v>
      </c>
      <c r="J142" s="1567"/>
      <c r="K142" s="1567"/>
      <c r="L142" s="173"/>
      <c r="M142" s="173"/>
      <c r="O142" s="173" t="s">
        <v>92</v>
      </c>
      <c r="P142" s="1568">
        <f>0.31*0.5</f>
        <v>0.155</v>
      </c>
      <c r="Q142" s="1569"/>
      <c r="R142" s="1569"/>
      <c r="T142" s="173" t="s">
        <v>91</v>
      </c>
      <c r="U142" s="1567">
        <f>INT(I142*P142)</f>
        <v>42796</v>
      </c>
      <c r="V142" s="1567"/>
      <c r="W142" s="1567"/>
      <c r="X142" s="176" t="s">
        <v>168</v>
      </c>
      <c r="Y142" s="173"/>
      <c r="AO142" s="172"/>
    </row>
    <row r="143" spans="2:41" ht="15.95" hidden="1" customHeight="1">
      <c r="B143" s="170"/>
      <c r="D143" s="185"/>
      <c r="E143" s="185"/>
      <c r="F143" s="185"/>
      <c r="G143" s="185"/>
      <c r="H143" s="185"/>
      <c r="I143" s="185"/>
      <c r="J143" s="185"/>
      <c r="K143" s="185"/>
      <c r="L143" s="185"/>
      <c r="M143" s="185"/>
      <c r="N143" s="185"/>
      <c r="O143" s="185"/>
      <c r="P143" s="185"/>
      <c r="Q143" s="185"/>
      <c r="R143" s="185" t="s">
        <v>276</v>
      </c>
      <c r="S143" s="185"/>
      <c r="T143" s="185"/>
      <c r="U143" s="1570">
        <f>U140+U142</f>
        <v>73356</v>
      </c>
      <c r="V143" s="1570"/>
      <c r="W143" s="1570"/>
      <c r="X143" s="185"/>
      <c r="Y143" s="185"/>
      <c r="Z143" s="185"/>
      <c r="AO143" s="172"/>
    </row>
    <row r="144" spans="2:41" ht="18" hidden="1" customHeight="1">
      <c r="B144" s="170"/>
      <c r="D144" s="1565" t="s">
        <v>24</v>
      </c>
      <c r="E144" s="1565"/>
      <c r="F144" s="1565"/>
      <c r="G144" s="1565"/>
      <c r="H144" s="1565"/>
      <c r="I144" s="1565" t="e">
        <f>$Q$52</f>
        <v>#REF!</v>
      </c>
      <c r="J144" s="1565"/>
      <c r="K144" s="1565"/>
      <c r="L144" s="1565" t="s">
        <v>22</v>
      </c>
      <c r="M144" s="1565"/>
      <c r="O144" s="1565" t="s">
        <v>92</v>
      </c>
      <c r="Q144" s="1565" t="s">
        <v>6</v>
      </c>
      <c r="R144" s="1565"/>
      <c r="T144" s="1565" t="s">
        <v>91</v>
      </c>
      <c r="U144" s="1565" t="e">
        <f>INT(I144*L128/60)</f>
        <v>#REF!</v>
      </c>
      <c r="V144" s="1565"/>
      <c r="W144" s="1565"/>
      <c r="X144" s="1565" t="s">
        <v>23</v>
      </c>
      <c r="Y144" s="1565"/>
      <c r="AO144" s="172"/>
    </row>
    <row r="145" spans="1:41" ht="18" hidden="1" customHeight="1">
      <c r="B145" s="170"/>
      <c r="D145" s="1565"/>
      <c r="E145" s="1565"/>
      <c r="F145" s="1565"/>
      <c r="G145" s="1565"/>
      <c r="H145" s="1565"/>
      <c r="I145" s="1565"/>
      <c r="J145" s="1565"/>
      <c r="K145" s="1565"/>
      <c r="L145" s="1565"/>
      <c r="M145" s="1565"/>
      <c r="O145" s="1565"/>
      <c r="Q145" s="1566">
        <v>60</v>
      </c>
      <c r="R145" s="1566"/>
      <c r="T145" s="1565"/>
      <c r="U145" s="1565"/>
      <c r="V145" s="1565"/>
      <c r="W145" s="1565"/>
      <c r="X145" s="1565"/>
      <c r="Y145" s="1565"/>
      <c r="AO145" s="172"/>
    </row>
    <row r="146" spans="1:41" ht="15.95" hidden="1" customHeight="1">
      <c r="B146" s="170"/>
      <c r="AO146" s="172"/>
    </row>
    <row r="147" spans="1:41" ht="18" hidden="1" customHeight="1">
      <c r="B147" s="170"/>
      <c r="D147" s="1565" t="s">
        <v>25</v>
      </c>
      <c r="E147" s="1565"/>
      <c r="F147" s="1565"/>
      <c r="G147" s="1565"/>
      <c r="H147" s="1565"/>
      <c r="I147" s="1565">
        <f>$Q$56</f>
        <v>11117</v>
      </c>
      <c r="J147" s="1565"/>
      <c r="K147" s="1565"/>
      <c r="L147" s="1565" t="s">
        <v>22</v>
      </c>
      <c r="M147" s="1565"/>
      <c r="O147" s="1565" t="s">
        <v>92</v>
      </c>
      <c r="Q147" s="1565" t="s">
        <v>6</v>
      </c>
      <c r="R147" s="1565"/>
      <c r="T147" s="1565" t="s">
        <v>91</v>
      </c>
      <c r="U147" s="1565">
        <f>INT(I147*L128/60)</f>
        <v>6793</v>
      </c>
      <c r="V147" s="1565"/>
      <c r="W147" s="1565"/>
      <c r="X147" s="1565" t="s">
        <v>23</v>
      </c>
      <c r="Y147" s="1565"/>
      <c r="AO147" s="172"/>
    </row>
    <row r="148" spans="1:41" ht="18" hidden="1" customHeight="1">
      <c r="B148" s="170"/>
      <c r="D148" s="1565"/>
      <c r="E148" s="1565"/>
      <c r="F148" s="1565"/>
      <c r="G148" s="1565"/>
      <c r="H148" s="1565"/>
      <c r="I148" s="1565"/>
      <c r="J148" s="1565"/>
      <c r="K148" s="1565"/>
      <c r="L148" s="1565"/>
      <c r="M148" s="1565"/>
      <c r="O148" s="1565"/>
      <c r="Q148" s="1566">
        <v>60</v>
      </c>
      <c r="R148" s="1566"/>
      <c r="T148" s="1565"/>
      <c r="U148" s="1565"/>
      <c r="V148" s="1565"/>
      <c r="W148" s="1565"/>
      <c r="X148" s="1565"/>
      <c r="Y148" s="1565"/>
      <c r="AO148" s="172"/>
    </row>
    <row r="149" spans="1:41" ht="15.95" hidden="1" customHeight="1">
      <c r="B149" s="170"/>
      <c r="AO149" s="172"/>
    </row>
    <row r="150" spans="1:41" ht="15.95" hidden="1" customHeight="1">
      <c r="B150" s="170"/>
      <c r="C150" s="185"/>
      <c r="D150" s="185"/>
      <c r="E150" s="185"/>
      <c r="F150" s="185"/>
      <c r="G150" s="185"/>
      <c r="H150" s="185"/>
      <c r="I150" s="185"/>
      <c r="J150" s="185"/>
      <c r="K150" s="185"/>
      <c r="L150" s="185"/>
      <c r="M150" s="185"/>
      <c r="N150" s="185"/>
      <c r="O150" s="185"/>
      <c r="P150" s="185"/>
      <c r="Q150" s="185"/>
      <c r="R150" s="185"/>
      <c r="S150" s="185"/>
      <c r="T150" s="185"/>
      <c r="U150" s="185"/>
      <c r="V150" s="185"/>
      <c r="W150" s="185"/>
      <c r="X150" s="185"/>
      <c r="Y150" s="185"/>
      <c r="Z150" s="185"/>
      <c r="AO150" s="172"/>
    </row>
    <row r="151" spans="1:41" ht="15.95" hidden="1" customHeight="1">
      <c r="B151" s="170"/>
      <c r="R151" s="169" t="s">
        <v>276</v>
      </c>
      <c r="U151" s="1565" t="e">
        <f>U143+U144+U147</f>
        <v>#REF!</v>
      </c>
      <c r="V151" s="1565"/>
      <c r="W151" s="1565"/>
      <c r="X151" s="169" t="s">
        <v>269</v>
      </c>
      <c r="AO151" s="172"/>
    </row>
    <row r="152" spans="1:41" ht="15.95" hidden="1" customHeight="1">
      <c r="B152" s="195"/>
      <c r="C152" s="196"/>
      <c r="D152" s="196"/>
      <c r="E152" s="196"/>
      <c r="F152" s="196"/>
      <c r="G152" s="196"/>
      <c r="H152" s="196"/>
      <c r="I152" s="196"/>
      <c r="J152" s="196"/>
      <c r="K152" s="196"/>
      <c r="L152" s="196"/>
      <c r="M152" s="196"/>
      <c r="N152" s="196"/>
      <c r="O152" s="196"/>
      <c r="P152" s="196"/>
      <c r="Q152" s="196"/>
      <c r="R152" s="196"/>
      <c r="S152" s="196"/>
      <c r="T152" s="196"/>
      <c r="U152" s="196"/>
      <c r="V152" s="196"/>
      <c r="W152" s="196"/>
      <c r="X152" s="196"/>
      <c r="Y152" s="196"/>
      <c r="Z152" s="196"/>
      <c r="AA152" s="196"/>
      <c r="AB152" s="196"/>
      <c r="AC152" s="196"/>
      <c r="AD152" s="196"/>
      <c r="AE152" s="196"/>
      <c r="AF152" s="196"/>
      <c r="AG152" s="196"/>
      <c r="AH152" s="196"/>
      <c r="AI152" s="196"/>
      <c r="AJ152" s="196"/>
      <c r="AK152" s="196"/>
      <c r="AL152" s="196"/>
      <c r="AM152" s="196"/>
      <c r="AN152" s="196"/>
      <c r="AO152" s="197"/>
    </row>
    <row r="153" spans="1:41" s="479" customFormat="1" ht="15.95" hidden="1" customHeight="1">
      <c r="A153" s="1571" t="s">
        <v>867</v>
      </c>
      <c r="B153" s="1462"/>
      <c r="C153" s="1462"/>
      <c r="D153" s="1462"/>
      <c r="E153" s="1462"/>
      <c r="F153" s="1462"/>
      <c r="G153" s="1462"/>
      <c r="H153" s="1462"/>
      <c r="I153" s="1462"/>
      <c r="J153" s="1462"/>
      <c r="K153" s="1462"/>
      <c r="L153" s="1462"/>
      <c r="M153" s="1462"/>
      <c r="N153" s="1462"/>
      <c r="O153" s="1462"/>
      <c r="P153" s="1462"/>
      <c r="Q153" s="1462"/>
      <c r="R153" s="1462"/>
      <c r="S153" s="1462"/>
      <c r="T153" s="1462"/>
      <c r="U153" s="1462"/>
      <c r="V153" s="1462"/>
      <c r="W153" s="1462"/>
      <c r="X153" s="1462"/>
      <c r="Y153" s="1462"/>
      <c r="Z153" s="1462"/>
      <c r="AA153" s="1462"/>
      <c r="AB153" s="1462"/>
      <c r="AC153" s="1462"/>
      <c r="AD153" s="1462"/>
      <c r="AE153" s="1462"/>
      <c r="AF153" s="1462"/>
      <c r="AG153" s="1462"/>
      <c r="AH153" s="1462"/>
      <c r="AI153" s="1462"/>
      <c r="AJ153" s="1462"/>
      <c r="AK153" s="1462"/>
      <c r="AL153" s="1462"/>
      <c r="AM153" s="1462"/>
      <c r="AN153" s="1462"/>
      <c r="AO153" s="1462"/>
    </row>
    <row r="154" spans="1:41" ht="15.95" hidden="1" customHeight="1"/>
    <row r="155" spans="1:41" ht="15.95" hidden="1" customHeight="1">
      <c r="B155" s="166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67"/>
      <c r="T155" s="167"/>
      <c r="U155" s="167"/>
      <c r="V155" s="167"/>
      <c r="W155" s="167"/>
      <c r="X155" s="167"/>
      <c r="Y155" s="167"/>
      <c r="Z155" s="167"/>
      <c r="AA155" s="167"/>
      <c r="AB155" s="167"/>
      <c r="AC155" s="167"/>
      <c r="AD155" s="167"/>
      <c r="AE155" s="167"/>
      <c r="AF155" s="167"/>
      <c r="AG155" s="167"/>
      <c r="AH155" s="167"/>
      <c r="AI155" s="167"/>
      <c r="AJ155" s="167"/>
      <c r="AK155" s="167"/>
      <c r="AL155" s="167"/>
      <c r="AM155" s="167"/>
      <c r="AN155" s="167"/>
      <c r="AO155" s="168"/>
    </row>
    <row r="156" spans="1:41" ht="15.95" hidden="1" customHeight="1">
      <c r="B156" s="170"/>
      <c r="C156" s="198" t="s">
        <v>5</v>
      </c>
      <c r="D156" s="169" t="s">
        <v>353</v>
      </c>
      <c r="AO156" s="172"/>
    </row>
    <row r="157" spans="1:41" ht="15.95" hidden="1" customHeight="1">
      <c r="B157" s="170"/>
      <c r="AO157" s="172"/>
    </row>
    <row r="158" spans="1:41" ht="18" hidden="1" customHeight="1">
      <c r="B158" s="170"/>
      <c r="D158" s="1565" t="s">
        <v>6</v>
      </c>
      <c r="E158" s="1565" t="s">
        <v>91</v>
      </c>
      <c r="F158" s="1565" t="s">
        <v>7</v>
      </c>
      <c r="G158" s="1565"/>
      <c r="H158" s="1565" t="s">
        <v>91</v>
      </c>
      <c r="I158" s="1565">
        <v>36</v>
      </c>
      <c r="J158" s="1565"/>
      <c r="K158" s="1565" t="s">
        <v>91</v>
      </c>
      <c r="L158" s="1572">
        <f>(I158/I159)</f>
        <v>40</v>
      </c>
      <c r="M158" s="1572"/>
      <c r="N158" s="1565" t="s">
        <v>8</v>
      </c>
      <c r="O158" s="1565"/>
      <c r="AO158" s="172"/>
    </row>
    <row r="159" spans="1:41" ht="18" hidden="1" customHeight="1">
      <c r="B159" s="170"/>
      <c r="D159" s="1565"/>
      <c r="E159" s="1565"/>
      <c r="F159" s="1566" t="s">
        <v>9</v>
      </c>
      <c r="G159" s="1566"/>
      <c r="H159" s="1565"/>
      <c r="I159" s="1573">
        <v>0.9</v>
      </c>
      <c r="J159" s="1573"/>
      <c r="K159" s="1565"/>
      <c r="L159" s="1572"/>
      <c r="M159" s="1572"/>
      <c r="N159" s="1565"/>
      <c r="O159" s="1565"/>
      <c r="AO159" s="172"/>
    </row>
    <row r="160" spans="1:41" ht="15.95" hidden="1" customHeight="1">
      <c r="B160" s="170"/>
      <c r="AO160" s="172"/>
    </row>
    <row r="161" spans="2:41" ht="15.95" hidden="1" customHeight="1">
      <c r="B161" s="170"/>
      <c r="D161" s="169" t="s">
        <v>10</v>
      </c>
      <c r="F161" s="169" t="s">
        <v>6</v>
      </c>
      <c r="G161" s="169" t="s">
        <v>82</v>
      </c>
      <c r="H161" s="169" t="s">
        <v>11</v>
      </c>
      <c r="AO161" s="172"/>
    </row>
    <row r="162" spans="2:41" ht="15.95" hidden="1" customHeight="1">
      <c r="B162" s="170"/>
      <c r="AO162" s="172"/>
    </row>
    <row r="163" spans="2:41" ht="15.95" hidden="1" customHeight="1">
      <c r="B163" s="170"/>
      <c r="F163" s="169" t="s">
        <v>7</v>
      </c>
      <c r="G163" s="169" t="s">
        <v>82</v>
      </c>
      <c r="H163" s="169" t="s">
        <v>12</v>
      </c>
      <c r="AO163" s="172"/>
    </row>
    <row r="164" spans="2:41" ht="15.95" hidden="1" customHeight="1">
      <c r="B164" s="170"/>
      <c r="AO164" s="172"/>
    </row>
    <row r="165" spans="2:41" ht="15.95" hidden="1" customHeight="1">
      <c r="B165" s="170"/>
      <c r="F165" s="169" t="s">
        <v>9</v>
      </c>
      <c r="G165" s="169" t="s">
        <v>82</v>
      </c>
      <c r="H165" s="169" t="s">
        <v>18</v>
      </c>
      <c r="AO165" s="172"/>
    </row>
    <row r="166" spans="2:41" ht="15.95" hidden="1" customHeight="1">
      <c r="B166" s="170"/>
      <c r="V166" s="199"/>
      <c r="W166" s="199"/>
      <c r="X166" s="199"/>
      <c r="Y166" s="199"/>
      <c r="Z166" s="199"/>
      <c r="AA166" s="199"/>
      <c r="AB166" s="199"/>
      <c r="AC166" s="199"/>
      <c r="AD166" s="199"/>
      <c r="AE166" s="199"/>
      <c r="AF166" s="199"/>
      <c r="AG166" s="199"/>
      <c r="AH166" s="199"/>
      <c r="AI166" s="199"/>
      <c r="AJ166" s="199"/>
      <c r="AK166" s="199"/>
      <c r="AL166" s="199"/>
      <c r="AM166" s="199"/>
      <c r="AN166" s="199"/>
      <c r="AO166" s="172"/>
    </row>
    <row r="167" spans="2:41" ht="15.95" hidden="1" customHeight="1">
      <c r="B167" s="170"/>
      <c r="AO167" s="172"/>
    </row>
    <row r="168" spans="2:41" ht="15.95" hidden="1" customHeight="1">
      <c r="B168" s="170"/>
      <c r="C168" s="198" t="s">
        <v>19</v>
      </c>
      <c r="D168" s="169" t="s">
        <v>20</v>
      </c>
      <c r="AO168" s="172"/>
    </row>
    <row r="169" spans="2:41" ht="15.95" hidden="1" customHeight="1">
      <c r="B169" s="170"/>
      <c r="AO169" s="172"/>
    </row>
    <row r="170" spans="2:41" ht="18" hidden="1" customHeight="1">
      <c r="B170" s="170"/>
      <c r="D170" s="1565" t="s">
        <v>21</v>
      </c>
      <c r="E170" s="1565"/>
      <c r="F170" s="1565"/>
      <c r="G170" s="1565"/>
      <c r="H170" s="1565"/>
      <c r="I170" s="1565">
        <f>$AK$43</f>
        <v>50008</v>
      </c>
      <c r="J170" s="1565"/>
      <c r="K170" s="1565"/>
      <c r="L170" s="1565" t="s">
        <v>22</v>
      </c>
      <c r="M170" s="1565"/>
      <c r="O170" s="1565" t="s">
        <v>92</v>
      </c>
      <c r="Q170" s="1565" t="s">
        <v>6</v>
      </c>
      <c r="R170" s="1565"/>
      <c r="T170" s="1565" t="s">
        <v>91</v>
      </c>
      <c r="U170" s="1565">
        <f>INT(I170*L158/60)</f>
        <v>33338</v>
      </c>
      <c r="V170" s="1565"/>
      <c r="W170" s="1565"/>
      <c r="X170" s="1565" t="s">
        <v>23</v>
      </c>
      <c r="Y170" s="1565"/>
      <c r="AO170" s="172"/>
    </row>
    <row r="171" spans="2:41" ht="18" hidden="1" customHeight="1">
      <c r="B171" s="170"/>
      <c r="D171" s="1565"/>
      <c r="E171" s="1565"/>
      <c r="F171" s="1565"/>
      <c r="G171" s="1565"/>
      <c r="H171" s="1565"/>
      <c r="I171" s="1565"/>
      <c r="J171" s="1565"/>
      <c r="K171" s="1565"/>
      <c r="L171" s="1565"/>
      <c r="M171" s="1565"/>
      <c r="O171" s="1565"/>
      <c r="Q171" s="1566">
        <v>60</v>
      </c>
      <c r="R171" s="1566"/>
      <c r="T171" s="1565"/>
      <c r="U171" s="1565"/>
      <c r="V171" s="1565"/>
      <c r="W171" s="1565"/>
      <c r="X171" s="1565"/>
      <c r="Y171" s="1565"/>
      <c r="AO171" s="172"/>
    </row>
    <row r="172" spans="2:41" ht="18" hidden="1" customHeight="1">
      <c r="B172" s="170"/>
      <c r="D172" s="173"/>
      <c r="E172" s="1567" t="s">
        <v>167</v>
      </c>
      <c r="F172" s="1567"/>
      <c r="G172" s="1567"/>
      <c r="H172" s="173"/>
      <c r="I172" s="1567">
        <f>VLOOKUP($E172,인건비!A:B,2,FALSE)</f>
        <v>276108</v>
      </c>
      <c r="J172" s="1567"/>
      <c r="K172" s="1567"/>
      <c r="L172" s="173"/>
      <c r="M172" s="173"/>
      <c r="O172" s="173" t="s">
        <v>92</v>
      </c>
      <c r="P172" s="1568">
        <f>0.36*0.5</f>
        <v>0.18</v>
      </c>
      <c r="Q172" s="1569"/>
      <c r="R172" s="1569"/>
      <c r="T172" s="173" t="s">
        <v>91</v>
      </c>
      <c r="U172" s="1567">
        <f>INT(I172*P172)</f>
        <v>49699</v>
      </c>
      <c r="V172" s="1567"/>
      <c r="W172" s="1567"/>
      <c r="X172" s="176" t="s">
        <v>168</v>
      </c>
      <c r="Y172" s="173"/>
      <c r="AO172" s="172"/>
    </row>
    <row r="173" spans="2:41" ht="15.95" hidden="1" customHeight="1">
      <c r="B173" s="170"/>
      <c r="D173" s="185"/>
      <c r="E173" s="185"/>
      <c r="F173" s="185"/>
      <c r="G173" s="185"/>
      <c r="H173" s="185"/>
      <c r="I173" s="185"/>
      <c r="J173" s="185"/>
      <c r="K173" s="185"/>
      <c r="L173" s="185"/>
      <c r="M173" s="185"/>
      <c r="N173" s="185"/>
      <c r="O173" s="185"/>
      <c r="P173" s="185"/>
      <c r="Q173" s="185"/>
      <c r="R173" s="185" t="s">
        <v>276</v>
      </c>
      <c r="S173" s="185"/>
      <c r="T173" s="185"/>
      <c r="U173" s="1570">
        <f>U170+U172</f>
        <v>83037</v>
      </c>
      <c r="V173" s="1570"/>
      <c r="W173" s="1570"/>
      <c r="X173" s="185"/>
      <c r="Y173" s="185"/>
      <c r="Z173" s="185"/>
      <c r="AO173" s="172"/>
    </row>
    <row r="174" spans="2:41" ht="18" hidden="1" customHeight="1">
      <c r="B174" s="170"/>
      <c r="D174" s="1565" t="s">
        <v>24</v>
      </c>
      <c r="E174" s="1565"/>
      <c r="F174" s="1565"/>
      <c r="G174" s="1565"/>
      <c r="H174" s="1565"/>
      <c r="I174" s="1565" t="e">
        <f>$Q$52</f>
        <v>#REF!</v>
      </c>
      <c r="J174" s="1565"/>
      <c r="K174" s="1565"/>
      <c r="L174" s="1565" t="s">
        <v>22</v>
      </c>
      <c r="M174" s="1565"/>
      <c r="O174" s="1565" t="s">
        <v>92</v>
      </c>
      <c r="Q174" s="1565" t="s">
        <v>6</v>
      </c>
      <c r="R174" s="1565"/>
      <c r="T174" s="1565" t="s">
        <v>91</v>
      </c>
      <c r="U174" s="1565" t="e">
        <f>INT(I174*L158/60)</f>
        <v>#REF!</v>
      </c>
      <c r="V174" s="1565"/>
      <c r="W174" s="1565"/>
      <c r="X174" s="1565" t="s">
        <v>23</v>
      </c>
      <c r="Y174" s="1565"/>
      <c r="AO174" s="172"/>
    </row>
    <row r="175" spans="2:41" ht="18" hidden="1" customHeight="1">
      <c r="B175" s="170"/>
      <c r="D175" s="1565"/>
      <c r="E175" s="1565"/>
      <c r="F175" s="1565"/>
      <c r="G175" s="1565"/>
      <c r="H175" s="1565"/>
      <c r="I175" s="1565"/>
      <c r="J175" s="1565"/>
      <c r="K175" s="1565"/>
      <c r="L175" s="1565"/>
      <c r="M175" s="1565"/>
      <c r="O175" s="1565"/>
      <c r="Q175" s="1566">
        <v>60</v>
      </c>
      <c r="R175" s="1566"/>
      <c r="T175" s="1565"/>
      <c r="U175" s="1565"/>
      <c r="V175" s="1565"/>
      <c r="W175" s="1565"/>
      <c r="X175" s="1565"/>
      <c r="Y175" s="1565"/>
      <c r="AO175" s="172"/>
    </row>
    <row r="176" spans="2:41" ht="15.95" hidden="1" customHeight="1">
      <c r="B176" s="170"/>
      <c r="AO176" s="172"/>
    </row>
    <row r="177" spans="1:41" ht="18" hidden="1" customHeight="1">
      <c r="B177" s="170"/>
      <c r="D177" s="1565" t="s">
        <v>25</v>
      </c>
      <c r="E177" s="1565"/>
      <c r="F177" s="1565"/>
      <c r="G177" s="1565"/>
      <c r="H177" s="1565"/>
      <c r="I177" s="1565">
        <f>$Q$56</f>
        <v>11117</v>
      </c>
      <c r="J177" s="1565"/>
      <c r="K177" s="1565"/>
      <c r="L177" s="1565" t="s">
        <v>22</v>
      </c>
      <c r="M177" s="1565"/>
      <c r="O177" s="1565" t="s">
        <v>92</v>
      </c>
      <c r="Q177" s="1565" t="s">
        <v>6</v>
      </c>
      <c r="R177" s="1565"/>
      <c r="T177" s="1565" t="s">
        <v>91</v>
      </c>
      <c r="U177" s="1565">
        <f>INT(I177*L158/60)</f>
        <v>7411</v>
      </c>
      <c r="V177" s="1565"/>
      <c r="W177" s="1565"/>
      <c r="X177" s="1565" t="s">
        <v>23</v>
      </c>
      <c r="Y177" s="1565"/>
      <c r="AO177" s="172"/>
    </row>
    <row r="178" spans="1:41" ht="18" hidden="1" customHeight="1">
      <c r="B178" s="170"/>
      <c r="D178" s="1565"/>
      <c r="E178" s="1565"/>
      <c r="F178" s="1565"/>
      <c r="G178" s="1565"/>
      <c r="H178" s="1565"/>
      <c r="I178" s="1565"/>
      <c r="J178" s="1565"/>
      <c r="K178" s="1565"/>
      <c r="L178" s="1565"/>
      <c r="M178" s="1565"/>
      <c r="O178" s="1565"/>
      <c r="Q178" s="1566">
        <v>60</v>
      </c>
      <c r="R178" s="1566"/>
      <c r="T178" s="1565"/>
      <c r="U178" s="1565"/>
      <c r="V178" s="1565"/>
      <c r="W178" s="1565"/>
      <c r="X178" s="1565"/>
      <c r="Y178" s="1565"/>
      <c r="AO178" s="172"/>
    </row>
    <row r="179" spans="1:41" ht="15.95" hidden="1" customHeight="1">
      <c r="B179" s="170"/>
      <c r="AO179" s="172"/>
    </row>
    <row r="180" spans="1:41" ht="15.95" hidden="1" customHeight="1">
      <c r="B180" s="170"/>
      <c r="C180" s="185"/>
      <c r="D180" s="185"/>
      <c r="E180" s="185"/>
      <c r="F180" s="185"/>
      <c r="G180" s="185"/>
      <c r="H180" s="185"/>
      <c r="I180" s="185"/>
      <c r="J180" s="185"/>
      <c r="K180" s="185"/>
      <c r="L180" s="185"/>
      <c r="M180" s="185"/>
      <c r="N180" s="185"/>
      <c r="O180" s="185"/>
      <c r="P180" s="185"/>
      <c r="Q180" s="185"/>
      <c r="R180" s="185"/>
      <c r="S180" s="185"/>
      <c r="T180" s="185"/>
      <c r="U180" s="185"/>
      <c r="V180" s="185"/>
      <c r="W180" s="185"/>
      <c r="X180" s="185"/>
      <c r="Y180" s="185"/>
      <c r="Z180" s="185"/>
      <c r="AO180" s="172"/>
    </row>
    <row r="181" spans="1:41" ht="15.95" hidden="1" customHeight="1">
      <c r="B181" s="170"/>
      <c r="R181" s="169" t="s">
        <v>276</v>
      </c>
      <c r="U181" s="1565" t="e">
        <f>U173+U174+U177</f>
        <v>#REF!</v>
      </c>
      <c r="V181" s="1565"/>
      <c r="W181" s="1565"/>
      <c r="X181" s="169" t="s">
        <v>269</v>
      </c>
      <c r="AO181" s="172"/>
    </row>
    <row r="182" spans="1:41" ht="15.95" hidden="1" customHeight="1">
      <c r="B182" s="195"/>
      <c r="C182" s="196"/>
      <c r="D182" s="196"/>
      <c r="E182" s="196"/>
      <c r="F182" s="196"/>
      <c r="G182" s="196"/>
      <c r="H182" s="196"/>
      <c r="I182" s="196"/>
      <c r="J182" s="196"/>
      <c r="K182" s="196"/>
      <c r="L182" s="196"/>
      <c r="M182" s="196"/>
      <c r="N182" s="196"/>
      <c r="O182" s="196"/>
      <c r="P182" s="196"/>
      <c r="Q182" s="196"/>
      <c r="R182" s="196"/>
      <c r="S182" s="196"/>
      <c r="T182" s="196"/>
      <c r="U182" s="196"/>
      <c r="V182" s="196"/>
      <c r="W182" s="196"/>
      <c r="X182" s="196"/>
      <c r="Y182" s="196"/>
      <c r="Z182" s="196"/>
      <c r="AA182" s="196"/>
      <c r="AB182" s="196"/>
      <c r="AC182" s="196"/>
      <c r="AD182" s="196"/>
      <c r="AE182" s="196"/>
      <c r="AF182" s="196"/>
      <c r="AG182" s="196"/>
      <c r="AH182" s="196"/>
      <c r="AI182" s="196"/>
      <c r="AJ182" s="196"/>
      <c r="AK182" s="196"/>
      <c r="AL182" s="196"/>
      <c r="AM182" s="196"/>
      <c r="AN182" s="196"/>
      <c r="AO182" s="197"/>
    </row>
    <row r="183" spans="1:41" s="479" customFormat="1" ht="15.95" hidden="1" customHeight="1">
      <c r="A183" s="1571" t="s">
        <v>736</v>
      </c>
      <c r="B183" s="1462"/>
      <c r="C183" s="1462"/>
      <c r="D183" s="1462"/>
      <c r="E183" s="1462"/>
      <c r="F183" s="1462"/>
      <c r="G183" s="1462"/>
      <c r="H183" s="1462"/>
      <c r="I183" s="1462"/>
      <c r="J183" s="1462"/>
      <c r="K183" s="1462"/>
      <c r="L183" s="1462"/>
      <c r="M183" s="1462"/>
      <c r="N183" s="1462"/>
      <c r="O183" s="1462"/>
      <c r="P183" s="1462"/>
      <c r="Q183" s="1462"/>
      <c r="R183" s="1462"/>
      <c r="S183" s="1462"/>
      <c r="T183" s="1462"/>
      <c r="U183" s="1462"/>
      <c r="V183" s="1462"/>
      <c r="W183" s="1462"/>
      <c r="X183" s="1462"/>
      <c r="Y183" s="1462"/>
      <c r="Z183" s="1462"/>
      <c r="AA183" s="1462"/>
      <c r="AB183" s="1462"/>
      <c r="AC183" s="1462"/>
      <c r="AD183" s="1462"/>
      <c r="AE183" s="1462"/>
      <c r="AF183" s="1462"/>
      <c r="AG183" s="1462"/>
      <c r="AH183" s="1462"/>
      <c r="AI183" s="1462"/>
      <c r="AJ183" s="1462"/>
      <c r="AK183" s="1462"/>
      <c r="AL183" s="1462"/>
      <c r="AM183" s="1462"/>
      <c r="AN183" s="1462"/>
      <c r="AO183" s="1462"/>
    </row>
    <row r="184" spans="1:41" ht="15.95" hidden="1" customHeight="1"/>
    <row r="185" spans="1:41" ht="15.95" hidden="1" customHeight="1">
      <c r="B185" s="166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  <c r="S185" s="167"/>
      <c r="T185" s="167"/>
      <c r="U185" s="167"/>
      <c r="V185" s="167"/>
      <c r="W185" s="167"/>
      <c r="X185" s="167"/>
      <c r="Y185" s="167"/>
      <c r="Z185" s="167"/>
      <c r="AA185" s="167"/>
      <c r="AB185" s="167"/>
      <c r="AC185" s="167"/>
      <c r="AD185" s="167"/>
      <c r="AE185" s="167"/>
      <c r="AF185" s="167"/>
      <c r="AG185" s="167"/>
      <c r="AH185" s="167"/>
      <c r="AI185" s="167"/>
      <c r="AJ185" s="167"/>
      <c r="AK185" s="167"/>
      <c r="AL185" s="167"/>
      <c r="AM185" s="167"/>
      <c r="AN185" s="167"/>
      <c r="AO185" s="168"/>
    </row>
    <row r="186" spans="1:41" ht="15.95" hidden="1" customHeight="1">
      <c r="B186" s="170"/>
      <c r="C186" s="198" t="s">
        <v>5</v>
      </c>
      <c r="D186" s="169" t="s">
        <v>353</v>
      </c>
      <c r="AO186" s="172"/>
    </row>
    <row r="187" spans="1:41" ht="15.95" hidden="1" customHeight="1">
      <c r="B187" s="170"/>
      <c r="AO187" s="172"/>
    </row>
    <row r="188" spans="1:41" ht="18" hidden="1" customHeight="1">
      <c r="B188" s="170"/>
      <c r="D188" s="1565" t="s">
        <v>6</v>
      </c>
      <c r="E188" s="1565" t="s">
        <v>91</v>
      </c>
      <c r="F188" s="1565" t="s">
        <v>7</v>
      </c>
      <c r="G188" s="1565"/>
      <c r="H188" s="1565" t="s">
        <v>91</v>
      </c>
      <c r="I188" s="1565">
        <v>39</v>
      </c>
      <c r="J188" s="1565"/>
      <c r="K188" s="1565" t="s">
        <v>91</v>
      </c>
      <c r="L188" s="1572">
        <f>(I188/I189)</f>
        <v>43.333333333333336</v>
      </c>
      <c r="M188" s="1572"/>
      <c r="N188" s="1565" t="s">
        <v>8</v>
      </c>
      <c r="O188" s="1565"/>
      <c r="AO188" s="172"/>
    </row>
    <row r="189" spans="1:41" ht="18" hidden="1" customHeight="1">
      <c r="B189" s="170"/>
      <c r="D189" s="1565"/>
      <c r="E189" s="1565"/>
      <c r="F189" s="1566" t="s">
        <v>9</v>
      </c>
      <c r="G189" s="1566"/>
      <c r="H189" s="1565"/>
      <c r="I189" s="1573">
        <v>0.9</v>
      </c>
      <c r="J189" s="1573"/>
      <c r="K189" s="1565"/>
      <c r="L189" s="1572"/>
      <c r="M189" s="1572"/>
      <c r="N189" s="1565"/>
      <c r="O189" s="1565"/>
      <c r="AO189" s="172"/>
    </row>
    <row r="190" spans="1:41" ht="15.95" hidden="1" customHeight="1">
      <c r="B190" s="170"/>
      <c r="AO190" s="172"/>
    </row>
    <row r="191" spans="1:41" ht="15.95" hidden="1" customHeight="1">
      <c r="B191" s="170"/>
      <c r="D191" s="169" t="s">
        <v>10</v>
      </c>
      <c r="F191" s="169" t="s">
        <v>6</v>
      </c>
      <c r="G191" s="169" t="s">
        <v>82</v>
      </c>
      <c r="H191" s="169" t="s">
        <v>11</v>
      </c>
      <c r="AO191" s="172"/>
    </row>
    <row r="192" spans="1:41" ht="15.95" hidden="1" customHeight="1">
      <c r="B192" s="170"/>
      <c r="AO192" s="172"/>
    </row>
    <row r="193" spans="2:41" ht="15.95" hidden="1" customHeight="1">
      <c r="B193" s="170"/>
      <c r="F193" s="169" t="s">
        <v>7</v>
      </c>
      <c r="G193" s="169" t="s">
        <v>82</v>
      </c>
      <c r="H193" s="169" t="s">
        <v>12</v>
      </c>
      <c r="AO193" s="172"/>
    </row>
    <row r="194" spans="2:41" ht="15.95" hidden="1" customHeight="1">
      <c r="B194" s="170"/>
      <c r="AO194" s="172"/>
    </row>
    <row r="195" spans="2:41" ht="15.95" hidden="1" customHeight="1">
      <c r="B195" s="170"/>
      <c r="F195" s="169" t="s">
        <v>9</v>
      </c>
      <c r="G195" s="169" t="s">
        <v>82</v>
      </c>
      <c r="H195" s="169" t="s">
        <v>18</v>
      </c>
      <c r="AO195" s="172"/>
    </row>
    <row r="196" spans="2:41" ht="15.95" hidden="1" customHeight="1">
      <c r="B196" s="170"/>
      <c r="V196" s="199"/>
      <c r="W196" s="199"/>
      <c r="X196" s="199"/>
      <c r="Y196" s="199"/>
      <c r="Z196" s="199"/>
      <c r="AA196" s="199"/>
      <c r="AB196" s="199"/>
      <c r="AC196" s="199"/>
      <c r="AD196" s="199"/>
      <c r="AE196" s="199"/>
      <c r="AF196" s="199"/>
      <c r="AG196" s="199"/>
      <c r="AH196" s="199"/>
      <c r="AI196" s="199"/>
      <c r="AJ196" s="199"/>
      <c r="AK196" s="199"/>
      <c r="AL196" s="199"/>
      <c r="AM196" s="199"/>
      <c r="AN196" s="199"/>
      <c r="AO196" s="172"/>
    </row>
    <row r="197" spans="2:41" ht="15.95" hidden="1" customHeight="1">
      <c r="B197" s="170"/>
      <c r="AO197" s="172"/>
    </row>
    <row r="198" spans="2:41" ht="15.95" hidden="1" customHeight="1">
      <c r="B198" s="170"/>
      <c r="C198" s="198" t="s">
        <v>19</v>
      </c>
      <c r="D198" s="169" t="s">
        <v>20</v>
      </c>
      <c r="AO198" s="172"/>
    </row>
    <row r="199" spans="2:41" ht="15.95" hidden="1" customHeight="1">
      <c r="B199" s="170"/>
      <c r="AO199" s="172"/>
    </row>
    <row r="200" spans="2:41" ht="18" hidden="1" customHeight="1">
      <c r="B200" s="170"/>
      <c r="D200" s="1565" t="s">
        <v>21</v>
      </c>
      <c r="E200" s="1565"/>
      <c r="F200" s="1565"/>
      <c r="G200" s="1565"/>
      <c r="H200" s="1565"/>
      <c r="I200" s="1565">
        <f>$AK$43</f>
        <v>50008</v>
      </c>
      <c r="J200" s="1565"/>
      <c r="K200" s="1565"/>
      <c r="L200" s="1565" t="s">
        <v>22</v>
      </c>
      <c r="M200" s="1565"/>
      <c r="O200" s="1565" t="s">
        <v>92</v>
      </c>
      <c r="Q200" s="1565" t="s">
        <v>6</v>
      </c>
      <c r="R200" s="1565"/>
      <c r="T200" s="1565" t="s">
        <v>91</v>
      </c>
      <c r="U200" s="1565">
        <f>INT(I200*L188/60)</f>
        <v>36116</v>
      </c>
      <c r="V200" s="1565"/>
      <c r="W200" s="1565"/>
      <c r="X200" s="1565" t="s">
        <v>23</v>
      </c>
      <c r="Y200" s="1565"/>
      <c r="AO200" s="172"/>
    </row>
    <row r="201" spans="2:41" ht="18" hidden="1" customHeight="1">
      <c r="B201" s="170"/>
      <c r="D201" s="1565"/>
      <c r="E201" s="1565"/>
      <c r="F201" s="1565"/>
      <c r="G201" s="1565"/>
      <c r="H201" s="1565"/>
      <c r="I201" s="1565"/>
      <c r="J201" s="1565"/>
      <c r="K201" s="1565"/>
      <c r="L201" s="1565"/>
      <c r="M201" s="1565"/>
      <c r="O201" s="1565"/>
      <c r="Q201" s="1566">
        <v>60</v>
      </c>
      <c r="R201" s="1566"/>
      <c r="T201" s="1565"/>
      <c r="U201" s="1565"/>
      <c r="V201" s="1565"/>
      <c r="W201" s="1565"/>
      <c r="X201" s="1565"/>
      <c r="Y201" s="1565"/>
      <c r="AO201" s="172"/>
    </row>
    <row r="202" spans="2:41" ht="18" hidden="1" customHeight="1">
      <c r="B202" s="170"/>
      <c r="D202" s="173"/>
      <c r="E202" s="1567" t="s">
        <v>167</v>
      </c>
      <c r="F202" s="1567"/>
      <c r="G202" s="1567"/>
      <c r="H202" s="173"/>
      <c r="I202" s="1567">
        <f>VLOOKUP($E202,인건비!A:B,2,FALSE)</f>
        <v>276108</v>
      </c>
      <c r="J202" s="1567"/>
      <c r="K202" s="1567"/>
      <c r="L202" s="173"/>
      <c r="M202" s="173"/>
      <c r="O202" s="173" t="s">
        <v>92</v>
      </c>
      <c r="P202" s="1568">
        <v>0.42</v>
      </c>
      <c r="Q202" s="1569"/>
      <c r="R202" s="1569"/>
      <c r="T202" s="173" t="s">
        <v>91</v>
      </c>
      <c r="U202" s="1567">
        <f>INT(I202*P202)</f>
        <v>115965</v>
      </c>
      <c r="V202" s="1567"/>
      <c r="W202" s="1567"/>
      <c r="X202" s="176" t="s">
        <v>168</v>
      </c>
      <c r="Y202" s="173"/>
      <c r="AO202" s="172"/>
    </row>
    <row r="203" spans="2:41" ht="15.95" hidden="1" customHeight="1">
      <c r="B203" s="170"/>
      <c r="D203" s="185"/>
      <c r="E203" s="185"/>
      <c r="F203" s="185"/>
      <c r="G203" s="185"/>
      <c r="H203" s="185"/>
      <c r="I203" s="185"/>
      <c r="J203" s="185"/>
      <c r="K203" s="185"/>
      <c r="L203" s="185"/>
      <c r="M203" s="185"/>
      <c r="N203" s="185"/>
      <c r="O203" s="185"/>
      <c r="P203" s="185"/>
      <c r="Q203" s="185"/>
      <c r="R203" s="185" t="s">
        <v>276</v>
      </c>
      <c r="S203" s="185"/>
      <c r="T203" s="185"/>
      <c r="U203" s="1570">
        <f>U200+U202</f>
        <v>152081</v>
      </c>
      <c r="V203" s="1570"/>
      <c r="W203" s="1570"/>
      <c r="X203" s="185"/>
      <c r="Y203" s="185"/>
      <c r="Z203" s="185"/>
      <c r="AO203" s="172"/>
    </row>
    <row r="204" spans="2:41" ht="18" hidden="1" customHeight="1">
      <c r="B204" s="170"/>
      <c r="D204" s="1565" t="s">
        <v>24</v>
      </c>
      <c r="E204" s="1565"/>
      <c r="F204" s="1565"/>
      <c r="G204" s="1565"/>
      <c r="H204" s="1565"/>
      <c r="I204" s="1565" t="e">
        <f>$Q$52</f>
        <v>#REF!</v>
      </c>
      <c r="J204" s="1565"/>
      <c r="K204" s="1565"/>
      <c r="L204" s="1565" t="s">
        <v>22</v>
      </c>
      <c r="M204" s="1565"/>
      <c r="O204" s="1565" t="s">
        <v>92</v>
      </c>
      <c r="Q204" s="1565" t="s">
        <v>6</v>
      </c>
      <c r="R204" s="1565"/>
      <c r="T204" s="1565" t="s">
        <v>91</v>
      </c>
      <c r="U204" s="1565" t="e">
        <f>INT(I204*L188/60)</f>
        <v>#REF!</v>
      </c>
      <c r="V204" s="1565"/>
      <c r="W204" s="1565"/>
      <c r="X204" s="1565" t="s">
        <v>23</v>
      </c>
      <c r="Y204" s="1565"/>
      <c r="AO204" s="172"/>
    </row>
    <row r="205" spans="2:41" ht="18" hidden="1" customHeight="1">
      <c r="B205" s="170"/>
      <c r="D205" s="1565"/>
      <c r="E205" s="1565"/>
      <c r="F205" s="1565"/>
      <c r="G205" s="1565"/>
      <c r="H205" s="1565"/>
      <c r="I205" s="1565"/>
      <c r="J205" s="1565"/>
      <c r="K205" s="1565"/>
      <c r="L205" s="1565"/>
      <c r="M205" s="1565"/>
      <c r="O205" s="1565"/>
      <c r="Q205" s="1566">
        <v>60</v>
      </c>
      <c r="R205" s="1566"/>
      <c r="T205" s="1565"/>
      <c r="U205" s="1565"/>
      <c r="V205" s="1565"/>
      <c r="W205" s="1565"/>
      <c r="X205" s="1565"/>
      <c r="Y205" s="1565"/>
      <c r="AO205" s="172"/>
    </row>
    <row r="206" spans="2:41" ht="15.95" hidden="1" customHeight="1">
      <c r="B206" s="170"/>
      <c r="AO206" s="172"/>
    </row>
    <row r="207" spans="2:41" ht="18" hidden="1" customHeight="1">
      <c r="B207" s="170"/>
      <c r="D207" s="1565" t="s">
        <v>25</v>
      </c>
      <c r="E207" s="1565"/>
      <c r="F207" s="1565"/>
      <c r="G207" s="1565"/>
      <c r="H207" s="1565"/>
      <c r="I207" s="1565">
        <f>$Q$56</f>
        <v>11117</v>
      </c>
      <c r="J207" s="1565"/>
      <c r="K207" s="1565"/>
      <c r="L207" s="1565" t="s">
        <v>22</v>
      </c>
      <c r="M207" s="1565"/>
      <c r="O207" s="1565" t="s">
        <v>92</v>
      </c>
      <c r="Q207" s="1565" t="s">
        <v>6</v>
      </c>
      <c r="R207" s="1565"/>
      <c r="T207" s="1565" t="s">
        <v>91</v>
      </c>
      <c r="U207" s="1565">
        <f>INT(I207*L188/60)</f>
        <v>8028</v>
      </c>
      <c r="V207" s="1565"/>
      <c r="W207" s="1565"/>
      <c r="X207" s="1565" t="s">
        <v>23</v>
      </c>
      <c r="Y207" s="1565"/>
      <c r="AO207" s="172"/>
    </row>
    <row r="208" spans="2:41" ht="18" hidden="1" customHeight="1">
      <c r="B208" s="170"/>
      <c r="D208" s="1565"/>
      <c r="E208" s="1565"/>
      <c r="F208" s="1565"/>
      <c r="G208" s="1565"/>
      <c r="H208" s="1565"/>
      <c r="I208" s="1565"/>
      <c r="J208" s="1565"/>
      <c r="K208" s="1565"/>
      <c r="L208" s="1565"/>
      <c r="M208" s="1565"/>
      <c r="O208" s="1565"/>
      <c r="Q208" s="1566">
        <v>60</v>
      </c>
      <c r="R208" s="1566"/>
      <c r="T208" s="1565"/>
      <c r="U208" s="1565"/>
      <c r="V208" s="1565"/>
      <c r="W208" s="1565"/>
      <c r="X208" s="1565"/>
      <c r="Y208" s="1565"/>
      <c r="AO208" s="172"/>
    </row>
    <row r="209" spans="1:41" ht="15.95" hidden="1" customHeight="1">
      <c r="B209" s="170"/>
      <c r="AO209" s="172"/>
    </row>
    <row r="210" spans="1:41" ht="15.95" hidden="1" customHeight="1">
      <c r="B210" s="170"/>
      <c r="C210" s="185"/>
      <c r="D210" s="185"/>
      <c r="E210" s="185"/>
      <c r="F210" s="185"/>
      <c r="G210" s="185"/>
      <c r="H210" s="185"/>
      <c r="I210" s="185"/>
      <c r="J210" s="185"/>
      <c r="K210" s="185"/>
      <c r="L210" s="185"/>
      <c r="M210" s="185"/>
      <c r="N210" s="185"/>
      <c r="O210" s="185"/>
      <c r="P210" s="185"/>
      <c r="Q210" s="185"/>
      <c r="R210" s="185"/>
      <c r="S210" s="185"/>
      <c r="T210" s="185"/>
      <c r="U210" s="185"/>
      <c r="V210" s="185"/>
      <c r="W210" s="185"/>
      <c r="X210" s="185"/>
      <c r="Y210" s="185"/>
      <c r="Z210" s="185"/>
      <c r="AO210" s="172"/>
    </row>
    <row r="211" spans="1:41" ht="15.95" hidden="1" customHeight="1">
      <c r="B211" s="170"/>
      <c r="R211" s="169" t="s">
        <v>276</v>
      </c>
      <c r="U211" s="1565" t="e">
        <f>U203+U204+U207</f>
        <v>#REF!</v>
      </c>
      <c r="V211" s="1565"/>
      <c r="W211" s="1565"/>
      <c r="X211" s="169" t="s">
        <v>269</v>
      </c>
      <c r="AO211" s="172"/>
    </row>
    <row r="212" spans="1:41" ht="15.95" hidden="1" customHeight="1">
      <c r="B212" s="195"/>
      <c r="C212" s="196"/>
      <c r="D212" s="196"/>
      <c r="E212" s="196"/>
      <c r="F212" s="196"/>
      <c r="G212" s="196"/>
      <c r="H212" s="196"/>
      <c r="I212" s="196"/>
      <c r="J212" s="196"/>
      <c r="K212" s="196"/>
      <c r="L212" s="196"/>
      <c r="M212" s="196"/>
      <c r="N212" s="196"/>
      <c r="O212" s="196"/>
      <c r="P212" s="196"/>
      <c r="Q212" s="196"/>
      <c r="R212" s="196"/>
      <c r="S212" s="196"/>
      <c r="T212" s="196"/>
      <c r="U212" s="196"/>
      <c r="V212" s="196"/>
      <c r="W212" s="196"/>
      <c r="X212" s="196"/>
      <c r="Y212" s="196"/>
      <c r="Z212" s="196"/>
      <c r="AA212" s="196"/>
      <c r="AB212" s="196"/>
      <c r="AC212" s="196"/>
      <c r="AD212" s="196"/>
      <c r="AE212" s="196"/>
      <c r="AF212" s="196"/>
      <c r="AG212" s="196"/>
      <c r="AH212" s="196"/>
      <c r="AI212" s="196"/>
      <c r="AJ212" s="196"/>
      <c r="AK212" s="196"/>
      <c r="AL212" s="196"/>
      <c r="AM212" s="196"/>
      <c r="AN212" s="196"/>
      <c r="AO212" s="197"/>
    </row>
    <row r="213" spans="1:41" s="454" customFormat="1" ht="15.95" hidden="1" customHeight="1">
      <c r="A213" s="1571" t="s">
        <v>737</v>
      </c>
      <c r="B213" s="1462"/>
      <c r="C213" s="1462"/>
      <c r="D213" s="1462"/>
      <c r="E213" s="1462"/>
      <c r="F213" s="1462"/>
      <c r="G213" s="1462"/>
      <c r="H213" s="1462"/>
      <c r="I213" s="1462"/>
      <c r="J213" s="1462"/>
      <c r="K213" s="1462"/>
      <c r="L213" s="1462"/>
      <c r="M213" s="1462"/>
      <c r="N213" s="1462"/>
      <c r="O213" s="1462"/>
      <c r="P213" s="1462"/>
      <c r="Q213" s="1462"/>
      <c r="R213" s="1462"/>
      <c r="S213" s="1462"/>
      <c r="T213" s="1462"/>
      <c r="U213" s="1462"/>
      <c r="V213" s="1462"/>
      <c r="W213" s="1462"/>
      <c r="X213" s="1462"/>
      <c r="Y213" s="1462"/>
      <c r="Z213" s="1462"/>
      <c r="AA213" s="1462"/>
      <c r="AB213" s="1462"/>
      <c r="AC213" s="1462"/>
      <c r="AD213" s="1462"/>
      <c r="AE213" s="1462"/>
      <c r="AF213" s="1462"/>
      <c r="AG213" s="1462"/>
      <c r="AH213" s="1462"/>
      <c r="AI213" s="1462"/>
      <c r="AJ213" s="1462"/>
      <c r="AK213" s="1462"/>
      <c r="AL213" s="1462"/>
      <c r="AM213" s="1462"/>
      <c r="AN213" s="1462"/>
      <c r="AO213" s="1462"/>
    </row>
    <row r="214" spans="1:41" ht="15.95" hidden="1" customHeight="1"/>
    <row r="215" spans="1:41" ht="15.95" hidden="1" customHeight="1">
      <c r="B215" s="166"/>
      <c r="C215" s="167"/>
      <c r="D215" s="167"/>
      <c r="E215" s="167"/>
      <c r="F215" s="167"/>
      <c r="G215" s="167"/>
      <c r="H215" s="167"/>
      <c r="I215" s="167"/>
      <c r="J215" s="167"/>
      <c r="K215" s="167"/>
      <c r="L215" s="167"/>
      <c r="M215" s="167"/>
      <c r="N215" s="167"/>
      <c r="O215" s="167"/>
      <c r="P215" s="167"/>
      <c r="Q215" s="167"/>
      <c r="R215" s="167"/>
      <c r="S215" s="167"/>
      <c r="T215" s="167"/>
      <c r="U215" s="167"/>
      <c r="V215" s="167"/>
      <c r="W215" s="167"/>
      <c r="X215" s="167"/>
      <c r="Y215" s="167"/>
      <c r="Z215" s="167"/>
      <c r="AA215" s="167"/>
      <c r="AB215" s="167"/>
      <c r="AC215" s="167"/>
      <c r="AD215" s="167"/>
      <c r="AE215" s="167"/>
      <c r="AF215" s="167"/>
      <c r="AG215" s="167"/>
      <c r="AH215" s="167"/>
      <c r="AI215" s="167"/>
      <c r="AJ215" s="167"/>
      <c r="AK215" s="167"/>
      <c r="AL215" s="167"/>
      <c r="AM215" s="167"/>
      <c r="AN215" s="167"/>
      <c r="AO215" s="168"/>
    </row>
    <row r="216" spans="1:41" ht="15.95" hidden="1" customHeight="1">
      <c r="B216" s="170"/>
      <c r="C216" s="198" t="s">
        <v>5</v>
      </c>
      <c r="D216" s="477" t="s">
        <v>598</v>
      </c>
      <c r="AO216" s="172"/>
    </row>
    <row r="217" spans="1:41" ht="15.95" hidden="1" customHeight="1">
      <c r="B217" s="170"/>
      <c r="AO217" s="172"/>
    </row>
    <row r="218" spans="1:41" ht="18" hidden="1" customHeight="1">
      <c r="B218" s="170"/>
      <c r="D218" s="1565" t="s">
        <v>6</v>
      </c>
      <c r="E218" s="1565" t="s">
        <v>91</v>
      </c>
      <c r="F218" s="1565" t="s">
        <v>7</v>
      </c>
      <c r="G218" s="1565"/>
      <c r="H218" s="1565" t="s">
        <v>91</v>
      </c>
      <c r="I218" s="1565">
        <v>43</v>
      </c>
      <c r="J218" s="1565"/>
      <c r="K218" s="1565" t="s">
        <v>91</v>
      </c>
      <c r="L218" s="1585">
        <f>TRUNC((I218/I219),1)</f>
        <v>47.7</v>
      </c>
      <c r="M218" s="1585"/>
      <c r="N218" s="1565" t="s">
        <v>8</v>
      </c>
      <c r="O218" s="1565"/>
      <c r="AO218" s="172"/>
    </row>
    <row r="219" spans="1:41" ht="18" hidden="1" customHeight="1">
      <c r="B219" s="170"/>
      <c r="D219" s="1565"/>
      <c r="E219" s="1565"/>
      <c r="F219" s="1566" t="s">
        <v>9</v>
      </c>
      <c r="G219" s="1566"/>
      <c r="H219" s="1565"/>
      <c r="I219" s="1573">
        <v>0.9</v>
      </c>
      <c r="J219" s="1573"/>
      <c r="K219" s="1565"/>
      <c r="L219" s="1585"/>
      <c r="M219" s="1585"/>
      <c r="N219" s="1565"/>
      <c r="O219" s="1565"/>
      <c r="AO219" s="172"/>
    </row>
    <row r="220" spans="1:41" ht="15.95" hidden="1" customHeight="1">
      <c r="B220" s="170"/>
      <c r="AO220" s="172"/>
    </row>
    <row r="221" spans="1:41" ht="15.95" hidden="1" customHeight="1">
      <c r="B221" s="170"/>
      <c r="D221" s="169" t="s">
        <v>10</v>
      </c>
      <c r="F221" s="169" t="s">
        <v>6</v>
      </c>
      <c r="G221" s="169" t="s">
        <v>82</v>
      </c>
      <c r="H221" s="169" t="s">
        <v>11</v>
      </c>
      <c r="AO221" s="172"/>
    </row>
    <row r="222" spans="1:41" ht="15.95" hidden="1" customHeight="1">
      <c r="B222" s="170"/>
      <c r="AO222" s="172"/>
    </row>
    <row r="223" spans="1:41" ht="15.95" hidden="1" customHeight="1">
      <c r="B223" s="170"/>
      <c r="F223" s="169" t="s">
        <v>7</v>
      </c>
      <c r="G223" s="169" t="s">
        <v>82</v>
      </c>
      <c r="H223" s="169" t="s">
        <v>12</v>
      </c>
      <c r="AO223" s="172"/>
    </row>
    <row r="224" spans="1:41" ht="15.95" hidden="1" customHeight="1">
      <c r="B224" s="170"/>
      <c r="AO224" s="172"/>
    </row>
    <row r="225" spans="2:41" ht="15.95" hidden="1" customHeight="1">
      <c r="B225" s="170"/>
      <c r="F225" s="169" t="s">
        <v>9</v>
      </c>
      <c r="G225" s="169" t="s">
        <v>82</v>
      </c>
      <c r="H225" s="169" t="s">
        <v>18</v>
      </c>
      <c r="AO225" s="172"/>
    </row>
    <row r="226" spans="2:41" ht="15.95" hidden="1" customHeight="1">
      <c r="B226" s="170"/>
      <c r="V226" s="199"/>
      <c r="W226" s="199"/>
      <c r="X226" s="199"/>
      <c r="Y226" s="199"/>
      <c r="Z226" s="199"/>
      <c r="AA226" s="199"/>
      <c r="AB226" s="199"/>
      <c r="AC226" s="199"/>
      <c r="AD226" s="199"/>
      <c r="AE226" s="199"/>
      <c r="AF226" s="199"/>
      <c r="AG226" s="199"/>
      <c r="AH226" s="199"/>
      <c r="AI226" s="199"/>
      <c r="AJ226" s="199"/>
      <c r="AK226" s="199"/>
      <c r="AL226" s="199"/>
      <c r="AM226" s="199"/>
      <c r="AN226" s="199"/>
      <c r="AO226" s="172"/>
    </row>
    <row r="227" spans="2:41" ht="15.95" hidden="1" customHeight="1">
      <c r="B227" s="170"/>
      <c r="AO227" s="172"/>
    </row>
    <row r="228" spans="2:41" ht="15.95" hidden="1" customHeight="1">
      <c r="B228" s="170"/>
      <c r="C228" s="198" t="s">
        <v>19</v>
      </c>
      <c r="D228" s="169" t="s">
        <v>20</v>
      </c>
      <c r="AO228" s="172"/>
    </row>
    <row r="229" spans="2:41" ht="15.95" hidden="1" customHeight="1">
      <c r="B229" s="170"/>
      <c r="AO229" s="172"/>
    </row>
    <row r="230" spans="2:41" ht="18" hidden="1" customHeight="1">
      <c r="B230" s="170"/>
      <c r="D230" s="1565" t="s">
        <v>21</v>
      </c>
      <c r="E230" s="1565"/>
      <c r="F230" s="1565"/>
      <c r="G230" s="1565"/>
      <c r="H230" s="1565"/>
      <c r="I230" s="1565">
        <f>$AK$43</f>
        <v>50008</v>
      </c>
      <c r="J230" s="1565"/>
      <c r="K230" s="1565"/>
      <c r="L230" s="1565" t="s">
        <v>22</v>
      </c>
      <c r="M230" s="1565"/>
      <c r="O230" s="1565" t="s">
        <v>92</v>
      </c>
      <c r="Q230" s="1565" t="s">
        <v>6</v>
      </c>
      <c r="R230" s="1565"/>
      <c r="T230" s="1565" t="s">
        <v>91</v>
      </c>
      <c r="U230" s="1565">
        <f>INT(I230*L218/60)</f>
        <v>39756</v>
      </c>
      <c r="V230" s="1565"/>
      <c r="W230" s="1565"/>
      <c r="X230" s="1565" t="s">
        <v>23</v>
      </c>
      <c r="Y230" s="1565"/>
      <c r="AO230" s="172"/>
    </row>
    <row r="231" spans="2:41" ht="18" hidden="1" customHeight="1">
      <c r="B231" s="170"/>
      <c r="D231" s="1565"/>
      <c r="E231" s="1565"/>
      <c r="F231" s="1565"/>
      <c r="G231" s="1565"/>
      <c r="H231" s="1565"/>
      <c r="I231" s="1565"/>
      <c r="J231" s="1565"/>
      <c r="K231" s="1565"/>
      <c r="L231" s="1565"/>
      <c r="M231" s="1565"/>
      <c r="O231" s="1565"/>
      <c r="Q231" s="1566">
        <v>60</v>
      </c>
      <c r="R231" s="1566"/>
      <c r="T231" s="1565"/>
      <c r="U231" s="1565"/>
      <c r="V231" s="1565"/>
      <c r="W231" s="1565"/>
      <c r="X231" s="1565"/>
      <c r="Y231" s="1565"/>
      <c r="AO231" s="172"/>
    </row>
    <row r="232" spans="2:41" ht="18" hidden="1" customHeight="1">
      <c r="B232" s="170"/>
      <c r="D232" s="173"/>
      <c r="E232" s="1567" t="s">
        <v>167</v>
      </c>
      <c r="F232" s="1567"/>
      <c r="G232" s="1567"/>
      <c r="H232" s="173"/>
      <c r="I232" s="1567">
        <f>VLOOKUP($E232,인건비!A:B,2,FALSE)</f>
        <v>276108</v>
      </c>
      <c r="J232" s="1567"/>
      <c r="K232" s="1567"/>
      <c r="L232" s="173"/>
      <c r="M232" s="173"/>
      <c r="O232" s="173" t="s">
        <v>92</v>
      </c>
      <c r="P232" s="1568">
        <v>0.48</v>
      </c>
      <c r="Q232" s="1569"/>
      <c r="R232" s="1569"/>
      <c r="T232" s="173" t="s">
        <v>91</v>
      </c>
      <c r="U232" s="1567">
        <f>INT(I232*P232)</f>
        <v>132531</v>
      </c>
      <c r="V232" s="1567"/>
      <c r="W232" s="1567"/>
      <c r="X232" s="176" t="s">
        <v>168</v>
      </c>
      <c r="Y232" s="173"/>
      <c r="AO232" s="172"/>
    </row>
    <row r="233" spans="2:41" ht="15.95" hidden="1" customHeight="1">
      <c r="B233" s="170"/>
      <c r="D233" s="185"/>
      <c r="E233" s="185"/>
      <c r="F233" s="185"/>
      <c r="G233" s="185"/>
      <c r="H233" s="185"/>
      <c r="I233" s="185"/>
      <c r="J233" s="185"/>
      <c r="K233" s="185"/>
      <c r="L233" s="185"/>
      <c r="M233" s="185"/>
      <c r="N233" s="185"/>
      <c r="O233" s="185"/>
      <c r="P233" s="185"/>
      <c r="Q233" s="185"/>
      <c r="R233" s="185" t="s">
        <v>276</v>
      </c>
      <c r="S233" s="185"/>
      <c r="T233" s="185"/>
      <c r="U233" s="1570">
        <f>U230+U232</f>
        <v>172287</v>
      </c>
      <c r="V233" s="1570"/>
      <c r="W233" s="1570"/>
      <c r="X233" s="185"/>
      <c r="Y233" s="185"/>
      <c r="Z233" s="185"/>
      <c r="AO233" s="172"/>
    </row>
    <row r="234" spans="2:41" ht="18" hidden="1" customHeight="1">
      <c r="B234" s="170"/>
      <c r="D234" s="1565" t="s">
        <v>24</v>
      </c>
      <c r="E234" s="1565"/>
      <c r="F234" s="1565"/>
      <c r="G234" s="1565"/>
      <c r="H234" s="1565"/>
      <c r="I234" s="1565" t="e">
        <f>$Q$52</f>
        <v>#REF!</v>
      </c>
      <c r="J234" s="1565"/>
      <c r="K234" s="1565"/>
      <c r="L234" s="1565" t="s">
        <v>22</v>
      </c>
      <c r="M234" s="1565"/>
      <c r="O234" s="1565" t="s">
        <v>92</v>
      </c>
      <c r="Q234" s="1565" t="s">
        <v>6</v>
      </c>
      <c r="R234" s="1565"/>
      <c r="T234" s="1565" t="s">
        <v>91</v>
      </c>
      <c r="U234" s="1565" t="e">
        <f>INT(I234*L218/60)</f>
        <v>#REF!</v>
      </c>
      <c r="V234" s="1565"/>
      <c r="W234" s="1565"/>
      <c r="X234" s="1565" t="s">
        <v>23</v>
      </c>
      <c r="Y234" s="1565"/>
      <c r="AO234" s="172"/>
    </row>
    <row r="235" spans="2:41" ht="18" hidden="1" customHeight="1">
      <c r="B235" s="170"/>
      <c r="D235" s="1565"/>
      <c r="E235" s="1565"/>
      <c r="F235" s="1565"/>
      <c r="G235" s="1565"/>
      <c r="H235" s="1565"/>
      <c r="I235" s="1565"/>
      <c r="J235" s="1565"/>
      <c r="K235" s="1565"/>
      <c r="L235" s="1565"/>
      <c r="M235" s="1565"/>
      <c r="O235" s="1565"/>
      <c r="Q235" s="1566">
        <v>60</v>
      </c>
      <c r="R235" s="1566"/>
      <c r="T235" s="1565"/>
      <c r="U235" s="1565"/>
      <c r="V235" s="1565"/>
      <c r="W235" s="1565"/>
      <c r="X235" s="1565"/>
      <c r="Y235" s="1565"/>
      <c r="AO235" s="172"/>
    </row>
    <row r="236" spans="2:41" ht="15.95" hidden="1" customHeight="1">
      <c r="B236" s="170"/>
      <c r="AO236" s="172"/>
    </row>
    <row r="237" spans="2:41" ht="18" hidden="1" customHeight="1">
      <c r="B237" s="170"/>
      <c r="D237" s="1565" t="s">
        <v>25</v>
      </c>
      <c r="E237" s="1565"/>
      <c r="F237" s="1565"/>
      <c r="G237" s="1565"/>
      <c r="H237" s="1565"/>
      <c r="I237" s="1565">
        <f>$Q$56</f>
        <v>11117</v>
      </c>
      <c r="J237" s="1565"/>
      <c r="K237" s="1565"/>
      <c r="L237" s="1565" t="s">
        <v>22</v>
      </c>
      <c r="M237" s="1565"/>
      <c r="O237" s="1565" t="s">
        <v>92</v>
      </c>
      <c r="Q237" s="1565" t="s">
        <v>6</v>
      </c>
      <c r="R237" s="1565"/>
      <c r="T237" s="1565" t="s">
        <v>91</v>
      </c>
      <c r="U237" s="1565">
        <f>INT(I237*L218/60)</f>
        <v>8838</v>
      </c>
      <c r="V237" s="1565"/>
      <c r="W237" s="1565"/>
      <c r="X237" s="1565" t="s">
        <v>23</v>
      </c>
      <c r="Y237" s="1565"/>
      <c r="AO237" s="172"/>
    </row>
    <row r="238" spans="2:41" ht="18" hidden="1" customHeight="1">
      <c r="B238" s="170"/>
      <c r="D238" s="1565"/>
      <c r="E238" s="1565"/>
      <c r="F238" s="1565"/>
      <c r="G238" s="1565"/>
      <c r="H238" s="1565"/>
      <c r="I238" s="1565"/>
      <c r="J238" s="1565"/>
      <c r="K238" s="1565"/>
      <c r="L238" s="1565"/>
      <c r="M238" s="1565"/>
      <c r="O238" s="1565"/>
      <c r="Q238" s="1566">
        <v>60</v>
      </c>
      <c r="R238" s="1566"/>
      <c r="T238" s="1565"/>
      <c r="U238" s="1565"/>
      <c r="V238" s="1565"/>
      <c r="W238" s="1565"/>
      <c r="X238" s="1565"/>
      <c r="Y238" s="1565"/>
      <c r="AO238" s="172"/>
    </row>
    <row r="239" spans="2:41" ht="15.95" hidden="1" customHeight="1">
      <c r="B239" s="170"/>
      <c r="AO239" s="172"/>
    </row>
    <row r="240" spans="2:41" ht="15.95" hidden="1" customHeight="1">
      <c r="B240" s="170"/>
      <c r="C240" s="185"/>
      <c r="D240" s="185"/>
      <c r="E240" s="185"/>
      <c r="F240" s="185"/>
      <c r="G240" s="185"/>
      <c r="H240" s="185"/>
      <c r="I240" s="185"/>
      <c r="J240" s="185"/>
      <c r="K240" s="185"/>
      <c r="L240" s="185"/>
      <c r="M240" s="185"/>
      <c r="N240" s="185"/>
      <c r="O240" s="185"/>
      <c r="P240" s="185"/>
      <c r="Q240" s="185"/>
      <c r="R240" s="185"/>
      <c r="S240" s="185"/>
      <c r="T240" s="185"/>
      <c r="U240" s="185"/>
      <c r="V240" s="185"/>
      <c r="W240" s="185"/>
      <c r="X240" s="185"/>
      <c r="Y240" s="185"/>
      <c r="Z240" s="185"/>
      <c r="AO240" s="172"/>
    </row>
    <row r="241" spans="1:41" ht="15.95" hidden="1" customHeight="1">
      <c r="B241" s="170"/>
      <c r="R241" s="169" t="s">
        <v>276</v>
      </c>
      <c r="U241" s="1565" t="e">
        <f>U233+U234+U237</f>
        <v>#REF!</v>
      </c>
      <c r="V241" s="1565"/>
      <c r="W241" s="1565"/>
      <c r="X241" s="169" t="s">
        <v>269</v>
      </c>
      <c r="AO241" s="172"/>
    </row>
    <row r="242" spans="1:41" ht="15.95" hidden="1" customHeight="1">
      <c r="B242" s="195"/>
      <c r="C242" s="196"/>
      <c r="D242" s="196"/>
      <c r="E242" s="196"/>
      <c r="F242" s="196"/>
      <c r="G242" s="196"/>
      <c r="H242" s="196"/>
      <c r="I242" s="196"/>
      <c r="J242" s="196"/>
      <c r="K242" s="196"/>
      <c r="L242" s="196"/>
      <c r="M242" s="196"/>
      <c r="N242" s="196"/>
      <c r="O242" s="196"/>
      <c r="P242" s="196"/>
      <c r="Q242" s="196"/>
      <c r="R242" s="196"/>
      <c r="S242" s="196"/>
      <c r="T242" s="196"/>
      <c r="U242" s="196"/>
      <c r="V242" s="196"/>
      <c r="W242" s="196"/>
      <c r="X242" s="196"/>
      <c r="Y242" s="196"/>
      <c r="Z242" s="196"/>
      <c r="AA242" s="196"/>
      <c r="AB242" s="196"/>
      <c r="AC242" s="196"/>
      <c r="AD242" s="196"/>
      <c r="AE242" s="196"/>
      <c r="AF242" s="196"/>
      <c r="AG242" s="196"/>
      <c r="AH242" s="196"/>
      <c r="AI242" s="196"/>
      <c r="AJ242" s="196"/>
      <c r="AK242" s="196"/>
      <c r="AL242" s="196"/>
      <c r="AM242" s="196"/>
      <c r="AN242" s="196"/>
      <c r="AO242" s="197"/>
    </row>
    <row r="243" spans="1:41" s="479" customFormat="1" ht="15.95" hidden="1" customHeight="1">
      <c r="A243" s="1571" t="s">
        <v>594</v>
      </c>
      <c r="B243" s="1462"/>
      <c r="C243" s="1462"/>
      <c r="D243" s="1462"/>
      <c r="E243" s="1462"/>
      <c r="F243" s="1462"/>
      <c r="G243" s="1462"/>
      <c r="H243" s="1462"/>
      <c r="I243" s="1462"/>
      <c r="J243" s="1462"/>
      <c r="K243" s="1462"/>
      <c r="L243" s="1462"/>
      <c r="M243" s="1462"/>
      <c r="N243" s="1462"/>
      <c r="O243" s="1462"/>
      <c r="P243" s="1462"/>
      <c r="Q243" s="1462"/>
      <c r="R243" s="1462"/>
      <c r="S243" s="1462"/>
      <c r="T243" s="1462"/>
      <c r="U243" s="1462"/>
      <c r="V243" s="1462"/>
      <c r="W243" s="1462"/>
      <c r="X243" s="1462"/>
      <c r="Y243" s="1462"/>
      <c r="Z243" s="1462"/>
      <c r="AA243" s="1462"/>
      <c r="AB243" s="1462"/>
      <c r="AC243" s="1462"/>
      <c r="AD243" s="1462"/>
      <c r="AE243" s="1462"/>
      <c r="AF243" s="1462"/>
      <c r="AG243" s="1462"/>
      <c r="AH243" s="1462"/>
      <c r="AI243" s="1462"/>
      <c r="AJ243" s="1462"/>
      <c r="AK243" s="1462"/>
      <c r="AL243" s="1462"/>
      <c r="AM243" s="1462"/>
      <c r="AN243" s="1462"/>
      <c r="AO243" s="1462"/>
    </row>
    <row r="244" spans="1:41" ht="15.95" hidden="1" customHeight="1"/>
    <row r="245" spans="1:41" ht="15.95" hidden="1" customHeight="1">
      <c r="B245" s="166"/>
      <c r="C245" s="167"/>
      <c r="D245" s="167"/>
      <c r="E245" s="167"/>
      <c r="F245" s="167"/>
      <c r="G245" s="167"/>
      <c r="H245" s="167"/>
      <c r="I245" s="167"/>
      <c r="J245" s="167"/>
      <c r="K245" s="167"/>
      <c r="L245" s="167"/>
      <c r="M245" s="167"/>
      <c r="N245" s="167"/>
      <c r="O245" s="167"/>
      <c r="P245" s="167"/>
      <c r="Q245" s="167"/>
      <c r="R245" s="167"/>
      <c r="S245" s="167"/>
      <c r="T245" s="167"/>
      <c r="U245" s="167"/>
      <c r="V245" s="167"/>
      <c r="W245" s="167"/>
      <c r="X245" s="167"/>
      <c r="Y245" s="167"/>
      <c r="Z245" s="167"/>
      <c r="AA245" s="167"/>
      <c r="AB245" s="167"/>
      <c r="AC245" s="167"/>
      <c r="AD245" s="167"/>
      <c r="AE245" s="167"/>
      <c r="AF245" s="167"/>
      <c r="AG245" s="167"/>
      <c r="AH245" s="167"/>
      <c r="AI245" s="167"/>
      <c r="AJ245" s="167"/>
      <c r="AK245" s="167"/>
      <c r="AL245" s="167"/>
      <c r="AM245" s="167"/>
      <c r="AN245" s="167"/>
      <c r="AO245" s="168"/>
    </row>
    <row r="246" spans="1:41" ht="15.95" hidden="1" customHeight="1">
      <c r="B246" s="170"/>
      <c r="C246" s="198" t="s">
        <v>5</v>
      </c>
      <c r="D246" s="169" t="s">
        <v>353</v>
      </c>
      <c r="AO246" s="172"/>
    </row>
    <row r="247" spans="1:41" ht="15.95" hidden="1" customHeight="1">
      <c r="B247" s="170"/>
      <c r="AO247" s="172"/>
    </row>
    <row r="248" spans="1:41" ht="18" hidden="1" customHeight="1">
      <c r="B248" s="170"/>
      <c r="D248" s="1565" t="s">
        <v>6</v>
      </c>
      <c r="E248" s="1565" t="s">
        <v>91</v>
      </c>
      <c r="F248" s="1565" t="s">
        <v>7</v>
      </c>
      <c r="G248" s="1565"/>
      <c r="H248" s="1565" t="s">
        <v>91</v>
      </c>
      <c r="I248" s="1565">
        <v>33</v>
      </c>
      <c r="J248" s="1565"/>
      <c r="K248" s="1565" t="s">
        <v>91</v>
      </c>
      <c r="L248" s="1572">
        <f>ROUNDUP((I248/I249),2)</f>
        <v>36.669999999999995</v>
      </c>
      <c r="M248" s="1572"/>
      <c r="N248" s="1565" t="s">
        <v>8</v>
      </c>
      <c r="O248" s="1565"/>
      <c r="AO248" s="172"/>
    </row>
    <row r="249" spans="1:41" ht="18" hidden="1" customHeight="1">
      <c r="B249" s="170"/>
      <c r="D249" s="1565"/>
      <c r="E249" s="1565"/>
      <c r="F249" s="1566" t="s">
        <v>9</v>
      </c>
      <c r="G249" s="1566"/>
      <c r="H249" s="1565"/>
      <c r="I249" s="1584">
        <v>0.9</v>
      </c>
      <c r="J249" s="1584"/>
      <c r="K249" s="1565"/>
      <c r="L249" s="1572"/>
      <c r="M249" s="1572"/>
      <c r="N249" s="1565"/>
      <c r="O249" s="1565"/>
      <c r="AO249" s="172"/>
    </row>
    <row r="250" spans="1:41" ht="15.95" hidden="1" customHeight="1">
      <c r="B250" s="170"/>
      <c r="AO250" s="172"/>
    </row>
    <row r="251" spans="1:41" ht="15.95" hidden="1" customHeight="1">
      <c r="B251" s="170"/>
      <c r="D251" s="169" t="s">
        <v>10</v>
      </c>
      <c r="F251" s="169" t="s">
        <v>6</v>
      </c>
      <c r="G251" s="169" t="s">
        <v>82</v>
      </c>
      <c r="H251" s="169" t="s">
        <v>11</v>
      </c>
      <c r="AO251" s="172"/>
    </row>
    <row r="252" spans="1:41" ht="15.95" hidden="1" customHeight="1">
      <c r="B252" s="170"/>
      <c r="AO252" s="172"/>
    </row>
    <row r="253" spans="1:41" ht="15.95" hidden="1" customHeight="1">
      <c r="B253" s="170"/>
      <c r="F253" s="169" t="s">
        <v>7</v>
      </c>
      <c r="G253" s="169" t="s">
        <v>82</v>
      </c>
      <c r="H253" s="169" t="s">
        <v>12</v>
      </c>
      <c r="AO253" s="172"/>
    </row>
    <row r="254" spans="1:41" ht="15.95" hidden="1" customHeight="1">
      <c r="B254" s="170"/>
      <c r="AO254" s="172"/>
    </row>
    <row r="255" spans="1:41" ht="15.95" hidden="1" customHeight="1">
      <c r="B255" s="170"/>
      <c r="F255" s="169" t="s">
        <v>9</v>
      </c>
      <c r="G255" s="169" t="s">
        <v>82</v>
      </c>
      <c r="H255" s="169" t="s">
        <v>18</v>
      </c>
      <c r="AO255" s="172"/>
    </row>
    <row r="256" spans="1:41" ht="15.95" hidden="1" customHeight="1">
      <c r="B256" s="170"/>
      <c r="V256" s="199"/>
      <c r="W256" s="199"/>
      <c r="X256" s="199"/>
      <c r="Y256" s="199"/>
      <c r="Z256" s="199"/>
      <c r="AA256" s="199"/>
      <c r="AB256" s="199"/>
      <c r="AC256" s="199"/>
      <c r="AD256" s="199"/>
      <c r="AE256" s="199"/>
      <c r="AF256" s="199"/>
      <c r="AG256" s="199"/>
      <c r="AH256" s="199"/>
      <c r="AI256" s="199"/>
      <c r="AJ256" s="199"/>
      <c r="AK256" s="199"/>
      <c r="AL256" s="199"/>
      <c r="AM256" s="199"/>
      <c r="AN256" s="199"/>
      <c r="AO256" s="172"/>
    </row>
    <row r="257" spans="2:41" ht="15.95" hidden="1" customHeight="1">
      <c r="B257" s="170"/>
      <c r="AO257" s="172"/>
    </row>
    <row r="258" spans="2:41" ht="15.95" hidden="1" customHeight="1">
      <c r="B258" s="170"/>
      <c r="C258" s="198" t="s">
        <v>19</v>
      </c>
      <c r="D258" s="169" t="s">
        <v>20</v>
      </c>
      <c r="AO258" s="172"/>
    </row>
    <row r="259" spans="2:41" ht="15.95" hidden="1" customHeight="1">
      <c r="B259" s="170"/>
      <c r="AO259" s="172"/>
    </row>
    <row r="260" spans="2:41" ht="18" hidden="1" customHeight="1">
      <c r="B260" s="170"/>
      <c r="D260" s="1565" t="s">
        <v>21</v>
      </c>
      <c r="E260" s="1565"/>
      <c r="F260" s="1565"/>
      <c r="G260" s="1565"/>
      <c r="H260" s="1565"/>
      <c r="I260" s="1565">
        <f>$AK$43</f>
        <v>50008</v>
      </c>
      <c r="J260" s="1565"/>
      <c r="K260" s="1565"/>
      <c r="L260" s="1565" t="s">
        <v>22</v>
      </c>
      <c r="M260" s="1565"/>
      <c r="O260" s="1565" t="s">
        <v>92</v>
      </c>
      <c r="Q260" s="1565" t="s">
        <v>6</v>
      </c>
      <c r="R260" s="1565"/>
      <c r="T260" s="1565" t="s">
        <v>91</v>
      </c>
      <c r="U260" s="1565">
        <f>INT(I260*(L248/60))</f>
        <v>30563</v>
      </c>
      <c r="V260" s="1565"/>
      <c r="W260" s="1565"/>
      <c r="X260" s="1565" t="s">
        <v>23</v>
      </c>
      <c r="Y260" s="1565"/>
      <c r="AO260" s="172"/>
    </row>
    <row r="261" spans="2:41" ht="18" hidden="1" customHeight="1">
      <c r="B261" s="170"/>
      <c r="D261" s="1565"/>
      <c r="E261" s="1565"/>
      <c r="F261" s="1565"/>
      <c r="G261" s="1565"/>
      <c r="H261" s="1565"/>
      <c r="I261" s="1565"/>
      <c r="J261" s="1565"/>
      <c r="K261" s="1565"/>
      <c r="L261" s="1565"/>
      <c r="M261" s="1565"/>
      <c r="O261" s="1565"/>
      <c r="Q261" s="1566">
        <v>60</v>
      </c>
      <c r="R261" s="1566"/>
      <c r="T261" s="1565"/>
      <c r="U261" s="1565"/>
      <c r="V261" s="1565"/>
      <c r="W261" s="1565"/>
      <c r="X261" s="1565"/>
      <c r="Y261" s="1565"/>
      <c r="AO261" s="172"/>
    </row>
    <row r="262" spans="2:41" ht="18" hidden="1" customHeight="1">
      <c r="B262" s="170"/>
      <c r="D262" s="173"/>
      <c r="E262" s="1567" t="s">
        <v>167</v>
      </c>
      <c r="F262" s="1567"/>
      <c r="G262" s="1567"/>
      <c r="H262" s="173"/>
      <c r="I262" s="1567">
        <f>VLOOKUP($E262,인건비!A:B,2,FALSE)</f>
        <v>276108</v>
      </c>
      <c r="J262" s="1567"/>
      <c r="K262" s="1567"/>
      <c r="L262" s="173"/>
      <c r="M262" s="173"/>
      <c r="O262" s="173" t="s">
        <v>92</v>
      </c>
      <c r="P262" s="1568">
        <v>0.31</v>
      </c>
      <c r="Q262" s="1569"/>
      <c r="R262" s="1569"/>
      <c r="T262" s="173" t="s">
        <v>91</v>
      </c>
      <c r="U262" s="1567">
        <f>INT(I262*P262)</f>
        <v>85593</v>
      </c>
      <c r="V262" s="1567"/>
      <c r="W262" s="1567"/>
      <c r="X262" s="176" t="s">
        <v>168</v>
      </c>
      <c r="Y262" s="173"/>
      <c r="AO262" s="172"/>
    </row>
    <row r="263" spans="2:41" ht="15.95" hidden="1" customHeight="1">
      <c r="B263" s="170"/>
      <c r="D263" s="185"/>
      <c r="E263" s="185"/>
      <c r="F263" s="185"/>
      <c r="G263" s="185"/>
      <c r="H263" s="185"/>
      <c r="I263" s="185"/>
      <c r="J263" s="185"/>
      <c r="K263" s="185"/>
      <c r="L263" s="185"/>
      <c r="M263" s="185"/>
      <c r="N263" s="185"/>
      <c r="O263" s="185"/>
      <c r="P263" s="185"/>
      <c r="Q263" s="185"/>
      <c r="R263" s="185" t="s">
        <v>276</v>
      </c>
      <c r="S263" s="185"/>
      <c r="T263" s="185"/>
      <c r="U263" s="1570">
        <f>U260+U262</f>
        <v>116156</v>
      </c>
      <c r="V263" s="1570"/>
      <c r="W263" s="1570"/>
      <c r="X263" s="185"/>
      <c r="Y263" s="185"/>
      <c r="Z263" s="185"/>
      <c r="AO263" s="172"/>
    </row>
    <row r="264" spans="2:41" ht="18" hidden="1" customHeight="1">
      <c r="B264" s="170"/>
      <c r="D264" s="1565" t="s">
        <v>24</v>
      </c>
      <c r="E264" s="1565"/>
      <c r="F264" s="1565"/>
      <c r="G264" s="1565"/>
      <c r="H264" s="1565"/>
      <c r="I264" s="1565" t="e">
        <f>$Q$52</f>
        <v>#REF!</v>
      </c>
      <c r="J264" s="1565"/>
      <c r="K264" s="1565"/>
      <c r="L264" s="1565" t="s">
        <v>22</v>
      </c>
      <c r="M264" s="1565"/>
      <c r="O264" s="1565" t="s">
        <v>92</v>
      </c>
      <c r="Q264" s="1565" t="s">
        <v>6</v>
      </c>
      <c r="R264" s="1565"/>
      <c r="T264" s="1565" t="s">
        <v>91</v>
      </c>
      <c r="U264" s="1565" t="e">
        <f>INT(I264*L248/60)</f>
        <v>#REF!</v>
      </c>
      <c r="V264" s="1565"/>
      <c r="W264" s="1565"/>
      <c r="X264" s="1565" t="s">
        <v>23</v>
      </c>
      <c r="Y264" s="1565"/>
      <c r="AO264" s="172"/>
    </row>
    <row r="265" spans="2:41" ht="18" hidden="1" customHeight="1">
      <c r="B265" s="170"/>
      <c r="D265" s="1565"/>
      <c r="E265" s="1565"/>
      <c r="F265" s="1565"/>
      <c r="G265" s="1565"/>
      <c r="H265" s="1565"/>
      <c r="I265" s="1565"/>
      <c r="J265" s="1565"/>
      <c r="K265" s="1565"/>
      <c r="L265" s="1565"/>
      <c r="M265" s="1565"/>
      <c r="O265" s="1565"/>
      <c r="Q265" s="1566">
        <v>60</v>
      </c>
      <c r="R265" s="1566"/>
      <c r="T265" s="1565"/>
      <c r="U265" s="1565"/>
      <c r="V265" s="1565"/>
      <c r="W265" s="1565"/>
      <c r="X265" s="1565"/>
      <c r="Y265" s="1565"/>
      <c r="AO265" s="172"/>
    </row>
    <row r="266" spans="2:41" ht="15.95" hidden="1" customHeight="1">
      <c r="B266" s="170"/>
      <c r="AO266" s="172"/>
    </row>
    <row r="267" spans="2:41" ht="18" hidden="1" customHeight="1">
      <c r="B267" s="170"/>
      <c r="D267" s="1565" t="s">
        <v>25</v>
      </c>
      <c r="E267" s="1565"/>
      <c r="F267" s="1565"/>
      <c r="G267" s="1565"/>
      <c r="H267" s="1565"/>
      <c r="I267" s="1565">
        <f>$Q$56</f>
        <v>11117</v>
      </c>
      <c r="J267" s="1565"/>
      <c r="K267" s="1565"/>
      <c r="L267" s="1565" t="s">
        <v>22</v>
      </c>
      <c r="M267" s="1565"/>
      <c r="O267" s="1565" t="s">
        <v>92</v>
      </c>
      <c r="Q267" s="1565" t="s">
        <v>6</v>
      </c>
      <c r="R267" s="1565"/>
      <c r="T267" s="1565" t="s">
        <v>91</v>
      </c>
      <c r="U267" s="1565">
        <f>INT(I267*L248/60)</f>
        <v>6794</v>
      </c>
      <c r="V267" s="1565"/>
      <c r="W267" s="1565"/>
      <c r="X267" s="1565" t="s">
        <v>23</v>
      </c>
      <c r="Y267" s="1565"/>
      <c r="AO267" s="172"/>
    </row>
    <row r="268" spans="2:41" ht="18" hidden="1" customHeight="1">
      <c r="B268" s="170"/>
      <c r="D268" s="1565"/>
      <c r="E268" s="1565"/>
      <c r="F268" s="1565"/>
      <c r="G268" s="1565"/>
      <c r="H268" s="1565"/>
      <c r="I268" s="1565"/>
      <c r="J268" s="1565"/>
      <c r="K268" s="1565"/>
      <c r="L268" s="1565"/>
      <c r="M268" s="1565"/>
      <c r="O268" s="1565"/>
      <c r="Q268" s="1566">
        <v>60</v>
      </c>
      <c r="R268" s="1566"/>
      <c r="T268" s="1565"/>
      <c r="U268" s="1565"/>
      <c r="V268" s="1565"/>
      <c r="W268" s="1565"/>
      <c r="X268" s="1565"/>
      <c r="Y268" s="1565"/>
      <c r="AO268" s="172"/>
    </row>
    <row r="269" spans="2:41" ht="15.95" hidden="1" customHeight="1">
      <c r="B269" s="170"/>
      <c r="AO269" s="172"/>
    </row>
    <row r="270" spans="2:41" ht="15.95" hidden="1" customHeight="1">
      <c r="B270" s="170"/>
      <c r="C270" s="185"/>
      <c r="D270" s="185"/>
      <c r="E270" s="185"/>
      <c r="F270" s="185"/>
      <c r="G270" s="185"/>
      <c r="H270" s="185"/>
      <c r="I270" s="185"/>
      <c r="J270" s="185"/>
      <c r="K270" s="185"/>
      <c r="L270" s="185"/>
      <c r="M270" s="185"/>
      <c r="N270" s="185"/>
      <c r="O270" s="185"/>
      <c r="P270" s="185"/>
      <c r="Q270" s="185"/>
      <c r="R270" s="185"/>
      <c r="S270" s="185"/>
      <c r="T270" s="185"/>
      <c r="U270" s="185"/>
      <c r="V270" s="185"/>
      <c r="W270" s="185"/>
      <c r="X270" s="185"/>
      <c r="Y270" s="185"/>
      <c r="Z270" s="185"/>
      <c r="AO270" s="172"/>
    </row>
    <row r="271" spans="2:41" ht="15.95" hidden="1" customHeight="1">
      <c r="B271" s="170"/>
      <c r="R271" s="169" t="s">
        <v>276</v>
      </c>
      <c r="U271" s="1565" t="e">
        <f>U263+U264+U267</f>
        <v>#REF!</v>
      </c>
      <c r="V271" s="1565"/>
      <c r="W271" s="1565"/>
      <c r="X271" s="169" t="s">
        <v>269</v>
      </c>
      <c r="AO271" s="172"/>
    </row>
    <row r="272" spans="2:41" ht="15.95" hidden="1" customHeight="1">
      <c r="B272" s="195"/>
      <c r="C272" s="196"/>
      <c r="D272" s="196"/>
      <c r="E272" s="196"/>
      <c r="F272" s="196"/>
      <c r="G272" s="196"/>
      <c r="H272" s="196"/>
      <c r="I272" s="196"/>
      <c r="J272" s="196"/>
      <c r="K272" s="196"/>
      <c r="L272" s="196"/>
      <c r="M272" s="196"/>
      <c r="N272" s="196"/>
      <c r="O272" s="196"/>
      <c r="P272" s="196"/>
      <c r="Q272" s="196"/>
      <c r="R272" s="196"/>
      <c r="S272" s="196"/>
      <c r="T272" s="196"/>
      <c r="U272" s="196"/>
      <c r="V272" s="196"/>
      <c r="W272" s="196"/>
      <c r="X272" s="196"/>
      <c r="Y272" s="196"/>
      <c r="Z272" s="196"/>
      <c r="AA272" s="196"/>
      <c r="AB272" s="196"/>
      <c r="AC272" s="196"/>
      <c r="AD272" s="196"/>
      <c r="AE272" s="196"/>
      <c r="AF272" s="196"/>
      <c r="AG272" s="196"/>
      <c r="AH272" s="196"/>
      <c r="AI272" s="196"/>
      <c r="AJ272" s="196"/>
      <c r="AK272" s="196"/>
      <c r="AL272" s="196"/>
      <c r="AM272" s="196"/>
      <c r="AN272" s="196"/>
      <c r="AO272" s="197"/>
    </row>
    <row r="273" spans="1:41" s="479" customFormat="1" ht="15.95" hidden="1" customHeight="1">
      <c r="A273" s="1571" t="s">
        <v>594</v>
      </c>
      <c r="B273" s="1462"/>
      <c r="C273" s="1462"/>
      <c r="D273" s="1462"/>
      <c r="E273" s="1462"/>
      <c r="F273" s="1462"/>
      <c r="G273" s="1462"/>
      <c r="H273" s="1462"/>
      <c r="I273" s="1462"/>
      <c r="J273" s="1462"/>
      <c r="K273" s="1462"/>
      <c r="L273" s="1462"/>
      <c r="M273" s="1462"/>
      <c r="N273" s="1462"/>
      <c r="O273" s="1462"/>
      <c r="P273" s="1462"/>
      <c r="Q273" s="1462"/>
      <c r="R273" s="1462"/>
      <c r="S273" s="1462"/>
      <c r="T273" s="1462"/>
      <c r="U273" s="1462"/>
      <c r="V273" s="1462"/>
      <c r="W273" s="1462"/>
      <c r="X273" s="1462"/>
      <c r="Y273" s="1462"/>
      <c r="Z273" s="1462"/>
      <c r="AA273" s="1462"/>
      <c r="AB273" s="1462"/>
      <c r="AC273" s="1462"/>
      <c r="AD273" s="1462"/>
      <c r="AE273" s="1462"/>
      <c r="AF273" s="1462"/>
      <c r="AG273" s="1462"/>
      <c r="AH273" s="1462"/>
      <c r="AI273" s="1462"/>
      <c r="AJ273" s="1462"/>
      <c r="AK273" s="1462"/>
      <c r="AL273" s="1462"/>
      <c r="AM273" s="1462"/>
      <c r="AN273" s="1462"/>
      <c r="AO273" s="1462"/>
    </row>
    <row r="274" spans="1:41" ht="15.95" hidden="1" customHeight="1"/>
    <row r="275" spans="1:41" ht="15.95" hidden="1" customHeight="1">
      <c r="B275" s="166"/>
      <c r="C275" s="167"/>
      <c r="D275" s="167"/>
      <c r="E275" s="167"/>
      <c r="F275" s="167"/>
      <c r="G275" s="167"/>
      <c r="H275" s="167"/>
      <c r="I275" s="167"/>
      <c r="J275" s="167"/>
      <c r="K275" s="167"/>
      <c r="L275" s="167"/>
      <c r="M275" s="167"/>
      <c r="N275" s="167"/>
      <c r="O275" s="167"/>
      <c r="P275" s="167"/>
      <c r="Q275" s="167"/>
      <c r="R275" s="167"/>
      <c r="S275" s="167"/>
      <c r="T275" s="167"/>
      <c r="U275" s="167"/>
      <c r="V275" s="167"/>
      <c r="W275" s="167"/>
      <c r="X275" s="167"/>
      <c r="Y275" s="167"/>
      <c r="Z275" s="167"/>
      <c r="AA275" s="167"/>
      <c r="AB275" s="167"/>
      <c r="AC275" s="167"/>
      <c r="AD275" s="167"/>
      <c r="AE275" s="167"/>
      <c r="AF275" s="167"/>
      <c r="AG275" s="167"/>
      <c r="AH275" s="167"/>
      <c r="AI275" s="167"/>
      <c r="AJ275" s="167"/>
      <c r="AK275" s="167"/>
      <c r="AL275" s="167"/>
      <c r="AM275" s="167"/>
      <c r="AN275" s="167"/>
      <c r="AO275" s="168"/>
    </row>
    <row r="276" spans="1:41" ht="15.95" hidden="1" customHeight="1">
      <c r="B276" s="170"/>
      <c r="C276" s="198" t="s">
        <v>5</v>
      </c>
      <c r="D276" s="169" t="s">
        <v>353</v>
      </c>
      <c r="AO276" s="172"/>
    </row>
    <row r="277" spans="1:41" ht="15.95" hidden="1" customHeight="1">
      <c r="B277" s="170"/>
      <c r="AO277" s="172"/>
    </row>
    <row r="278" spans="1:41" ht="18" hidden="1" customHeight="1">
      <c r="B278" s="170"/>
      <c r="D278" s="1565" t="s">
        <v>6</v>
      </c>
      <c r="E278" s="1565" t="s">
        <v>91</v>
      </c>
      <c r="F278" s="1565" t="s">
        <v>7</v>
      </c>
      <c r="G278" s="1565"/>
      <c r="H278" s="1565" t="s">
        <v>91</v>
      </c>
      <c r="I278" s="1565">
        <v>33</v>
      </c>
      <c r="J278" s="1565"/>
      <c r="K278" s="1565" t="s">
        <v>91</v>
      </c>
      <c r="L278" s="1572">
        <f>ROUNDUP((I278/I279),2)</f>
        <v>36.669999999999995</v>
      </c>
      <c r="M278" s="1572"/>
      <c r="N278" s="1565" t="s">
        <v>8</v>
      </c>
      <c r="O278" s="1565"/>
      <c r="AO278" s="172"/>
    </row>
    <row r="279" spans="1:41" ht="18" hidden="1" customHeight="1">
      <c r="B279" s="170"/>
      <c r="D279" s="1565"/>
      <c r="E279" s="1565"/>
      <c r="F279" s="1566" t="s">
        <v>9</v>
      </c>
      <c r="G279" s="1566"/>
      <c r="H279" s="1565"/>
      <c r="I279" s="1584">
        <v>0.9</v>
      </c>
      <c r="J279" s="1584"/>
      <c r="K279" s="1565"/>
      <c r="L279" s="1572"/>
      <c r="M279" s="1572"/>
      <c r="N279" s="1565"/>
      <c r="O279" s="1565"/>
      <c r="AO279" s="172"/>
    </row>
    <row r="280" spans="1:41" ht="15.95" hidden="1" customHeight="1">
      <c r="B280" s="170"/>
      <c r="AO280" s="172"/>
    </row>
    <row r="281" spans="1:41" ht="15.95" hidden="1" customHeight="1">
      <c r="B281" s="170"/>
      <c r="D281" s="169" t="s">
        <v>10</v>
      </c>
      <c r="F281" s="169" t="s">
        <v>6</v>
      </c>
      <c r="G281" s="169" t="s">
        <v>82</v>
      </c>
      <c r="H281" s="169" t="s">
        <v>11</v>
      </c>
      <c r="AO281" s="172"/>
    </row>
    <row r="282" spans="1:41" ht="15.95" hidden="1" customHeight="1">
      <c r="B282" s="170"/>
      <c r="AO282" s="172"/>
    </row>
    <row r="283" spans="1:41" ht="15.95" hidden="1" customHeight="1">
      <c r="B283" s="170"/>
      <c r="F283" s="169" t="s">
        <v>7</v>
      </c>
      <c r="G283" s="169" t="s">
        <v>82</v>
      </c>
      <c r="H283" s="169" t="s">
        <v>12</v>
      </c>
      <c r="AO283" s="172"/>
    </row>
    <row r="284" spans="1:41" ht="15.95" hidden="1" customHeight="1">
      <c r="B284" s="170"/>
      <c r="AO284" s="172"/>
    </row>
    <row r="285" spans="1:41" ht="15.95" hidden="1" customHeight="1">
      <c r="B285" s="170"/>
      <c r="F285" s="169" t="s">
        <v>9</v>
      </c>
      <c r="G285" s="169" t="s">
        <v>82</v>
      </c>
      <c r="H285" s="169" t="s">
        <v>18</v>
      </c>
      <c r="AO285" s="172"/>
    </row>
    <row r="286" spans="1:41" ht="15.95" hidden="1" customHeight="1">
      <c r="B286" s="170"/>
      <c r="V286" s="199"/>
      <c r="W286" s="199"/>
      <c r="X286" s="199"/>
      <c r="Y286" s="199"/>
      <c r="Z286" s="199"/>
      <c r="AA286" s="199"/>
      <c r="AB286" s="199"/>
      <c r="AC286" s="199"/>
      <c r="AD286" s="199"/>
      <c r="AE286" s="199"/>
      <c r="AF286" s="199"/>
      <c r="AG286" s="199"/>
      <c r="AH286" s="199"/>
      <c r="AI286" s="199"/>
      <c r="AJ286" s="199"/>
      <c r="AK286" s="199"/>
      <c r="AL286" s="199"/>
      <c r="AM286" s="199"/>
      <c r="AN286" s="199"/>
      <c r="AO286" s="172"/>
    </row>
    <row r="287" spans="1:41" ht="15.95" hidden="1" customHeight="1">
      <c r="B287" s="170"/>
      <c r="AO287" s="172"/>
    </row>
    <row r="288" spans="1:41" ht="15.95" hidden="1" customHeight="1">
      <c r="B288" s="170"/>
      <c r="C288" s="198" t="s">
        <v>19</v>
      </c>
      <c r="D288" s="169" t="s">
        <v>20</v>
      </c>
      <c r="AO288" s="172"/>
    </row>
    <row r="289" spans="2:41" ht="15.95" hidden="1" customHeight="1">
      <c r="B289" s="170"/>
      <c r="AO289" s="172"/>
    </row>
    <row r="290" spans="2:41" ht="18" hidden="1" customHeight="1">
      <c r="B290" s="170"/>
      <c r="D290" s="1565" t="s">
        <v>21</v>
      </c>
      <c r="E290" s="1565"/>
      <c r="F290" s="1565"/>
      <c r="G290" s="1565"/>
      <c r="H290" s="1565"/>
      <c r="I290" s="1565">
        <f>$AK$43</f>
        <v>50008</v>
      </c>
      <c r="J290" s="1565"/>
      <c r="K290" s="1565"/>
      <c r="L290" s="1565" t="s">
        <v>22</v>
      </c>
      <c r="M290" s="1565"/>
      <c r="O290" s="1565" t="s">
        <v>92</v>
      </c>
      <c r="Q290" s="1565" t="s">
        <v>6</v>
      </c>
      <c r="R290" s="1565"/>
      <c r="T290" s="1565" t="s">
        <v>91</v>
      </c>
      <c r="U290" s="1565">
        <f>INT(I290*(L278/60))</f>
        <v>30563</v>
      </c>
      <c r="V290" s="1565"/>
      <c r="W290" s="1565"/>
      <c r="X290" s="1565" t="s">
        <v>23</v>
      </c>
      <c r="Y290" s="1565"/>
      <c r="AO290" s="172"/>
    </row>
    <row r="291" spans="2:41" ht="18" hidden="1" customHeight="1">
      <c r="B291" s="170"/>
      <c r="D291" s="1565"/>
      <c r="E291" s="1565"/>
      <c r="F291" s="1565"/>
      <c r="G291" s="1565"/>
      <c r="H291" s="1565"/>
      <c r="I291" s="1565"/>
      <c r="J291" s="1565"/>
      <c r="K291" s="1565"/>
      <c r="L291" s="1565"/>
      <c r="M291" s="1565"/>
      <c r="O291" s="1565"/>
      <c r="Q291" s="1566">
        <v>60</v>
      </c>
      <c r="R291" s="1566"/>
      <c r="T291" s="1565"/>
      <c r="U291" s="1565"/>
      <c r="V291" s="1565"/>
      <c r="W291" s="1565"/>
      <c r="X291" s="1565"/>
      <c r="Y291" s="1565"/>
      <c r="AO291" s="172"/>
    </row>
    <row r="292" spans="2:41" ht="18" hidden="1" customHeight="1">
      <c r="B292" s="170"/>
      <c r="D292" s="173"/>
      <c r="E292" s="1567" t="s">
        <v>167</v>
      </c>
      <c r="F292" s="1567"/>
      <c r="G292" s="1567"/>
      <c r="H292" s="173"/>
      <c r="I292" s="1567">
        <f>VLOOKUP($E292,인건비!A:B,2,FALSE)</f>
        <v>276108</v>
      </c>
      <c r="J292" s="1567"/>
      <c r="K292" s="1567"/>
      <c r="L292" s="173"/>
      <c r="M292" s="173"/>
      <c r="O292" s="173" t="s">
        <v>92</v>
      </c>
      <c r="P292" s="1568">
        <v>0.31</v>
      </c>
      <c r="Q292" s="1569"/>
      <c r="R292" s="1569"/>
      <c r="T292" s="173" t="s">
        <v>91</v>
      </c>
      <c r="U292" s="1567">
        <f>INT(I292*P292)</f>
        <v>85593</v>
      </c>
      <c r="V292" s="1567"/>
      <c r="W292" s="1567"/>
      <c r="X292" s="176" t="s">
        <v>168</v>
      </c>
      <c r="Y292" s="173"/>
      <c r="AO292" s="172"/>
    </row>
    <row r="293" spans="2:41" ht="15.95" hidden="1" customHeight="1">
      <c r="B293" s="170"/>
      <c r="D293" s="185"/>
      <c r="E293" s="185"/>
      <c r="F293" s="185"/>
      <c r="G293" s="185"/>
      <c r="H293" s="185"/>
      <c r="I293" s="185"/>
      <c r="J293" s="185"/>
      <c r="K293" s="185"/>
      <c r="L293" s="185"/>
      <c r="M293" s="185"/>
      <c r="N293" s="185"/>
      <c r="O293" s="185"/>
      <c r="P293" s="185"/>
      <c r="Q293" s="185"/>
      <c r="R293" s="185" t="s">
        <v>276</v>
      </c>
      <c r="S293" s="185"/>
      <c r="T293" s="185"/>
      <c r="U293" s="1570">
        <f>U290+U292</f>
        <v>116156</v>
      </c>
      <c r="V293" s="1570"/>
      <c r="W293" s="1570"/>
      <c r="X293" s="185"/>
      <c r="Y293" s="185"/>
      <c r="Z293" s="185"/>
      <c r="AO293" s="172"/>
    </row>
    <row r="294" spans="2:41" ht="18" hidden="1" customHeight="1">
      <c r="B294" s="170"/>
      <c r="D294" s="1565" t="s">
        <v>24</v>
      </c>
      <c r="E294" s="1565"/>
      <c r="F294" s="1565"/>
      <c r="G294" s="1565"/>
      <c r="H294" s="1565"/>
      <c r="I294" s="1565" t="e">
        <f>$Q$52</f>
        <v>#REF!</v>
      </c>
      <c r="J294" s="1565"/>
      <c r="K294" s="1565"/>
      <c r="L294" s="1565" t="s">
        <v>22</v>
      </c>
      <c r="M294" s="1565"/>
      <c r="O294" s="1565" t="s">
        <v>92</v>
      </c>
      <c r="Q294" s="1565" t="s">
        <v>6</v>
      </c>
      <c r="R294" s="1565"/>
      <c r="T294" s="1565" t="s">
        <v>91</v>
      </c>
      <c r="U294" s="1565" t="e">
        <f>INT(I294*L278/60)</f>
        <v>#REF!</v>
      </c>
      <c r="V294" s="1565"/>
      <c r="W294" s="1565"/>
      <c r="X294" s="1565" t="s">
        <v>23</v>
      </c>
      <c r="Y294" s="1565"/>
      <c r="AO294" s="172"/>
    </row>
    <row r="295" spans="2:41" ht="18" hidden="1" customHeight="1">
      <c r="B295" s="170"/>
      <c r="D295" s="1565"/>
      <c r="E295" s="1565"/>
      <c r="F295" s="1565"/>
      <c r="G295" s="1565"/>
      <c r="H295" s="1565"/>
      <c r="I295" s="1565"/>
      <c r="J295" s="1565"/>
      <c r="K295" s="1565"/>
      <c r="L295" s="1565"/>
      <c r="M295" s="1565"/>
      <c r="O295" s="1565"/>
      <c r="Q295" s="1566">
        <v>60</v>
      </c>
      <c r="R295" s="1566"/>
      <c r="T295" s="1565"/>
      <c r="U295" s="1565"/>
      <c r="V295" s="1565"/>
      <c r="W295" s="1565"/>
      <c r="X295" s="1565"/>
      <c r="Y295" s="1565"/>
      <c r="AO295" s="172"/>
    </row>
    <row r="296" spans="2:41" ht="15.95" hidden="1" customHeight="1">
      <c r="B296" s="170"/>
      <c r="AO296" s="172"/>
    </row>
    <row r="297" spans="2:41" ht="18" hidden="1" customHeight="1">
      <c r="B297" s="170"/>
      <c r="D297" s="1565" t="s">
        <v>25</v>
      </c>
      <c r="E297" s="1565"/>
      <c r="F297" s="1565"/>
      <c r="G297" s="1565"/>
      <c r="H297" s="1565"/>
      <c r="I297" s="1565">
        <f>$Q$56</f>
        <v>11117</v>
      </c>
      <c r="J297" s="1565"/>
      <c r="K297" s="1565"/>
      <c r="L297" s="1565" t="s">
        <v>22</v>
      </c>
      <c r="M297" s="1565"/>
      <c r="O297" s="1565" t="s">
        <v>92</v>
      </c>
      <c r="Q297" s="1565" t="s">
        <v>6</v>
      </c>
      <c r="R297" s="1565"/>
      <c r="T297" s="1565" t="s">
        <v>91</v>
      </c>
      <c r="U297" s="1565">
        <f>INT(I297*L278/60)</f>
        <v>6794</v>
      </c>
      <c r="V297" s="1565"/>
      <c r="W297" s="1565"/>
      <c r="X297" s="1565" t="s">
        <v>23</v>
      </c>
      <c r="Y297" s="1565"/>
      <c r="AO297" s="172"/>
    </row>
    <row r="298" spans="2:41" ht="18" hidden="1" customHeight="1">
      <c r="B298" s="170"/>
      <c r="D298" s="1565"/>
      <c r="E298" s="1565"/>
      <c r="F298" s="1565"/>
      <c r="G298" s="1565"/>
      <c r="H298" s="1565"/>
      <c r="I298" s="1565"/>
      <c r="J298" s="1565"/>
      <c r="K298" s="1565"/>
      <c r="L298" s="1565"/>
      <c r="M298" s="1565"/>
      <c r="O298" s="1565"/>
      <c r="Q298" s="1566">
        <v>60</v>
      </c>
      <c r="R298" s="1566"/>
      <c r="T298" s="1565"/>
      <c r="U298" s="1565"/>
      <c r="V298" s="1565"/>
      <c r="W298" s="1565"/>
      <c r="X298" s="1565"/>
      <c r="Y298" s="1565"/>
      <c r="AO298" s="172"/>
    </row>
    <row r="299" spans="2:41" ht="15.95" hidden="1" customHeight="1">
      <c r="B299" s="170"/>
      <c r="AO299" s="172"/>
    </row>
    <row r="300" spans="2:41" ht="15.95" hidden="1" customHeight="1">
      <c r="B300" s="170"/>
      <c r="C300" s="185"/>
      <c r="D300" s="185"/>
      <c r="E300" s="185"/>
      <c r="F300" s="185"/>
      <c r="G300" s="185"/>
      <c r="H300" s="185"/>
      <c r="I300" s="185"/>
      <c r="J300" s="185"/>
      <c r="K300" s="185"/>
      <c r="L300" s="185"/>
      <c r="M300" s="185"/>
      <c r="N300" s="185"/>
      <c r="O300" s="185"/>
      <c r="P300" s="185"/>
      <c r="Q300" s="185"/>
      <c r="R300" s="185"/>
      <c r="S300" s="185"/>
      <c r="T300" s="185"/>
      <c r="U300" s="185"/>
      <c r="V300" s="185"/>
      <c r="W300" s="185"/>
      <c r="X300" s="185"/>
      <c r="Y300" s="185"/>
      <c r="Z300" s="185"/>
      <c r="AO300" s="172"/>
    </row>
    <row r="301" spans="2:41" ht="15.95" hidden="1" customHeight="1">
      <c r="B301" s="170"/>
      <c r="R301" s="169" t="s">
        <v>276</v>
      </c>
      <c r="U301" s="1565" t="e">
        <f>U293+U294+U297</f>
        <v>#REF!</v>
      </c>
      <c r="V301" s="1565"/>
      <c r="W301" s="1565"/>
      <c r="X301" s="169" t="s">
        <v>269</v>
      </c>
      <c r="AO301" s="172"/>
    </row>
    <row r="302" spans="2:41" ht="15.95" hidden="1" customHeight="1">
      <c r="B302" s="195"/>
      <c r="C302" s="196"/>
      <c r="D302" s="196"/>
      <c r="E302" s="196"/>
      <c r="F302" s="196"/>
      <c r="G302" s="196"/>
      <c r="H302" s="196"/>
      <c r="I302" s="196"/>
      <c r="J302" s="196"/>
      <c r="K302" s="196"/>
      <c r="L302" s="196"/>
      <c r="M302" s="196"/>
      <c r="N302" s="196"/>
      <c r="O302" s="196"/>
      <c r="P302" s="196"/>
      <c r="Q302" s="196"/>
      <c r="R302" s="196"/>
      <c r="S302" s="196"/>
      <c r="T302" s="196"/>
      <c r="U302" s="196"/>
      <c r="V302" s="196"/>
      <c r="W302" s="196"/>
      <c r="X302" s="196"/>
      <c r="Y302" s="196"/>
      <c r="Z302" s="196"/>
      <c r="AA302" s="196"/>
      <c r="AB302" s="196"/>
      <c r="AC302" s="196"/>
      <c r="AD302" s="196"/>
      <c r="AE302" s="196"/>
      <c r="AF302" s="196"/>
      <c r="AG302" s="196"/>
      <c r="AH302" s="196"/>
      <c r="AI302" s="196"/>
      <c r="AJ302" s="196"/>
      <c r="AK302" s="196"/>
      <c r="AL302" s="196"/>
      <c r="AM302" s="196"/>
      <c r="AN302" s="196"/>
      <c r="AO302" s="197"/>
    </row>
  </sheetData>
  <mergeCells count="396">
    <mergeCell ref="U121:W121"/>
    <mergeCell ref="F219:G219"/>
    <mergeCell ref="A183:AO183"/>
    <mergeCell ref="A213:AO213"/>
    <mergeCell ref="D207:H208"/>
    <mergeCell ref="I207:K208"/>
    <mergeCell ref="L207:M208"/>
    <mergeCell ref="O207:O208"/>
    <mergeCell ref="Q207:R207"/>
    <mergeCell ref="T207:T208"/>
    <mergeCell ref="U203:W203"/>
    <mergeCell ref="D204:H205"/>
    <mergeCell ref="I204:K205"/>
    <mergeCell ref="L204:M205"/>
    <mergeCell ref="X200:Y201"/>
    <mergeCell ref="Q201:R201"/>
    <mergeCell ref="L200:M201"/>
    <mergeCell ref="P202:R202"/>
    <mergeCell ref="U202:W202"/>
    <mergeCell ref="Q200:R200"/>
    <mergeCell ref="T200:T201"/>
    <mergeCell ref="U200:W201"/>
    <mergeCell ref="O200:O201"/>
    <mergeCell ref="X204:Y205"/>
    <mergeCell ref="L278:M279"/>
    <mergeCell ref="U230:W231"/>
    <mergeCell ref="Q260:R260"/>
    <mergeCell ref="A273:AO273"/>
    <mergeCell ref="T260:T261"/>
    <mergeCell ref="T230:T231"/>
    <mergeCell ref="U241:W241"/>
    <mergeCell ref="Q205:R205"/>
    <mergeCell ref="U207:W208"/>
    <mergeCell ref="X207:Y208"/>
    <mergeCell ref="Q208:R208"/>
    <mergeCell ref="U211:W211"/>
    <mergeCell ref="L230:M231"/>
    <mergeCell ref="O230:O231"/>
    <mergeCell ref="Q230:R230"/>
    <mergeCell ref="Q235:R235"/>
    <mergeCell ref="Q237:R237"/>
    <mergeCell ref="O204:O205"/>
    <mergeCell ref="Q204:R204"/>
    <mergeCell ref="T204:T205"/>
    <mergeCell ref="D234:H235"/>
    <mergeCell ref="E232:G232"/>
    <mergeCell ref="I219:J219"/>
    <mergeCell ref="D230:H231"/>
    <mergeCell ref="U204:W205"/>
    <mergeCell ref="X237:Y238"/>
    <mergeCell ref="T234:T235"/>
    <mergeCell ref="U234:W235"/>
    <mergeCell ref="Q238:R238"/>
    <mergeCell ref="D237:H238"/>
    <mergeCell ref="I237:K238"/>
    <mergeCell ref="X234:Y235"/>
    <mergeCell ref="X230:Y231"/>
    <mergeCell ref="Q231:R231"/>
    <mergeCell ref="U233:W233"/>
    <mergeCell ref="P232:R232"/>
    <mergeCell ref="U232:W232"/>
    <mergeCell ref="I230:K231"/>
    <mergeCell ref="D218:D219"/>
    <mergeCell ref="E218:E219"/>
    <mergeCell ref="F218:G218"/>
    <mergeCell ref="H218:H219"/>
    <mergeCell ref="I218:J218"/>
    <mergeCell ref="I232:K232"/>
    <mergeCell ref="D117:H118"/>
    <mergeCell ref="I117:K118"/>
    <mergeCell ref="L117:M118"/>
    <mergeCell ref="T237:T238"/>
    <mergeCell ref="U237:W238"/>
    <mergeCell ref="I234:K235"/>
    <mergeCell ref="L234:M235"/>
    <mergeCell ref="L218:M219"/>
    <mergeCell ref="D114:H115"/>
    <mergeCell ref="I114:K115"/>
    <mergeCell ref="L114:M115"/>
    <mergeCell ref="O114:O115"/>
    <mergeCell ref="Q114:R114"/>
    <mergeCell ref="T114:T115"/>
    <mergeCell ref="Q118:R118"/>
    <mergeCell ref="N188:O189"/>
    <mergeCell ref="O117:O118"/>
    <mergeCell ref="U114:W115"/>
    <mergeCell ref="L237:M238"/>
    <mergeCell ref="O237:O238"/>
    <mergeCell ref="K218:K219"/>
    <mergeCell ref="N218:O219"/>
    <mergeCell ref="O234:O235"/>
    <mergeCell ref="Q234:R234"/>
    <mergeCell ref="E202:G202"/>
    <mergeCell ref="I202:K202"/>
    <mergeCell ref="F189:G189"/>
    <mergeCell ref="D200:H201"/>
    <mergeCell ref="I200:K201"/>
    <mergeCell ref="D188:D189"/>
    <mergeCell ref="E188:E189"/>
    <mergeCell ref="L188:M189"/>
    <mergeCell ref="F188:G188"/>
    <mergeCell ref="H188:H189"/>
    <mergeCell ref="I188:J188"/>
    <mergeCell ref="K188:K189"/>
    <mergeCell ref="I189:J189"/>
    <mergeCell ref="X114:Y115"/>
    <mergeCell ref="Q115:R115"/>
    <mergeCell ref="L98:M99"/>
    <mergeCell ref="X110:Y111"/>
    <mergeCell ref="Q111:R111"/>
    <mergeCell ref="U110:W111"/>
    <mergeCell ref="U117:W118"/>
    <mergeCell ref="N98:O99"/>
    <mergeCell ref="U113:W113"/>
    <mergeCell ref="Q117:R117"/>
    <mergeCell ref="T117:T118"/>
    <mergeCell ref="X117:Y118"/>
    <mergeCell ref="P112:R112"/>
    <mergeCell ref="U112:W112"/>
    <mergeCell ref="O110:O111"/>
    <mergeCell ref="Q110:R110"/>
    <mergeCell ref="T110:T111"/>
    <mergeCell ref="A93:AO93"/>
    <mergeCell ref="X84:Y85"/>
    <mergeCell ref="I112:K112"/>
    <mergeCell ref="D110:H111"/>
    <mergeCell ref="I110:K111"/>
    <mergeCell ref="L110:M111"/>
    <mergeCell ref="X87:Y88"/>
    <mergeCell ref="I99:J99"/>
    <mergeCell ref="E112:G112"/>
    <mergeCell ref="D98:D99"/>
    <mergeCell ref="E98:E99"/>
    <mergeCell ref="F98:G98"/>
    <mergeCell ref="H98:H99"/>
    <mergeCell ref="F99:G99"/>
    <mergeCell ref="I98:J98"/>
    <mergeCell ref="K98:K99"/>
    <mergeCell ref="D87:H88"/>
    <mergeCell ref="I87:K88"/>
    <mergeCell ref="U87:W88"/>
    <mergeCell ref="U91:W91"/>
    <mergeCell ref="N278:O279"/>
    <mergeCell ref="F279:G279"/>
    <mergeCell ref="I279:J279"/>
    <mergeCell ref="A243:AO243"/>
    <mergeCell ref="D248:D249"/>
    <mergeCell ref="E248:E249"/>
    <mergeCell ref="F248:G248"/>
    <mergeCell ref="H248:H249"/>
    <mergeCell ref="I248:J248"/>
    <mergeCell ref="K248:K249"/>
    <mergeCell ref="L248:M249"/>
    <mergeCell ref="N248:O249"/>
    <mergeCell ref="F249:G249"/>
    <mergeCell ref="I249:J249"/>
    <mergeCell ref="D260:H261"/>
    <mergeCell ref="I260:K261"/>
    <mergeCell ref="L260:M261"/>
    <mergeCell ref="O260:O261"/>
    <mergeCell ref="D278:D279"/>
    <mergeCell ref="E278:E279"/>
    <mergeCell ref="F278:G278"/>
    <mergeCell ref="H278:H279"/>
    <mergeCell ref="I278:J278"/>
    <mergeCell ref="K278:K279"/>
    <mergeCell ref="Q61:S61"/>
    <mergeCell ref="L61:N61"/>
    <mergeCell ref="K38:M38"/>
    <mergeCell ref="AK38:AM38"/>
    <mergeCell ref="M49:N49"/>
    <mergeCell ref="Q49:S49"/>
    <mergeCell ref="Q47:S47"/>
    <mergeCell ref="D61:F61"/>
    <mergeCell ref="H61:J61"/>
    <mergeCell ref="A32:AO32"/>
    <mergeCell ref="D56:E56"/>
    <mergeCell ref="AK35:AL35"/>
    <mergeCell ref="AK40:AM40"/>
    <mergeCell ref="L56:O56"/>
    <mergeCell ref="K40:M40"/>
    <mergeCell ref="H47:I47"/>
    <mergeCell ref="M47:N47"/>
    <mergeCell ref="AK43:AM43"/>
    <mergeCell ref="G56:J56"/>
    <mergeCell ref="Q52:S52"/>
    <mergeCell ref="C38:F38"/>
    <mergeCell ref="Q56:S56"/>
    <mergeCell ref="AK4:AL4"/>
    <mergeCell ref="K7:M7"/>
    <mergeCell ref="AK7:AM7"/>
    <mergeCell ref="Q25:S25"/>
    <mergeCell ref="K9:M9"/>
    <mergeCell ref="AK9:AM9"/>
    <mergeCell ref="AK12:AM12"/>
    <mergeCell ref="A1:AO1"/>
    <mergeCell ref="H16:I16"/>
    <mergeCell ref="M16:N16"/>
    <mergeCell ref="Q16:S16"/>
    <mergeCell ref="C7:F7"/>
    <mergeCell ref="D30:F30"/>
    <mergeCell ref="H30:J30"/>
    <mergeCell ref="L30:N30"/>
    <mergeCell ref="Q30:S30"/>
    <mergeCell ref="M18:N18"/>
    <mergeCell ref="Q18:S18"/>
    <mergeCell ref="Q21:S21"/>
    <mergeCell ref="D25:E25"/>
    <mergeCell ref="G25:J25"/>
    <mergeCell ref="L25:O25"/>
    <mergeCell ref="I290:K291"/>
    <mergeCell ref="L290:M291"/>
    <mergeCell ref="O290:O291"/>
    <mergeCell ref="Q290:R290"/>
    <mergeCell ref="T290:T291"/>
    <mergeCell ref="U290:W291"/>
    <mergeCell ref="X290:Y291"/>
    <mergeCell ref="Q291:R291"/>
    <mergeCell ref="E292:G292"/>
    <mergeCell ref="I292:K292"/>
    <mergeCell ref="P292:R292"/>
    <mergeCell ref="U292:W292"/>
    <mergeCell ref="D290:H291"/>
    <mergeCell ref="U293:W293"/>
    <mergeCell ref="D294:H295"/>
    <mergeCell ref="I294:K295"/>
    <mergeCell ref="L294:M295"/>
    <mergeCell ref="O294:O295"/>
    <mergeCell ref="Q294:R294"/>
    <mergeCell ref="T294:T295"/>
    <mergeCell ref="U294:W295"/>
    <mergeCell ref="X294:Y295"/>
    <mergeCell ref="Q295:R295"/>
    <mergeCell ref="U301:W301"/>
    <mergeCell ref="D297:H298"/>
    <mergeCell ref="I297:K298"/>
    <mergeCell ref="L297:M298"/>
    <mergeCell ref="O297:O298"/>
    <mergeCell ref="Q297:R297"/>
    <mergeCell ref="T297:T298"/>
    <mergeCell ref="U297:W298"/>
    <mergeCell ref="X297:Y298"/>
    <mergeCell ref="Q298:R298"/>
    <mergeCell ref="U260:W261"/>
    <mergeCell ref="X260:Y261"/>
    <mergeCell ref="Q261:R261"/>
    <mergeCell ref="E262:G262"/>
    <mergeCell ref="I262:K262"/>
    <mergeCell ref="P262:R262"/>
    <mergeCell ref="U262:W262"/>
    <mergeCell ref="U263:W263"/>
    <mergeCell ref="D264:H265"/>
    <mergeCell ref="I264:K265"/>
    <mergeCell ref="L264:M265"/>
    <mergeCell ref="O264:O265"/>
    <mergeCell ref="Q264:R264"/>
    <mergeCell ref="T264:T265"/>
    <mergeCell ref="U264:W265"/>
    <mergeCell ref="U271:W271"/>
    <mergeCell ref="X264:Y265"/>
    <mergeCell ref="Q265:R265"/>
    <mergeCell ref="D267:H268"/>
    <mergeCell ref="I267:K268"/>
    <mergeCell ref="L267:M268"/>
    <mergeCell ref="O267:O268"/>
    <mergeCell ref="Q267:R267"/>
    <mergeCell ref="T267:T268"/>
    <mergeCell ref="U267:W268"/>
    <mergeCell ref="X267:Y268"/>
    <mergeCell ref="Q268:R268"/>
    <mergeCell ref="E82:G82"/>
    <mergeCell ref="D84:H85"/>
    <mergeCell ref="I84:K85"/>
    <mergeCell ref="U84:W85"/>
    <mergeCell ref="A63:AO63"/>
    <mergeCell ref="D68:D69"/>
    <mergeCell ref="E68:E69"/>
    <mergeCell ref="F68:G68"/>
    <mergeCell ref="H68:H69"/>
    <mergeCell ref="I68:J68"/>
    <mergeCell ref="K68:K69"/>
    <mergeCell ref="N68:O69"/>
    <mergeCell ref="F69:G69"/>
    <mergeCell ref="I69:J69"/>
    <mergeCell ref="L68:M69"/>
    <mergeCell ref="O80:O81"/>
    <mergeCell ref="Q80:R80"/>
    <mergeCell ref="P82:R82"/>
    <mergeCell ref="T84:T85"/>
    <mergeCell ref="U83:W83"/>
    <mergeCell ref="U82:W82"/>
    <mergeCell ref="D80:H81"/>
    <mergeCell ref="I82:K82"/>
    <mergeCell ref="Q84:R84"/>
    <mergeCell ref="I80:K81"/>
    <mergeCell ref="L80:M81"/>
    <mergeCell ref="T80:T81"/>
    <mergeCell ref="U80:W81"/>
    <mergeCell ref="L87:M88"/>
    <mergeCell ref="Q87:R87"/>
    <mergeCell ref="O87:O88"/>
    <mergeCell ref="T87:T88"/>
    <mergeCell ref="X80:Y81"/>
    <mergeCell ref="Q81:R81"/>
    <mergeCell ref="L84:M85"/>
    <mergeCell ref="O84:O85"/>
    <mergeCell ref="Q88:R88"/>
    <mergeCell ref="Q85:R85"/>
    <mergeCell ref="A123:AO123"/>
    <mergeCell ref="D128:D129"/>
    <mergeCell ref="E128:E129"/>
    <mergeCell ref="F128:G128"/>
    <mergeCell ref="H128:H129"/>
    <mergeCell ref="I128:J128"/>
    <mergeCell ref="K128:K129"/>
    <mergeCell ref="L128:M129"/>
    <mergeCell ref="N128:O129"/>
    <mergeCell ref="F129:G129"/>
    <mergeCell ref="I129:J129"/>
    <mergeCell ref="D140:H141"/>
    <mergeCell ref="I140:K141"/>
    <mergeCell ref="L140:M141"/>
    <mergeCell ref="O140:O141"/>
    <mergeCell ref="Q140:R140"/>
    <mergeCell ref="T140:T141"/>
    <mergeCell ref="U140:W141"/>
    <mergeCell ref="X140:Y141"/>
    <mergeCell ref="Q141:R141"/>
    <mergeCell ref="E142:G142"/>
    <mergeCell ref="I142:K142"/>
    <mergeCell ref="P142:R142"/>
    <mergeCell ref="U142:W142"/>
    <mergeCell ref="U143:W143"/>
    <mergeCell ref="D144:H145"/>
    <mergeCell ref="I144:K145"/>
    <mergeCell ref="L144:M145"/>
    <mergeCell ref="O144:O145"/>
    <mergeCell ref="Q144:R144"/>
    <mergeCell ref="T144:T145"/>
    <mergeCell ref="U144:W145"/>
    <mergeCell ref="U151:W151"/>
    <mergeCell ref="X144:Y145"/>
    <mergeCell ref="Q145:R145"/>
    <mergeCell ref="D147:H148"/>
    <mergeCell ref="I147:K148"/>
    <mergeCell ref="L147:M148"/>
    <mergeCell ref="O147:O148"/>
    <mergeCell ref="Q147:R147"/>
    <mergeCell ref="T147:T148"/>
    <mergeCell ref="U147:W148"/>
    <mergeCell ref="X147:Y148"/>
    <mergeCell ref="Q148:R148"/>
    <mergeCell ref="A153:AO153"/>
    <mergeCell ref="D158:D159"/>
    <mergeCell ref="E158:E159"/>
    <mergeCell ref="F158:G158"/>
    <mergeCell ref="H158:H159"/>
    <mergeCell ref="I158:J158"/>
    <mergeCell ref="K158:K159"/>
    <mergeCell ref="L158:M159"/>
    <mergeCell ref="N158:O159"/>
    <mergeCell ref="F159:G159"/>
    <mergeCell ref="I159:J159"/>
    <mergeCell ref="D170:H171"/>
    <mergeCell ref="I170:K171"/>
    <mergeCell ref="L170:M171"/>
    <mergeCell ref="O170:O171"/>
    <mergeCell ref="Q170:R170"/>
    <mergeCell ref="T170:T171"/>
    <mergeCell ref="U170:W171"/>
    <mergeCell ref="X170:Y171"/>
    <mergeCell ref="Q171:R171"/>
    <mergeCell ref="E172:G172"/>
    <mergeCell ref="I172:K172"/>
    <mergeCell ref="P172:R172"/>
    <mergeCell ref="U172:W172"/>
    <mergeCell ref="U173:W173"/>
    <mergeCell ref="D174:H175"/>
    <mergeCell ref="I174:K175"/>
    <mergeCell ref="L174:M175"/>
    <mergeCell ref="O174:O175"/>
    <mergeCell ref="Q174:R174"/>
    <mergeCell ref="T174:T175"/>
    <mergeCell ref="U174:W175"/>
    <mergeCell ref="U181:W181"/>
    <mergeCell ref="X174:Y175"/>
    <mergeCell ref="Q175:R175"/>
    <mergeCell ref="D177:H178"/>
    <mergeCell ref="I177:K178"/>
    <mergeCell ref="L177:M178"/>
    <mergeCell ref="O177:O178"/>
    <mergeCell ref="Q177:R177"/>
    <mergeCell ref="T177:T178"/>
    <mergeCell ref="U177:W178"/>
    <mergeCell ref="X177:Y178"/>
    <mergeCell ref="Q178:R178"/>
  </mergeCells>
  <phoneticPr fontId="51" type="noConversion"/>
  <pageMargins left="0.6692913385826772" right="0.23622047244094491" top="0.62992125984251968" bottom="0.6692913385826772" header="0.51181102362204722" footer="0.51181102362204722"/>
  <pageSetup paperSize="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25">
    <tabColor rgb="FF7030A0"/>
  </sheetPr>
  <dimension ref="A1:F57"/>
  <sheetViews>
    <sheetView view="pageBreakPreview" zoomScale="115" zoomScaleNormal="85" zoomScaleSheetLayoutView="115" workbookViewId="0">
      <selection activeCell="B18" sqref="B18"/>
    </sheetView>
  </sheetViews>
  <sheetFormatPr defaultColWidth="8.88671875" defaultRowHeight="16.5"/>
  <cols>
    <col min="1" max="1" width="24.88671875" style="1062" customWidth="1"/>
    <col min="2" max="2" width="24.88671875" style="1063" customWidth="1"/>
    <col min="3" max="3" width="24.88671875" style="1059" customWidth="1"/>
    <col min="4" max="4" width="8.88671875" style="1059"/>
    <col min="5" max="5" width="12.77734375" style="1059" bestFit="1" customWidth="1"/>
    <col min="6" max="16384" width="8.88671875" style="1059"/>
  </cols>
  <sheetData>
    <row r="1" spans="1:6" s="1057" customFormat="1" ht="39.950000000000003" customHeight="1">
      <c r="A1" s="1586" t="s">
        <v>1176</v>
      </c>
      <c r="B1" s="1587"/>
      <c r="C1" s="1588"/>
      <c r="D1" s="1057" t="s">
        <v>371</v>
      </c>
    </row>
    <row r="2" spans="1:6" ht="18" customHeight="1">
      <c r="A2" s="545" t="s">
        <v>1177</v>
      </c>
      <c r="B2" s="1250" t="s">
        <v>1178</v>
      </c>
      <c r="C2" s="545" t="s">
        <v>357</v>
      </c>
      <c r="E2" s="1058" t="s">
        <v>932</v>
      </c>
    </row>
    <row r="3" spans="1:6" ht="16.5" customHeight="1">
      <c r="A3" s="654" t="s">
        <v>358</v>
      </c>
      <c r="B3" s="1251">
        <v>218316</v>
      </c>
      <c r="C3" s="654"/>
      <c r="E3" s="1060">
        <v>214661</v>
      </c>
      <c r="F3" s="1061"/>
    </row>
    <row r="4" spans="1:6" ht="16.5" customHeight="1">
      <c r="A4" s="654" t="s">
        <v>182</v>
      </c>
      <c r="B4" s="1251">
        <v>172698</v>
      </c>
      <c r="C4" s="654"/>
      <c r="E4" s="1060">
        <v>171037</v>
      </c>
      <c r="F4" s="1061"/>
    </row>
    <row r="5" spans="1:6" ht="16.5" customHeight="1">
      <c r="A5" s="654" t="s">
        <v>199</v>
      </c>
      <c r="B5" s="1251">
        <v>228717</v>
      </c>
      <c r="C5" s="654"/>
      <c r="E5" s="1060">
        <v>224490</v>
      </c>
      <c r="F5" s="1061"/>
    </row>
    <row r="6" spans="1:6" ht="16.5" customHeight="1">
      <c r="A6" s="654" t="s">
        <v>535</v>
      </c>
      <c r="B6" s="1251">
        <v>284440</v>
      </c>
      <c r="C6" s="654"/>
      <c r="E6" s="1060">
        <v>279613</v>
      </c>
      <c r="F6" s="1061"/>
    </row>
    <row r="7" spans="1:6" ht="16.5" customHeight="1">
      <c r="A7" s="654" t="s">
        <v>183</v>
      </c>
      <c r="B7" s="1251">
        <v>275379</v>
      </c>
      <c r="C7" s="654"/>
      <c r="E7" s="1060">
        <v>273074</v>
      </c>
      <c r="F7" s="1061"/>
    </row>
    <row r="8" spans="1:6" ht="16.5" customHeight="1">
      <c r="A8" s="654" t="s">
        <v>185</v>
      </c>
      <c r="B8" s="1251">
        <v>268932</v>
      </c>
      <c r="C8" s="654"/>
      <c r="E8" s="1060">
        <v>265818</v>
      </c>
      <c r="F8" s="1061"/>
    </row>
    <row r="9" spans="1:6" ht="16.5" customHeight="1">
      <c r="A9" s="654" t="s">
        <v>184</v>
      </c>
      <c r="B9" s="1251">
        <v>243870</v>
      </c>
      <c r="C9" s="654"/>
      <c r="E9" s="1060">
        <v>237686</v>
      </c>
      <c r="F9" s="1061"/>
    </row>
    <row r="10" spans="1:6" ht="16.5" customHeight="1">
      <c r="A10" s="654" t="s">
        <v>186</v>
      </c>
      <c r="B10" s="1251">
        <v>220901</v>
      </c>
      <c r="C10" s="654"/>
      <c r="E10" s="1060">
        <v>219862</v>
      </c>
      <c r="F10" s="1061"/>
    </row>
    <row r="11" spans="1:6" ht="16.5" customHeight="1">
      <c r="A11" s="654" t="s">
        <v>536</v>
      </c>
      <c r="B11" s="1251">
        <v>255172</v>
      </c>
      <c r="C11" s="654"/>
      <c r="E11" s="1060">
        <v>251511</v>
      </c>
      <c r="F11" s="1061"/>
    </row>
    <row r="12" spans="1:6" ht="16.5" customHeight="1">
      <c r="A12" s="654" t="s">
        <v>359</v>
      </c>
      <c r="B12" s="1251">
        <v>286330</v>
      </c>
      <c r="C12" s="654"/>
      <c r="E12" s="1060">
        <v>280178</v>
      </c>
      <c r="F12" s="1061"/>
    </row>
    <row r="13" spans="1:6" ht="16.5" customHeight="1">
      <c r="A13" s="654" t="s">
        <v>189</v>
      </c>
      <c r="B13" s="1251">
        <v>276285</v>
      </c>
      <c r="C13" s="654"/>
      <c r="E13" s="1060">
        <v>271064</v>
      </c>
      <c r="F13" s="1061"/>
    </row>
    <row r="14" spans="1:6" ht="16.5" customHeight="1">
      <c r="A14" s="654" t="s">
        <v>714</v>
      </c>
      <c r="B14" s="1251">
        <v>223246</v>
      </c>
      <c r="C14" s="654"/>
      <c r="E14" s="1060">
        <v>220354</v>
      </c>
      <c r="F14" s="1061"/>
    </row>
    <row r="15" spans="1:6" ht="16.5" customHeight="1">
      <c r="A15" s="654" t="s">
        <v>360</v>
      </c>
      <c r="B15" s="1251">
        <v>246224</v>
      </c>
      <c r="C15" s="654"/>
      <c r="E15" s="1060">
        <v>240163</v>
      </c>
      <c r="F15" s="1061"/>
    </row>
    <row r="16" spans="1:6" ht="16.5" customHeight="1">
      <c r="A16" s="1252" t="s">
        <v>1179</v>
      </c>
      <c r="B16" s="1251">
        <v>221306</v>
      </c>
      <c r="C16" s="654"/>
      <c r="E16" s="1060">
        <v>219579</v>
      </c>
      <c r="F16" s="1061"/>
    </row>
    <row r="17" spans="1:6" ht="16.5" customHeight="1">
      <c r="A17" s="1253" t="s">
        <v>361</v>
      </c>
      <c r="B17" s="1251">
        <v>274873</v>
      </c>
      <c r="C17" s="654"/>
      <c r="E17" s="1060">
        <v>270747</v>
      </c>
      <c r="F17" s="1061"/>
    </row>
    <row r="18" spans="1:6" ht="16.5" customHeight="1">
      <c r="A18" s="654" t="s">
        <v>362</v>
      </c>
      <c r="B18" s="1251">
        <v>273229</v>
      </c>
      <c r="C18" s="654"/>
      <c r="E18" s="1060">
        <v>275141</v>
      </c>
      <c r="F18" s="1061"/>
    </row>
    <row r="19" spans="1:6" ht="16.5" customHeight="1">
      <c r="A19" s="654" t="s">
        <v>537</v>
      </c>
      <c r="B19" s="1251">
        <v>282990</v>
      </c>
      <c r="C19" s="654"/>
      <c r="E19" s="1060">
        <v>283068</v>
      </c>
      <c r="F19" s="1061"/>
    </row>
    <row r="20" spans="1:6" ht="16.5" customHeight="1">
      <c r="A20" s="1253" t="s">
        <v>188</v>
      </c>
      <c r="B20" s="1251">
        <v>233163</v>
      </c>
      <c r="C20" s="654"/>
      <c r="E20" s="1060">
        <v>226204</v>
      </c>
      <c r="F20" s="1061"/>
    </row>
    <row r="21" spans="1:6" ht="16.5" customHeight="1">
      <c r="A21" s="1253" t="s">
        <v>187</v>
      </c>
      <c r="B21" s="1251">
        <v>279102</v>
      </c>
      <c r="C21" s="654"/>
      <c r="E21" s="1060">
        <v>278998</v>
      </c>
      <c r="F21" s="1061"/>
    </row>
    <row r="22" spans="1:6" ht="16.5" customHeight="1">
      <c r="A22" s="654" t="s">
        <v>363</v>
      </c>
      <c r="B22" s="1251">
        <v>268225</v>
      </c>
      <c r="C22" s="654"/>
      <c r="E22" s="1060">
        <v>258362</v>
      </c>
      <c r="F22" s="1061"/>
    </row>
    <row r="23" spans="1:6" ht="16.5" customHeight="1">
      <c r="A23" s="654" t="s">
        <v>364</v>
      </c>
      <c r="B23" s="1251">
        <v>270694</v>
      </c>
      <c r="C23" s="654"/>
      <c r="E23" s="1060">
        <v>267532</v>
      </c>
      <c r="F23" s="1061"/>
    </row>
    <row r="24" spans="1:6" ht="16.5" customHeight="1">
      <c r="A24" s="654" t="s">
        <v>365</v>
      </c>
      <c r="B24" s="1251">
        <v>212390</v>
      </c>
      <c r="C24" s="654"/>
      <c r="E24" s="1060">
        <v>207796</v>
      </c>
      <c r="F24" s="1061"/>
    </row>
    <row r="25" spans="1:6" ht="16.5" customHeight="1">
      <c r="A25" s="1253" t="s">
        <v>366</v>
      </c>
      <c r="B25" s="1251">
        <v>235843</v>
      </c>
      <c r="C25" s="654"/>
      <c r="E25" s="1060">
        <v>227176</v>
      </c>
      <c r="F25" s="1061"/>
    </row>
    <row r="26" spans="1:6" ht="16.5" customHeight="1">
      <c r="A26" s="1253" t="s">
        <v>190</v>
      </c>
      <c r="B26" s="1251">
        <v>249073</v>
      </c>
      <c r="C26" s="654"/>
      <c r="E26" s="1060">
        <v>239439</v>
      </c>
      <c r="F26" s="1061"/>
    </row>
    <row r="27" spans="1:6" ht="16.5" customHeight="1">
      <c r="A27" s="654" t="s">
        <v>372</v>
      </c>
      <c r="B27" s="1251">
        <v>208140</v>
      </c>
      <c r="C27" s="654"/>
      <c r="E27" s="1060">
        <v>205696</v>
      </c>
      <c r="F27" s="1061"/>
    </row>
    <row r="28" spans="1:6" ht="16.5" customHeight="1">
      <c r="A28" s="654" t="s">
        <v>200</v>
      </c>
      <c r="B28" s="1251">
        <v>210909</v>
      </c>
      <c r="C28" s="654"/>
      <c r="E28" s="1060">
        <v>202954</v>
      </c>
      <c r="F28" s="1061"/>
    </row>
    <row r="29" spans="1:6" ht="16.5" customHeight="1">
      <c r="A29" s="654" t="s">
        <v>367</v>
      </c>
      <c r="B29" s="1251">
        <v>283323</v>
      </c>
      <c r="C29" s="654"/>
      <c r="E29" s="1060">
        <v>279824</v>
      </c>
      <c r="F29" s="1061"/>
    </row>
    <row r="30" spans="1:6" ht="16.5" customHeight="1">
      <c r="A30" s="654" t="s">
        <v>368</v>
      </c>
      <c r="B30" s="1251">
        <v>240042</v>
      </c>
      <c r="C30" s="654"/>
      <c r="E30" s="1060">
        <v>240685</v>
      </c>
      <c r="F30" s="1061"/>
    </row>
    <row r="31" spans="1:6" ht="16.5" customHeight="1">
      <c r="A31" s="654" t="s">
        <v>369</v>
      </c>
      <c r="B31" s="1251">
        <v>173995</v>
      </c>
      <c r="C31" s="654"/>
      <c r="E31" s="1060">
        <v>172387</v>
      </c>
      <c r="F31" s="1061"/>
    </row>
    <row r="32" spans="1:6" ht="16.5" customHeight="1">
      <c r="A32" s="654" t="s">
        <v>370</v>
      </c>
      <c r="B32" s="1251">
        <v>242647</v>
      </c>
      <c r="C32" s="654"/>
      <c r="E32" s="1060">
        <v>241550</v>
      </c>
      <c r="F32" s="1061"/>
    </row>
    <row r="33" spans="1:6" ht="16.5" customHeight="1">
      <c r="A33" s="654" t="s">
        <v>1180</v>
      </c>
      <c r="B33" s="1251">
        <v>289745</v>
      </c>
      <c r="C33" s="654"/>
      <c r="E33" s="1060">
        <v>273539</v>
      </c>
      <c r="F33" s="1061"/>
    </row>
    <row r="34" spans="1:6" ht="16.5" customHeight="1">
      <c r="A34" s="654" t="s">
        <v>180</v>
      </c>
      <c r="B34" s="1251">
        <v>276108</v>
      </c>
      <c r="C34" s="654"/>
      <c r="E34" s="1060">
        <v>439248</v>
      </c>
      <c r="F34" s="1061"/>
    </row>
    <row r="35" spans="1:6" ht="16.5" customHeight="1">
      <c r="A35" s="654" t="s">
        <v>192</v>
      </c>
      <c r="B35" s="1251">
        <v>444519</v>
      </c>
      <c r="C35" s="654"/>
      <c r="E35" s="1060">
        <v>303632</v>
      </c>
      <c r="F35" s="1061"/>
    </row>
    <row r="36" spans="1:6" ht="16.5" customHeight="1">
      <c r="A36" s="654" t="s">
        <v>193</v>
      </c>
      <c r="B36" s="1251">
        <v>376049</v>
      </c>
      <c r="C36" s="654"/>
      <c r="E36" s="1060">
        <v>413173</v>
      </c>
      <c r="F36" s="1061"/>
    </row>
    <row r="37" spans="1:6" ht="16.5" customHeight="1">
      <c r="A37" s="654" t="s">
        <v>1181</v>
      </c>
      <c r="B37" s="1251">
        <v>645607</v>
      </c>
      <c r="C37" s="654"/>
      <c r="E37" s="1060">
        <v>283607</v>
      </c>
      <c r="F37" s="1061"/>
    </row>
    <row r="38" spans="1:6" ht="16.5" customHeight="1">
      <c r="A38" s="654" t="s">
        <v>1182</v>
      </c>
      <c r="B38" s="1251">
        <v>685744</v>
      </c>
      <c r="C38" s="654"/>
      <c r="E38" s="1060">
        <v>314787</v>
      </c>
      <c r="F38" s="1061"/>
    </row>
    <row r="39" spans="1:6" ht="16.5" customHeight="1">
      <c r="A39" s="654" t="s">
        <v>191</v>
      </c>
      <c r="B39" s="1251">
        <v>420978</v>
      </c>
      <c r="C39" s="654"/>
      <c r="E39" s="1060">
        <v>407342</v>
      </c>
      <c r="F39" s="1061"/>
    </row>
    <row r="40" spans="1:6" ht="16.5" customHeight="1">
      <c r="A40" s="654" t="s">
        <v>1183</v>
      </c>
      <c r="B40" s="1251">
        <v>562067</v>
      </c>
      <c r="C40" s="654"/>
      <c r="E40" s="1060">
        <v>440868</v>
      </c>
      <c r="F40" s="1061"/>
    </row>
    <row r="41" spans="1:6" ht="16.5" customHeight="1">
      <c r="A41" s="654" t="s">
        <v>1184</v>
      </c>
      <c r="B41" s="1251">
        <v>269471</v>
      </c>
      <c r="C41" s="654"/>
      <c r="E41" s="1060">
        <v>354977</v>
      </c>
      <c r="F41" s="1061"/>
    </row>
    <row r="42" spans="1:6" ht="16.5" customHeight="1">
      <c r="A42" s="654" t="s">
        <v>1185</v>
      </c>
      <c r="B42" s="1251">
        <v>321645</v>
      </c>
      <c r="C42" s="654"/>
      <c r="E42" s="1060">
        <v>467653</v>
      </c>
      <c r="F42" s="1061"/>
    </row>
    <row r="43" spans="1:6" ht="16.5" customHeight="1">
      <c r="A43" s="654" t="s">
        <v>196</v>
      </c>
      <c r="B43" s="1251">
        <v>286219</v>
      </c>
      <c r="C43" s="654"/>
      <c r="E43" s="1060">
        <v>390048</v>
      </c>
      <c r="F43" s="1061"/>
    </row>
    <row r="44" spans="1:6" ht="16.5" customHeight="1">
      <c r="A44" s="654" t="s">
        <v>195</v>
      </c>
      <c r="B44" s="1251">
        <v>316875</v>
      </c>
      <c r="C44" s="654"/>
      <c r="E44" s="1060">
        <v>446000</v>
      </c>
      <c r="F44" s="1061"/>
    </row>
    <row r="45" spans="1:6" ht="16.5" customHeight="1">
      <c r="A45" s="654" t="s">
        <v>194</v>
      </c>
      <c r="B45" s="1251">
        <v>410182</v>
      </c>
      <c r="C45" s="654"/>
      <c r="E45" s="1060">
        <v>318479</v>
      </c>
      <c r="F45" s="1061"/>
    </row>
    <row r="46" spans="1:6" ht="16.5" customHeight="1">
      <c r="A46" s="654" t="s">
        <v>197</v>
      </c>
      <c r="B46" s="1251">
        <v>438070</v>
      </c>
      <c r="C46" s="654"/>
      <c r="E46" s="1060">
        <v>303262</v>
      </c>
      <c r="F46" s="1061"/>
    </row>
    <row r="47" spans="1:6" ht="16.5" customHeight="1">
      <c r="A47" s="654" t="s">
        <v>198</v>
      </c>
      <c r="B47" s="1251">
        <v>360084</v>
      </c>
      <c r="C47" s="654"/>
      <c r="E47" s="1060">
        <v>249360</v>
      </c>
      <c r="F47" s="1061"/>
    </row>
    <row r="48" spans="1:6" ht="16.5" customHeight="1">
      <c r="A48" s="654" t="s">
        <v>201</v>
      </c>
      <c r="B48" s="1251">
        <v>471931</v>
      </c>
      <c r="C48" s="654"/>
      <c r="E48" s="1060">
        <v>333866</v>
      </c>
      <c r="F48" s="1061"/>
    </row>
    <row r="49" spans="1:6" ht="16.5" customHeight="1">
      <c r="A49" s="654" t="s">
        <v>373</v>
      </c>
      <c r="B49" s="1251">
        <v>398279</v>
      </c>
      <c r="C49" s="654"/>
      <c r="E49" s="1060">
        <v>292729</v>
      </c>
      <c r="F49" s="1061"/>
    </row>
    <row r="50" spans="1:6" ht="16.5" customHeight="1">
      <c r="A50" s="654" t="s">
        <v>374</v>
      </c>
      <c r="B50" s="1251">
        <v>446560</v>
      </c>
      <c r="C50" s="654"/>
      <c r="E50" s="1060">
        <v>483274</v>
      </c>
      <c r="F50" s="1061"/>
    </row>
    <row r="51" spans="1:6" ht="16.5" customHeight="1">
      <c r="A51" s="654" t="s">
        <v>375</v>
      </c>
      <c r="B51" s="1251">
        <v>324979</v>
      </c>
      <c r="C51" s="654"/>
      <c r="F51" s="1061"/>
    </row>
    <row r="52" spans="1:6" ht="16.5" customHeight="1">
      <c r="A52" s="654" t="s">
        <v>376</v>
      </c>
      <c r="B52" s="1251">
        <v>304662</v>
      </c>
      <c r="C52" s="654"/>
    </row>
    <row r="53" spans="1:6" ht="16.5" customHeight="1">
      <c r="A53" s="654" t="s">
        <v>377</v>
      </c>
      <c r="B53" s="1251">
        <v>250000</v>
      </c>
      <c r="C53" s="654"/>
    </row>
    <row r="54" spans="1:6" ht="16.5" customHeight="1">
      <c r="A54" s="654" t="s">
        <v>202</v>
      </c>
      <c r="B54" s="1251">
        <v>339070</v>
      </c>
      <c r="C54" s="654"/>
    </row>
    <row r="55" spans="1:6" ht="16.5" customHeight="1">
      <c r="A55" s="654" t="s">
        <v>203</v>
      </c>
      <c r="B55" s="1251">
        <v>298573</v>
      </c>
      <c r="C55" s="654"/>
    </row>
    <row r="56" spans="1:6" ht="16.5" customHeight="1">
      <c r="A56" s="654" t="s">
        <v>204</v>
      </c>
      <c r="B56" s="1251">
        <v>485593</v>
      </c>
      <c r="C56" s="1252"/>
    </row>
    <row r="57" spans="1:6" ht="20.100000000000001" customHeight="1"/>
  </sheetData>
  <mergeCells count="1">
    <mergeCell ref="A1:C1"/>
  </mergeCells>
  <phoneticPr fontId="4" type="noConversion"/>
  <printOptions horizontalCentered="1" verticalCentered="1"/>
  <pageMargins left="0.74803149606299213" right="0.74803149606299213" top="0.59055118110236227" bottom="0.59055118110236227" header="0.51181102362204722" footer="0.51181102362204722"/>
  <pageSetup paperSize="9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48">
    <tabColor rgb="FF7030A0"/>
  </sheetPr>
  <dimension ref="A1:Q31"/>
  <sheetViews>
    <sheetView view="pageBreakPreview" workbookViewId="0">
      <selection activeCell="U19" sqref="U19"/>
    </sheetView>
  </sheetViews>
  <sheetFormatPr defaultColWidth="8.88671875" defaultRowHeight="13.5"/>
  <cols>
    <col min="1" max="15" width="7.44140625" style="2" customWidth="1"/>
    <col min="16" max="16" width="2.88671875" style="2" customWidth="1"/>
    <col min="17" max="17" width="13.6640625" style="2" customWidth="1"/>
    <col min="18" max="18" width="10.5546875" style="2" bestFit="1" customWidth="1"/>
    <col min="19" max="16384" width="8.88671875" style="2"/>
  </cols>
  <sheetData>
    <row r="1" spans="1:17" s="9" customFormat="1" ht="27" customHeight="1"/>
    <row r="2" spans="1:17" s="9" customFormat="1" ht="27" customHeight="1"/>
    <row r="3" spans="1:17" s="9" customFormat="1" ht="27" customHeight="1"/>
    <row r="4" spans="1:17" s="9" customFormat="1" ht="27" customHeight="1">
      <c r="B4" s="10"/>
    </row>
    <row r="5" spans="1:17" s="9" customFormat="1" ht="21.75" customHeight="1"/>
    <row r="6" spans="1:17" s="9" customFormat="1" ht="22.5" customHeight="1"/>
    <row r="7" spans="1:17" s="13" customFormat="1" ht="40.5" customHeight="1">
      <c r="A7" s="1320" t="s">
        <v>348</v>
      </c>
      <c r="B7" s="1320"/>
      <c r="C7" s="1320"/>
      <c r="D7" s="1320"/>
      <c r="E7" s="1320"/>
      <c r="F7" s="1320"/>
      <c r="G7" s="1320"/>
      <c r="H7" s="1320"/>
      <c r="I7" s="1320"/>
      <c r="J7" s="1320"/>
      <c r="K7" s="1320"/>
      <c r="L7" s="1320"/>
      <c r="M7" s="1320"/>
      <c r="N7" s="1320"/>
      <c r="O7" s="1320"/>
    </row>
    <row r="8" spans="1:17" s="9" customFormat="1" ht="20.25" customHeight="1">
      <c r="B8" s="11"/>
    </row>
    <row r="9" spans="1:17" s="9" customFormat="1" ht="27" customHeight="1"/>
    <row r="10" spans="1:17" s="9" customFormat="1" ht="27" customHeight="1">
      <c r="B10" s="12"/>
      <c r="H10" s="11"/>
      <c r="Q10" s="14"/>
    </row>
    <row r="11" spans="1:17" s="9" customFormat="1" ht="27" customHeight="1">
      <c r="Q11" s="15"/>
    </row>
    <row r="12" spans="1:17" s="9" customFormat="1" ht="27" customHeight="1">
      <c r="Q12" s="15"/>
    </row>
    <row r="13" spans="1:17" s="9" customFormat="1" ht="27" customHeight="1">
      <c r="Q13" s="15"/>
    </row>
    <row r="14" spans="1:17" s="9" customFormat="1" ht="27" customHeight="1">
      <c r="Q14" s="15"/>
    </row>
    <row r="15" spans="1:17" s="9" customFormat="1" ht="27" customHeight="1"/>
    <row r="16" spans="1:17" s="9" customFormat="1" ht="27" customHeight="1"/>
    <row r="17" ht="27" customHeight="1"/>
    <row r="18" ht="27" customHeight="1"/>
    <row r="19" ht="27" customHeight="1"/>
    <row r="20" ht="27" customHeight="1"/>
    <row r="21" ht="27" customHeight="1"/>
    <row r="22" ht="27" customHeight="1"/>
    <row r="23" ht="27" customHeight="1"/>
    <row r="24" ht="27" customHeight="1"/>
    <row r="25" ht="27" customHeight="1"/>
    <row r="26" ht="27" customHeight="1"/>
    <row r="27" ht="27" customHeight="1"/>
    <row r="28" ht="27" customHeight="1"/>
    <row r="29" ht="27" customHeight="1"/>
    <row r="30" ht="27" customHeight="1"/>
    <row r="31" ht="27" customHeight="1"/>
  </sheetData>
  <mergeCells count="1">
    <mergeCell ref="A7:O7"/>
  </mergeCells>
  <phoneticPr fontId="4" type="noConversion"/>
  <pageMargins left="0.9" right="0.64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30</vt:i4>
      </vt:variant>
      <vt:variant>
        <vt:lpstr>이름 지정된 범위</vt:lpstr>
      </vt:variant>
      <vt:variant>
        <vt:i4>41</vt:i4>
      </vt:variant>
    </vt:vector>
  </HeadingPairs>
  <TitlesOfParts>
    <vt:vector size="71" baseType="lpstr">
      <vt:lpstr>설계서</vt:lpstr>
      <vt:lpstr>내역서표지</vt:lpstr>
      <vt:lpstr>원가 계산서_변경전후</vt:lpstr>
      <vt:lpstr>1. 도급공사 내역서</vt:lpstr>
      <vt:lpstr>4.내역서-폐기물 운반,처리비</vt:lpstr>
      <vt:lpstr>2. 관급자재 내역서</vt:lpstr>
      <vt:lpstr>일위대가표지</vt:lpstr>
      <vt:lpstr>3.내역서-고재처리비</vt:lpstr>
      <vt:lpstr>수량산출표지</vt:lpstr>
      <vt:lpstr>산출집계(고재처리비)</vt:lpstr>
      <vt:lpstr>총괄산출집계</vt:lpstr>
      <vt:lpstr>수량산출서(고재처리비)</vt:lpstr>
      <vt:lpstr>단가비교표표지</vt:lpstr>
      <vt:lpstr>부록단가비교표</vt:lpstr>
      <vt:lpstr>기초산출서</vt:lpstr>
      <vt:lpstr>각종기초산출</vt:lpstr>
      <vt:lpstr>단가산출서표지</vt:lpstr>
      <vt:lpstr>견적서</vt:lpstr>
      <vt:lpstr>기계경비</vt:lpstr>
      <vt:lpstr>기계경비(OLD)</vt:lpstr>
      <vt:lpstr>단가산출(아스팔트)</vt:lpstr>
      <vt:lpstr>단가산출(터파기및되메우기)</vt:lpstr>
      <vt:lpstr>기계경비적용기준</vt:lpstr>
      <vt:lpstr>단가산출총괄표</vt:lpstr>
      <vt:lpstr>단가산출</vt:lpstr>
      <vt:lpstr>단가산출(관로터파기)</vt:lpstr>
      <vt:lpstr>가로등건주</vt:lpstr>
      <vt:lpstr>Sheet1</vt:lpstr>
      <vt:lpstr>인건비</vt:lpstr>
      <vt:lpstr>계산서</vt:lpstr>
      <vt:lpstr>'1. 도급공사 내역서'!Print_Area</vt:lpstr>
      <vt:lpstr>'2. 관급자재 내역서'!Print_Area</vt:lpstr>
      <vt:lpstr>'3.내역서-고재처리비'!Print_Area</vt:lpstr>
      <vt:lpstr>'4.내역서-폐기물 운반,처리비'!Print_Area</vt:lpstr>
      <vt:lpstr>가로등건주!Print_Area</vt:lpstr>
      <vt:lpstr>각종기초산출!Print_Area</vt:lpstr>
      <vt:lpstr>견적서!Print_Area</vt:lpstr>
      <vt:lpstr>계산서!Print_Area</vt:lpstr>
      <vt:lpstr>기계경비!Print_Area</vt:lpstr>
      <vt:lpstr>'기계경비(OLD)'!Print_Area</vt:lpstr>
      <vt:lpstr>기초산출서!Print_Area</vt:lpstr>
      <vt:lpstr>내역서표지!Print_Area</vt:lpstr>
      <vt:lpstr>단가비교표표지!Print_Area</vt:lpstr>
      <vt:lpstr>단가산출!Print_Area</vt:lpstr>
      <vt:lpstr>'단가산출(관로터파기)'!Print_Area</vt:lpstr>
      <vt:lpstr>'단가산출(아스팔트)'!Print_Area</vt:lpstr>
      <vt:lpstr>'단가산출(터파기및되메우기)'!Print_Area</vt:lpstr>
      <vt:lpstr>단가산출총괄표!Print_Area</vt:lpstr>
      <vt:lpstr>부록단가비교표!Print_Area</vt:lpstr>
      <vt:lpstr>'산출집계(고재처리비)'!Print_Area</vt:lpstr>
      <vt:lpstr>설계서!Print_Area</vt:lpstr>
      <vt:lpstr>'수량산출서(고재처리비)'!Print_Area</vt:lpstr>
      <vt:lpstr>수량산출표지!Print_Area</vt:lpstr>
      <vt:lpstr>'원가 계산서_변경전후'!Print_Area</vt:lpstr>
      <vt:lpstr>인건비!Print_Area</vt:lpstr>
      <vt:lpstr>일위대가표지!Print_Area</vt:lpstr>
      <vt:lpstr>총괄산출집계!Print_Area</vt:lpstr>
      <vt:lpstr>'1. 도급공사 내역서'!Print_Titles</vt:lpstr>
      <vt:lpstr>'2. 관급자재 내역서'!Print_Titles</vt:lpstr>
      <vt:lpstr>'3.내역서-고재처리비'!Print_Titles</vt:lpstr>
      <vt:lpstr>'4.내역서-폐기물 운반,처리비'!Print_Titles</vt:lpstr>
      <vt:lpstr>기계경비!Print_Titles</vt:lpstr>
      <vt:lpstr>단가산출!Print_Titles</vt:lpstr>
      <vt:lpstr>단가산출총괄표!Print_Titles</vt:lpstr>
      <vt:lpstr>'산출집계(고재처리비)'!Print_Titles</vt:lpstr>
      <vt:lpstr>'수량산출서(고재처리비)'!Print_Titles</vt:lpstr>
      <vt:lpstr>인건비!Print_Titles</vt:lpstr>
      <vt:lpstr>총괄산출집계!Print_Titles</vt:lpstr>
      <vt:lpstr>내역서1</vt:lpstr>
      <vt:lpstr>내역서2</vt:lpstr>
      <vt:lpstr>내역서3</vt:lpstr>
    </vt:vector>
  </TitlesOfParts>
  <Company>(주)누리플랜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Mycom</dc:creator>
  <cp:lastModifiedBy>user</cp:lastModifiedBy>
  <cp:lastPrinted>2026-09-15T12:00:38Z</cp:lastPrinted>
  <dcterms:created xsi:type="dcterms:W3CDTF">2004-09-06T07:23:01Z</dcterms:created>
  <dcterms:modified xsi:type="dcterms:W3CDTF">2026-09-29T02:37:30Z</dcterms:modified>
</cp:coreProperties>
</file>