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업무자료\1. 계약관련\4.계약\2025년\R25DC00044208_평택고덕 Aa-56BL 민간참여 공공주택 건설공사 시공단계 감독권한대행 등 건설사업관리용역\3.입찰공고서\"/>
    </mc:Choice>
  </mc:AlternateContent>
  <xr:revisionPtr revIDLastSave="0" documentId="13_ncr:1_{0BF90294-AD54-4A36-9CA9-DDE6655C870C}" xr6:coauthVersionLast="36" xr6:coauthVersionMax="36" xr10:uidLastSave="{00000000-0000-0000-0000-000000000000}"/>
  <bookViews>
    <workbookView xWindow="480" yWindow="285" windowWidth="18195" windowHeight="11760" tabRatio="833" activeTab="1" xr2:uid="{00000000-000D-0000-FFFF-FFFF00000000}"/>
  </bookViews>
  <sheets>
    <sheet name="일반공사감리" sheetId="156" r:id="rId1"/>
    <sheet name="상주공사감리" sheetId="157" r:id="rId2"/>
    <sheet name="상주공사감리(보조)" sheetId="158" r:id="rId3"/>
  </sheets>
  <definedNames>
    <definedName name="_xlnm.Print_Area" localSheetId="1">상주공사감리!$A$1:$AS$48</definedName>
    <definedName name="_xlnm.Print_Area" localSheetId="2">'상주공사감리(보조)'!$A$1:$AZ$52</definedName>
    <definedName name="_xlnm.Print_Area" localSheetId="0">일반공사감리!$A$1:$AP$38</definedName>
  </definedNames>
  <calcPr calcId="179021" iterateCount="1"/>
  <fileRecoveryPr autoRecover="0"/>
</workbook>
</file>

<file path=xl/calcChain.xml><?xml version="1.0" encoding="utf-8"?>
<calcChain xmlns="http://schemas.openxmlformats.org/spreadsheetml/2006/main">
  <c r="Z20" i="156" l="1"/>
  <c r="Z21" i="156"/>
  <c r="Z22" i="156"/>
  <c r="AA22" i="156" s="1"/>
  <c r="Z23" i="156"/>
  <c r="AA23" i="156" s="1"/>
  <c r="Z24" i="156"/>
  <c r="AA24" i="156" s="1"/>
  <c r="Z25" i="156"/>
  <c r="AA25" i="156" s="1"/>
  <c r="Z26" i="156"/>
  <c r="AA26" i="156" s="1"/>
  <c r="Z27" i="156"/>
  <c r="AA27" i="156" s="1"/>
  <c r="Z28" i="156"/>
  <c r="AA28" i="156" s="1"/>
  <c r="Z29" i="156"/>
  <c r="AA29" i="156"/>
  <c r="Z30" i="156"/>
  <c r="AA30" i="156" s="1"/>
  <c r="Z31" i="156"/>
  <c r="AA31" i="156" s="1"/>
  <c r="Z32" i="156"/>
  <c r="AA32" i="156" s="1"/>
  <c r="Z33" i="156"/>
  <c r="AA33" i="156" s="1"/>
  <c r="Z34" i="156"/>
  <c r="AA34" i="156" s="1"/>
  <c r="Z35" i="156"/>
  <c r="AA35" i="156" s="1"/>
  <c r="Z36" i="156"/>
  <c r="AA36" i="156"/>
  <c r="Z37" i="156"/>
  <c r="AA37" i="156"/>
  <c r="Z19" i="156"/>
  <c r="Z11" i="156"/>
  <c r="AA11" i="156" s="1"/>
  <c r="Z12" i="156"/>
  <c r="AA12" i="156" s="1"/>
  <c r="Z13" i="156"/>
  <c r="AA13" i="156" s="1"/>
  <c r="Z14" i="156"/>
  <c r="AA14" i="156"/>
  <c r="Z15" i="156"/>
  <c r="AA15" i="156"/>
  <c r="Z16" i="156"/>
  <c r="AA16" i="156"/>
  <c r="Z17" i="156"/>
  <c r="AA17" i="156" s="1"/>
  <c r="Z18" i="156"/>
  <c r="AA18" i="156" s="1"/>
  <c r="Z10" i="156"/>
  <c r="Z9" i="156"/>
  <c r="Z8" i="156"/>
  <c r="AI10" i="156" l="1"/>
  <c r="AH10" i="156"/>
  <c r="AO10" i="156"/>
  <c r="AP10" i="156" s="1"/>
  <c r="AN15" i="156"/>
  <c r="AP14" i="156"/>
  <c r="AO14" i="156"/>
  <c r="AP13" i="156"/>
  <c r="AO13" i="156"/>
  <c r="AP12" i="156"/>
  <c r="AO12" i="156"/>
  <c r="AO11" i="156"/>
  <c r="AP11" i="156" s="1"/>
  <c r="AS9" i="158"/>
  <c r="AY15" i="158"/>
  <c r="AY16" i="158"/>
  <c r="AZ16" i="158" s="1"/>
  <c r="AY17" i="158"/>
  <c r="AY18" i="158"/>
  <c r="AY19" i="158"/>
  <c r="AY21" i="158"/>
  <c r="AZ21" i="158" s="1"/>
  <c r="AY22" i="158"/>
  <c r="AZ22" i="158" s="1"/>
  <c r="AY23" i="158"/>
  <c r="AY24" i="158"/>
  <c r="AY25" i="158"/>
  <c r="AY10" i="158"/>
  <c r="AZ10" i="158" s="1"/>
  <c r="AY11" i="158"/>
  <c r="AY12" i="158"/>
  <c r="AY13" i="158"/>
  <c r="AY9" i="158"/>
  <c r="AZ9" i="158" s="1"/>
  <c r="AS21" i="158"/>
  <c r="AS15" i="158"/>
  <c r="AR21" i="158"/>
  <c r="AR15" i="158"/>
  <c r="AR9" i="158"/>
  <c r="AX26" i="158"/>
  <c r="AZ25" i="158"/>
  <c r="AZ24" i="158"/>
  <c r="AZ23" i="158"/>
  <c r="AX20" i="158"/>
  <c r="AZ19" i="158"/>
  <c r="AZ18" i="158"/>
  <c r="AZ17" i="158"/>
  <c r="AZ15" i="158"/>
  <c r="AX14" i="158"/>
  <c r="AZ13" i="158"/>
  <c r="AZ12" i="158"/>
  <c r="AZ11" i="158"/>
  <c r="AP15" i="156" l="1"/>
  <c r="H23" i="156" s="1"/>
  <c r="AZ20" i="158"/>
  <c r="AZ26" i="158"/>
  <c r="AZ14" i="158"/>
  <c r="H36" i="158" s="1"/>
  <c r="AR9" i="157"/>
  <c r="AS9" i="157" s="1"/>
  <c r="AR10" i="157"/>
  <c r="AR11" i="157"/>
  <c r="AR12" i="157"/>
  <c r="AR14" i="157"/>
  <c r="AS14" i="157" s="1"/>
  <c r="AR15" i="157"/>
  <c r="AS15" i="157" s="1"/>
  <c r="AR16" i="157"/>
  <c r="AR17" i="157"/>
  <c r="AR18" i="157"/>
  <c r="AR8" i="157"/>
  <c r="AS8" i="157" s="1"/>
  <c r="AS10" i="157"/>
  <c r="AS11" i="157"/>
  <c r="AS12" i="157"/>
  <c r="AS16" i="157"/>
  <c r="AS17" i="157"/>
  <c r="AS18" i="157"/>
  <c r="AQ13" i="157"/>
  <c r="AL14" i="157"/>
  <c r="AL8" i="157"/>
  <c r="AK14" i="157"/>
  <c r="AK8" i="157"/>
  <c r="AQ19" i="157"/>
  <c r="AS13" i="157" l="1"/>
  <c r="H32" i="157" s="1"/>
  <c r="AS19" i="157"/>
  <c r="H35" i="156" l="1"/>
  <c r="H45" i="157"/>
  <c r="H49" i="158"/>
  <c r="H33" i="156" l="1"/>
  <c r="H28" i="156"/>
  <c r="E22" i="158" l="1"/>
  <c r="E21" i="158"/>
  <c r="E20" i="158"/>
  <c r="E19" i="158"/>
  <c r="E18" i="158"/>
  <c r="E17" i="158"/>
  <c r="H16" i="158"/>
  <c r="O21" i="158"/>
  <c r="O22" i="158"/>
  <c r="O23" i="158"/>
  <c r="O24" i="158"/>
  <c r="O25" i="158"/>
  <c r="O26" i="158"/>
  <c r="O28" i="158"/>
  <c r="O29" i="158"/>
  <c r="O30" i="158"/>
  <c r="O31" i="158"/>
  <c r="O32" i="158"/>
  <c r="U21" i="158"/>
  <c r="U22" i="158"/>
  <c r="U23" i="158"/>
  <c r="U24" i="158"/>
  <c r="U25" i="158"/>
  <c r="U28" i="158"/>
  <c r="U29" i="158"/>
  <c r="U30" i="158"/>
  <c r="U31" i="158"/>
  <c r="U32" i="158"/>
  <c r="AA21" i="158"/>
  <c r="AA22" i="158"/>
  <c r="AA23" i="158"/>
  <c r="AA24" i="158"/>
  <c r="AA25" i="158"/>
  <c r="AA26" i="158"/>
  <c r="AA28" i="158"/>
  <c r="AA29" i="158"/>
  <c r="AA30" i="158"/>
  <c r="AA31" i="158"/>
  <c r="AA32" i="158"/>
  <c r="AA41" i="158"/>
  <c r="X40" i="158"/>
  <c r="AA40" i="158" s="1"/>
  <c r="X39" i="158"/>
  <c r="AA39" i="158" s="1"/>
  <c r="X38" i="158"/>
  <c r="AA38" i="158" s="1"/>
  <c r="X37" i="158"/>
  <c r="AA37" i="158" s="1"/>
  <c r="AA36" i="158"/>
  <c r="AA35" i="158"/>
  <c r="X27" i="158"/>
  <c r="AA27" i="158" s="1"/>
  <c r="X26" i="158"/>
  <c r="AA20" i="158"/>
  <c r="AA15" i="158"/>
  <c r="AA14" i="158"/>
  <c r="AA13" i="158"/>
  <c r="AA12" i="158"/>
  <c r="AA11" i="158"/>
  <c r="AA10" i="158"/>
  <c r="AA9" i="158"/>
  <c r="AA8" i="158"/>
  <c r="AP60" i="158"/>
  <c r="AO60" i="158"/>
  <c r="AM60" i="158"/>
  <c r="AK60" i="158"/>
  <c r="AH60" i="158"/>
  <c r="AP59" i="158"/>
  <c r="AO59" i="158"/>
  <c r="AM59" i="158"/>
  <c r="AK59" i="158"/>
  <c r="AH59" i="158"/>
  <c r="AP58" i="158"/>
  <c r="AO58" i="158"/>
  <c r="AM58" i="158"/>
  <c r="AK58" i="158"/>
  <c r="AH58" i="158"/>
  <c r="R58" i="158"/>
  <c r="AP57" i="158"/>
  <c r="AO57" i="158"/>
  <c r="AM57" i="158"/>
  <c r="AK57" i="158"/>
  <c r="AH57" i="158"/>
  <c r="R57" i="158"/>
  <c r="AP56" i="158"/>
  <c r="AO56" i="158"/>
  <c r="AM56" i="158"/>
  <c r="AK56" i="158"/>
  <c r="AH56" i="158"/>
  <c r="R56" i="158"/>
  <c r="AP55" i="158"/>
  <c r="AO55" i="158"/>
  <c r="AM55" i="158"/>
  <c r="AK55" i="158"/>
  <c r="AH55" i="158"/>
  <c r="R55" i="158"/>
  <c r="AP54" i="158"/>
  <c r="AO54" i="158"/>
  <c r="AM54" i="158"/>
  <c r="AK54" i="158"/>
  <c r="AH54" i="158"/>
  <c r="R54" i="158"/>
  <c r="AP53" i="158"/>
  <c r="AO53" i="158"/>
  <c r="AM53" i="158"/>
  <c r="AK53" i="158"/>
  <c r="AH53" i="158"/>
  <c r="R53" i="158"/>
  <c r="L52" i="158"/>
  <c r="E34" i="158" s="1"/>
  <c r="D52" i="158"/>
  <c r="AP51" i="158"/>
  <c r="AO51" i="158"/>
  <c r="AM51" i="158"/>
  <c r="AK51" i="158"/>
  <c r="AJ51" i="158"/>
  <c r="AI51" i="158"/>
  <c r="AH51" i="158"/>
  <c r="N51" i="158"/>
  <c r="O51" i="158" s="1"/>
  <c r="S51" i="158" s="1"/>
  <c r="G51" i="158"/>
  <c r="N50" i="158"/>
  <c r="O50" i="158" s="1"/>
  <c r="S50" i="158" s="1"/>
  <c r="AP49" i="158"/>
  <c r="AO49" i="158"/>
  <c r="AM49" i="158"/>
  <c r="AK49" i="158"/>
  <c r="AJ49" i="158"/>
  <c r="AI49" i="158"/>
  <c r="AH49" i="158"/>
  <c r="N49" i="158"/>
  <c r="O49" i="158" s="1"/>
  <c r="S49" i="158" s="1"/>
  <c r="AO48" i="158"/>
  <c r="AM48" i="158"/>
  <c r="AK48" i="158"/>
  <c r="AJ48" i="158"/>
  <c r="AI48" i="158"/>
  <c r="AH48" i="158"/>
  <c r="N48" i="158"/>
  <c r="O48" i="158" s="1"/>
  <c r="S48" i="158" s="1"/>
  <c r="H48" i="158"/>
  <c r="E48" i="158"/>
  <c r="AP47" i="158"/>
  <c r="AO47" i="158"/>
  <c r="AM47" i="158"/>
  <c r="AK47" i="158"/>
  <c r="AJ47" i="158"/>
  <c r="AI47" i="158"/>
  <c r="AH47" i="158"/>
  <c r="N47" i="158"/>
  <c r="O47" i="158" s="1"/>
  <c r="S47" i="158" s="1"/>
  <c r="H47" i="158"/>
  <c r="AP46" i="158"/>
  <c r="AO46" i="158"/>
  <c r="AM46" i="158"/>
  <c r="AK46" i="158"/>
  <c r="AJ46" i="158"/>
  <c r="AI46" i="158"/>
  <c r="AH46" i="158"/>
  <c r="G46" i="158"/>
  <c r="AP45" i="158"/>
  <c r="AO45" i="158"/>
  <c r="AM45" i="158"/>
  <c r="AK45" i="158"/>
  <c r="AJ45" i="158"/>
  <c r="AI45" i="158"/>
  <c r="AH45" i="158"/>
  <c r="H45" i="158"/>
  <c r="AP44" i="158"/>
  <c r="AO44" i="158"/>
  <c r="AM44" i="158"/>
  <c r="AK44" i="158"/>
  <c r="AJ44" i="158"/>
  <c r="AI44" i="158"/>
  <c r="AH44" i="158"/>
  <c r="H44" i="158"/>
  <c r="H46" i="158" s="1"/>
  <c r="AP43" i="158"/>
  <c r="AO43" i="158"/>
  <c r="AM43" i="158"/>
  <c r="AK43" i="158"/>
  <c r="AJ43" i="158"/>
  <c r="AI43" i="158"/>
  <c r="AH43" i="158"/>
  <c r="G43" i="158"/>
  <c r="AP42" i="158"/>
  <c r="AO42" i="158"/>
  <c r="AM42" i="158"/>
  <c r="AK42" i="158"/>
  <c r="AJ42" i="158"/>
  <c r="AI42" i="158"/>
  <c r="AH42" i="158"/>
  <c r="H42" i="158"/>
  <c r="AP41" i="158"/>
  <c r="AO41" i="158"/>
  <c r="AM41" i="158"/>
  <c r="AK41" i="158"/>
  <c r="AJ41" i="158"/>
  <c r="AI41" i="158"/>
  <c r="AH41" i="158"/>
  <c r="U41" i="158"/>
  <c r="O41" i="158"/>
  <c r="H41" i="158"/>
  <c r="H43" i="158" s="1"/>
  <c r="AP40" i="158"/>
  <c r="AO40" i="158"/>
  <c r="AM40" i="158"/>
  <c r="AK40" i="158"/>
  <c r="AJ40" i="158"/>
  <c r="AI40" i="158"/>
  <c r="AH40" i="158"/>
  <c r="R40" i="158"/>
  <c r="U40" i="158" s="1"/>
  <c r="L40" i="158"/>
  <c r="O40" i="158" s="1"/>
  <c r="G40" i="158"/>
  <c r="AP39" i="158"/>
  <c r="AO39" i="158"/>
  <c r="AM39" i="158"/>
  <c r="AK39" i="158"/>
  <c r="AJ39" i="158"/>
  <c r="AI39" i="158"/>
  <c r="AH39" i="158"/>
  <c r="R39" i="158"/>
  <c r="U39" i="158" s="1"/>
  <c r="L39" i="158"/>
  <c r="O39" i="158" s="1"/>
  <c r="H39" i="158"/>
  <c r="E39" i="158"/>
  <c r="AP38" i="158"/>
  <c r="AO38" i="158"/>
  <c r="AM38" i="158"/>
  <c r="AK38" i="158"/>
  <c r="AJ38" i="158"/>
  <c r="AI38" i="158"/>
  <c r="AH38" i="158"/>
  <c r="R38" i="158"/>
  <c r="U38" i="158" s="1"/>
  <c r="L38" i="158"/>
  <c r="O38" i="158" s="1"/>
  <c r="H38" i="158"/>
  <c r="E38" i="158"/>
  <c r="AP37" i="158"/>
  <c r="AO37" i="158"/>
  <c r="AM37" i="158"/>
  <c r="AK37" i="158"/>
  <c r="AJ37" i="158"/>
  <c r="AI37" i="158"/>
  <c r="AH37" i="158"/>
  <c r="R37" i="158"/>
  <c r="U37" i="158" s="1"/>
  <c r="L37" i="158"/>
  <c r="O37" i="158" s="1"/>
  <c r="G37" i="158"/>
  <c r="AP36" i="158"/>
  <c r="AO36" i="158"/>
  <c r="AM36" i="158"/>
  <c r="AK36" i="158"/>
  <c r="AJ36" i="158"/>
  <c r="AI36" i="158"/>
  <c r="AH36" i="158"/>
  <c r="U36" i="158"/>
  <c r="O36" i="158"/>
  <c r="AP35" i="158"/>
  <c r="AO35" i="158"/>
  <c r="AM35" i="158"/>
  <c r="AK35" i="158"/>
  <c r="AJ35" i="158"/>
  <c r="AI35" i="158"/>
  <c r="AH35" i="158"/>
  <c r="U35" i="158"/>
  <c r="O35" i="158"/>
  <c r="H35" i="158"/>
  <c r="AP34" i="158"/>
  <c r="AO34" i="158"/>
  <c r="AM34" i="158"/>
  <c r="AK34" i="158"/>
  <c r="AJ34" i="158"/>
  <c r="AI34" i="158"/>
  <c r="AH34" i="158"/>
  <c r="AP33" i="158"/>
  <c r="AO33" i="158"/>
  <c r="AM33" i="158"/>
  <c r="AK33" i="158"/>
  <c r="AJ33" i="158"/>
  <c r="AI33" i="158"/>
  <c r="AH33" i="158"/>
  <c r="G33" i="158"/>
  <c r="AO32" i="158"/>
  <c r="AJ32" i="158"/>
  <c r="AI32" i="158"/>
  <c r="AH32" i="158"/>
  <c r="H32" i="158"/>
  <c r="AO31" i="158"/>
  <c r="AJ31" i="158"/>
  <c r="AI31" i="158"/>
  <c r="AH31" i="158"/>
  <c r="H31" i="158"/>
  <c r="AP30" i="158"/>
  <c r="AO30" i="158"/>
  <c r="AM30" i="158"/>
  <c r="AK30" i="158"/>
  <c r="AJ30" i="158"/>
  <c r="AI30" i="158"/>
  <c r="AH30" i="158"/>
  <c r="AP29" i="158"/>
  <c r="AO29" i="158"/>
  <c r="AM29" i="158"/>
  <c r="AK29" i="158"/>
  <c r="AJ29" i="158"/>
  <c r="AI29" i="158"/>
  <c r="AH29" i="158"/>
  <c r="F29" i="158"/>
  <c r="H29" i="158" s="1"/>
  <c r="AP28" i="158"/>
  <c r="AO28" i="158"/>
  <c r="AM28" i="158"/>
  <c r="AK28" i="158"/>
  <c r="AJ28" i="158"/>
  <c r="AI28" i="158"/>
  <c r="AH28" i="158"/>
  <c r="F28" i="158"/>
  <c r="H28" i="158" s="1"/>
  <c r="AP27" i="158"/>
  <c r="AO27" i="158"/>
  <c r="AM27" i="158"/>
  <c r="AK27" i="158"/>
  <c r="AJ27" i="158"/>
  <c r="AI27" i="158"/>
  <c r="AH27" i="158"/>
  <c r="R27" i="158"/>
  <c r="U27" i="158" s="1"/>
  <c r="L27" i="158"/>
  <c r="O27" i="158" s="1"/>
  <c r="AP26" i="158"/>
  <c r="AO26" i="158"/>
  <c r="AM26" i="158"/>
  <c r="AK26" i="158"/>
  <c r="AJ26" i="158"/>
  <c r="AI26" i="158"/>
  <c r="AH26" i="158"/>
  <c r="R26" i="158"/>
  <c r="U26" i="158" s="1"/>
  <c r="L26" i="158"/>
  <c r="G26" i="158"/>
  <c r="AO25" i="158"/>
  <c r="AM25" i="158"/>
  <c r="AK25" i="158"/>
  <c r="AJ25" i="158"/>
  <c r="AI25" i="158"/>
  <c r="AH25" i="158"/>
  <c r="AP24" i="158"/>
  <c r="AO24" i="158"/>
  <c r="AM24" i="158"/>
  <c r="AK24" i="158"/>
  <c r="AJ24" i="158"/>
  <c r="AI24" i="158"/>
  <c r="AH24" i="158"/>
  <c r="U20" i="158"/>
  <c r="O20" i="158"/>
  <c r="AP23" i="158"/>
  <c r="AO23" i="158"/>
  <c r="AM23" i="158"/>
  <c r="AK23" i="158"/>
  <c r="AJ23" i="158"/>
  <c r="AI23" i="158"/>
  <c r="AH23" i="158"/>
  <c r="AP18" i="158"/>
  <c r="AO18" i="158"/>
  <c r="AM18" i="158"/>
  <c r="AK18" i="158"/>
  <c r="AJ18" i="158"/>
  <c r="AI18" i="158"/>
  <c r="AH18" i="158"/>
  <c r="AP17" i="158"/>
  <c r="AO17" i="158"/>
  <c r="AM17" i="158"/>
  <c r="AK17" i="158"/>
  <c r="AJ17" i="158"/>
  <c r="AI17" i="158"/>
  <c r="AH17" i="158"/>
  <c r="AP16" i="158"/>
  <c r="AO16" i="158"/>
  <c r="AM16" i="158"/>
  <c r="AK16" i="158"/>
  <c r="AJ16" i="158"/>
  <c r="AI16" i="158"/>
  <c r="AH16" i="158"/>
  <c r="AP15" i="158"/>
  <c r="AO15" i="158"/>
  <c r="AM15" i="158"/>
  <c r="AK15" i="158"/>
  <c r="AJ15" i="158"/>
  <c r="AI15" i="158"/>
  <c r="AH15" i="158"/>
  <c r="U15" i="158"/>
  <c r="O15" i="158"/>
  <c r="H15" i="158"/>
  <c r="AP14" i="158"/>
  <c r="AO14" i="158"/>
  <c r="AM14" i="158"/>
  <c r="AK14" i="158"/>
  <c r="AJ14" i="158"/>
  <c r="AI14" i="158"/>
  <c r="AH14" i="158"/>
  <c r="U14" i="158"/>
  <c r="O14" i="158"/>
  <c r="AP13" i="158"/>
  <c r="AO13" i="158"/>
  <c r="AM13" i="158"/>
  <c r="AK13" i="158"/>
  <c r="AJ13" i="158"/>
  <c r="AI13" i="158"/>
  <c r="AH13" i="158"/>
  <c r="U13" i="158"/>
  <c r="O13" i="158"/>
  <c r="G13" i="158"/>
  <c r="AP12" i="158"/>
  <c r="AO12" i="158"/>
  <c r="AM12" i="158"/>
  <c r="AK12" i="158"/>
  <c r="AJ12" i="158"/>
  <c r="AI12" i="158"/>
  <c r="AH12" i="158"/>
  <c r="U12" i="158"/>
  <c r="O12" i="158"/>
  <c r="E12" i="158"/>
  <c r="AP11" i="158"/>
  <c r="AO11" i="158"/>
  <c r="AM11" i="158"/>
  <c r="AK11" i="158"/>
  <c r="AJ11" i="158"/>
  <c r="AI11" i="158"/>
  <c r="AH11" i="158"/>
  <c r="U11" i="158"/>
  <c r="O11" i="158"/>
  <c r="E11" i="158"/>
  <c r="AP10" i="158"/>
  <c r="AO10" i="158"/>
  <c r="AM10" i="158"/>
  <c r="AK10" i="158"/>
  <c r="AJ10" i="158"/>
  <c r="AI10" i="158"/>
  <c r="AH10" i="158"/>
  <c r="U10" i="158"/>
  <c r="O10" i="158"/>
  <c r="E10" i="158"/>
  <c r="AO9" i="158"/>
  <c r="AJ9" i="158"/>
  <c r="AI9" i="158"/>
  <c r="AH9" i="158"/>
  <c r="U9" i="158"/>
  <c r="O9" i="158"/>
  <c r="H9" i="158"/>
  <c r="AO8" i="158"/>
  <c r="AJ8" i="158"/>
  <c r="AI8" i="158"/>
  <c r="AH8" i="158"/>
  <c r="U8" i="158"/>
  <c r="O8" i="158"/>
  <c r="E35" i="157"/>
  <c r="E34" i="157"/>
  <c r="N46" i="157"/>
  <c r="O46" i="157" s="1"/>
  <c r="S46" i="157" s="1"/>
  <c r="AK32" i="158" l="1"/>
  <c r="AM32" i="158" s="1"/>
  <c r="AP32" i="158" s="1"/>
  <c r="AK8" i="158"/>
  <c r="AM8" i="158" s="1"/>
  <c r="AP8" i="158" s="1"/>
  <c r="AK9" i="158"/>
  <c r="AM9" i="158" s="1"/>
  <c r="AP9" i="158" s="1"/>
  <c r="AA42" i="158"/>
  <c r="F22" i="158" s="1"/>
  <c r="H22" i="158" s="1"/>
  <c r="G24" i="158"/>
  <c r="G52" i="158" s="1"/>
  <c r="H40" i="158"/>
  <c r="AA16" i="158"/>
  <c r="F18" i="158" s="1"/>
  <c r="AA33" i="158"/>
  <c r="AK31" i="158"/>
  <c r="AM31" i="158" s="1"/>
  <c r="AP31" i="158" s="1"/>
  <c r="O16" i="158"/>
  <c r="F10" i="158" s="1"/>
  <c r="H10" i="158" s="1"/>
  <c r="U16" i="158"/>
  <c r="F17" i="158" s="1"/>
  <c r="O33" i="158"/>
  <c r="H51" i="158"/>
  <c r="U33" i="158"/>
  <c r="H33" i="158"/>
  <c r="O42" i="158"/>
  <c r="U42" i="158"/>
  <c r="F21" i="158" s="1"/>
  <c r="H21" i="158" s="1"/>
  <c r="F12" i="158"/>
  <c r="H12" i="158" s="1"/>
  <c r="S52" i="158"/>
  <c r="H34" i="158" s="1"/>
  <c r="H37" i="158" s="1"/>
  <c r="AP52" i="158" l="1"/>
  <c r="E25" i="158" s="1"/>
  <c r="H25" i="158" s="1"/>
  <c r="H26" i="158" s="1"/>
  <c r="AA43" i="158"/>
  <c r="F20" i="158" s="1"/>
  <c r="H20" i="158" s="1"/>
  <c r="H18" i="158"/>
  <c r="H17" i="158"/>
  <c r="O43" i="158"/>
  <c r="F11" i="158" s="1"/>
  <c r="H11" i="158" s="1"/>
  <c r="H13" i="158" s="1"/>
  <c r="U43" i="158"/>
  <c r="F19" i="158" s="1"/>
  <c r="H19" i="158" s="1"/>
  <c r="H43" i="157"/>
  <c r="H44" i="157"/>
  <c r="H41" i="157"/>
  <c r="H40" i="157"/>
  <c r="H23" i="158" l="1"/>
  <c r="H24" i="158" s="1"/>
  <c r="H52" i="158" s="1"/>
  <c r="I52" i="158" s="1"/>
  <c r="H35" i="157"/>
  <c r="H34" i="157"/>
  <c r="H27" i="156"/>
  <c r="H25" i="156"/>
  <c r="G29" i="157" l="1"/>
  <c r="N44" i="157"/>
  <c r="O44" i="157" s="1"/>
  <c r="S44" i="157" s="1"/>
  <c r="N45" i="157"/>
  <c r="O45" i="157" s="1"/>
  <c r="S45" i="157" s="1"/>
  <c r="N47" i="157"/>
  <c r="O47" i="157" s="1"/>
  <c r="S47" i="157" s="1"/>
  <c r="N43" i="157"/>
  <c r="O43" i="157" s="1"/>
  <c r="S43" i="157" s="1"/>
  <c r="L48" i="157"/>
  <c r="E30" i="157" s="1"/>
  <c r="Q9" i="156"/>
  <c r="Q10" i="156"/>
  <c r="Q11" i="156"/>
  <c r="Q12" i="156"/>
  <c r="Q13" i="156"/>
  <c r="Q14" i="156"/>
  <c r="Q15" i="156"/>
  <c r="Q16" i="156"/>
  <c r="Q17" i="156"/>
  <c r="Q18" i="156"/>
  <c r="Q19" i="156"/>
  <c r="Q20" i="156"/>
  <c r="Q21" i="156"/>
  <c r="Q22" i="156"/>
  <c r="Q23" i="156"/>
  <c r="Q24" i="156"/>
  <c r="Q25" i="156"/>
  <c r="Q26" i="156"/>
  <c r="Q27" i="156"/>
  <c r="Q28" i="156"/>
  <c r="Q29" i="156"/>
  <c r="Q8" i="156"/>
  <c r="Q30" i="156" s="1"/>
  <c r="E10" i="156" s="1"/>
  <c r="H10" i="156" s="1"/>
  <c r="S48" i="157" l="1"/>
  <c r="H30" i="157" s="1"/>
  <c r="H15" i="157"/>
  <c r="AA9" i="157"/>
  <c r="AA10" i="157"/>
  <c r="AA11" i="157"/>
  <c r="AA12" i="157"/>
  <c r="AA13" i="157"/>
  <c r="AA14" i="157"/>
  <c r="AA15" i="157"/>
  <c r="AA16" i="157"/>
  <c r="AA17" i="157"/>
  <c r="AA18" i="157"/>
  <c r="AA19" i="157"/>
  <c r="AA20" i="157"/>
  <c r="AA21" i="157"/>
  <c r="AA22" i="157"/>
  <c r="AA23" i="157"/>
  <c r="AA24" i="157"/>
  <c r="AA25" i="157"/>
  <c r="AA26" i="157"/>
  <c r="AA27" i="157"/>
  <c r="AA28" i="157"/>
  <c r="AA29" i="157"/>
  <c r="AA30" i="157"/>
  <c r="AA31" i="157"/>
  <c r="AA32" i="157"/>
  <c r="AA33" i="157"/>
  <c r="AA34" i="157"/>
  <c r="AA35" i="157"/>
  <c r="AA36" i="157"/>
  <c r="AA37" i="157"/>
  <c r="AA38" i="157"/>
  <c r="AA39" i="157"/>
  <c r="AA40" i="157"/>
  <c r="AA41" i="157"/>
  <c r="AA42" i="157"/>
  <c r="AA43" i="157"/>
  <c r="AA44" i="157"/>
  <c r="AA45" i="157"/>
  <c r="AA47" i="157"/>
  <c r="AA8" i="157"/>
  <c r="AH28" i="157"/>
  <c r="AH29" i="157"/>
  <c r="AH30" i="157"/>
  <c r="AH31" i="157"/>
  <c r="AH32" i="157"/>
  <c r="AH33" i="157"/>
  <c r="AH34" i="157"/>
  <c r="AH35" i="157"/>
  <c r="AH36" i="157"/>
  <c r="AH37" i="157"/>
  <c r="AH38" i="157"/>
  <c r="AH39" i="157"/>
  <c r="AH40" i="157"/>
  <c r="AH41" i="157"/>
  <c r="AH42" i="157"/>
  <c r="AH43" i="157"/>
  <c r="AH44" i="157"/>
  <c r="AH45" i="157"/>
  <c r="AH47" i="157"/>
  <c r="AH27" i="157"/>
  <c r="AH9" i="157"/>
  <c r="AH10" i="157"/>
  <c r="AH11" i="157"/>
  <c r="AH12" i="157"/>
  <c r="AH13" i="157"/>
  <c r="AH14" i="157"/>
  <c r="AH15" i="157"/>
  <c r="AH16" i="157"/>
  <c r="AH17" i="157"/>
  <c r="AH18" i="157"/>
  <c r="AH19" i="157"/>
  <c r="AH20" i="157"/>
  <c r="AH21" i="157"/>
  <c r="AH22" i="157"/>
  <c r="AH23" i="157"/>
  <c r="AH24" i="157"/>
  <c r="AH25" i="157"/>
  <c r="AH26" i="157"/>
  <c r="AH8" i="157"/>
  <c r="AF10" i="157"/>
  <c r="AF11" i="157"/>
  <c r="AF12" i="157"/>
  <c r="AF13" i="157"/>
  <c r="AF14" i="157"/>
  <c r="AF15" i="157"/>
  <c r="AF16" i="157"/>
  <c r="AF17" i="157"/>
  <c r="AF18" i="157"/>
  <c r="AF19" i="157"/>
  <c r="AF20" i="157"/>
  <c r="AF21" i="157"/>
  <c r="AF22" i="157"/>
  <c r="AF23" i="157"/>
  <c r="AF24" i="157"/>
  <c r="AF25" i="157"/>
  <c r="AF26" i="157"/>
  <c r="AF29" i="157"/>
  <c r="AF30" i="157"/>
  <c r="AF31" i="157"/>
  <c r="AF32" i="157"/>
  <c r="AF33" i="157"/>
  <c r="AF34" i="157"/>
  <c r="AF35" i="157"/>
  <c r="AF36" i="157"/>
  <c r="AF37" i="157"/>
  <c r="AF38" i="157"/>
  <c r="AF39" i="157"/>
  <c r="AF40" i="157"/>
  <c r="AF41" i="157"/>
  <c r="AF42" i="157"/>
  <c r="AF43" i="157"/>
  <c r="AF44" i="157"/>
  <c r="AF45" i="157"/>
  <c r="AF47" i="157"/>
  <c r="AD10" i="157"/>
  <c r="AD11" i="157"/>
  <c r="AD12" i="157"/>
  <c r="AD13" i="157"/>
  <c r="AD14" i="157"/>
  <c r="AD15" i="157"/>
  <c r="AD16" i="157"/>
  <c r="AD17" i="157"/>
  <c r="AD18" i="157"/>
  <c r="AD19" i="157"/>
  <c r="AD20" i="157"/>
  <c r="AD21" i="157"/>
  <c r="AD22" i="157"/>
  <c r="AD23" i="157"/>
  <c r="AD24" i="157"/>
  <c r="AD25" i="157"/>
  <c r="AD26" i="157"/>
  <c r="AD29" i="157"/>
  <c r="AD30" i="157"/>
  <c r="AD31" i="157"/>
  <c r="AD32" i="157"/>
  <c r="AD33" i="157"/>
  <c r="AD34" i="157"/>
  <c r="AD35" i="157"/>
  <c r="AD36" i="157"/>
  <c r="AD37" i="157"/>
  <c r="AD38" i="157"/>
  <c r="AD39" i="157"/>
  <c r="AD40" i="157"/>
  <c r="AD41" i="157"/>
  <c r="AD42" i="157"/>
  <c r="AD43" i="157"/>
  <c r="AD44" i="157"/>
  <c r="AD45" i="157"/>
  <c r="AD47" i="157"/>
  <c r="AC9" i="157"/>
  <c r="AC10" i="157"/>
  <c r="AC11" i="157"/>
  <c r="AC12" i="157"/>
  <c r="AC13" i="157"/>
  <c r="AC14" i="157"/>
  <c r="AC15" i="157"/>
  <c r="AC16" i="157"/>
  <c r="AC17" i="157"/>
  <c r="AC18" i="157"/>
  <c r="AC19" i="157"/>
  <c r="AC20" i="157"/>
  <c r="AC21" i="157"/>
  <c r="AC22" i="157"/>
  <c r="AC23" i="157"/>
  <c r="AC24" i="157"/>
  <c r="AC25" i="157"/>
  <c r="AC26" i="157"/>
  <c r="AC27" i="157"/>
  <c r="AC28" i="157"/>
  <c r="AC29" i="157"/>
  <c r="AC30" i="157"/>
  <c r="AC31" i="157"/>
  <c r="AC32" i="157"/>
  <c r="AC33" i="157"/>
  <c r="AC34" i="157"/>
  <c r="AC35" i="157"/>
  <c r="AC36" i="157"/>
  <c r="AC37" i="157"/>
  <c r="AC38" i="157"/>
  <c r="AC39" i="157"/>
  <c r="AC40" i="157"/>
  <c r="AC41" i="157"/>
  <c r="AC42" i="157"/>
  <c r="AC43" i="157"/>
  <c r="AC44" i="157"/>
  <c r="AC45" i="157"/>
  <c r="AC47" i="157"/>
  <c r="AB9" i="157"/>
  <c r="AB10" i="157"/>
  <c r="AB11" i="157"/>
  <c r="AB12" i="157"/>
  <c r="AB13" i="157"/>
  <c r="AB14" i="157"/>
  <c r="AB15" i="157"/>
  <c r="AB16" i="157"/>
  <c r="AB17" i="157"/>
  <c r="AB18" i="157"/>
  <c r="AB19" i="157"/>
  <c r="AB20" i="157"/>
  <c r="AB21" i="157"/>
  <c r="AB22" i="157"/>
  <c r="AB23" i="157"/>
  <c r="AB24" i="157"/>
  <c r="AB25" i="157"/>
  <c r="AB26" i="157"/>
  <c r="AB27" i="157"/>
  <c r="AB28" i="157"/>
  <c r="AB29" i="157"/>
  <c r="AB30" i="157"/>
  <c r="AB31" i="157"/>
  <c r="AB32" i="157"/>
  <c r="AB33" i="157"/>
  <c r="AB34" i="157"/>
  <c r="AB35" i="157"/>
  <c r="AB36" i="157"/>
  <c r="AB37" i="157"/>
  <c r="AB38" i="157"/>
  <c r="AB39" i="157"/>
  <c r="AB40" i="157"/>
  <c r="AB41" i="157"/>
  <c r="AB42" i="157"/>
  <c r="AB43" i="157"/>
  <c r="AB44" i="157"/>
  <c r="AB45" i="157"/>
  <c r="AB47" i="157"/>
  <c r="AC8" i="157"/>
  <c r="AD27" i="157" l="1"/>
  <c r="AF27" i="157" s="1"/>
  <c r="AD9" i="157"/>
  <c r="AF9" i="157" s="1"/>
  <c r="AD28" i="157"/>
  <c r="AF28" i="157" s="1"/>
  <c r="AB8" i="157"/>
  <c r="AD8" i="157" s="1"/>
  <c r="U37" i="157" l="1"/>
  <c r="R36" i="157"/>
  <c r="U36" i="157" s="1"/>
  <c r="R35" i="157"/>
  <c r="U35" i="157" s="1"/>
  <c r="R34" i="157"/>
  <c r="U34" i="157" s="1"/>
  <c r="R33" i="157"/>
  <c r="U33" i="157" s="1"/>
  <c r="U32" i="157"/>
  <c r="U31" i="157"/>
  <c r="U28" i="157"/>
  <c r="U27" i="157"/>
  <c r="U26" i="157"/>
  <c r="U25" i="157"/>
  <c r="U24" i="157"/>
  <c r="R23" i="157"/>
  <c r="U23" i="157" s="1"/>
  <c r="R22" i="157"/>
  <c r="U22" i="157" s="1"/>
  <c r="U21" i="157"/>
  <c r="U20" i="157"/>
  <c r="U15" i="157"/>
  <c r="U14" i="157"/>
  <c r="U13" i="157"/>
  <c r="U12" i="157"/>
  <c r="U11" i="157"/>
  <c r="U10" i="157"/>
  <c r="U9" i="157"/>
  <c r="U8" i="157"/>
  <c r="O32" i="157"/>
  <c r="O37" i="157"/>
  <c r="O31" i="157"/>
  <c r="O21" i="157"/>
  <c r="O24" i="157"/>
  <c r="O25" i="157"/>
  <c r="O26" i="157"/>
  <c r="O27" i="157"/>
  <c r="O28" i="157"/>
  <c r="O20" i="157"/>
  <c r="O9" i="157"/>
  <c r="O10" i="157"/>
  <c r="O11" i="157"/>
  <c r="O12" i="157"/>
  <c r="O13" i="157"/>
  <c r="O14" i="157"/>
  <c r="O15" i="157"/>
  <c r="O8" i="157"/>
  <c r="L22" i="157"/>
  <c r="O22" i="157" s="1"/>
  <c r="L23" i="157"/>
  <c r="O23" i="157" s="1"/>
  <c r="L33" i="157"/>
  <c r="O33" i="157" s="1"/>
  <c r="L34" i="157"/>
  <c r="O34" i="157" s="1"/>
  <c r="L35" i="157"/>
  <c r="O35" i="157" s="1"/>
  <c r="L36" i="157"/>
  <c r="O36" i="157" s="1"/>
  <c r="U16" i="157" l="1"/>
  <c r="O16" i="157"/>
  <c r="O29" i="157"/>
  <c r="U29" i="157"/>
  <c r="O38" i="157"/>
  <c r="U38" i="157"/>
  <c r="H9" i="157"/>
  <c r="O39" i="157" l="1"/>
  <c r="N35" i="156"/>
  <c r="O35" i="156" s="1"/>
  <c r="R35" i="156" s="1"/>
  <c r="N36" i="156"/>
  <c r="O36" i="156" s="1"/>
  <c r="R36" i="156" s="1"/>
  <c r="N37" i="156"/>
  <c r="O37" i="156" s="1"/>
  <c r="R37" i="156" s="1"/>
  <c r="N34" i="156"/>
  <c r="O34" i="156" s="1"/>
  <c r="R34" i="156" s="1"/>
  <c r="H26" i="156"/>
  <c r="G26" i="156"/>
  <c r="D26" i="156"/>
  <c r="H19" i="156"/>
  <c r="H18" i="156"/>
  <c r="G20" i="156"/>
  <c r="G37" i="156"/>
  <c r="H34" i="156"/>
  <c r="H31" i="156"/>
  <c r="H30" i="156"/>
  <c r="H22" i="156"/>
  <c r="R38" i="156" l="1"/>
  <c r="H21" i="156" s="1"/>
  <c r="F15" i="156" l="1"/>
  <c r="H15" i="156" s="1"/>
  <c r="AC11" i="156"/>
  <c r="AF11" i="156" s="1"/>
  <c r="AC12" i="156"/>
  <c r="AF12" i="156" s="1"/>
  <c r="AC13" i="156"/>
  <c r="AF13" i="156" s="1"/>
  <c r="AC14" i="156"/>
  <c r="AF14" i="156" s="1"/>
  <c r="AC15" i="156"/>
  <c r="AF15" i="156" s="1"/>
  <c r="AC16" i="156"/>
  <c r="AF16" i="156" s="1"/>
  <c r="AC17" i="156"/>
  <c r="AF17" i="156" s="1"/>
  <c r="AC18" i="156"/>
  <c r="AF18" i="156" s="1"/>
  <c r="X11" i="156"/>
  <c r="Y11" i="156"/>
  <c r="X12" i="156"/>
  <c r="Y12" i="156"/>
  <c r="X13" i="156"/>
  <c r="Y13" i="156"/>
  <c r="X14" i="156"/>
  <c r="Y14" i="156"/>
  <c r="X15" i="156"/>
  <c r="Y15" i="156"/>
  <c r="X16" i="156"/>
  <c r="Y16" i="156"/>
  <c r="X17" i="156"/>
  <c r="Y17" i="156"/>
  <c r="X18" i="156"/>
  <c r="Y18" i="156"/>
  <c r="AC22" i="156" l="1"/>
  <c r="AF22" i="156" s="1"/>
  <c r="AC23" i="156"/>
  <c r="AF23" i="156" s="1"/>
  <c r="AC24" i="156"/>
  <c r="AF24" i="156" s="1"/>
  <c r="AC25" i="156"/>
  <c r="AF25" i="156" s="1"/>
  <c r="AC26" i="156"/>
  <c r="AF26" i="156" s="1"/>
  <c r="AC27" i="156"/>
  <c r="AF27" i="156" s="1"/>
  <c r="AC28" i="156"/>
  <c r="AF28" i="156" s="1"/>
  <c r="AC29" i="156"/>
  <c r="AF29" i="156" s="1"/>
  <c r="AC30" i="156"/>
  <c r="AF30" i="156" s="1"/>
  <c r="AC31" i="156"/>
  <c r="AF31" i="156" s="1"/>
  <c r="AC32" i="156"/>
  <c r="AF32" i="156" s="1"/>
  <c r="AC33" i="156"/>
  <c r="AF33" i="156" s="1"/>
  <c r="AC34" i="156"/>
  <c r="AF34" i="156" s="1"/>
  <c r="AC35" i="156"/>
  <c r="AF35" i="156" s="1"/>
  <c r="AC37" i="156"/>
  <c r="AF37" i="156" s="1"/>
  <c r="Y20" i="156"/>
  <c r="AA20" i="156" s="1"/>
  <c r="Y21" i="156"/>
  <c r="AA21" i="156" s="1"/>
  <c r="Y22" i="156"/>
  <c r="Y23" i="156"/>
  <c r="Y24" i="156"/>
  <c r="Y25" i="156"/>
  <c r="Y26" i="156"/>
  <c r="Y27" i="156"/>
  <c r="Y28" i="156"/>
  <c r="Y29" i="156"/>
  <c r="Y30" i="156"/>
  <c r="Y31" i="156"/>
  <c r="Y32" i="156"/>
  <c r="Y33" i="156"/>
  <c r="Y34" i="156"/>
  <c r="Y35" i="156"/>
  <c r="Y37" i="156"/>
  <c r="Y19" i="156"/>
  <c r="AA19" i="156" s="1"/>
  <c r="X20" i="156"/>
  <c r="X21" i="156"/>
  <c r="X22" i="156"/>
  <c r="X23" i="156"/>
  <c r="X24" i="156"/>
  <c r="X25" i="156"/>
  <c r="X26" i="156"/>
  <c r="X27" i="156"/>
  <c r="X28" i="156"/>
  <c r="X29" i="156"/>
  <c r="X30" i="156"/>
  <c r="X31" i="156"/>
  <c r="X32" i="156"/>
  <c r="X33" i="156"/>
  <c r="X34" i="156"/>
  <c r="X35" i="156"/>
  <c r="X37" i="156"/>
  <c r="X19" i="156"/>
  <c r="Y9" i="156"/>
  <c r="Y10" i="156"/>
  <c r="Y8" i="156"/>
  <c r="X9" i="156"/>
  <c r="X10" i="156"/>
  <c r="X8" i="156"/>
  <c r="L38" i="156"/>
  <c r="E21" i="156" s="1"/>
  <c r="AA8" i="156" l="1"/>
  <c r="AA10" i="156"/>
  <c r="AA9" i="156"/>
  <c r="AC8" i="156"/>
  <c r="AF8" i="156" s="1"/>
  <c r="AC9" i="156"/>
  <c r="AF9" i="156" s="1"/>
  <c r="AC20" i="156"/>
  <c r="AF20" i="156" s="1"/>
  <c r="AC19" i="156"/>
  <c r="AF19" i="156" s="1"/>
  <c r="AC21" i="156"/>
  <c r="AF21" i="156" s="1"/>
  <c r="AC10" i="156"/>
  <c r="AF10" i="156" s="1"/>
  <c r="AF38" i="156" l="1"/>
  <c r="H9" i="156"/>
  <c r="AI56" i="157" l="1"/>
  <c r="AH56" i="157"/>
  <c r="AF56" i="157"/>
  <c r="AD56" i="157"/>
  <c r="AA56" i="157"/>
  <c r="AI55" i="157"/>
  <c r="AH55" i="157"/>
  <c r="AF55" i="157"/>
  <c r="AD55" i="157"/>
  <c r="AA55" i="157"/>
  <c r="AI54" i="157"/>
  <c r="AH54" i="157"/>
  <c r="AF54" i="157"/>
  <c r="AD54" i="157"/>
  <c r="AA54" i="157"/>
  <c r="R54" i="157"/>
  <c r="AI53" i="157"/>
  <c r="AH53" i="157"/>
  <c r="AF53" i="157"/>
  <c r="AD53" i="157"/>
  <c r="AA53" i="157"/>
  <c r="R53" i="157"/>
  <c r="AI52" i="157"/>
  <c r="AH52" i="157"/>
  <c r="AF52" i="157"/>
  <c r="AD52" i="157"/>
  <c r="AA52" i="157"/>
  <c r="R52" i="157"/>
  <c r="AI51" i="157"/>
  <c r="AH51" i="157"/>
  <c r="AF51" i="157"/>
  <c r="AD51" i="157"/>
  <c r="AA51" i="157"/>
  <c r="R51" i="157"/>
  <c r="AI50" i="157"/>
  <c r="AH50" i="157"/>
  <c r="AF50" i="157"/>
  <c r="AD50" i="157"/>
  <c r="AA50" i="157"/>
  <c r="R50" i="157"/>
  <c r="AI49" i="157"/>
  <c r="AH49" i="157"/>
  <c r="AF49" i="157"/>
  <c r="AD49" i="157"/>
  <c r="AA49" i="157"/>
  <c r="R49" i="157"/>
  <c r="D48" i="157"/>
  <c r="AI47" i="157"/>
  <c r="G47" i="157"/>
  <c r="AI45" i="157"/>
  <c r="E44" i="157"/>
  <c r="AI43" i="157"/>
  <c r="AI42" i="157"/>
  <c r="G42" i="157"/>
  <c r="AI41" i="157"/>
  <c r="AI40" i="157"/>
  <c r="AI39" i="157"/>
  <c r="G39" i="157"/>
  <c r="AI38" i="157"/>
  <c r="H38" i="157"/>
  <c r="AI37" i="157"/>
  <c r="H37" i="157"/>
  <c r="AI36" i="157"/>
  <c r="G36" i="157"/>
  <c r="AI35" i="157"/>
  <c r="AI34" i="157"/>
  <c r="AI33" i="157"/>
  <c r="G33" i="157"/>
  <c r="AI32" i="157"/>
  <c r="AI31" i="157"/>
  <c r="H31" i="157"/>
  <c r="AI30" i="157"/>
  <c r="AI29" i="157"/>
  <c r="AI28" i="157"/>
  <c r="H28" i="157"/>
  <c r="H27" i="157"/>
  <c r="AI26" i="157"/>
  <c r="AI25" i="157"/>
  <c r="F25" i="157"/>
  <c r="H25" i="157" s="1"/>
  <c r="AI24" i="157"/>
  <c r="F24" i="157"/>
  <c r="H24" i="157" s="1"/>
  <c r="AI23" i="157"/>
  <c r="AI22" i="157"/>
  <c r="G22" i="157"/>
  <c r="AI20" i="157"/>
  <c r="AI19" i="157"/>
  <c r="G19" i="157"/>
  <c r="AI18" i="157"/>
  <c r="E18" i="157"/>
  <c r="AI17" i="157"/>
  <c r="E17" i="157"/>
  <c r="AI16" i="157"/>
  <c r="E16" i="157"/>
  <c r="AI15" i="157"/>
  <c r="AI14" i="157"/>
  <c r="AI13" i="157"/>
  <c r="G13" i="157"/>
  <c r="AI12" i="157"/>
  <c r="E12" i="157"/>
  <c r="AI11" i="157"/>
  <c r="E11" i="157"/>
  <c r="AI10" i="157"/>
  <c r="E10" i="157"/>
  <c r="G20" i="157" l="1"/>
  <c r="G48" i="157" s="1"/>
  <c r="H29" i="157"/>
  <c r="AI9" i="157"/>
  <c r="AF8" i="157"/>
  <c r="AI8" i="157" s="1"/>
  <c r="H36" i="157"/>
  <c r="H39" i="157"/>
  <c r="H42" i="157"/>
  <c r="H33" i="157"/>
  <c r="H47" i="157"/>
  <c r="AI27" i="157"/>
  <c r="AI48" i="157" l="1"/>
  <c r="G11" i="156" l="1"/>
  <c r="G32" i="156" l="1"/>
  <c r="G29" i="156"/>
  <c r="G24" i="156"/>
  <c r="G13" i="156"/>
  <c r="G38" i="156" s="1"/>
  <c r="D38" i="156" l="1"/>
  <c r="E34" i="156"/>
  <c r="E25" i="156"/>
  <c r="F16" i="156"/>
  <c r="H16" i="156" s="1"/>
  <c r="H20" i="156" l="1"/>
  <c r="H29" i="156"/>
  <c r="H32" i="156"/>
  <c r="H37" i="156" l="1"/>
  <c r="H24" i="156"/>
  <c r="E12" i="156"/>
  <c r="H12" i="156" l="1"/>
  <c r="H13" i="156" s="1"/>
  <c r="H11" i="156"/>
  <c r="H38" i="156" l="1"/>
  <c r="I38" i="156" s="1"/>
  <c r="E21" i="157"/>
  <c r="F10" i="157"/>
  <c r="H10" i="157" s="1"/>
  <c r="F12" i="157"/>
  <c r="H12" i="157" s="1"/>
  <c r="F11" i="157"/>
  <c r="H11" i="157" s="1"/>
  <c r="F16" i="157"/>
  <c r="H16" i="157" s="1"/>
  <c r="F18" i="157"/>
  <c r="H18" i="157" s="1"/>
  <c r="U39" i="157"/>
  <c r="F17" i="157" s="1"/>
  <c r="H17" i="157" s="1"/>
  <c r="H19" i="157" s="1"/>
  <c r="H13" i="157" l="1"/>
  <c r="H20" i="157" s="1"/>
  <c r="H21" i="157"/>
  <c r="H22" i="157" s="1"/>
  <c r="H48" i="157" l="1"/>
  <c r="I48" i="15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이명행</author>
  </authors>
  <commentList>
    <comment ref="AI6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입찰공고일로부터 3년 차감한 날짜 입력</t>
        </r>
      </text>
    </comment>
    <comment ref="C18" authorId="1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한국은행 기업경영분석
평균자기자본비율
: 44.44%(2023년)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한국은행 기업경영분석
평균유동비율
: 128.43%(2023년)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이명행</author>
  </authors>
  <commentList>
    <comment ref="AL4" authorId="0" shapeId="0" xr:uid="{00000000-0006-0000-0100-000001000000}">
      <text>
        <r>
          <rPr>
            <b/>
            <sz val="11"/>
            <color indexed="81"/>
            <rFont val="돋움"/>
            <family val="3"/>
            <charset val="129"/>
          </rPr>
          <t>입찰공고일로부터 3년 차감한 날짜 입력</t>
        </r>
      </text>
    </comment>
    <comment ref="C27" authorId="1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한국은행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기업경영분석
평균자기자본비율
</t>
        </r>
        <r>
          <rPr>
            <b/>
            <sz val="9"/>
            <color indexed="81"/>
            <rFont val="Tahoma"/>
            <family val="2"/>
          </rPr>
          <t>: 44.44%(2023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8" authorId="1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한국은행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기업경영분석
평균유동비율
</t>
        </r>
        <r>
          <rPr>
            <b/>
            <sz val="9"/>
            <color indexed="81"/>
            <rFont val="Tahoma"/>
            <family val="2"/>
          </rPr>
          <t>: 128.43%(2023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이명행</author>
  </authors>
  <commentList>
    <comment ref="AS5" authorId="0" shapeId="0" xr:uid="{00000000-0006-0000-0200-000001000000}">
      <text>
        <r>
          <rPr>
            <b/>
            <sz val="11"/>
            <color indexed="81"/>
            <rFont val="돋움"/>
            <family val="3"/>
            <charset val="129"/>
          </rPr>
          <t>입찰공고일로부터 3년 차감한 날짜 입력</t>
        </r>
      </text>
    </comment>
    <comment ref="C31" authorId="1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한국은행 기업경영분석
평균자기자본비율
: 44.44%(2023년)</t>
        </r>
      </text>
    </comment>
    <comment ref="C32" authorId="1" shapeId="0" xr:uid="{00000000-0006-0000-0200-000003000000}">
      <text>
        <r>
          <rPr>
            <b/>
            <sz val="9"/>
            <color indexed="81"/>
            <rFont val="돋움"/>
            <family val="3"/>
            <charset val="129"/>
          </rPr>
          <t>한국은행 기업경영분석
평균유동비율
: 128.43%(2023년)</t>
        </r>
      </text>
    </comment>
  </commentList>
</comments>
</file>

<file path=xl/sharedStrings.xml><?xml version="1.0" encoding="utf-8"?>
<sst xmlns="http://schemas.openxmlformats.org/spreadsheetml/2006/main" count="771" uniqueCount="354">
  <si>
    <t>평가항목</t>
    <phoneticPr fontId="2" type="noConversion"/>
  </si>
  <si>
    <t>세부평가요소</t>
    <phoneticPr fontId="2" type="noConversion"/>
  </si>
  <si>
    <t>배점
한도</t>
    <phoneticPr fontId="2" type="noConversion"/>
  </si>
  <si>
    <t>평가내용</t>
    <phoneticPr fontId="2" type="noConversion"/>
  </si>
  <si>
    <t>자기
평가</t>
    <phoneticPr fontId="2" type="noConversion"/>
  </si>
  <si>
    <t>LH
평가</t>
    <phoneticPr fontId="2" type="noConversion"/>
  </si>
  <si>
    <t>비  고</t>
    <phoneticPr fontId="2" type="noConversion"/>
  </si>
  <si>
    <t>수행실적</t>
    <phoneticPr fontId="2" type="noConversion"/>
  </si>
  <si>
    <t xml:space="preserve"> </t>
    <phoneticPr fontId="2" type="noConversion"/>
  </si>
  <si>
    <t>대표</t>
    <phoneticPr fontId="5" type="noConversion"/>
  </si>
  <si>
    <t>사업자등록번호</t>
    <phoneticPr fontId="5" type="noConversion"/>
  </si>
  <si>
    <t>위임자</t>
    <phoneticPr fontId="5" type="noConversion"/>
  </si>
  <si>
    <t>전화번호</t>
    <phoneticPr fontId="5" type="noConversion"/>
  </si>
  <si>
    <t>-</t>
    <phoneticPr fontId="8" type="noConversion"/>
  </si>
  <si>
    <t>총 예정 소방공사비</t>
    <phoneticPr fontId="8" type="noConversion"/>
  </si>
  <si>
    <t>업체명</t>
    <phoneticPr fontId="8" type="noConversion"/>
  </si>
  <si>
    <t>감리용역비(설계금액)</t>
    <phoneticPr fontId="6" type="noConversion"/>
  </si>
  <si>
    <t xml:space="preserve">  (1)등급</t>
    <phoneticPr fontId="8" type="noConversion"/>
  </si>
  <si>
    <t xml:space="preserve">  (2)소방분야경력</t>
    <phoneticPr fontId="8" type="noConversion"/>
  </si>
  <si>
    <t>구분</t>
    <phoneticPr fontId="2" type="noConversion"/>
  </si>
  <si>
    <t>실적금액</t>
    <phoneticPr fontId="8" type="noConversion"/>
  </si>
  <si>
    <t>용역 사업명</t>
    <phoneticPr fontId="2" type="noConversion"/>
  </si>
  <si>
    <t>다. 신용도</t>
    <phoneticPr fontId="8" type="noConversion"/>
  </si>
  <si>
    <t>가. 참여감리원</t>
    <phoneticPr fontId="8" type="noConversion"/>
  </si>
  <si>
    <t>[7]</t>
    <phoneticPr fontId="8" type="noConversion"/>
  </si>
  <si>
    <t>2) 재정상태 건실도</t>
    <phoneticPr fontId="8" type="noConversion"/>
  </si>
  <si>
    <t xml:space="preserve">  가) 감리업체</t>
    <phoneticPr fontId="8" type="noConversion"/>
  </si>
  <si>
    <t xml:space="preserve">  나) 참여감리원</t>
    <phoneticPr fontId="8" type="noConversion"/>
  </si>
  <si>
    <t>[3]</t>
    <phoneticPr fontId="8" type="noConversion"/>
  </si>
  <si>
    <t>감리업체 유동비율/평균유동비율</t>
    <phoneticPr fontId="8" type="noConversion"/>
  </si>
  <si>
    <t xml:space="preserve">  가) 자본비율</t>
    <phoneticPr fontId="8" type="noConversion"/>
  </si>
  <si>
    <t xml:space="preserve">  나) 유동비율</t>
    <phoneticPr fontId="8" type="noConversion"/>
  </si>
  <si>
    <t>라. 기술개발 및
투자실적 등</t>
    <phoneticPr fontId="8" type="noConversion"/>
  </si>
  <si>
    <t>1) 기술개발 실적</t>
    <phoneticPr fontId="8" type="noConversion"/>
  </si>
  <si>
    <t>2) 기술개발투자 실적</t>
    <phoneticPr fontId="8" type="noConversion"/>
  </si>
  <si>
    <t>3) 교육 실적</t>
    <phoneticPr fontId="8" type="noConversion"/>
  </si>
  <si>
    <t>특허(실용신안)명</t>
    <phoneticPr fontId="2" type="noConversion"/>
  </si>
  <si>
    <t>입찰공고일</t>
    <phoneticPr fontId="8" type="noConversion"/>
  </si>
  <si>
    <t>경과기간</t>
    <phoneticPr fontId="8" type="noConversion"/>
  </si>
  <si>
    <t>적용비율</t>
    <phoneticPr fontId="2" type="noConversion"/>
  </si>
  <si>
    <t>점수</t>
    <phoneticPr fontId="2" type="noConversion"/>
  </si>
  <si>
    <t>지정자
(출원자)수</t>
    <phoneticPr fontId="8" type="noConversion"/>
  </si>
  <si>
    <t>최초지정
(출원)자</t>
    <phoneticPr fontId="8" type="noConversion"/>
  </si>
  <si>
    <t>최초지정
(출원)일</t>
    <phoneticPr fontId="2" type="noConversion"/>
  </si>
  <si>
    <t>감리업체 자기자본비율/평균자기자본비율</t>
    <phoneticPr fontId="8" type="noConversion"/>
  </si>
  <si>
    <t>(최근년도)</t>
    <phoneticPr fontId="8" type="noConversion"/>
  </si>
  <si>
    <t>(최근1년간)</t>
    <phoneticPr fontId="8" type="noConversion"/>
  </si>
  <si>
    <t>바. 교체빈도</t>
    <phoneticPr fontId="8" type="noConversion"/>
  </si>
  <si>
    <t>마. 업무중첩도</t>
    <phoneticPr fontId="8" type="noConversion"/>
  </si>
  <si>
    <t>1) 감리업체</t>
    <phoneticPr fontId="8" type="noConversion"/>
  </si>
  <si>
    <t>2) 참여감리원</t>
    <phoneticPr fontId="8" type="noConversion"/>
  </si>
  <si>
    <t>최근1년간 교체건수</t>
    <phoneticPr fontId="8" type="noConversion"/>
  </si>
  <si>
    <t>최근1년간 교체빈도</t>
    <phoneticPr fontId="8" type="noConversion"/>
  </si>
  <si>
    <t>1) 과업수행계획</t>
    <phoneticPr fontId="8" type="noConversion"/>
  </si>
  <si>
    <t>2) 작업기법</t>
    <phoneticPr fontId="8" type="noConversion"/>
  </si>
  <si>
    <t>1월마다 0.2점씩 감점(1월 미만은 1월로 계산)</t>
    <phoneticPr fontId="8" type="noConversion"/>
  </si>
  <si>
    <t>3월마다 0.2점씩 감점(3월 미만은 3월로 계산)</t>
    <phoneticPr fontId="8" type="noConversion"/>
  </si>
  <si>
    <t>(1) 지역</t>
    <phoneticPr fontId="8" type="noConversion"/>
  </si>
  <si>
    <t>(2) 책임감리원</t>
    <phoneticPr fontId="8" type="noConversion"/>
  </si>
  <si>
    <t>합  계</t>
    <phoneticPr fontId="8" type="noConversion"/>
  </si>
  <si>
    <t>합  계</t>
    <phoneticPr fontId="7" type="noConversion"/>
  </si>
  <si>
    <t>총  계</t>
    <phoneticPr fontId="7" type="noConversion"/>
  </si>
  <si>
    <t>합  계</t>
    <phoneticPr fontId="2" type="noConversion"/>
  </si>
  <si>
    <t>* 분홍색 셀만 작성 및 서식 변경 절대 금지!!!</t>
    <phoneticPr fontId="2" type="noConversion"/>
  </si>
  <si>
    <t>최근 3년간
수행기간</t>
    <phoneticPr fontId="7" type="noConversion"/>
  </si>
  <si>
    <t>전체
감리기간</t>
    <phoneticPr fontId="7" type="noConversion"/>
  </si>
  <si>
    <t>실적금액(원)</t>
    <phoneticPr fontId="2" type="noConversion"/>
  </si>
  <si>
    <t>감리용역비</t>
    <phoneticPr fontId="7" type="noConversion"/>
  </si>
  <si>
    <t>감리착수일</t>
    <phoneticPr fontId="7" type="noConversion"/>
  </si>
  <si>
    <t>감리종료일</t>
    <phoneticPr fontId="7" type="noConversion"/>
  </si>
  <si>
    <t>[50]</t>
    <phoneticPr fontId="8" type="noConversion"/>
  </si>
  <si>
    <t>사업명(또는 근무처)</t>
    <phoneticPr fontId="8" type="noConversion"/>
  </si>
  <si>
    <t>특허</t>
    <phoneticPr fontId="2" type="noConversion"/>
  </si>
  <si>
    <t>1) 일반감리원</t>
    <phoneticPr fontId="8" type="noConversion"/>
  </si>
  <si>
    <t>홍길동</t>
    <phoneticPr fontId="7" type="noConversion"/>
  </si>
  <si>
    <t>* 분홍색 셀만 작성 및 공고문에 맞게 조정 가능</t>
    <phoneticPr fontId="2" type="noConversion"/>
  </si>
  <si>
    <t>입찰공고일</t>
    <phoneticPr fontId="2" type="noConversion"/>
  </si>
  <si>
    <t>업체명</t>
    <phoneticPr fontId="2" type="noConversion"/>
  </si>
  <si>
    <t>대표</t>
    <phoneticPr fontId="2" type="noConversion"/>
  </si>
  <si>
    <t>사업자등록번호</t>
    <phoneticPr fontId="2" type="noConversion"/>
  </si>
  <si>
    <t>위임자</t>
    <phoneticPr fontId="2" type="noConversion"/>
  </si>
  <si>
    <t>전화번호</t>
    <phoneticPr fontId="2" type="noConversion"/>
  </si>
  <si>
    <t>총 예정 소방공사비</t>
    <phoneticPr fontId="2" type="noConversion"/>
  </si>
  <si>
    <t>㈜00000</t>
    <phoneticPr fontId="2" type="noConversion"/>
  </si>
  <si>
    <t>301-81-00000</t>
    <phoneticPr fontId="2" type="noConversion"/>
  </si>
  <si>
    <t>02-000-0000</t>
    <phoneticPr fontId="2" type="noConversion"/>
  </si>
  <si>
    <t>감리용역비(설계금액)</t>
    <phoneticPr fontId="2" type="noConversion"/>
  </si>
  <si>
    <t>* 분홍색 셀만 작성 및 공고문에 맞게 조정 가능</t>
    <phoneticPr fontId="2" type="noConversion"/>
  </si>
  <si>
    <t>나. 유사용역수행실적(공동주택 100%, 기타 70%)</t>
    <phoneticPr fontId="2" type="noConversion"/>
  </si>
  <si>
    <t>평가항목</t>
    <phoneticPr fontId="2" type="noConversion"/>
  </si>
  <si>
    <t>세부평가요소</t>
    <phoneticPr fontId="2" type="noConversion"/>
  </si>
  <si>
    <t>배점
한도</t>
    <phoneticPr fontId="2" type="noConversion"/>
  </si>
  <si>
    <t>평가내용</t>
    <phoneticPr fontId="2" type="noConversion"/>
  </si>
  <si>
    <t>자기
평가</t>
    <phoneticPr fontId="2" type="noConversion"/>
  </si>
  <si>
    <t>LH
평가</t>
    <phoneticPr fontId="2" type="noConversion"/>
  </si>
  <si>
    <t>비  고</t>
    <phoneticPr fontId="2" type="noConversion"/>
  </si>
  <si>
    <t>구분</t>
    <phoneticPr fontId="2" type="noConversion"/>
  </si>
  <si>
    <t>용역 사업명</t>
    <phoneticPr fontId="2" type="noConversion"/>
  </si>
  <si>
    <t>감리착수일</t>
    <phoneticPr fontId="2" type="noConversion"/>
  </si>
  <si>
    <t>감리종료일</t>
    <phoneticPr fontId="2" type="noConversion"/>
  </si>
  <si>
    <t>전체
감리기간</t>
    <phoneticPr fontId="2" type="noConversion"/>
  </si>
  <si>
    <t>최근 3년간
수행기간</t>
    <phoneticPr fontId="2" type="noConversion"/>
  </si>
  <si>
    <t>감리용역비</t>
    <phoneticPr fontId="2" type="noConversion"/>
  </si>
  <si>
    <t>실적금액(원)</t>
    <phoneticPr fontId="2" type="noConversion"/>
  </si>
  <si>
    <r>
      <t xml:space="preserve">이행비율
</t>
    </r>
    <r>
      <rPr>
        <b/>
        <sz val="8"/>
        <rFont val="맑은 고딕"/>
        <family val="3"/>
        <charset val="129"/>
      </rPr>
      <t>(공동도급시)</t>
    </r>
    <phoneticPr fontId="2" type="noConversion"/>
  </si>
  <si>
    <t>수행실적</t>
    <phoneticPr fontId="2" type="noConversion"/>
  </si>
  <si>
    <t>가) 책임감리원</t>
    <phoneticPr fontId="2" type="noConversion"/>
  </si>
  <si>
    <t>[30]</t>
    <phoneticPr fontId="2" type="noConversion"/>
  </si>
  <si>
    <t xml:space="preserve">  (1)등급</t>
    <phoneticPr fontId="2" type="noConversion"/>
  </si>
  <si>
    <t>-</t>
    <phoneticPr fontId="2" type="noConversion"/>
  </si>
  <si>
    <t>홍길동</t>
    <phoneticPr fontId="2" type="noConversion"/>
  </si>
  <si>
    <t>적격</t>
    <phoneticPr fontId="2" type="noConversion"/>
  </si>
  <si>
    <t xml:space="preserve">  (2)소방분야경력</t>
    <phoneticPr fontId="2" type="noConversion"/>
  </si>
  <si>
    <t xml:space="preserve">  (3)참여분야경력</t>
    <phoneticPr fontId="2" type="noConversion"/>
  </si>
  <si>
    <t>설계,시공,감리,감독</t>
    <phoneticPr fontId="2" type="noConversion"/>
  </si>
  <si>
    <t>감리,감독</t>
    <phoneticPr fontId="2" type="noConversion"/>
  </si>
  <si>
    <t>책임감리원 합계</t>
    <phoneticPr fontId="2" type="noConversion"/>
  </si>
  <si>
    <t>나) 보조감리원</t>
    <phoneticPr fontId="2" type="noConversion"/>
  </si>
  <si>
    <t>[20]</t>
    <phoneticPr fontId="2" type="noConversion"/>
  </si>
  <si>
    <t xml:space="preserve">  (1)등급</t>
    <phoneticPr fontId="2" type="noConversion"/>
  </si>
  <si>
    <t>자격,등급</t>
    <phoneticPr fontId="2" type="noConversion"/>
  </si>
  <si>
    <t>-</t>
    <phoneticPr fontId="2" type="noConversion"/>
  </si>
  <si>
    <t>김한국</t>
    <phoneticPr fontId="2" type="noConversion"/>
  </si>
  <si>
    <t>적격</t>
    <phoneticPr fontId="2" type="noConversion"/>
  </si>
  <si>
    <t xml:space="preserve">  (2)소방분야경력</t>
    <phoneticPr fontId="2" type="noConversion"/>
  </si>
  <si>
    <t xml:space="preserve">  (3)참여분야경력</t>
    <phoneticPr fontId="2" type="noConversion"/>
  </si>
  <si>
    <t>보조감리원 합계</t>
    <phoneticPr fontId="2" type="noConversion"/>
  </si>
  <si>
    <t>합  계</t>
    <phoneticPr fontId="2" type="noConversion"/>
  </si>
  <si>
    <t>나. 유사용역 수행실적</t>
    <phoneticPr fontId="2" type="noConversion"/>
  </si>
  <si>
    <t>실적금액</t>
    <phoneticPr fontId="2" type="noConversion"/>
  </si>
  <si>
    <t>최근 3년간 감리용역 실적(금액)</t>
    <phoneticPr fontId="2" type="noConversion"/>
  </si>
  <si>
    <t>합  계</t>
    <phoneticPr fontId="2" type="noConversion"/>
  </si>
  <si>
    <t>다. 신용도</t>
    <phoneticPr fontId="2" type="noConversion"/>
  </si>
  <si>
    <t>(최근1년간)</t>
    <phoneticPr fontId="2" type="noConversion"/>
  </si>
  <si>
    <t>[7]</t>
    <phoneticPr fontId="2" type="noConversion"/>
  </si>
  <si>
    <t xml:space="preserve">  가) 감리업체</t>
    <phoneticPr fontId="2" type="noConversion"/>
  </si>
  <si>
    <t>1월마다 0.2점씩 감점(1월 미만은 1월로 계산)</t>
    <phoneticPr fontId="2" type="noConversion"/>
  </si>
  <si>
    <t xml:space="preserve">  나) 참여감리원</t>
    <phoneticPr fontId="2" type="noConversion"/>
  </si>
  <si>
    <t>3월마다 0.2점씩 감점(3월 미만은 3월로 계산)</t>
    <phoneticPr fontId="2" type="noConversion"/>
  </si>
  <si>
    <t>2) 재정상태 건실도</t>
    <phoneticPr fontId="2" type="noConversion"/>
  </si>
  <si>
    <t>(최근년도)</t>
    <phoneticPr fontId="2" type="noConversion"/>
  </si>
  <si>
    <t>[3]</t>
    <phoneticPr fontId="2" type="noConversion"/>
  </si>
  <si>
    <t xml:space="preserve">  가) 자본비율</t>
    <phoneticPr fontId="2" type="noConversion"/>
  </si>
  <si>
    <t>감리업체 자기자본비율/평균자기자본비율</t>
    <phoneticPr fontId="2" type="noConversion"/>
  </si>
  <si>
    <t>0000 주상복합(복합건축물)</t>
    <phoneticPr fontId="2" type="noConversion"/>
  </si>
  <si>
    <t xml:space="preserve">  나) 유동비율</t>
    <phoneticPr fontId="2" type="noConversion"/>
  </si>
  <si>
    <t>감리업체 유동비율/평균유동비율</t>
    <phoneticPr fontId="2" type="noConversion"/>
  </si>
  <si>
    <t>라. 기술개발 및
투자실적 등</t>
    <phoneticPr fontId="2" type="noConversion"/>
  </si>
  <si>
    <t>1) 기술개발 실적</t>
    <phoneticPr fontId="2" type="noConversion"/>
  </si>
  <si>
    <t>특허 또는 실용신안 건당 2점
(경과기간에 따라 차등)</t>
    <phoneticPr fontId="2" type="noConversion"/>
  </si>
  <si>
    <t>2) 기술개발투자 실적</t>
    <phoneticPr fontId="2" type="noConversion"/>
  </si>
  <si>
    <t>소방기술개발투자액/소방부문 총매출액
(최근3년간)</t>
    <phoneticPr fontId="2" type="noConversion"/>
  </si>
  <si>
    <t>3) 교육 실적</t>
    <phoneticPr fontId="2" type="noConversion"/>
  </si>
  <si>
    <t>최근3년간 참여감리원 교육훈련</t>
    <phoneticPr fontId="2" type="noConversion"/>
  </si>
  <si>
    <t>마. 업무중첩도</t>
    <phoneticPr fontId="2" type="noConversion"/>
  </si>
  <si>
    <t>1) 상주감리</t>
    <phoneticPr fontId="2" type="noConversion"/>
  </si>
  <si>
    <t>책임감리원</t>
    <phoneticPr fontId="2" type="noConversion"/>
  </si>
  <si>
    <t>보조감리원</t>
    <phoneticPr fontId="2" type="noConversion"/>
  </si>
  <si>
    <t>바. 교체빈도</t>
    <phoneticPr fontId="2" type="noConversion"/>
  </si>
  <si>
    <t>1) 감리업체</t>
    <phoneticPr fontId="2" type="noConversion"/>
  </si>
  <si>
    <t>최근1년간 교체빈도</t>
    <phoneticPr fontId="2" type="noConversion"/>
  </si>
  <si>
    <t>2) 참여감리원</t>
    <phoneticPr fontId="2" type="noConversion"/>
  </si>
  <si>
    <t>최근1년간 교체건수</t>
    <phoneticPr fontId="2" type="noConversion"/>
  </si>
  <si>
    <t>사. 작업계획 및 기법</t>
    <phoneticPr fontId="2" type="noConversion"/>
  </si>
  <si>
    <t>1) 과업수행계획</t>
    <phoneticPr fontId="2" type="noConversion"/>
  </si>
  <si>
    <t>2) 작업기법</t>
    <phoneticPr fontId="2" type="noConversion"/>
  </si>
  <si>
    <t>(1) 지역</t>
    <phoneticPr fontId="2" type="noConversion"/>
  </si>
  <si>
    <t>(2) 책임감리원</t>
    <phoneticPr fontId="2" type="noConversion"/>
  </si>
  <si>
    <t>총  계</t>
    <phoneticPr fontId="2" type="noConversion"/>
  </si>
  <si>
    <t>합계</t>
    <phoneticPr fontId="2" type="noConversion"/>
  </si>
  <si>
    <t>소계 - ②</t>
    <phoneticPr fontId="2" type="noConversion"/>
  </si>
  <si>
    <t>합계(①+②)</t>
    <phoneticPr fontId="2" type="noConversion"/>
  </si>
  <si>
    <t xml:space="preserve"> </t>
    <phoneticPr fontId="2" type="noConversion"/>
  </si>
  <si>
    <t>※ 아파트 건설공사 용역일 경우 공동주택 실적 100%, 그외 70%적용</t>
    <phoneticPr fontId="7" type="noConversion"/>
  </si>
  <si>
    <t>※ 학교 건설공사 용역일 경우 교육연구시설 실적 100%, 그외 70%적용</t>
    <phoneticPr fontId="7" type="noConversion"/>
  </si>
  <si>
    <t>나. 유사용역수행실적</t>
    <phoneticPr fontId="8" type="noConversion"/>
  </si>
  <si>
    <t>공동주택</t>
    <phoneticPr fontId="2" type="noConversion"/>
  </si>
  <si>
    <t>OOOO 아파트 건설공사 건설사업관리용역</t>
    <phoneticPr fontId="8" type="noConversion"/>
  </si>
  <si>
    <t>OOO</t>
    <phoneticPr fontId="2" type="noConversion"/>
  </si>
  <si>
    <t>OOO-OO-OOOOO</t>
    <phoneticPr fontId="7" type="noConversion"/>
  </si>
  <si>
    <t>PPP</t>
    <phoneticPr fontId="2" type="noConversion"/>
  </si>
  <si>
    <t>02-2222-2222</t>
    <phoneticPr fontId="2" type="noConversion"/>
  </si>
  <si>
    <t>특급(소방기술사)</t>
    <phoneticPr fontId="7" type="noConversion"/>
  </si>
  <si>
    <t>특급</t>
    <phoneticPr fontId="7" type="noConversion"/>
  </si>
  <si>
    <t>고급</t>
    <phoneticPr fontId="7" type="noConversion"/>
  </si>
  <si>
    <t>중급</t>
    <phoneticPr fontId="7" type="noConversion"/>
  </si>
  <si>
    <t>초급</t>
    <phoneticPr fontId="7" type="noConversion"/>
  </si>
  <si>
    <t>인정시작일</t>
    <phoneticPr fontId="7" type="noConversion"/>
  </si>
  <si>
    <t>인정종료일</t>
    <phoneticPr fontId="7" type="noConversion"/>
  </si>
  <si>
    <t xml:space="preserve">OO소방감리용역 </t>
    <phoneticPr fontId="2" type="noConversion"/>
  </si>
  <si>
    <t>공동주택</t>
    <phoneticPr fontId="7" type="noConversion"/>
  </si>
  <si>
    <t>합 계</t>
    <phoneticPr fontId="8" type="noConversion"/>
  </si>
  <si>
    <t>교육연구시설</t>
    <phoneticPr fontId="2" type="noConversion"/>
  </si>
  <si>
    <t>특급</t>
  </si>
  <si>
    <r>
      <t xml:space="preserve">이행비율
</t>
    </r>
    <r>
      <rPr>
        <b/>
        <sz val="11"/>
        <rFont val="맑은 고딕"/>
        <family val="3"/>
        <charset val="129"/>
      </rPr>
      <t>(공동도급시)</t>
    </r>
    <phoneticPr fontId="8" type="noConversion"/>
  </si>
  <si>
    <r>
      <t xml:space="preserve">환산율
</t>
    </r>
    <r>
      <rPr>
        <b/>
        <sz val="11"/>
        <rFont val="맑은 고딕"/>
        <family val="3"/>
        <charset val="129"/>
      </rPr>
      <t>(해당용도여부)</t>
    </r>
    <phoneticPr fontId="2" type="noConversion"/>
  </si>
  <si>
    <t>2) 일반공사감리</t>
    <phoneticPr fontId="8" type="noConversion"/>
  </si>
  <si>
    <t>기술등급 자격</t>
    <phoneticPr fontId="8" type="noConversion"/>
  </si>
  <si>
    <t>설계,시공,감리,점검,유지관리,소방안전관리,위험물안전관리,정부위탁업무,공사감독 및 소방공무원 경력기간 합산</t>
    <phoneticPr fontId="8" type="noConversion"/>
  </si>
  <si>
    <t>최근 3년간 완성, 수행중인 감리용역 실적</t>
    <phoneticPr fontId="8" type="noConversion"/>
  </si>
  <si>
    <t>해당현장 포함</t>
    <phoneticPr fontId="8" type="noConversion"/>
  </si>
  <si>
    <t>제출</t>
  </si>
  <si>
    <t>제출</t>
    <phoneticPr fontId="7" type="noConversion"/>
  </si>
  <si>
    <t>제출</t>
    <phoneticPr fontId="7" type="noConversion"/>
  </si>
  <si>
    <t>미제출</t>
    <phoneticPr fontId="7" type="noConversion"/>
  </si>
  <si>
    <t>6개월 이상 계속 당해지역(시,도) 등록업체</t>
    <phoneticPr fontId="8" type="noConversion"/>
  </si>
  <si>
    <t>소방기술사</t>
    <phoneticPr fontId="7" type="noConversion"/>
  </si>
  <si>
    <t>소방설비기사</t>
  </si>
  <si>
    <t>소방설비기사</t>
    <phoneticPr fontId="7" type="noConversion"/>
  </si>
  <si>
    <t>소방설비산업기사</t>
    <phoneticPr fontId="7" type="noConversion"/>
  </si>
  <si>
    <t xml:space="preserve">소수점 첫째자리까지 </t>
    <phoneticPr fontId="7" type="noConversion"/>
  </si>
  <si>
    <t>가. 2) 일반공사감리원</t>
    <phoneticPr fontId="8" type="noConversion"/>
  </si>
  <si>
    <t>실용신안</t>
  </si>
  <si>
    <t>실용신안</t>
    <phoneticPr fontId="7" type="noConversion"/>
  </si>
  <si>
    <t>OOO 소방방재 시스템</t>
    <phoneticPr fontId="2" type="noConversion"/>
  </si>
  <si>
    <t>OOO 자동소화 시스템</t>
    <phoneticPr fontId="2" type="noConversion"/>
  </si>
  <si>
    <t>대표자</t>
    <phoneticPr fontId="7" type="noConversion"/>
  </si>
  <si>
    <t>특허</t>
  </si>
  <si>
    <t>특허</t>
    <phoneticPr fontId="7" type="noConversion"/>
  </si>
  <si>
    <t>라. 1)기술개발 실적</t>
    <phoneticPr fontId="8" type="noConversion"/>
  </si>
  <si>
    <t>최근 3년간 참여감리원 교육훈련 시간</t>
    <phoneticPr fontId="8" type="noConversion"/>
  </si>
  <si>
    <t>특허 또는 실용신안 건당 2점</t>
    <phoneticPr fontId="8" type="noConversion"/>
  </si>
  <si>
    <t>최근3년간</t>
    <phoneticPr fontId="7" type="noConversion"/>
  </si>
  <si>
    <t>1) 입찰참가제한, 영업정지</t>
    <phoneticPr fontId="8" type="noConversion"/>
  </si>
  <si>
    <t>소방기술개발투자액/소방부문 총매출액(최근3개년)</t>
    <phoneticPr fontId="8" type="noConversion"/>
  </si>
  <si>
    <t>나. 유사용역
수행실적</t>
    <phoneticPr fontId="8" type="noConversion"/>
  </si>
  <si>
    <t>사. 작업계획
및 기법</t>
    <phoneticPr fontId="8" type="noConversion"/>
  </si>
  <si>
    <t>공동주택</t>
    <phoneticPr fontId="7" type="noConversion"/>
  </si>
  <si>
    <t>OOOO 아파트 건설공사 건설사업관리용역</t>
    <phoneticPr fontId="2" type="noConversion"/>
  </si>
  <si>
    <t>요구등급</t>
    <phoneticPr fontId="27" type="noConversion"/>
  </si>
  <si>
    <t>기술등급 자격</t>
  </si>
  <si>
    <t>설계,시공,감리,점검,유지관리,소방안전관리,위험물안전관리,정부위탁업무,공사감독 및 소방공무원 경력기간 합산</t>
  </si>
  <si>
    <t>감리</t>
    <phoneticPr fontId="27" type="noConversion"/>
  </si>
  <si>
    <t>설계</t>
    <phoneticPr fontId="27" type="noConversion"/>
  </si>
  <si>
    <t>시공</t>
    <phoneticPr fontId="27" type="noConversion"/>
  </si>
  <si>
    <t>담당업무</t>
  </si>
  <si>
    <t xml:space="preserve">경력증명서 기술경력의 근무처 </t>
  </si>
  <si>
    <t>담당업무</t>
    <phoneticPr fontId="2" type="noConversion"/>
  </si>
  <si>
    <t>시작일</t>
    <phoneticPr fontId="27" type="noConversion"/>
  </si>
  <si>
    <t>종료일</t>
    <phoneticPr fontId="27" type="noConversion"/>
  </si>
  <si>
    <t>경력일수</t>
    <phoneticPr fontId="27" type="noConversion"/>
  </si>
  <si>
    <t>OOO엔지니어링</t>
    <phoneticPr fontId="27" type="noConversion"/>
  </si>
  <si>
    <t>1) 입찰참가제한,영업정지</t>
    <phoneticPr fontId="2" type="noConversion"/>
  </si>
  <si>
    <t>설계 및 시공 경력기간</t>
    <phoneticPr fontId="27" type="noConversion"/>
  </si>
  <si>
    <t>감리 및 공사감독 경력기간</t>
    <phoneticPr fontId="27" type="noConversion"/>
  </si>
  <si>
    <t xml:space="preserve">경력증명서 주요기술경력의 참여사업명 </t>
    <phoneticPr fontId="2" type="noConversion"/>
  </si>
  <si>
    <t>OOO 아파트 소방설계용역</t>
    <phoneticPr fontId="27" type="noConversion"/>
  </si>
  <si>
    <r>
      <t xml:space="preserve">소계 - </t>
    </r>
    <r>
      <rPr>
        <sz val="11"/>
        <color theme="1"/>
        <rFont val="굴림"/>
        <family val="3"/>
        <charset val="129"/>
      </rPr>
      <t>①</t>
    </r>
    <phoneticPr fontId="27" type="noConversion"/>
  </si>
  <si>
    <t>OOO 아파트 소방공사</t>
  </si>
  <si>
    <t>OOO 아파트 소방공사</t>
    <phoneticPr fontId="27" type="noConversion"/>
  </si>
  <si>
    <t>공사감독</t>
    <phoneticPr fontId="27" type="noConversion"/>
  </si>
  <si>
    <t>OOO 아파트 소방공사 감리용역</t>
    <phoneticPr fontId="27" type="noConversion"/>
  </si>
  <si>
    <t>가. 1) 가)책임감리원 (2)소방분야 경력</t>
    <phoneticPr fontId="2" type="noConversion"/>
  </si>
  <si>
    <t>가. 1) 가)책임감리원 (3)참여분야 경력</t>
    <phoneticPr fontId="27" type="noConversion"/>
  </si>
  <si>
    <t>가. 1) 나)보조감리원 (2)소방분야 경력</t>
    <phoneticPr fontId="2" type="noConversion"/>
  </si>
  <si>
    <t>가. 1) 나)보조감리원 (3)참여분야 경력</t>
    <phoneticPr fontId="27" type="noConversion"/>
  </si>
  <si>
    <t>인정시작일</t>
    <phoneticPr fontId="27" type="noConversion"/>
  </si>
  <si>
    <t>인정종료일</t>
    <phoneticPr fontId="27" type="noConversion"/>
  </si>
  <si>
    <r>
      <t xml:space="preserve">환산율
</t>
    </r>
    <r>
      <rPr>
        <b/>
        <sz val="9"/>
        <rFont val="맑은 고딕"/>
        <family val="3"/>
        <charset val="129"/>
      </rPr>
      <t>(해당용도여부)</t>
    </r>
    <phoneticPr fontId="2" type="noConversion"/>
  </si>
  <si>
    <t>OOOO 아파트 소방감리용역</t>
    <phoneticPr fontId="2" type="noConversion"/>
  </si>
  <si>
    <t>공동주택</t>
    <phoneticPr fontId="27" type="noConversion"/>
  </si>
  <si>
    <t>OOOO 고등학교</t>
    <phoneticPr fontId="27" type="noConversion"/>
  </si>
  <si>
    <t>초급이상</t>
  </si>
  <si>
    <t>중급</t>
  </si>
  <si>
    <t>설계,시공,감리,공사감독</t>
    <phoneticPr fontId="2" type="noConversion"/>
  </si>
  <si>
    <t>감리,공사감독</t>
    <phoneticPr fontId="2" type="noConversion"/>
  </si>
  <si>
    <t>고급</t>
  </si>
  <si>
    <t>고급이상</t>
  </si>
  <si>
    <t>특급(소방기술사)</t>
    <phoneticPr fontId="27" type="noConversion"/>
  </si>
  <si>
    <t>특급이상</t>
    <phoneticPr fontId="27" type="noConversion"/>
  </si>
  <si>
    <t>고급이상</t>
    <phoneticPr fontId="27" type="noConversion"/>
  </si>
  <si>
    <t>중급이상</t>
    <phoneticPr fontId="27" type="noConversion"/>
  </si>
  <si>
    <t>초급이상</t>
    <phoneticPr fontId="27" type="noConversion"/>
  </si>
  <si>
    <t>특급</t>
    <phoneticPr fontId="27" type="noConversion"/>
  </si>
  <si>
    <t>고급</t>
    <phoneticPr fontId="27" type="noConversion"/>
  </si>
  <si>
    <t>중급</t>
    <phoneticPr fontId="27" type="noConversion"/>
  </si>
  <si>
    <t>초급</t>
    <phoneticPr fontId="27" type="noConversion"/>
  </si>
  <si>
    <t>제출</t>
    <phoneticPr fontId="2" type="noConversion"/>
  </si>
  <si>
    <t>담당업무</t>
    <phoneticPr fontId="8" type="noConversion"/>
  </si>
  <si>
    <t>시작일</t>
    <phoneticPr fontId="7" type="noConversion"/>
  </si>
  <si>
    <t>종료일</t>
    <phoneticPr fontId="8" type="noConversion"/>
  </si>
  <si>
    <t>경력일수</t>
    <phoneticPr fontId="8" type="noConversion"/>
  </si>
  <si>
    <t>설계</t>
    <phoneticPr fontId="7" type="noConversion"/>
  </si>
  <si>
    <t>시공</t>
    <phoneticPr fontId="7" type="noConversion"/>
  </si>
  <si>
    <t>감리</t>
    <phoneticPr fontId="7" type="noConversion"/>
  </si>
  <si>
    <t>공사감독</t>
    <phoneticPr fontId="7" type="noConversion"/>
  </si>
  <si>
    <t>OO엔지니어링</t>
    <phoneticPr fontId="7" type="noConversion"/>
  </si>
  <si>
    <t>라. 1)기술개발 실적</t>
  </si>
  <si>
    <t>구분</t>
  </si>
  <si>
    <t>특허(실용신안)명</t>
  </si>
  <si>
    <t>최초지정
(출원)일</t>
  </si>
  <si>
    <t>경과기간</t>
  </si>
  <si>
    <t>적용비율</t>
  </si>
  <si>
    <t>최초지정
(출원)자</t>
  </si>
  <si>
    <t>지정자
(출원자)수</t>
  </si>
  <si>
    <t>점수</t>
  </si>
  <si>
    <t>OOO 소방방재 시스템</t>
  </si>
  <si>
    <t>대표자</t>
  </si>
  <si>
    <t>OOO 자동소화 시스템</t>
  </si>
  <si>
    <t>합  계</t>
  </si>
  <si>
    <t xml:space="preserve">주요기술경력의 참여사업명 </t>
    <phoneticPr fontId="2" type="noConversion"/>
  </si>
  <si>
    <t xml:space="preserve">기술경력의 근무처 </t>
    <phoneticPr fontId="27" type="noConversion"/>
  </si>
  <si>
    <t>특허</t>
    <phoneticPr fontId="27" type="noConversion"/>
  </si>
  <si>
    <t>실용신안</t>
    <phoneticPr fontId="27" type="noConversion"/>
  </si>
  <si>
    <r>
      <t>가</t>
    </r>
    <r>
      <rPr>
        <sz val="11"/>
        <color theme="1"/>
        <rFont val="맑은 고딕"/>
        <family val="3"/>
        <charset val="129"/>
      </rPr>
      <t>·감</t>
    </r>
    <r>
      <rPr>
        <sz val="11"/>
        <color theme="1"/>
        <rFont val="맑은 고딕"/>
        <family val="3"/>
        <charset val="129"/>
        <scheme val="major"/>
      </rPr>
      <t>점</t>
    </r>
    <phoneticPr fontId="2" type="noConversion"/>
  </si>
  <si>
    <t>가. 참여감리원
1) 상주 공사감리</t>
    <phoneticPr fontId="2" type="noConversion"/>
  </si>
  <si>
    <t>제출</t>
    <phoneticPr fontId="27" type="noConversion"/>
  </si>
  <si>
    <t>미제출</t>
    <phoneticPr fontId="27" type="noConversion"/>
  </si>
  <si>
    <t>소방기술사</t>
    <phoneticPr fontId="27" type="noConversion"/>
  </si>
  <si>
    <t>소방설비기사</t>
    <phoneticPr fontId="27" type="noConversion"/>
  </si>
  <si>
    <t>소방설비산업기사</t>
    <phoneticPr fontId="27" type="noConversion"/>
  </si>
  <si>
    <t>기술자격</t>
    <phoneticPr fontId="2" type="noConversion"/>
  </si>
  <si>
    <t>기술자격</t>
    <phoneticPr fontId="8" type="noConversion"/>
  </si>
  <si>
    <t>6개월 이상 계속 당해지역(시,도) 등록업체</t>
    <phoneticPr fontId="2" type="noConversion"/>
  </si>
  <si>
    <t>OO엔지니어링</t>
    <phoneticPr fontId="27" type="noConversion"/>
  </si>
  <si>
    <t>소수점 첫째
자리까지</t>
    <phoneticPr fontId="27" type="noConversion"/>
  </si>
  <si>
    <t>김대한</t>
    <phoneticPr fontId="27" type="noConversion"/>
  </si>
  <si>
    <t>초급</t>
  </si>
  <si>
    <t>적격</t>
    <phoneticPr fontId="27" type="noConversion"/>
  </si>
  <si>
    <t>설계,시공,감리,점검,유지관리,소방안전관리,위험물안전관리,정부위탁업무,공사감독 및 소방공무원 경력기간 합산</t>
    <phoneticPr fontId="27" type="noConversion"/>
  </si>
  <si>
    <t xml:space="preserve">  (3)참여분야경력</t>
    <phoneticPr fontId="27" type="noConversion"/>
  </si>
  <si>
    <t>감리,공사감독</t>
    <phoneticPr fontId="27" type="noConversion"/>
  </si>
  <si>
    <t>㈜OOOO엔지니어링</t>
    <phoneticPr fontId="2" type="noConversion"/>
  </si>
  <si>
    <t>(주)OOOO엔지니어링</t>
    <phoneticPr fontId="2" type="noConversion"/>
  </si>
  <si>
    <t>특급이상</t>
  </si>
  <si>
    <t>업무시설</t>
    <phoneticPr fontId="7" type="noConversion"/>
  </si>
  <si>
    <t>문화 및 집회시설</t>
    <phoneticPr fontId="7" type="noConversion"/>
  </si>
  <si>
    <t>업무시설</t>
    <phoneticPr fontId="27" type="noConversion"/>
  </si>
  <si>
    <t>업무시설</t>
    <phoneticPr fontId="2" type="noConversion"/>
  </si>
  <si>
    <t>교육연구시설</t>
    <phoneticPr fontId="27" type="noConversion"/>
  </si>
  <si>
    <t>OOOO 건설공사</t>
    <phoneticPr fontId="2" type="noConversion"/>
  </si>
  <si>
    <t>가점</t>
    <phoneticPr fontId="8" type="noConversion"/>
  </si>
  <si>
    <t>가점</t>
    <phoneticPr fontId="2" type="noConversion"/>
  </si>
  <si>
    <t>부실벌점</t>
    <phoneticPr fontId="2" type="noConversion"/>
  </si>
  <si>
    <t>감리업체</t>
    <phoneticPr fontId="2" type="noConversion"/>
  </si>
  <si>
    <t>참여감리원</t>
    <phoneticPr fontId="2" type="noConversion"/>
  </si>
  <si>
    <t>부실벌점</t>
    <phoneticPr fontId="2" type="noConversion"/>
  </si>
  <si>
    <t>감리업체</t>
    <phoneticPr fontId="2" type="noConversion"/>
  </si>
  <si>
    <t>참여감리원</t>
    <phoneticPr fontId="2" type="noConversion"/>
  </si>
  <si>
    <t>기술자 구분</t>
    <phoneticPr fontId="2" type="noConversion"/>
  </si>
  <si>
    <t>성명</t>
    <phoneticPr fontId="2" type="noConversion"/>
  </si>
  <si>
    <t>교육훈련기관</t>
    <phoneticPr fontId="2" type="noConversion"/>
  </si>
  <si>
    <t>교육종류</t>
    <phoneticPr fontId="2" type="noConversion"/>
  </si>
  <si>
    <t>교육시작일</t>
    <phoneticPr fontId="2" type="noConversion"/>
  </si>
  <si>
    <t>교육종료일</t>
    <phoneticPr fontId="2" type="noConversion"/>
  </si>
  <si>
    <t>시간</t>
    <phoneticPr fontId="2" type="noConversion"/>
  </si>
  <si>
    <t>인정여부</t>
    <phoneticPr fontId="2" type="noConversion"/>
  </si>
  <si>
    <t>인정시간</t>
    <phoneticPr fontId="2" type="noConversion"/>
  </si>
  <si>
    <t>OOOOO</t>
    <phoneticPr fontId="2" type="noConversion"/>
  </si>
  <si>
    <t>OOOOO교육</t>
    <phoneticPr fontId="2" type="noConversion"/>
  </si>
  <si>
    <t>소 계</t>
    <phoneticPr fontId="2" type="noConversion"/>
  </si>
  <si>
    <t>교육실적 시작일</t>
    <phoneticPr fontId="2" type="noConversion"/>
  </si>
  <si>
    <t>※ 최근 3년간 수료실적만 인정(수료일 기준)</t>
    <phoneticPr fontId="2" type="noConversion"/>
  </si>
  <si>
    <t>다. 교육실적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</si>
</sst>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176" formatCode="0.00_ "/>
    <numFmt numFmtId="177" formatCode="General&quot;만m2&quot;"/>
    <numFmt numFmtId="178" formatCode="#,##0.0&quot;년&quot;"/>
    <numFmt numFmtId="179" formatCode="#,##0.0&quot;월&quot;"/>
    <numFmt numFmtId="180" formatCode="General&quot;건&quot;"/>
    <numFmt numFmtId="181" formatCode="#,##0.0"/>
    <numFmt numFmtId="182" formatCode="0.0_ "/>
    <numFmt numFmtId="183" formatCode="0.0%"/>
    <numFmt numFmtId="184" formatCode="#,##0.000"/>
    <numFmt numFmtId="185" formatCode="0.0"/>
    <numFmt numFmtId="186" formatCode="0_ ;[Red]\-0\ "/>
    <numFmt numFmtId="187" formatCode="_-* #,##0_-;\-* #,##0_-;_-* &quot;-&quot;?_-;_-@_-"/>
    <numFmt numFmtId="188" formatCode="#,##0&quot;원&quot;"/>
    <numFmt numFmtId="189" formatCode="0&quot;일&quot;"/>
    <numFmt numFmtId="190" formatCode="0&quot;월&quot;"/>
    <numFmt numFmtId="191" formatCode="0.0&quot;년&quot;"/>
    <numFmt numFmtId="192" formatCode="0&quot;인&quot;"/>
    <numFmt numFmtId="193" formatCode="0&quot;개&quot;"/>
    <numFmt numFmtId="194" formatCode="0&quot;건&quot;"/>
    <numFmt numFmtId="195" formatCode="0&quot;점&quot;"/>
    <numFmt numFmtId="196" formatCode="#,##0.0&quot;점&quot;"/>
    <numFmt numFmtId="197" formatCode="0.00&quot;점&quot;"/>
    <numFmt numFmtId="198" formatCode="0.0_ ;[Red]\-0.0\ "/>
    <numFmt numFmtId="199" formatCode="#,##0&quot;일&quot;"/>
    <numFmt numFmtId="200" formatCode="#,##0_ ;[Red]\-#,##0\ "/>
    <numFmt numFmtId="201" formatCode="0&quot;시간&quot;"/>
    <numFmt numFmtId="202" formatCode="0&quot;개 현장&quot;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b/>
      <sz val="11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00">
    <xf numFmtId="0" fontId="0" fillId="0" borderId="0" xfId="0">
      <alignment vertical="center"/>
    </xf>
    <xf numFmtId="0" fontId="13" fillId="0" borderId="0" xfId="0" applyFont="1" applyAlignment="1">
      <alignment vertical="center" wrapText="1"/>
    </xf>
    <xf numFmtId="9" fontId="13" fillId="0" borderId="0" xfId="1" applyFont="1">
      <alignment vertical="center"/>
    </xf>
    <xf numFmtId="4" fontId="12" fillId="0" borderId="0" xfId="0" applyNumberFormat="1" applyFont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1" fontId="13" fillId="0" borderId="0" xfId="4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41" fontId="13" fillId="0" borderId="0" xfId="4" applyFont="1" applyFill="1" applyBorder="1">
      <alignment vertical="center"/>
    </xf>
    <xf numFmtId="9" fontId="13" fillId="0" borderId="0" xfId="1" applyFont="1" applyFill="1" applyBorder="1">
      <alignment vertical="center"/>
    </xf>
    <xf numFmtId="4" fontId="12" fillId="0" borderId="0" xfId="0" applyNumberFormat="1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90" fontId="12" fillId="0" borderId="20" xfId="0" applyNumberFormat="1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190" fontId="12" fillId="0" borderId="22" xfId="0" applyNumberFormat="1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2" fillId="0" borderId="24" xfId="0" applyFont="1" applyFill="1" applyBorder="1" applyAlignment="1">
      <alignment horizontal="left" vertical="center"/>
    </xf>
    <xf numFmtId="182" fontId="12" fillId="0" borderId="23" xfId="0" applyNumberFormat="1" applyFont="1" applyFill="1" applyBorder="1" applyAlignment="1">
      <alignment horizontal="center" vertical="center" wrapText="1"/>
    </xf>
    <xf numFmtId="3" fontId="14" fillId="0" borderId="7" xfId="0" applyNumberFormat="1" applyFont="1" applyFill="1" applyBorder="1" applyAlignment="1">
      <alignment horizontal="right" vertical="center"/>
    </xf>
    <xf numFmtId="0" fontId="14" fillId="0" borderId="7" xfId="0" applyFont="1" applyFill="1" applyBorder="1" applyAlignment="1">
      <alignment vertical="center" shrinkToFit="1"/>
    </xf>
    <xf numFmtId="0" fontId="17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12" fillId="0" borderId="16" xfId="0" applyFont="1" applyFill="1" applyBorder="1" applyAlignment="1">
      <alignment horizontal="left" vertical="center" shrinkToFi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 wrapText="1"/>
    </xf>
    <xf numFmtId="3" fontId="13" fillId="0" borderId="0" xfId="4" applyNumberFormat="1" applyFont="1" applyFill="1" applyBorder="1">
      <alignment vertical="center"/>
    </xf>
    <xf numFmtId="3" fontId="14" fillId="0" borderId="0" xfId="0" applyNumberFormat="1" applyFont="1" applyFill="1" applyBorder="1">
      <alignment vertical="center"/>
    </xf>
    <xf numFmtId="9" fontId="15" fillId="0" borderId="0" xfId="1" applyFont="1" applyFill="1" applyBorder="1" applyAlignment="1">
      <alignment horizontal="center" vertical="center" wrapText="1"/>
    </xf>
    <xf numFmtId="41" fontId="15" fillId="0" borderId="0" xfId="4" applyFont="1" applyFill="1" applyBorder="1" applyAlignment="1">
      <alignment horizontal="center" vertical="center" wrapText="1"/>
    </xf>
    <xf numFmtId="4" fontId="14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>
      <alignment vertical="center"/>
    </xf>
    <xf numFmtId="3" fontId="13" fillId="0" borderId="0" xfId="0" applyNumberFormat="1" applyFont="1" applyFill="1" applyBorder="1" applyAlignment="1">
      <alignment vertical="center" wrapText="1"/>
    </xf>
    <xf numFmtId="14" fontId="13" fillId="0" borderId="0" xfId="0" applyNumberFormat="1" applyFont="1" applyFill="1" applyBorder="1">
      <alignment vertical="center"/>
    </xf>
    <xf numFmtId="3" fontId="13" fillId="0" borderId="0" xfId="0" applyNumberFormat="1" applyFont="1" applyFill="1" applyBorder="1">
      <alignment vertical="center"/>
    </xf>
    <xf numFmtId="4" fontId="13" fillId="0" borderId="0" xfId="0" applyNumberFormat="1" applyFont="1" applyFill="1" applyBorder="1">
      <alignment vertical="center"/>
    </xf>
    <xf numFmtId="14" fontId="0" fillId="2" borderId="33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 shrinkToFit="1"/>
    </xf>
    <xf numFmtId="0" fontId="12" fillId="5" borderId="29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>
      <alignment vertical="center"/>
    </xf>
    <xf numFmtId="0" fontId="12" fillId="0" borderId="0" xfId="0" applyFont="1" applyBorder="1" applyAlignment="1">
      <alignment horizontal="center" vertical="center"/>
    </xf>
    <xf numFmtId="186" fontId="12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186" fontId="12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" fontId="12" fillId="0" borderId="0" xfId="0" applyNumberFormat="1" applyFont="1" applyBorder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/>
    </xf>
    <xf numFmtId="189" fontId="12" fillId="2" borderId="19" xfId="0" applyNumberFormat="1" applyFont="1" applyFill="1" applyBorder="1" applyAlignment="1">
      <alignment vertical="center" wrapText="1"/>
    </xf>
    <xf numFmtId="189" fontId="12" fillId="2" borderId="21" xfId="0" applyNumberFormat="1" applyFont="1" applyFill="1" applyBorder="1" applyAlignment="1">
      <alignment vertical="center" wrapText="1"/>
    </xf>
    <xf numFmtId="185" fontId="14" fillId="3" borderId="1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 wrapText="1"/>
    </xf>
    <xf numFmtId="194" fontId="15" fillId="0" borderId="0" xfId="0" applyNumberFormat="1" applyFont="1" applyFill="1" applyBorder="1" applyAlignment="1">
      <alignment horizontal="center" vertical="center" wrapText="1"/>
    </xf>
    <xf numFmtId="14" fontId="15" fillId="0" borderId="0" xfId="0" applyNumberFormat="1" applyFont="1" applyFill="1" applyBorder="1">
      <alignment vertical="center"/>
    </xf>
    <xf numFmtId="3" fontId="15" fillId="0" borderId="0" xfId="0" applyNumberFormat="1" applyFont="1" applyFill="1" applyBorder="1">
      <alignment vertical="center"/>
    </xf>
    <xf numFmtId="9" fontId="15" fillId="0" borderId="0" xfId="1" applyFont="1" applyFill="1" applyBorder="1">
      <alignment vertical="center"/>
    </xf>
    <xf numFmtId="184" fontId="14" fillId="0" borderId="0" xfId="0" applyNumberFormat="1" applyFont="1" applyFill="1" applyBorder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2" fontId="14" fillId="4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195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82" fontId="15" fillId="0" borderId="0" xfId="0" applyNumberFormat="1" applyFont="1" applyFill="1" applyBorder="1" applyAlignment="1">
      <alignment horizontal="center" vertical="center"/>
    </xf>
    <xf numFmtId="176" fontId="19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181" fontId="15" fillId="0" borderId="0" xfId="0" applyNumberFormat="1" applyFont="1" applyFill="1" applyBorder="1" applyAlignment="1">
      <alignment horizontal="center" vertical="center"/>
    </xf>
    <xf numFmtId="185" fontId="1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20" fillId="0" borderId="0" xfId="0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14" fillId="0" borderId="0" xfId="0" applyFont="1" applyFill="1" applyBorder="1" applyAlignment="1">
      <alignment vertical="center" wrapText="1"/>
    </xf>
    <xf numFmtId="177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80" fontId="13" fillId="0" borderId="0" xfId="0" applyNumberFormat="1" applyFont="1" applyFill="1" applyBorder="1" applyAlignment="1">
      <alignment vertical="center"/>
    </xf>
    <xf numFmtId="3" fontId="13" fillId="0" borderId="0" xfId="0" applyNumberFormat="1" applyFont="1" applyFill="1" applyBorder="1" applyAlignment="1">
      <alignment horizontal="center" vertical="center" wrapText="1"/>
    </xf>
    <xf numFmtId="192" fontId="13" fillId="0" borderId="0" xfId="0" applyNumberFormat="1" applyFont="1" applyFill="1" applyBorder="1" applyAlignment="1">
      <alignment horizontal="center" vertical="center" wrapText="1"/>
    </xf>
    <xf numFmtId="176" fontId="13" fillId="0" borderId="0" xfId="1" applyNumberFormat="1" applyFont="1" applyFill="1" applyBorder="1">
      <alignment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198" fontId="24" fillId="0" borderId="0" xfId="0" applyNumberFormat="1" applyFont="1" applyFill="1" applyBorder="1" applyAlignment="1">
      <alignment horizontal="center" vertical="center" wrapText="1"/>
    </xf>
    <xf numFmtId="198" fontId="24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98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4" fillId="4" borderId="1" xfId="0" applyNumberFormat="1" applyFont="1" applyFill="1" applyBorder="1" applyAlignment="1">
      <alignment horizontal="center" vertical="center" wrapText="1"/>
    </xf>
    <xf numFmtId="14" fontId="12" fillId="0" borderId="0" xfId="0" applyNumberFormat="1" applyFont="1" applyFill="1" applyBorder="1">
      <alignment vertical="center"/>
    </xf>
    <xf numFmtId="4" fontId="15" fillId="5" borderId="26" xfId="0" applyNumberFormat="1" applyFont="1" applyFill="1" applyBorder="1" applyAlignment="1">
      <alignment horizontal="center" vertical="center" wrapText="1"/>
    </xf>
    <xf numFmtId="4" fontId="15" fillId="5" borderId="31" xfId="0" applyNumberFormat="1" applyFont="1" applyFill="1" applyBorder="1" applyAlignment="1">
      <alignment horizontal="center" vertical="center" wrapText="1"/>
    </xf>
    <xf numFmtId="41" fontId="15" fillId="5" borderId="31" xfId="4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1" fontId="14" fillId="3" borderId="1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left" vertical="center" wrapText="1"/>
    </xf>
    <xf numFmtId="2" fontId="14" fillId="3" borderId="1" xfId="0" applyNumberFormat="1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188" fontId="12" fillId="2" borderId="3" xfId="4" applyNumberFormat="1" applyFont="1" applyFill="1" applyBorder="1" applyAlignment="1">
      <alignment horizontal="right" vertical="center"/>
    </xf>
    <xf numFmtId="188" fontId="12" fillId="2" borderId="36" xfId="4" applyNumberFormat="1" applyFont="1" applyFill="1" applyBorder="1" applyAlignment="1">
      <alignment horizontal="right" vertical="center" shrinkToFit="1"/>
    </xf>
    <xf numFmtId="14" fontId="12" fillId="0" borderId="0" xfId="0" applyNumberFormat="1" applyFont="1">
      <alignment vertical="center"/>
    </xf>
    <xf numFmtId="3" fontId="13" fillId="0" borderId="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191" fontId="12" fillId="0" borderId="20" xfId="0" applyNumberFormat="1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191" fontId="12" fillId="0" borderId="45" xfId="0" applyNumberFormat="1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left" vertical="center"/>
    </xf>
    <xf numFmtId="0" fontId="12" fillId="0" borderId="48" xfId="0" applyFont="1" applyFill="1" applyBorder="1" applyAlignment="1">
      <alignment horizontal="center" vertical="center" wrapText="1"/>
    </xf>
    <xf numFmtId="191" fontId="12" fillId="0" borderId="49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0" fontId="12" fillId="0" borderId="50" xfId="0" applyFont="1" applyFill="1" applyBorder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center" vertical="center" wrapText="1"/>
    </xf>
    <xf numFmtId="41" fontId="15" fillId="0" borderId="0" xfId="4" applyFont="1" applyFill="1" applyBorder="1" applyAlignment="1">
      <alignment vertical="center" wrapText="1"/>
    </xf>
    <xf numFmtId="192" fontId="13" fillId="0" borderId="0" xfId="0" applyNumberFormat="1" applyFont="1" applyFill="1" applyBorder="1" applyAlignment="1">
      <alignment vertical="center"/>
    </xf>
    <xf numFmtId="14" fontId="15" fillId="0" borderId="0" xfId="0" applyNumberFormat="1" applyFont="1" applyFill="1" applyBorder="1" applyAlignment="1">
      <alignment vertical="center"/>
    </xf>
    <xf numFmtId="176" fontId="15" fillId="0" borderId="0" xfId="1" applyNumberFormat="1" applyFont="1" applyFill="1" applyBorder="1">
      <alignment vertical="center"/>
    </xf>
    <xf numFmtId="41" fontId="14" fillId="0" borderId="0" xfId="4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97" fontId="13" fillId="0" borderId="0" xfId="0" applyNumberFormat="1" applyFont="1" applyFill="1" applyBorder="1" applyAlignment="1">
      <alignment horizontal="center" vertical="center" wrapText="1"/>
    </xf>
    <xf numFmtId="197" fontId="15" fillId="0" borderId="0" xfId="0" applyNumberFormat="1" applyFont="1" applyFill="1" applyBorder="1" applyAlignment="1">
      <alignment horizontal="center" vertical="center" wrapText="1"/>
    </xf>
    <xf numFmtId="182" fontId="13" fillId="0" borderId="0" xfId="1" applyNumberFormat="1" applyFont="1" applyFill="1" applyBorder="1">
      <alignment vertical="center"/>
    </xf>
    <xf numFmtId="182" fontId="15" fillId="0" borderId="0" xfId="1" applyNumberFormat="1" applyFont="1" applyFill="1" applyBorder="1">
      <alignment vertical="center"/>
    </xf>
    <xf numFmtId="180" fontId="13" fillId="0" borderId="0" xfId="0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/>
    </xf>
    <xf numFmtId="41" fontId="12" fillId="6" borderId="0" xfId="0" applyNumberFormat="1" applyFont="1" applyFill="1" applyBorder="1" applyAlignment="1">
      <alignment horizontal="center" vertical="center"/>
    </xf>
    <xf numFmtId="187" fontId="12" fillId="6" borderId="0" xfId="0" applyNumberFormat="1" applyFont="1" applyFill="1" applyBorder="1" applyAlignment="1">
      <alignment horizontal="center" vertical="center"/>
    </xf>
    <xf numFmtId="186" fontId="12" fillId="6" borderId="0" xfId="0" applyNumberFormat="1" applyFont="1" applyFill="1" applyBorder="1" applyAlignment="1">
      <alignment horizontal="center" vertical="center"/>
    </xf>
    <xf numFmtId="14" fontId="12" fillId="6" borderId="0" xfId="0" applyNumberFormat="1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 shrinkToFit="1"/>
    </xf>
    <xf numFmtId="0" fontId="14" fillId="6" borderId="0" xfId="0" applyFont="1" applyFill="1" applyBorder="1" applyAlignment="1">
      <alignment horizontal="center" vertical="center" wrapText="1"/>
    </xf>
    <xf numFmtId="3" fontId="13" fillId="6" borderId="0" xfId="0" applyNumberFormat="1" applyFont="1" applyFill="1" applyBorder="1" applyAlignment="1">
      <alignment horizontal="center" vertical="center" wrapText="1"/>
    </xf>
    <xf numFmtId="3" fontId="13" fillId="6" borderId="0" xfId="0" applyNumberFormat="1" applyFont="1" applyFill="1" applyBorder="1" applyAlignment="1">
      <alignment vertical="center" shrinkToFit="1"/>
    </xf>
    <xf numFmtId="14" fontId="13" fillId="6" borderId="0" xfId="0" applyNumberFormat="1" applyFont="1" applyFill="1" applyBorder="1" applyAlignment="1">
      <alignment vertical="center" shrinkToFit="1"/>
    </xf>
    <xf numFmtId="199" fontId="13" fillId="6" borderId="0" xfId="0" applyNumberFormat="1" applyFont="1" applyFill="1" applyBorder="1">
      <alignment vertical="center"/>
    </xf>
    <xf numFmtId="200" fontId="13" fillId="6" borderId="0" xfId="0" applyNumberFormat="1" applyFont="1" applyFill="1" applyBorder="1">
      <alignment vertical="center"/>
    </xf>
    <xf numFmtId="3" fontId="13" fillId="6" borderId="0" xfId="0" applyNumberFormat="1" applyFont="1" applyFill="1" applyBorder="1">
      <alignment vertical="center"/>
    </xf>
    <xf numFmtId="9" fontId="13" fillId="6" borderId="0" xfId="1" applyFont="1" applyFill="1" applyBorder="1">
      <alignment vertical="center"/>
    </xf>
    <xf numFmtId="3" fontId="12" fillId="6" borderId="0" xfId="0" applyNumberFormat="1" applyFont="1" applyFill="1" applyBorder="1">
      <alignment vertical="center"/>
    </xf>
    <xf numFmtId="192" fontId="13" fillId="6" borderId="0" xfId="1" applyNumberFormat="1" applyFont="1" applyFill="1" applyBorder="1">
      <alignment vertical="center"/>
    </xf>
    <xf numFmtId="184" fontId="12" fillId="6" borderId="0" xfId="0" applyNumberFormat="1" applyFont="1" applyFill="1" applyBorder="1">
      <alignment vertical="center"/>
    </xf>
    <xf numFmtId="41" fontId="15" fillId="5" borderId="31" xfId="4" applyFont="1" applyFill="1" applyBorder="1" applyAlignment="1">
      <alignment horizontal="center" vertical="center"/>
    </xf>
    <xf numFmtId="9" fontId="15" fillId="5" borderId="31" xfId="1" applyFont="1" applyFill="1" applyBorder="1" applyAlignment="1">
      <alignment horizontal="center" vertical="center" wrapText="1"/>
    </xf>
    <xf numFmtId="4" fontId="14" fillId="5" borderId="40" xfId="0" applyNumberFormat="1" applyFont="1" applyFill="1" applyBorder="1" applyAlignment="1">
      <alignment horizontal="center" vertical="center"/>
    </xf>
    <xf numFmtId="0" fontId="15" fillId="4" borderId="54" xfId="0" applyFont="1" applyFill="1" applyBorder="1" applyAlignment="1">
      <alignment horizontal="center" vertical="center" wrapText="1"/>
    </xf>
    <xf numFmtId="3" fontId="13" fillId="2" borderId="27" xfId="0" applyNumberFormat="1" applyFont="1" applyFill="1" applyBorder="1" applyAlignment="1">
      <alignment horizontal="center" vertical="center" wrapText="1"/>
    </xf>
    <xf numFmtId="3" fontId="13" fillId="2" borderId="29" xfId="0" applyNumberFormat="1" applyFont="1" applyFill="1" applyBorder="1" applyAlignment="1">
      <alignment horizontal="center" vertical="center" wrapText="1"/>
    </xf>
    <xf numFmtId="3" fontId="13" fillId="2" borderId="59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7" fillId="0" borderId="0" xfId="0" applyFont="1" applyFill="1">
      <alignment vertical="center"/>
    </xf>
    <xf numFmtId="9" fontId="19" fillId="0" borderId="0" xfId="1" applyFont="1" applyFill="1" applyBorder="1" applyAlignment="1">
      <alignment horizontal="center" vertical="center" wrapText="1"/>
    </xf>
    <xf numFmtId="9" fontId="16" fillId="0" borderId="0" xfId="1" applyFont="1" applyFill="1" applyBorder="1">
      <alignment vertical="center"/>
    </xf>
    <xf numFmtId="9" fontId="13" fillId="2" borderId="1" xfId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3" fillId="2" borderId="61" xfId="0" applyNumberFormat="1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/>
    </xf>
    <xf numFmtId="191" fontId="13" fillId="0" borderId="1" xfId="0" applyNumberFormat="1" applyFont="1" applyFill="1" applyBorder="1" applyAlignment="1">
      <alignment horizontal="center" vertical="center"/>
    </xf>
    <xf numFmtId="9" fontId="13" fillId="0" borderId="1" xfId="1" applyFont="1" applyFill="1" applyBorder="1" applyAlignment="1">
      <alignment horizontal="center" vertical="center"/>
    </xf>
    <xf numFmtId="192" fontId="13" fillId="2" borderId="1" xfId="1" applyNumberFormat="1" applyFont="1" applyFill="1" applyBorder="1" applyAlignment="1">
      <alignment horizontal="center" vertical="center"/>
    </xf>
    <xf numFmtId="192" fontId="12" fillId="2" borderId="1" xfId="0" applyNumberFormat="1" applyFont="1" applyFill="1" applyBorder="1" applyAlignment="1">
      <alignment horizontal="center" vertical="center"/>
    </xf>
    <xf numFmtId="192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center" vertical="center" shrinkToFit="1"/>
    </xf>
    <xf numFmtId="14" fontId="13" fillId="2" borderId="1" xfId="0" applyNumberFormat="1" applyFont="1" applyFill="1" applyBorder="1" applyAlignment="1">
      <alignment horizontal="center" vertical="center" shrinkToFit="1"/>
    </xf>
    <xf numFmtId="14" fontId="13" fillId="6" borderId="1" xfId="0" applyNumberFormat="1" applyFont="1" applyFill="1" applyBorder="1" applyAlignment="1">
      <alignment horizontal="center" vertical="center" shrinkToFit="1"/>
    </xf>
    <xf numFmtId="199" fontId="13" fillId="0" borderId="1" xfId="0" applyNumberFormat="1" applyFont="1" applyFill="1" applyBorder="1" applyAlignment="1">
      <alignment horizontal="center" vertical="center"/>
    </xf>
    <xf numFmtId="200" fontId="13" fillId="2" borderId="1" xfId="0" applyNumberFormat="1" applyFont="1" applyFill="1" applyBorder="1" applyAlignment="1">
      <alignment horizontal="center" vertical="center"/>
    </xf>
    <xf numFmtId="3" fontId="12" fillId="0" borderId="28" xfId="0" applyNumberFormat="1" applyFont="1" applyBorder="1" applyAlignment="1">
      <alignment horizontal="center" vertical="center"/>
    </xf>
    <xf numFmtId="3" fontId="13" fillId="2" borderId="32" xfId="0" applyNumberFormat="1" applyFont="1" applyFill="1" applyBorder="1" applyAlignment="1">
      <alignment horizontal="center" vertical="center" shrinkToFit="1"/>
    </xf>
    <xf numFmtId="14" fontId="13" fillId="2" borderId="32" xfId="0" applyNumberFormat="1" applyFont="1" applyFill="1" applyBorder="1" applyAlignment="1">
      <alignment horizontal="center" vertical="center" shrinkToFit="1"/>
    </xf>
    <xf numFmtId="14" fontId="13" fillId="6" borderId="32" xfId="0" applyNumberFormat="1" applyFont="1" applyFill="1" applyBorder="1" applyAlignment="1">
      <alignment horizontal="center" vertical="center" shrinkToFit="1"/>
    </xf>
    <xf numFmtId="199" fontId="13" fillId="0" borderId="32" xfId="0" applyNumberFormat="1" applyFont="1" applyFill="1" applyBorder="1" applyAlignment="1">
      <alignment horizontal="center" vertical="center"/>
    </xf>
    <xf numFmtId="200" fontId="13" fillId="2" borderId="32" xfId="0" applyNumberFormat="1" applyFont="1" applyFill="1" applyBorder="1" applyAlignment="1">
      <alignment horizontal="center" vertical="center"/>
    </xf>
    <xf numFmtId="3" fontId="13" fillId="0" borderId="32" xfId="0" applyNumberFormat="1" applyFont="1" applyFill="1" applyBorder="1" applyAlignment="1">
      <alignment horizontal="center" vertical="center"/>
    </xf>
    <xf numFmtId="9" fontId="13" fillId="2" borderId="32" xfId="1" applyFont="1" applyFill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 shrinkToFit="1"/>
    </xf>
    <xf numFmtId="14" fontId="13" fillId="2" borderId="4" xfId="0" applyNumberFormat="1" applyFont="1" applyFill="1" applyBorder="1" applyAlignment="1">
      <alignment horizontal="center" vertical="center" shrinkToFit="1"/>
    </xf>
    <xf numFmtId="14" fontId="13" fillId="6" borderId="4" xfId="0" applyNumberFormat="1" applyFont="1" applyFill="1" applyBorder="1" applyAlignment="1">
      <alignment horizontal="center" vertical="center" shrinkToFit="1"/>
    </xf>
    <xf numFmtId="199" fontId="13" fillId="0" borderId="4" xfId="0" applyNumberFormat="1" applyFont="1" applyFill="1" applyBorder="1" applyAlignment="1">
      <alignment horizontal="center" vertical="center"/>
    </xf>
    <xf numFmtId="200" fontId="13" fillId="2" borderId="4" xfId="0" applyNumberFormat="1" applyFont="1" applyFill="1" applyBorder="1" applyAlignment="1">
      <alignment horizontal="center" vertical="center"/>
    </xf>
    <xf numFmtId="3" fontId="13" fillId="0" borderId="4" xfId="0" applyNumberFormat="1" applyFont="1" applyFill="1" applyBorder="1" applyAlignment="1">
      <alignment horizontal="center" vertical="center"/>
    </xf>
    <xf numFmtId="9" fontId="13" fillId="2" borderId="4" xfId="1" applyFont="1" applyFill="1" applyBorder="1" applyAlignment="1">
      <alignment horizontal="center" vertical="center"/>
    </xf>
    <xf numFmtId="3" fontId="12" fillId="0" borderId="60" xfId="0" applyNumberFormat="1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 shrinkToFit="1"/>
    </xf>
    <xf numFmtId="14" fontId="13" fillId="2" borderId="2" xfId="0" applyNumberFormat="1" applyFont="1" applyFill="1" applyBorder="1" applyAlignment="1">
      <alignment horizontal="center" vertical="center" shrinkToFit="1"/>
    </xf>
    <xf numFmtId="200" fontId="13" fillId="2" borderId="2" xfId="0" applyNumberFormat="1" applyFont="1" applyFill="1" applyBorder="1" applyAlignment="1">
      <alignment horizontal="center" vertical="center"/>
    </xf>
    <xf numFmtId="9" fontId="13" fillId="2" borderId="2" xfId="1" applyFont="1" applyFill="1" applyBorder="1" applyAlignment="1">
      <alignment horizontal="center" vertical="center"/>
    </xf>
    <xf numFmtId="0" fontId="13" fillId="4" borderId="53" xfId="0" applyFont="1" applyFill="1" applyBorder="1" applyAlignment="1">
      <alignment horizontal="center" vertical="center" wrapText="1"/>
    </xf>
    <xf numFmtId="3" fontId="13" fillId="4" borderId="53" xfId="4" applyNumberFormat="1" applyFont="1" applyFill="1" applyBorder="1" applyAlignment="1">
      <alignment horizontal="center" vertical="center"/>
    </xf>
    <xf numFmtId="41" fontId="13" fillId="4" borderId="53" xfId="4" applyFont="1" applyFill="1" applyBorder="1" applyAlignment="1">
      <alignment horizontal="center" vertical="center"/>
    </xf>
    <xf numFmtId="9" fontId="13" fillId="4" borderId="53" xfId="1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/>
    </xf>
    <xf numFmtId="189" fontId="14" fillId="4" borderId="32" xfId="4" applyNumberFormat="1" applyFont="1" applyFill="1" applyBorder="1" applyAlignment="1">
      <alignment horizontal="center" vertical="center"/>
    </xf>
    <xf numFmtId="14" fontId="12" fillId="4" borderId="32" xfId="0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3" fontId="15" fillId="4" borderId="29" xfId="0" applyNumberFormat="1" applyFont="1" applyFill="1" applyBorder="1" applyAlignment="1">
      <alignment horizontal="center" vertical="center" wrapText="1"/>
    </xf>
    <xf numFmtId="194" fontId="15" fillId="4" borderId="32" xfId="0" applyNumberFormat="1" applyFont="1" applyFill="1" applyBorder="1" applyAlignment="1">
      <alignment horizontal="center" vertical="center" wrapText="1"/>
    </xf>
    <xf numFmtId="14" fontId="15" fillId="4" borderId="32" xfId="0" applyNumberFormat="1" applyFont="1" applyFill="1" applyBorder="1">
      <alignment vertical="center"/>
    </xf>
    <xf numFmtId="3" fontId="15" fillId="4" borderId="32" xfId="0" applyNumberFormat="1" applyFont="1" applyFill="1" applyBorder="1">
      <alignment vertical="center"/>
    </xf>
    <xf numFmtId="9" fontId="15" fillId="4" borderId="32" xfId="1" applyFont="1" applyFill="1" applyBorder="1">
      <alignment vertical="center"/>
    </xf>
    <xf numFmtId="4" fontId="14" fillId="4" borderId="30" xfId="0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 shrinkToFit="1"/>
    </xf>
    <xf numFmtId="0" fontId="17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4" fillId="5" borderId="31" xfId="0" applyFont="1" applyFill="1" applyBorder="1" applyAlignment="1">
      <alignment horizontal="center" vertical="center"/>
    </xf>
    <xf numFmtId="0" fontId="12" fillId="0" borderId="63" xfId="0" applyFont="1" applyFill="1" applyBorder="1" applyAlignment="1">
      <alignment horizontal="center" vertical="center" wrapText="1"/>
    </xf>
    <xf numFmtId="0" fontId="12" fillId="0" borderId="65" xfId="0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12" fillId="0" borderId="67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2" fontId="14" fillId="4" borderId="32" xfId="0" applyNumberFormat="1" applyFont="1" applyFill="1" applyBorder="1" applyAlignment="1">
      <alignment horizontal="center" vertical="center" wrapText="1"/>
    </xf>
    <xf numFmtId="0" fontId="14" fillId="4" borderId="30" xfId="0" applyNumberFormat="1" applyFont="1" applyFill="1" applyBorder="1" applyAlignment="1">
      <alignment horizontal="center" vertical="center" wrapText="1"/>
    </xf>
    <xf numFmtId="191" fontId="13" fillId="0" borderId="0" xfId="0" applyNumberFormat="1" applyFont="1" applyFill="1" applyBorder="1">
      <alignment vertical="center"/>
    </xf>
    <xf numFmtId="192" fontId="13" fillId="0" borderId="0" xfId="1" applyNumberFormat="1" applyFont="1" applyFill="1" applyBorder="1">
      <alignment vertical="center"/>
    </xf>
    <xf numFmtId="184" fontId="12" fillId="0" borderId="0" xfId="0" applyNumberFormat="1" applyFont="1" applyFill="1" applyBorder="1">
      <alignment vertical="center"/>
    </xf>
    <xf numFmtId="0" fontId="12" fillId="0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/>
    </xf>
    <xf numFmtId="14" fontId="12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14" fontId="12" fillId="6" borderId="0" xfId="0" applyNumberFormat="1" applyFont="1" applyFill="1" applyBorder="1" applyAlignment="1">
      <alignment vertical="center"/>
    </xf>
    <xf numFmtId="0" fontId="14" fillId="6" borderId="0" xfId="0" applyFont="1" applyFill="1" applyBorder="1" applyAlignment="1">
      <alignment horizontal="center" vertical="center"/>
    </xf>
    <xf numFmtId="41" fontId="14" fillId="6" borderId="0" xfId="4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right" vertical="center"/>
    </xf>
    <xf numFmtId="186" fontId="12" fillId="6" borderId="0" xfId="0" applyNumberFormat="1" applyFont="1" applyFill="1" applyBorder="1" applyAlignment="1">
      <alignment horizontal="right" vertical="center"/>
    </xf>
    <xf numFmtId="14" fontId="12" fillId="6" borderId="0" xfId="0" applyNumberFormat="1" applyFont="1" applyFill="1" applyBorder="1" applyAlignment="1">
      <alignment horizontal="right" vertical="center"/>
    </xf>
    <xf numFmtId="0" fontId="14" fillId="6" borderId="0" xfId="0" applyFont="1" applyFill="1" applyBorder="1" applyAlignment="1">
      <alignment vertical="center"/>
    </xf>
    <xf numFmtId="3" fontId="13" fillId="6" borderId="0" xfId="0" applyNumberFormat="1" applyFont="1" applyFill="1" applyBorder="1" applyAlignment="1">
      <alignment vertical="center" wrapText="1"/>
    </xf>
    <xf numFmtId="14" fontId="13" fillId="6" borderId="0" xfId="0" applyNumberFormat="1" applyFont="1" applyFill="1" applyBorder="1">
      <alignment vertical="center"/>
    </xf>
    <xf numFmtId="0" fontId="12" fillId="6" borderId="0" xfId="0" applyFont="1" applyFill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 wrapText="1"/>
    </xf>
    <xf numFmtId="199" fontId="14" fillId="4" borderId="30" xfId="0" applyNumberFormat="1" applyFont="1" applyFill="1" applyBorder="1" applyAlignment="1">
      <alignment horizontal="center" vertical="center"/>
    </xf>
    <xf numFmtId="189" fontId="12" fillId="8" borderId="28" xfId="0" applyNumberFormat="1" applyFont="1" applyFill="1" applyBorder="1" applyAlignment="1">
      <alignment horizontal="center" vertical="center"/>
    </xf>
    <xf numFmtId="189" fontId="12" fillId="4" borderId="30" xfId="0" applyNumberFormat="1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9" fontId="13" fillId="6" borderId="1" xfId="1" applyFont="1" applyFill="1" applyBorder="1" applyAlignment="1">
      <alignment horizontal="center" vertical="center"/>
    </xf>
    <xf numFmtId="3" fontId="12" fillId="6" borderId="28" xfId="0" applyNumberFormat="1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3" fontId="13" fillId="4" borderId="32" xfId="4" applyNumberFormat="1" applyFont="1" applyFill="1" applyBorder="1" applyAlignment="1">
      <alignment horizontal="center" vertical="center"/>
    </xf>
    <xf numFmtId="41" fontId="13" fillId="4" borderId="32" xfId="4" applyFont="1" applyFill="1" applyBorder="1" applyAlignment="1">
      <alignment horizontal="center" vertical="center"/>
    </xf>
    <xf numFmtId="9" fontId="13" fillId="4" borderId="32" xfId="1" applyFont="1" applyFill="1" applyBorder="1" applyAlignment="1">
      <alignment horizontal="center" vertical="center"/>
    </xf>
    <xf numFmtId="3" fontId="14" fillId="4" borderId="30" xfId="0" applyNumberFormat="1" applyFont="1" applyFill="1" applyBorder="1" applyAlignment="1">
      <alignment horizontal="center" vertical="center"/>
    </xf>
    <xf numFmtId="3" fontId="13" fillId="2" borderId="4" xfId="0" applyNumberFormat="1" applyFont="1" applyFill="1" applyBorder="1" applyAlignment="1">
      <alignment horizontal="center" vertical="center"/>
    </xf>
    <xf numFmtId="14" fontId="13" fillId="2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/>
    </xf>
    <xf numFmtId="9" fontId="13" fillId="6" borderId="4" xfId="1" applyFont="1" applyFill="1" applyBorder="1" applyAlignment="1">
      <alignment horizontal="center" vertical="center"/>
    </xf>
    <xf numFmtId="3" fontId="13" fillId="2" borderId="32" xfId="0" applyNumberFormat="1" applyFont="1" applyFill="1" applyBorder="1" applyAlignment="1">
      <alignment horizontal="center" vertical="center"/>
    </xf>
    <xf numFmtId="14" fontId="13" fillId="2" borderId="32" xfId="0" applyNumberFormat="1" applyFont="1" applyFill="1" applyBorder="1" applyAlignment="1">
      <alignment horizontal="center" vertical="center"/>
    </xf>
    <xf numFmtId="14" fontId="13" fillId="0" borderId="32" xfId="0" applyNumberFormat="1" applyFont="1" applyFill="1" applyBorder="1" applyAlignment="1">
      <alignment horizontal="center" vertical="center"/>
    </xf>
    <xf numFmtId="9" fontId="13" fillId="6" borderId="32" xfId="1" applyFont="1" applyFill="1" applyBorder="1" applyAlignment="1">
      <alignment horizontal="center" vertical="center"/>
    </xf>
    <xf numFmtId="0" fontId="12" fillId="0" borderId="71" xfId="0" applyFont="1" applyFill="1" applyBorder="1" applyAlignment="1">
      <alignment horizontal="center" vertical="center" wrapText="1"/>
    </xf>
    <xf numFmtId="191" fontId="12" fillId="0" borderId="72" xfId="0" applyNumberFormat="1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8" borderId="69" xfId="0" applyFont="1" applyFill="1" applyBorder="1" applyAlignment="1">
      <alignment horizontal="center" vertical="center"/>
    </xf>
    <xf numFmtId="0" fontId="12" fillId="8" borderId="55" xfId="0" applyFont="1" applyFill="1" applyBorder="1" applyAlignment="1">
      <alignment horizontal="center" vertical="center"/>
    </xf>
    <xf numFmtId="189" fontId="12" fillId="8" borderId="30" xfId="0" applyNumberFormat="1" applyFont="1" applyFill="1" applyBorder="1" applyAlignment="1">
      <alignment horizontal="center" vertical="center"/>
    </xf>
    <xf numFmtId="0" fontId="14" fillId="6" borderId="58" xfId="0" applyFont="1" applyFill="1" applyBorder="1" applyAlignment="1"/>
    <xf numFmtId="186" fontId="12" fillId="6" borderId="58" xfId="0" applyNumberFormat="1" applyFont="1" applyFill="1" applyBorder="1" applyAlignment="1">
      <alignment horizontal="center" vertical="center"/>
    </xf>
    <xf numFmtId="14" fontId="12" fillId="6" borderId="58" xfId="0" applyNumberFormat="1" applyFont="1" applyFill="1" applyBorder="1" applyAlignment="1">
      <alignment horizontal="center" vertical="center"/>
    </xf>
    <xf numFmtId="0" fontId="14" fillId="6" borderId="58" xfId="0" applyFont="1" applyFill="1" applyBorder="1" applyAlignment="1">
      <alignment horizontal="center" vertical="center" wrapText="1"/>
    </xf>
    <xf numFmtId="191" fontId="12" fillId="0" borderId="1" xfId="0" applyNumberFormat="1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194" fontId="12" fillId="4" borderId="32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0" fontId="12" fillId="2" borderId="0" xfId="0" applyFont="1" applyFill="1" applyBorder="1" applyAlignment="1">
      <alignment horizontal="center" vertical="center"/>
    </xf>
    <xf numFmtId="2" fontId="12" fillId="0" borderId="9" xfId="0" applyNumberFormat="1" applyFont="1" applyFill="1" applyBorder="1" applyAlignment="1">
      <alignment horizontal="center" vertical="center" wrapText="1"/>
    </xf>
    <xf numFmtId="2" fontId="12" fillId="4" borderId="30" xfId="0" applyNumberFormat="1" applyFont="1" applyFill="1" applyBorder="1" applyAlignment="1">
      <alignment horizontal="center" vertical="center"/>
    </xf>
    <xf numFmtId="2" fontId="12" fillId="2" borderId="28" xfId="0" applyNumberFormat="1" applyFont="1" applyFill="1" applyBorder="1" applyAlignment="1">
      <alignment horizontal="center" vertical="center"/>
    </xf>
    <xf numFmtId="0" fontId="14" fillId="2" borderId="27" xfId="0" applyFont="1" applyFill="1" applyBorder="1">
      <alignment vertical="center"/>
    </xf>
    <xf numFmtId="3" fontId="15" fillId="2" borderId="27" xfId="0" applyNumberFormat="1" applyFont="1" applyFill="1" applyBorder="1" applyAlignment="1">
      <alignment horizontal="center" vertical="center" wrapText="1"/>
    </xf>
    <xf numFmtId="3" fontId="15" fillId="2" borderId="27" xfId="0" applyNumberFormat="1" applyFont="1" applyFill="1" applyBorder="1" applyAlignment="1">
      <alignment horizontal="center" vertical="center"/>
    </xf>
    <xf numFmtId="4" fontId="14" fillId="0" borderId="28" xfId="0" applyNumberFormat="1" applyFont="1" applyBorder="1" applyAlignment="1">
      <alignment horizontal="center" vertical="center"/>
    </xf>
    <xf numFmtId="41" fontId="12" fillId="0" borderId="28" xfId="4" applyFont="1" applyBorder="1" applyAlignment="1">
      <alignment horizontal="center" vertical="center"/>
    </xf>
    <xf numFmtId="41" fontId="12" fillId="0" borderId="30" xfId="4" applyFont="1" applyBorder="1" applyAlignment="1">
      <alignment horizontal="center" vertical="center"/>
    </xf>
    <xf numFmtId="41" fontId="12" fillId="0" borderId="60" xfId="4" applyFont="1" applyBorder="1" applyAlignment="1">
      <alignment horizontal="center" vertical="center"/>
    </xf>
    <xf numFmtId="41" fontId="14" fillId="4" borderId="52" xfId="4" applyFont="1" applyFill="1" applyBorder="1" applyAlignment="1">
      <alignment horizontal="center" vertical="center"/>
    </xf>
    <xf numFmtId="189" fontId="14" fillId="6" borderId="28" xfId="0" applyNumberFormat="1" applyFont="1" applyFill="1" applyBorder="1" applyAlignment="1">
      <alignment horizontal="center" vertical="center" wrapText="1"/>
    </xf>
    <xf numFmtId="189" fontId="12" fillId="6" borderId="28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left" vertical="center"/>
    </xf>
    <xf numFmtId="193" fontId="12" fillId="2" borderId="38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/>
    </xf>
    <xf numFmtId="0" fontId="12" fillId="0" borderId="21" xfId="0" applyFont="1" applyFill="1" applyBorder="1" applyAlignment="1">
      <alignment horizontal="center" vertical="center" wrapText="1"/>
    </xf>
    <xf numFmtId="193" fontId="12" fillId="2" borderId="22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178" fontId="12" fillId="0" borderId="19" xfId="0" applyNumberFormat="1" applyFont="1" applyFill="1" applyBorder="1" applyAlignment="1">
      <alignment horizontal="center" vertical="center"/>
    </xf>
    <xf numFmtId="185" fontId="12" fillId="0" borderId="12" xfId="0" applyNumberFormat="1" applyFont="1" applyBorder="1" applyAlignment="1">
      <alignment horizontal="center" vertical="center"/>
    </xf>
    <xf numFmtId="196" fontId="12" fillId="2" borderId="20" xfId="0" applyNumberFormat="1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left" vertical="center"/>
    </xf>
    <xf numFmtId="0" fontId="12" fillId="0" borderId="74" xfId="0" applyFont="1" applyFill="1" applyBorder="1" applyAlignment="1">
      <alignment horizontal="left" vertical="center"/>
    </xf>
    <xf numFmtId="0" fontId="12" fillId="0" borderId="75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2" fontId="12" fillId="2" borderId="12" xfId="0" applyNumberFormat="1" applyFont="1" applyFill="1" applyBorder="1" applyAlignment="1">
      <alignment horizontal="center" vertical="center" wrapText="1"/>
    </xf>
    <xf numFmtId="2" fontId="12" fillId="0" borderId="12" xfId="0" applyNumberFormat="1" applyFont="1" applyFill="1" applyBorder="1" applyAlignment="1">
      <alignment horizontal="center" vertical="center" wrapText="1"/>
    </xf>
    <xf numFmtId="2" fontId="12" fillId="2" borderId="15" xfId="0" applyNumberFormat="1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92" fontId="13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41" fontId="15" fillId="0" borderId="0" xfId="4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2" fontId="14" fillId="4" borderId="1" xfId="0" applyNumberFormat="1" applyFont="1" applyFill="1" applyBorder="1" applyAlignment="1">
      <alignment horizontal="center" vertical="center"/>
    </xf>
    <xf numFmtId="3" fontId="15" fillId="2" borderId="59" xfId="0" applyNumberFormat="1" applyFont="1" applyFill="1" applyBorder="1" applyAlignment="1">
      <alignment horizontal="center" vertical="center" wrapText="1"/>
    </xf>
    <xf numFmtId="0" fontId="12" fillId="0" borderId="78" xfId="0" applyFont="1" applyFill="1" applyBorder="1" applyAlignment="1">
      <alignment horizontal="center" vertical="center" wrapText="1"/>
    </xf>
    <xf numFmtId="0" fontId="12" fillId="2" borderId="79" xfId="0" applyFont="1" applyFill="1" applyBorder="1" applyAlignment="1">
      <alignment horizontal="center" vertical="center" wrapText="1"/>
    </xf>
    <xf numFmtId="0" fontId="12" fillId="0" borderId="79" xfId="0" applyFont="1" applyFill="1" applyBorder="1" applyAlignment="1">
      <alignment horizontal="center" vertical="center" wrapText="1"/>
    </xf>
    <xf numFmtId="0" fontId="12" fillId="0" borderId="80" xfId="0" applyFont="1" applyFill="1" applyBorder="1" applyAlignment="1">
      <alignment horizontal="center" vertical="center" wrapText="1"/>
    </xf>
    <xf numFmtId="191" fontId="12" fillId="0" borderId="22" xfId="0" applyNumberFormat="1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2" fillId="2" borderId="27" xfId="0" applyFont="1" applyFill="1" applyBorder="1">
      <alignment vertical="center"/>
    </xf>
    <xf numFmtId="0" fontId="12" fillId="2" borderId="1" xfId="0" applyFont="1" applyFill="1" applyBorder="1">
      <alignment vertical="center"/>
    </xf>
    <xf numFmtId="191" fontId="12" fillId="2" borderId="20" xfId="0" applyNumberFormat="1" applyFont="1" applyFill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191" fontId="12" fillId="6" borderId="20" xfId="0" applyNumberFormat="1" applyFont="1" applyFill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center" vertical="center" wrapText="1"/>
    </xf>
    <xf numFmtId="191" fontId="12" fillId="6" borderId="45" xfId="0" applyNumberFormat="1" applyFont="1" applyFill="1" applyBorder="1" applyAlignment="1">
      <alignment horizontal="center" vertical="center" wrapText="1"/>
    </xf>
    <xf numFmtId="202" fontId="12" fillId="2" borderId="18" xfId="0" applyNumberFormat="1" applyFont="1" applyFill="1" applyBorder="1" applyAlignment="1">
      <alignment horizontal="center" vertical="center" wrapText="1"/>
    </xf>
    <xf numFmtId="189" fontId="14" fillId="8" borderId="30" xfId="0" applyNumberFormat="1" applyFont="1" applyFill="1" applyBorder="1" applyAlignment="1">
      <alignment horizontal="center" vertical="center"/>
    </xf>
    <xf numFmtId="189" fontId="14" fillId="8" borderId="28" xfId="0" applyNumberFormat="1" applyFont="1" applyFill="1" applyBorder="1" applyAlignment="1">
      <alignment horizontal="center" vertical="center"/>
    </xf>
    <xf numFmtId="189" fontId="14" fillId="4" borderId="30" xfId="0" applyNumberFormat="1" applyFont="1" applyFill="1" applyBorder="1" applyAlignment="1">
      <alignment horizontal="center" vertical="center"/>
    </xf>
    <xf numFmtId="2" fontId="14" fillId="4" borderId="30" xfId="0" applyNumberFormat="1" applyFont="1" applyFill="1" applyBorder="1" applyAlignment="1">
      <alignment horizontal="center" vertical="center"/>
    </xf>
    <xf numFmtId="3" fontId="15" fillId="2" borderId="29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92" fontId="13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41" fontId="15" fillId="0" borderId="0" xfId="4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14" fontId="12" fillId="2" borderId="1" xfId="0" applyNumberFormat="1" applyFont="1" applyFill="1" applyBorder="1" applyAlignment="1" applyProtection="1">
      <alignment horizontal="center" vertical="center"/>
      <protection locked="0"/>
    </xf>
    <xf numFmtId="201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NumberFormat="1" applyFont="1" applyFill="1" applyBorder="1" applyAlignment="1">
      <alignment horizontal="center" vertical="center"/>
    </xf>
    <xf numFmtId="201" fontId="12" fillId="0" borderId="28" xfId="0" applyNumberFormat="1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14" fontId="12" fillId="4" borderId="1" xfId="0" applyNumberFormat="1" applyFont="1" applyFill="1" applyBorder="1" applyAlignment="1">
      <alignment horizontal="center" vertical="center"/>
    </xf>
    <xf numFmtId="201" fontId="12" fillId="4" borderId="1" xfId="0" applyNumberFormat="1" applyFont="1" applyFill="1" applyBorder="1" applyAlignment="1">
      <alignment horizontal="center" vertical="center"/>
    </xf>
    <xf numFmtId="0" fontId="12" fillId="4" borderId="1" xfId="0" applyNumberFormat="1" applyFont="1" applyFill="1" applyBorder="1" applyAlignment="1">
      <alignment horizontal="center" vertical="center"/>
    </xf>
    <xf numFmtId="201" fontId="12" fillId="4" borderId="28" xfId="0" applyNumberFormat="1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201" fontId="12" fillId="4" borderId="32" xfId="0" applyNumberFormat="1" applyFont="1" applyFill="1" applyBorder="1" applyAlignment="1">
      <alignment horizontal="center" vertical="center"/>
    </xf>
    <xf numFmtId="201" fontId="12" fillId="4" borderId="3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41" fontId="13" fillId="0" borderId="0" xfId="4" applyFont="1" applyBorder="1">
      <alignment vertical="center"/>
    </xf>
    <xf numFmtId="9" fontId="13" fillId="0" borderId="0" xfId="1" applyFont="1" applyBorder="1">
      <alignment vertical="center"/>
    </xf>
    <xf numFmtId="4" fontId="12" fillId="0" borderId="0" xfId="0" applyNumberFormat="1" applyFont="1" applyBorder="1">
      <alignment vertical="center"/>
    </xf>
    <xf numFmtId="0" fontId="26" fillId="0" borderId="0" xfId="0" applyFont="1" applyFill="1" applyBorder="1">
      <alignment vertical="center"/>
    </xf>
    <xf numFmtId="14" fontId="12" fillId="0" borderId="0" xfId="0" applyNumberFormat="1" applyFont="1" applyBorder="1">
      <alignment vertical="center"/>
    </xf>
    <xf numFmtId="195" fontId="13" fillId="0" borderId="0" xfId="0" applyNumberFormat="1" applyFont="1" applyFill="1" applyBorder="1" applyAlignment="1">
      <alignment vertical="center"/>
    </xf>
    <xf numFmtId="0" fontId="12" fillId="0" borderId="58" xfId="0" applyFont="1" applyFill="1" applyBorder="1">
      <alignment vertical="center"/>
    </xf>
    <xf numFmtId="0" fontId="12" fillId="5" borderId="54" xfId="0" applyFont="1" applyFill="1" applyBorder="1" applyAlignment="1">
      <alignment horizontal="center" vertical="center"/>
    </xf>
    <xf numFmtId="14" fontId="12" fillId="2" borderId="52" xfId="4" applyNumberFormat="1" applyFont="1" applyFill="1" applyBorder="1" applyAlignment="1" applyProtection="1">
      <alignment horizontal="center" vertical="center" shrinkToFit="1"/>
      <protection locked="0"/>
    </xf>
    <xf numFmtId="0" fontId="12" fillId="4" borderId="32" xfId="0" applyNumberFormat="1" applyFont="1" applyFill="1" applyBorder="1" applyAlignment="1">
      <alignment horizontal="center" vertical="center"/>
    </xf>
    <xf numFmtId="14" fontId="12" fillId="2" borderId="3" xfId="0" applyNumberFormat="1" applyFont="1" applyFill="1" applyBorder="1" applyAlignment="1">
      <alignment horizontal="center" vertical="center"/>
    </xf>
    <xf numFmtId="14" fontId="12" fillId="2" borderId="41" xfId="0" applyNumberFormat="1" applyFont="1" applyFill="1" applyBorder="1" applyAlignment="1">
      <alignment horizontal="center" vertical="center"/>
    </xf>
    <xf numFmtId="14" fontId="12" fillId="2" borderId="6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2" fillId="0" borderId="59" xfId="0" applyFont="1" applyFill="1" applyBorder="1" applyAlignment="1">
      <alignment horizontal="center" vertical="center" wrapText="1"/>
    </xf>
    <xf numFmtId="14" fontId="12" fillId="2" borderId="10" xfId="1" applyNumberFormat="1" applyFont="1" applyFill="1" applyBorder="1" applyAlignment="1">
      <alignment horizontal="center" vertical="center" wrapText="1"/>
    </xf>
    <xf numFmtId="14" fontId="12" fillId="2" borderId="11" xfId="1" applyNumberFormat="1" applyFont="1" applyFill="1" applyBorder="1" applyAlignment="1">
      <alignment horizontal="center" vertical="center" wrapText="1"/>
    </xf>
    <xf numFmtId="197" fontId="12" fillId="2" borderId="13" xfId="0" applyNumberFormat="1" applyFont="1" applyFill="1" applyBorder="1" applyAlignment="1">
      <alignment horizontal="center" vertical="center" wrapText="1"/>
    </xf>
    <xf numFmtId="197" fontId="12" fillId="2" borderId="14" xfId="0" applyNumberFormat="1" applyFont="1" applyFill="1" applyBorder="1" applyAlignment="1">
      <alignment horizontal="center" vertical="center" wrapText="1"/>
    </xf>
    <xf numFmtId="194" fontId="12" fillId="0" borderId="10" xfId="0" applyNumberFormat="1" applyFont="1" applyFill="1" applyBorder="1" applyAlignment="1">
      <alignment horizontal="center" vertical="center" wrapText="1"/>
    </xf>
    <xf numFmtId="194" fontId="12" fillId="0" borderId="11" xfId="0" applyNumberFormat="1" applyFont="1" applyFill="1" applyBorder="1" applyAlignment="1">
      <alignment horizontal="center" vertical="center" wrapText="1"/>
    </xf>
    <xf numFmtId="0" fontId="12" fillId="0" borderId="66" xfId="0" applyFont="1" applyFill="1" applyBorder="1" applyAlignment="1">
      <alignment horizontal="center" vertical="center" wrapText="1"/>
    </xf>
    <xf numFmtId="0" fontId="12" fillId="0" borderId="60" xfId="0" applyFont="1" applyFill="1" applyBorder="1" applyAlignment="1">
      <alignment horizontal="center" vertical="center" wrapText="1"/>
    </xf>
    <xf numFmtId="191" fontId="12" fillId="0" borderId="16" xfId="0" applyNumberFormat="1" applyFont="1" applyFill="1" applyBorder="1" applyAlignment="1">
      <alignment horizontal="center" vertical="center" wrapText="1"/>
    </xf>
    <xf numFmtId="191" fontId="12" fillId="0" borderId="42" xfId="0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14" fontId="12" fillId="4" borderId="36" xfId="0" applyNumberFormat="1" applyFont="1" applyFill="1" applyBorder="1" applyAlignment="1">
      <alignment horizontal="center" vertical="center"/>
    </xf>
    <xf numFmtId="14" fontId="12" fillId="4" borderId="69" xfId="0" applyNumberFormat="1" applyFont="1" applyFill="1" applyBorder="1" applyAlignment="1">
      <alignment horizontal="center" vertical="center"/>
    </xf>
    <xf numFmtId="14" fontId="12" fillId="4" borderId="55" xfId="0" applyNumberFormat="1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 wrapText="1"/>
    </xf>
    <xf numFmtId="0" fontId="14" fillId="5" borderId="35" xfId="0" applyFont="1" applyFill="1" applyBorder="1" applyAlignment="1">
      <alignment horizontal="center" vertical="center" wrapText="1"/>
    </xf>
    <xf numFmtId="189" fontId="14" fillId="6" borderId="3" xfId="0" applyNumberFormat="1" applyFont="1" applyFill="1" applyBorder="1" applyAlignment="1">
      <alignment horizontal="center" vertical="center" shrinkToFit="1"/>
    </xf>
    <xf numFmtId="189" fontId="14" fillId="6" borderId="56" xfId="0" applyNumberFormat="1" applyFont="1" applyFill="1" applyBorder="1" applyAlignment="1">
      <alignment horizontal="center" vertical="center" shrinkToFit="1"/>
    </xf>
    <xf numFmtId="0" fontId="22" fillId="7" borderId="0" xfId="0" applyFont="1" applyFill="1" applyAlignment="1">
      <alignment horizontal="center" vertical="center" shrinkToFit="1"/>
    </xf>
    <xf numFmtId="0" fontId="12" fillId="2" borderId="27" xfId="0" applyFont="1" applyFill="1" applyBorder="1" applyAlignment="1">
      <alignment horizontal="center" vertical="center" shrinkToFit="1"/>
    </xf>
    <xf numFmtId="0" fontId="12" fillId="2" borderId="29" xfId="0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4" fillId="5" borderId="62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94" fontId="12" fillId="2" borderId="10" xfId="1" applyNumberFormat="1" applyFont="1" applyFill="1" applyBorder="1" applyAlignment="1">
      <alignment horizontal="center" vertical="center" wrapText="1"/>
    </xf>
    <xf numFmtId="194" fontId="12" fillId="2" borderId="11" xfId="1" applyNumberFormat="1" applyFont="1" applyFill="1" applyBorder="1" applyAlignment="1">
      <alignment horizontal="center" vertical="center" wrapText="1"/>
    </xf>
    <xf numFmtId="194" fontId="12" fillId="2" borderId="16" xfId="1" applyNumberFormat="1" applyFont="1" applyFill="1" applyBorder="1" applyAlignment="1">
      <alignment horizontal="center" vertical="center" wrapText="1"/>
    </xf>
    <xf numFmtId="194" fontId="12" fillId="2" borderId="42" xfId="1" applyNumberFormat="1" applyFont="1" applyFill="1" applyBorder="1" applyAlignment="1">
      <alignment horizontal="center" vertical="center" wrapText="1"/>
    </xf>
    <xf numFmtId="183" fontId="12" fillId="2" borderId="10" xfId="1" applyNumberFormat="1" applyFont="1" applyFill="1" applyBorder="1" applyAlignment="1">
      <alignment horizontal="center" vertical="center" wrapText="1"/>
    </xf>
    <xf numFmtId="183" fontId="12" fillId="2" borderId="11" xfId="1" applyNumberFormat="1" applyFont="1" applyFill="1" applyBorder="1" applyAlignment="1">
      <alignment horizontal="center" vertical="center" wrapText="1"/>
    </xf>
    <xf numFmtId="183" fontId="12" fillId="2" borderId="13" xfId="1" applyNumberFormat="1" applyFont="1" applyFill="1" applyBorder="1" applyAlignment="1">
      <alignment horizontal="center" vertical="center" wrapText="1"/>
    </xf>
    <xf numFmtId="183" fontId="12" fillId="2" borderId="14" xfId="1" applyNumberFormat="1" applyFont="1" applyFill="1" applyBorder="1" applyAlignment="1">
      <alignment horizontal="center" vertical="center" wrapText="1"/>
    </xf>
    <xf numFmtId="183" fontId="12" fillId="2" borderId="16" xfId="1" applyNumberFormat="1" applyFont="1" applyFill="1" applyBorder="1" applyAlignment="1">
      <alignment horizontal="center" vertical="center" wrapText="1"/>
    </xf>
    <xf numFmtId="183" fontId="12" fillId="2" borderId="42" xfId="1" applyNumberFormat="1" applyFont="1" applyFill="1" applyBorder="1" applyAlignment="1">
      <alignment horizontal="center" vertical="center" wrapText="1"/>
    </xf>
    <xf numFmtId="188" fontId="12" fillId="0" borderId="3" xfId="0" applyNumberFormat="1" applyFont="1" applyFill="1" applyBorder="1" applyAlignment="1">
      <alignment horizontal="center" vertical="center" wrapText="1"/>
    </xf>
    <xf numFmtId="188" fontId="12" fillId="0" borderId="6" xfId="0" applyNumberFormat="1" applyFont="1" applyFill="1" applyBorder="1" applyAlignment="1">
      <alignment horizontal="center" vertical="center" wrapText="1"/>
    </xf>
    <xf numFmtId="201" fontId="12" fillId="2" borderId="16" xfId="0" applyNumberFormat="1" applyFont="1" applyFill="1" applyBorder="1" applyAlignment="1">
      <alignment horizontal="center" vertical="center" wrapText="1"/>
    </xf>
    <xf numFmtId="201" fontId="12" fillId="2" borderId="42" xfId="0" applyNumberFormat="1" applyFont="1" applyFill="1" applyBorder="1" applyAlignment="1">
      <alignment horizontal="center" vertical="center" wrapText="1"/>
    </xf>
    <xf numFmtId="197" fontId="14" fillId="4" borderId="36" xfId="0" applyNumberFormat="1" applyFont="1" applyFill="1" applyBorder="1" applyAlignment="1">
      <alignment horizontal="center" vertical="center" wrapText="1"/>
    </xf>
    <xf numFmtId="197" fontId="14" fillId="4" borderId="55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/>
    </xf>
    <xf numFmtId="197" fontId="12" fillId="2" borderId="16" xfId="0" applyNumberFormat="1" applyFont="1" applyFill="1" applyBorder="1" applyAlignment="1">
      <alignment horizontal="center" vertical="center" wrapText="1"/>
    </xf>
    <xf numFmtId="197" fontId="12" fillId="2" borderId="42" xfId="0" applyNumberFormat="1" applyFont="1" applyFill="1" applyBorder="1" applyAlignment="1">
      <alignment horizontal="center" vertical="center" wrapText="1"/>
    </xf>
    <xf numFmtId="0" fontId="14" fillId="4" borderId="68" xfId="0" applyFont="1" applyFill="1" applyBorder="1" applyAlignment="1">
      <alignment horizontal="center" vertical="center" wrapText="1"/>
    </xf>
    <xf numFmtId="0" fontId="14" fillId="4" borderId="69" xfId="0" applyFont="1" applyFill="1" applyBorder="1" applyAlignment="1">
      <alignment horizontal="center" vertical="center" wrapText="1"/>
    </xf>
    <xf numFmtId="0" fontId="14" fillId="4" borderId="5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14" fillId="0" borderId="58" xfId="0" applyFont="1" applyFill="1" applyBorder="1" applyAlignment="1">
      <alignment horizontal="left" vertical="center"/>
    </xf>
    <xf numFmtId="189" fontId="14" fillId="4" borderId="36" xfId="0" applyNumberFormat="1" applyFont="1" applyFill="1" applyBorder="1" applyAlignment="1">
      <alignment horizontal="center" vertical="center"/>
    </xf>
    <xf numFmtId="189" fontId="14" fillId="4" borderId="57" xfId="0" applyNumberFormat="1" applyFont="1" applyFill="1" applyBorder="1" applyAlignment="1">
      <alignment horizontal="center" vertical="center"/>
    </xf>
    <xf numFmtId="0" fontId="28" fillId="9" borderId="0" xfId="0" applyFont="1" applyFill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97" fontId="14" fillId="4" borderId="3" xfId="0" applyNumberFormat="1" applyFont="1" applyFill="1" applyBorder="1" applyAlignment="1">
      <alignment horizontal="center" vertical="center" wrapText="1"/>
    </xf>
    <xf numFmtId="197" fontId="14" fillId="4" borderId="6" xfId="0" applyNumberFormat="1" applyFont="1" applyFill="1" applyBorder="1" applyAlignment="1">
      <alignment horizontal="center" vertical="center" wrapText="1"/>
    </xf>
    <xf numFmtId="192" fontId="13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5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14" fontId="12" fillId="6" borderId="62" xfId="0" applyNumberFormat="1" applyFont="1" applyFill="1" applyBorder="1" applyAlignment="1">
      <alignment horizontal="center" vertical="center"/>
    </xf>
    <xf numFmtId="14" fontId="12" fillId="6" borderId="73" xfId="0" applyNumberFormat="1" applyFont="1" applyFill="1" applyBorder="1" applyAlignment="1">
      <alignment horizontal="center" vertical="center"/>
    </xf>
    <xf numFmtId="14" fontId="12" fillId="6" borderId="35" xfId="0" applyNumberFormat="1" applyFont="1" applyFill="1" applyBorder="1" applyAlignment="1">
      <alignment horizontal="center" vertical="center"/>
    </xf>
    <xf numFmtId="0" fontId="12" fillId="8" borderId="70" xfId="0" applyFont="1" applyFill="1" applyBorder="1" applyAlignment="1">
      <alignment horizontal="center" vertical="center"/>
    </xf>
    <xf numFmtId="0" fontId="12" fillId="8" borderId="41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12" fillId="4" borderId="68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14" fontId="12" fillId="6" borderId="70" xfId="0" applyNumberFormat="1" applyFont="1" applyFill="1" applyBorder="1" applyAlignment="1">
      <alignment horizontal="center" vertical="center"/>
    </xf>
    <xf numFmtId="14" fontId="12" fillId="6" borderId="41" xfId="0" applyNumberFormat="1" applyFont="1" applyFill="1" applyBorder="1" applyAlignment="1">
      <alignment horizontal="center" vertical="center"/>
    </xf>
    <xf numFmtId="14" fontId="12" fillId="6" borderId="56" xfId="0" applyNumberFormat="1" applyFont="1" applyFill="1" applyBorder="1" applyAlignment="1">
      <alignment horizontal="center" vertical="center"/>
    </xf>
    <xf numFmtId="0" fontId="14" fillId="6" borderId="51" xfId="0" applyFont="1" applyFill="1" applyBorder="1" applyAlignment="1">
      <alignment horizontal="left" wrapText="1"/>
    </xf>
    <xf numFmtId="0" fontId="22" fillId="7" borderId="0" xfId="0" applyFont="1" applyFill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28" fillId="9" borderId="0" xfId="0" applyFont="1" applyFill="1" applyBorder="1" applyAlignment="1">
      <alignment horizontal="left" vertical="center"/>
    </xf>
    <xf numFmtId="0" fontId="14" fillId="4" borderId="68" xfId="0" applyFont="1" applyFill="1" applyBorder="1" applyAlignment="1">
      <alignment horizontal="center" vertical="center"/>
    </xf>
    <xf numFmtId="0" fontId="14" fillId="4" borderId="69" xfId="0" applyFont="1" applyFill="1" applyBorder="1" applyAlignment="1">
      <alignment horizontal="center" vertical="center"/>
    </xf>
    <xf numFmtId="0" fontId="14" fillId="4" borderId="55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201" fontId="12" fillId="2" borderId="24" xfId="0" applyNumberFormat="1" applyFont="1" applyFill="1" applyBorder="1" applyAlignment="1">
      <alignment horizontal="center" vertical="center" wrapText="1"/>
    </xf>
    <xf numFmtId="201" fontId="12" fillId="2" borderId="25" xfId="0" applyNumberFormat="1" applyFont="1" applyFill="1" applyBorder="1" applyAlignment="1">
      <alignment horizontal="center" vertical="center" wrapText="1"/>
    </xf>
    <xf numFmtId="0" fontId="14" fillId="6" borderId="51" xfId="0" applyFont="1" applyFill="1" applyBorder="1" applyAlignment="1">
      <alignment horizontal="left"/>
    </xf>
    <xf numFmtId="14" fontId="12" fillId="6" borderId="76" xfId="0" applyNumberFormat="1" applyFont="1" applyFill="1" applyBorder="1" applyAlignment="1">
      <alignment horizontal="center" vertical="center"/>
    </xf>
    <xf numFmtId="14" fontId="12" fillId="6" borderId="7" xfId="0" applyNumberFormat="1" applyFont="1" applyFill="1" applyBorder="1" applyAlignment="1">
      <alignment horizontal="center" vertical="center"/>
    </xf>
    <xf numFmtId="14" fontId="12" fillId="6" borderId="77" xfId="0" applyNumberFormat="1" applyFont="1" applyFill="1" applyBorder="1" applyAlignment="1">
      <alignment horizontal="center" vertical="center"/>
    </xf>
    <xf numFmtId="0" fontId="14" fillId="6" borderId="81" xfId="0" applyFont="1" applyFill="1" applyBorder="1" applyAlignment="1">
      <alignment horizontal="left" wrapText="1"/>
    </xf>
    <xf numFmtId="14" fontId="12" fillId="6" borderId="27" xfId="0" applyNumberFormat="1" applyFont="1" applyFill="1" applyBorder="1" applyAlignment="1">
      <alignment horizontal="center" vertical="center"/>
    </xf>
    <xf numFmtId="14" fontId="12" fillId="6" borderId="1" xfId="0" applyNumberFormat="1" applyFont="1" applyFill="1" applyBorder="1" applyAlignment="1">
      <alignment horizontal="center" vertical="center"/>
    </xf>
    <xf numFmtId="14" fontId="12" fillId="6" borderId="28" xfId="0" applyNumberFormat="1" applyFont="1" applyFill="1" applyBorder="1" applyAlignment="1">
      <alignment horizontal="center" vertical="center"/>
    </xf>
    <xf numFmtId="41" fontId="15" fillId="0" borderId="0" xfId="4" applyFont="1" applyFill="1" applyBorder="1" applyAlignment="1">
      <alignment horizontal="center" vertical="center" wrapText="1"/>
    </xf>
    <xf numFmtId="195" fontId="13" fillId="0" borderId="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46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 wrapText="1"/>
    </xf>
    <xf numFmtId="0" fontId="12" fillId="0" borderId="46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</cellXfs>
  <cellStyles count="9">
    <cellStyle name="백분율" xfId="1" builtinId="5"/>
    <cellStyle name="백분율 2" xfId="2" xr:uid="{00000000-0005-0000-0000-000001000000}"/>
    <cellStyle name="백분율 3" xfId="3" xr:uid="{00000000-0005-0000-0000-000002000000}"/>
    <cellStyle name="쉼표 [0]" xfId="4" builtinId="6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CCFFFF"/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P89"/>
  <sheetViews>
    <sheetView view="pageBreakPreview" zoomScale="85" zoomScaleNormal="70" zoomScaleSheetLayoutView="85" workbookViewId="0">
      <selection sqref="A1:I1"/>
    </sheetView>
  </sheetViews>
  <sheetFormatPr defaultColWidth="9" defaultRowHeight="16.5" x14ac:dyDescent="0.3"/>
  <cols>
    <col min="1" max="1" width="19.375" style="5" customWidth="1"/>
    <col min="2" max="2" width="25" style="5" bestFit="1" customWidth="1"/>
    <col min="3" max="3" width="42.25" style="5" customWidth="1"/>
    <col min="4" max="4" width="7.25" style="5" customWidth="1"/>
    <col min="5" max="5" width="8.625" style="5" customWidth="1"/>
    <col min="6" max="6" width="9.625" style="5" customWidth="1"/>
    <col min="7" max="7" width="7.625" style="5" customWidth="1"/>
    <col min="8" max="8" width="10.125" style="5" customWidth="1"/>
    <col min="9" max="9" width="10.625" style="5" customWidth="1"/>
    <col min="10" max="10" width="2.625" style="11" customWidth="1"/>
    <col min="11" max="11" width="18.625" style="11" bestFit="1" customWidth="1"/>
    <col min="12" max="12" width="21.5" style="11" bestFit="1" customWidth="1"/>
    <col min="13" max="14" width="11.625" style="11" bestFit="1" customWidth="1"/>
    <col min="15" max="15" width="9.25" style="11" bestFit="1" customWidth="1"/>
    <col min="16" max="16" width="8.75" style="11" bestFit="1" customWidth="1"/>
    <col min="17" max="17" width="10" style="37" bestFit="1" customWidth="1"/>
    <col min="18" max="18" width="7.875" style="37" bestFit="1" customWidth="1"/>
    <col min="19" max="19" width="2.625" style="11" customWidth="1"/>
    <col min="20" max="20" width="19.125" style="11" customWidth="1"/>
    <col min="21" max="21" width="29.5" style="1" customWidth="1"/>
    <col min="22" max="23" width="12.25" style="1" bestFit="1" customWidth="1"/>
    <col min="24" max="25" width="12.25" style="1" customWidth="1"/>
    <col min="26" max="26" width="9.25" style="1" bestFit="1" customWidth="1"/>
    <col min="27" max="27" width="12.25" style="1" bestFit="1" customWidth="1"/>
    <col min="28" max="28" width="12.25" style="1" customWidth="1"/>
    <col min="29" max="29" width="13.625" style="10" bestFit="1" customWidth="1"/>
    <col min="30" max="30" width="12.125" style="10" customWidth="1"/>
    <col min="31" max="31" width="14" style="2" bestFit="1" customWidth="1"/>
    <col min="32" max="32" width="14.875" style="3" bestFit="1" customWidth="1"/>
    <col min="33" max="33" width="4.125" style="4" customWidth="1"/>
    <col min="34" max="34" width="14.125" style="2" customWidth="1"/>
    <col min="35" max="35" width="9.125" style="10" customWidth="1"/>
    <col min="36" max="36" width="7.875" style="3" customWidth="1"/>
    <col min="37" max="37" width="17.625" style="5" customWidth="1"/>
    <col min="38" max="38" width="18.125" style="5" customWidth="1"/>
    <col min="39" max="39" width="17.125" style="5" customWidth="1"/>
    <col min="40" max="16384" width="9" style="5"/>
  </cols>
  <sheetData>
    <row r="1" spans="1:42" ht="31.5" x14ac:dyDescent="0.3">
      <c r="A1" s="497" t="s">
        <v>177</v>
      </c>
      <c r="B1" s="497"/>
      <c r="C1" s="497"/>
      <c r="D1" s="497"/>
      <c r="E1" s="497"/>
      <c r="F1" s="497"/>
      <c r="G1" s="497"/>
      <c r="H1" s="497"/>
      <c r="I1" s="497"/>
      <c r="K1" s="188"/>
      <c r="L1" s="187"/>
      <c r="M1" s="187"/>
      <c r="N1" s="188"/>
    </row>
    <row r="2" spans="1:42" ht="27" thickBot="1" x14ac:dyDescent="0.35">
      <c r="A2" s="153" t="s">
        <v>63</v>
      </c>
      <c r="D2" s="77"/>
      <c r="K2" s="188"/>
      <c r="L2" s="188"/>
      <c r="M2" s="188"/>
      <c r="N2" s="189"/>
    </row>
    <row r="3" spans="1:42" x14ac:dyDescent="0.3">
      <c r="A3" s="70" t="s">
        <v>37</v>
      </c>
      <c r="B3" s="67">
        <v>44586</v>
      </c>
      <c r="C3" s="73" t="s">
        <v>15</v>
      </c>
      <c r="D3" s="74" t="s">
        <v>9</v>
      </c>
      <c r="E3" s="503" t="s">
        <v>10</v>
      </c>
      <c r="F3" s="511"/>
      <c r="G3" s="74" t="s">
        <v>11</v>
      </c>
      <c r="H3" s="503" t="s">
        <v>12</v>
      </c>
      <c r="I3" s="504"/>
      <c r="K3" s="188"/>
      <c r="L3" s="188"/>
      <c r="M3" s="188"/>
      <c r="N3" s="190"/>
    </row>
    <row r="4" spans="1:42" ht="20.25" x14ac:dyDescent="0.3">
      <c r="A4" s="71" t="s">
        <v>14</v>
      </c>
      <c r="B4" s="154">
        <v>5000000000</v>
      </c>
      <c r="C4" s="498" t="s">
        <v>323</v>
      </c>
      <c r="D4" s="500" t="s">
        <v>178</v>
      </c>
      <c r="E4" s="505" t="s">
        <v>179</v>
      </c>
      <c r="F4" s="505"/>
      <c r="G4" s="507" t="s">
        <v>180</v>
      </c>
      <c r="H4" s="505" t="s">
        <v>181</v>
      </c>
      <c r="I4" s="509"/>
      <c r="K4" s="188"/>
      <c r="L4" s="188"/>
      <c r="M4" s="188"/>
      <c r="N4" s="190"/>
      <c r="T4" s="541" t="s">
        <v>173</v>
      </c>
      <c r="U4" s="541"/>
      <c r="V4" s="541"/>
      <c r="W4" s="541"/>
      <c r="X4" s="541"/>
      <c r="Y4" s="541"/>
      <c r="Z4" s="541"/>
      <c r="AA4" s="541"/>
      <c r="AB4" s="541"/>
      <c r="AC4" s="541"/>
      <c r="AD4" s="541"/>
      <c r="AE4" s="541"/>
      <c r="AF4" s="541"/>
      <c r="AH4" s="537" t="s">
        <v>352</v>
      </c>
      <c r="AI4" s="537"/>
      <c r="AJ4" s="537"/>
      <c r="AK4" s="537"/>
      <c r="AL4" s="537"/>
      <c r="AM4" s="537"/>
      <c r="AN4" s="537"/>
      <c r="AO4" s="537"/>
      <c r="AP4" s="537"/>
    </row>
    <row r="5" spans="1:42" ht="21" thickBot="1" x14ac:dyDescent="0.35">
      <c r="A5" s="72" t="s">
        <v>16</v>
      </c>
      <c r="B5" s="155">
        <v>500000000</v>
      </c>
      <c r="C5" s="499"/>
      <c r="D5" s="501"/>
      <c r="E5" s="506"/>
      <c r="F5" s="506"/>
      <c r="G5" s="508"/>
      <c r="H5" s="506"/>
      <c r="I5" s="510"/>
      <c r="K5" s="188"/>
      <c r="L5" s="188"/>
      <c r="M5" s="188"/>
      <c r="N5" s="190"/>
      <c r="T5" s="541" t="s">
        <v>174</v>
      </c>
      <c r="U5" s="541"/>
      <c r="V5" s="541"/>
      <c r="W5" s="541"/>
      <c r="X5" s="541"/>
      <c r="Y5" s="541"/>
      <c r="Z5" s="541"/>
      <c r="AA5" s="541"/>
      <c r="AB5" s="541"/>
      <c r="AC5" s="541"/>
      <c r="AD5" s="541"/>
      <c r="AE5" s="541"/>
      <c r="AF5" s="541"/>
      <c r="AH5" s="537"/>
      <c r="AI5" s="537"/>
      <c r="AJ5" s="537"/>
      <c r="AK5" s="537"/>
      <c r="AL5" s="537"/>
      <c r="AM5" s="537"/>
      <c r="AN5" s="537"/>
      <c r="AO5" s="537"/>
      <c r="AP5" s="537"/>
    </row>
    <row r="6" spans="1:42" s="16" customFormat="1" ht="17.25" thickBot="1" x14ac:dyDescent="0.35">
      <c r="A6" s="273"/>
      <c r="B6" s="274"/>
      <c r="C6" s="274"/>
      <c r="D6" s="275"/>
      <c r="E6" s="15"/>
      <c r="F6" s="15"/>
      <c r="G6" s="276"/>
      <c r="H6" s="15"/>
      <c r="I6" s="15"/>
      <c r="J6" s="15"/>
      <c r="K6" s="512" t="s">
        <v>211</v>
      </c>
      <c r="L6" s="512"/>
      <c r="M6" s="512"/>
      <c r="N6" s="15"/>
      <c r="O6" s="15"/>
      <c r="P6" s="15"/>
      <c r="Q6" s="15"/>
      <c r="R6" s="15"/>
      <c r="S6" s="15"/>
      <c r="T6" s="76" t="s">
        <v>175</v>
      </c>
      <c r="AA6" s="144"/>
      <c r="AB6" s="144"/>
      <c r="AC6" s="17"/>
      <c r="AD6" s="17"/>
      <c r="AE6" s="18"/>
      <c r="AF6" s="19"/>
      <c r="AG6" s="20"/>
      <c r="AH6" s="463" t="s">
        <v>351</v>
      </c>
      <c r="AI6" s="464">
        <v>43467</v>
      </c>
      <c r="AJ6" s="10"/>
      <c r="AK6" s="10"/>
      <c r="AL6" s="2"/>
      <c r="AM6" s="2"/>
      <c r="AN6" s="10"/>
      <c r="AO6" s="3"/>
      <c r="AP6" s="5"/>
    </row>
    <row r="7" spans="1:42" ht="33" x14ac:dyDescent="0.3">
      <c r="A7" s="502" t="s">
        <v>0</v>
      </c>
      <c r="B7" s="493"/>
      <c r="C7" s="277" t="s">
        <v>1</v>
      </c>
      <c r="D7" s="261" t="s">
        <v>2</v>
      </c>
      <c r="E7" s="491" t="s">
        <v>3</v>
      </c>
      <c r="F7" s="493"/>
      <c r="G7" s="261" t="s">
        <v>4</v>
      </c>
      <c r="H7" s="261" t="s">
        <v>5</v>
      </c>
      <c r="I7" s="262" t="s">
        <v>6</v>
      </c>
      <c r="J7" s="5"/>
      <c r="K7" s="260" t="s">
        <v>278</v>
      </c>
      <c r="L7" s="336" t="s">
        <v>279</v>
      </c>
      <c r="M7" s="336" t="s">
        <v>280</v>
      </c>
      <c r="N7" s="491" t="s">
        <v>71</v>
      </c>
      <c r="O7" s="492"/>
      <c r="P7" s="493"/>
      <c r="Q7" s="491" t="s">
        <v>281</v>
      </c>
      <c r="R7" s="494"/>
      <c r="S7" s="5"/>
      <c r="T7" s="145" t="s">
        <v>19</v>
      </c>
      <c r="U7" s="146" t="s">
        <v>21</v>
      </c>
      <c r="V7" s="146" t="s">
        <v>68</v>
      </c>
      <c r="W7" s="146" t="s">
        <v>69</v>
      </c>
      <c r="X7" s="146" t="s">
        <v>187</v>
      </c>
      <c r="Y7" s="146" t="s">
        <v>188</v>
      </c>
      <c r="Z7" s="146" t="s">
        <v>65</v>
      </c>
      <c r="AA7" s="146" t="s">
        <v>64</v>
      </c>
      <c r="AB7" s="146" t="s">
        <v>67</v>
      </c>
      <c r="AC7" s="205" t="s">
        <v>66</v>
      </c>
      <c r="AD7" s="147" t="s">
        <v>194</v>
      </c>
      <c r="AE7" s="206" t="s">
        <v>195</v>
      </c>
      <c r="AF7" s="207" t="s">
        <v>7</v>
      </c>
      <c r="AH7" s="37"/>
      <c r="AI7" s="1"/>
      <c r="AJ7" s="10"/>
      <c r="AK7" s="10"/>
      <c r="AL7" s="2"/>
      <c r="AM7" s="2"/>
      <c r="AN7" s="10"/>
      <c r="AO7" s="3"/>
    </row>
    <row r="8" spans="1:42" s="14" customFormat="1" ht="17.25" thickBot="1" x14ac:dyDescent="0.35">
      <c r="A8" s="471" t="s">
        <v>23</v>
      </c>
      <c r="B8" s="23" t="s">
        <v>196</v>
      </c>
      <c r="C8" s="32"/>
      <c r="D8" s="24" t="s">
        <v>70</v>
      </c>
      <c r="E8" s="25"/>
      <c r="F8" s="26"/>
      <c r="G8" s="24"/>
      <c r="H8" s="24"/>
      <c r="I8" s="278"/>
      <c r="K8" s="305" t="s">
        <v>282</v>
      </c>
      <c r="L8" s="89">
        <v>36892</v>
      </c>
      <c r="M8" s="89">
        <v>38717</v>
      </c>
      <c r="N8" s="466" t="s">
        <v>286</v>
      </c>
      <c r="O8" s="467"/>
      <c r="P8" s="468"/>
      <c r="Q8" s="495">
        <f>IF(L8="","",M8-L8+1)</f>
        <v>1826</v>
      </c>
      <c r="R8" s="496"/>
      <c r="T8" s="209" t="s">
        <v>176</v>
      </c>
      <c r="U8" s="230" t="s">
        <v>189</v>
      </c>
      <c r="V8" s="231">
        <v>43831</v>
      </c>
      <c r="W8" s="231">
        <v>44926</v>
      </c>
      <c r="X8" s="232">
        <f>IF(V8="","",IF(V8&lt;=($B$3-365*3),$B$3-365*3,V8))</f>
        <v>43831</v>
      </c>
      <c r="Y8" s="232">
        <f>IF(W8="","",IF(W8&lt;=$B$3,W8,$B$3))</f>
        <v>44586</v>
      </c>
      <c r="Z8" s="233">
        <f>IF(W8="","",W8-V8+1)</f>
        <v>1096</v>
      </c>
      <c r="AA8" s="233">
        <f>IF(Z8="","",Y8-X8+1)</f>
        <v>756</v>
      </c>
      <c r="AB8" s="234">
        <v>100000000</v>
      </c>
      <c r="AC8" s="157">
        <f>IF(AB8="","",AB8*AA8/Z8)</f>
        <v>68978102.189781025</v>
      </c>
      <c r="AD8" s="218">
        <v>1</v>
      </c>
      <c r="AE8" s="218">
        <v>1</v>
      </c>
      <c r="AF8" s="359">
        <f>IF(AC8="","",INT(AC8*AD8*AE8))</f>
        <v>68978102</v>
      </c>
      <c r="AG8" s="13"/>
      <c r="AH8" s="538" t="s">
        <v>353</v>
      </c>
      <c r="AI8" s="538"/>
      <c r="AJ8" s="462"/>
      <c r="AK8" s="16"/>
      <c r="AL8" s="16"/>
      <c r="AM8" s="16"/>
      <c r="AN8" s="15"/>
      <c r="AO8" s="15"/>
      <c r="AP8" s="15"/>
    </row>
    <row r="9" spans="1:42" s="14" customFormat="1" ht="33" x14ac:dyDescent="0.3">
      <c r="A9" s="472"/>
      <c r="B9" s="27" t="s">
        <v>17</v>
      </c>
      <c r="C9" s="33" t="s">
        <v>197</v>
      </c>
      <c r="D9" s="28">
        <v>25</v>
      </c>
      <c r="E9" s="87" t="s">
        <v>74</v>
      </c>
      <c r="F9" s="88" t="s">
        <v>193</v>
      </c>
      <c r="G9" s="139">
        <v>24</v>
      </c>
      <c r="H9" s="28">
        <f>IF(F9="특급(소방기술사)",25,IF(F9="특급",24,IF(F9="고급",23,IF(F9="중급",22,21))))</f>
        <v>24</v>
      </c>
      <c r="I9" s="279"/>
      <c r="J9" s="12"/>
      <c r="K9" s="305" t="s">
        <v>283</v>
      </c>
      <c r="L9" s="89">
        <v>38718</v>
      </c>
      <c r="M9" s="89">
        <v>40543</v>
      </c>
      <c r="N9" s="466" t="s">
        <v>286</v>
      </c>
      <c r="O9" s="467"/>
      <c r="P9" s="468"/>
      <c r="Q9" s="495">
        <f t="shared" ref="Q9:Q29" si="0">IF(L9="","",M9-L9+1)</f>
        <v>1826</v>
      </c>
      <c r="R9" s="496"/>
      <c r="S9" s="12"/>
      <c r="T9" s="209" t="s">
        <v>190</v>
      </c>
      <c r="U9" s="230" t="s">
        <v>189</v>
      </c>
      <c r="V9" s="231">
        <v>43466</v>
      </c>
      <c r="W9" s="231">
        <v>44561</v>
      </c>
      <c r="X9" s="232">
        <f t="shared" ref="X9:X37" si="1">IF(V9="","",IF(V9&lt;=($B$3-365*3),$B$3-365*3,V9))</f>
        <v>43491</v>
      </c>
      <c r="Y9" s="232">
        <f t="shared" ref="Y9:Y10" si="2">IF(W9="","",IF(W9&lt;=$B$3,W9,$B$3))</f>
        <v>44561</v>
      </c>
      <c r="Z9" s="233">
        <f>IF(W9="","",W9-V9+1)</f>
        <v>1096</v>
      </c>
      <c r="AA9" s="233">
        <f>IF(Z9="","",Y9-X9+1)</f>
        <v>1071</v>
      </c>
      <c r="AB9" s="234">
        <v>30000000</v>
      </c>
      <c r="AC9" s="157">
        <f t="shared" ref="AC9:AC18" si="3">IF(AB9="","",AB9*AA9/Z9)</f>
        <v>29315693.430656936</v>
      </c>
      <c r="AD9" s="218">
        <v>1</v>
      </c>
      <c r="AE9" s="218">
        <v>1</v>
      </c>
      <c r="AF9" s="359">
        <f t="shared" ref="AF9:AF18" si="4">IF(AC9="","",INT(AC9*AD9*AE9))</f>
        <v>29315693</v>
      </c>
      <c r="AG9" s="13"/>
      <c r="AH9" s="260" t="s">
        <v>339</v>
      </c>
      <c r="AI9" s="336" t="s">
        <v>340</v>
      </c>
      <c r="AJ9" s="336" t="s">
        <v>341</v>
      </c>
      <c r="AK9" s="336" t="s">
        <v>342</v>
      </c>
      <c r="AL9" s="336" t="s">
        <v>343</v>
      </c>
      <c r="AM9" s="336" t="s">
        <v>344</v>
      </c>
      <c r="AN9" s="336" t="s">
        <v>345</v>
      </c>
      <c r="AO9" s="336" t="s">
        <v>346</v>
      </c>
      <c r="AP9" s="262" t="s">
        <v>347</v>
      </c>
    </row>
    <row r="10" spans="1:42" s="14" customFormat="1" ht="49.5" x14ac:dyDescent="0.3">
      <c r="A10" s="472"/>
      <c r="B10" s="43" t="s">
        <v>18</v>
      </c>
      <c r="C10" s="151" t="s">
        <v>198</v>
      </c>
      <c r="D10" s="221">
        <v>25</v>
      </c>
      <c r="E10" s="482">
        <f>Q30/365</f>
        <v>20.013698630136986</v>
      </c>
      <c r="F10" s="483"/>
      <c r="G10" s="142">
        <v>25</v>
      </c>
      <c r="H10" s="221">
        <f>IF(OR(AND($B$4&gt;=2000000000,E10&gt;=7),AND($B$4&lt;2000000000,$B$4&gt;=1000000000,E10&gt;=6),AND($B$4&lt;1000000000,$B$4&gt;=300000000,E10&gt;=5),AND($B$4&lt;300000000,E10&gt;=4)),25,IF(OR(AND($B$4&gt;=2000000000,E10&lt;7,E10&gt;=6),AND($B$4&lt;2000000000,$B$4&gt;=1000000000,E10&lt;6,E10&gt;=5),AND($B$4&lt;1000000000,$B$4&gt;=300000000,E10&lt;5,E10&gt;=4),AND($B$4&lt;300000000,E10&lt;4,E10&gt;=3)),24,IF(OR(AND($B$4&gt;=2000000000,E10&lt;6,E10&gt;=5),AND($B$4&lt;2000000000,$B$4&gt;=1000000000,E10&lt;5,E10&gt;=4),AND($B$4&lt;1000000000,$B$4&gt;=300000000,E10&lt;4,E10&gt;=3),AND($B$4&lt;300000000,E10&lt;3,E10&gt;=2)),23,IF(OR(AND($B$4&gt;=2000000000,E10&lt;5,E10&gt;=4),AND($B$4&lt;2000000000,$B$4&gt;=1000000000,E10&lt;4,E10&gt;=3),AND($B$4&lt;1000000000,$B$4&gt;=300000000,E10&lt;3,E10&gt;=2),AND($B$4&lt;300000000,E10&lt;2,E10&gt;=1)),22,21))))</f>
        <v>25</v>
      </c>
      <c r="I10" s="280"/>
      <c r="J10" s="12"/>
      <c r="K10" s="305" t="s">
        <v>284</v>
      </c>
      <c r="L10" s="89">
        <v>40544</v>
      </c>
      <c r="M10" s="89">
        <v>42369</v>
      </c>
      <c r="N10" s="466" t="s">
        <v>286</v>
      </c>
      <c r="O10" s="467"/>
      <c r="P10" s="468"/>
      <c r="Q10" s="495">
        <f t="shared" si="0"/>
        <v>1826</v>
      </c>
      <c r="R10" s="496"/>
      <c r="S10" s="12"/>
      <c r="T10" s="209" t="s">
        <v>227</v>
      </c>
      <c r="U10" s="230" t="s">
        <v>189</v>
      </c>
      <c r="V10" s="231">
        <v>43466</v>
      </c>
      <c r="W10" s="231">
        <v>44926</v>
      </c>
      <c r="X10" s="232">
        <f t="shared" si="1"/>
        <v>43491</v>
      </c>
      <c r="Y10" s="232">
        <f t="shared" si="2"/>
        <v>44586</v>
      </c>
      <c r="Z10" s="233">
        <f>IF(W10="","",W10-V10+1)</f>
        <v>1461</v>
      </c>
      <c r="AA10" s="233">
        <f>IF(Z10="","",Y10-X10+1)</f>
        <v>1096</v>
      </c>
      <c r="AB10" s="234">
        <v>200000000</v>
      </c>
      <c r="AC10" s="157">
        <f t="shared" si="3"/>
        <v>150034223.13483915</v>
      </c>
      <c r="AD10" s="218">
        <v>1</v>
      </c>
      <c r="AE10" s="218">
        <v>1</v>
      </c>
      <c r="AF10" s="359">
        <f t="shared" si="4"/>
        <v>150034223</v>
      </c>
      <c r="AG10" s="13"/>
      <c r="AH10" s="440" t="str">
        <f>IF(E9="","","참여감리원")</f>
        <v>참여감리원</v>
      </c>
      <c r="AI10" s="36" t="str">
        <f>IF(E9="","",E9)</f>
        <v>홍길동</v>
      </c>
      <c r="AJ10" s="441" t="s">
        <v>348</v>
      </c>
      <c r="AK10" s="441" t="s">
        <v>349</v>
      </c>
      <c r="AL10" s="442">
        <v>43960</v>
      </c>
      <c r="AM10" s="442">
        <v>43977</v>
      </c>
      <c r="AN10" s="443">
        <v>20</v>
      </c>
      <c r="AO10" s="444" t="str">
        <f>IF(AL10="","",IF(AM10&gt;=$B$3,"X",IF(AM10&gt;=$AI$6,"O","X")))</f>
        <v>O</v>
      </c>
      <c r="AP10" s="445">
        <f>IF(AK10="","",IF(AO10="X",0,AN10))</f>
        <v>20</v>
      </c>
    </row>
    <row r="11" spans="1:42" s="14" customFormat="1" x14ac:dyDescent="0.3">
      <c r="A11" s="473"/>
      <c r="B11" s="489" t="s">
        <v>62</v>
      </c>
      <c r="C11" s="490"/>
      <c r="D11" s="213">
        <v>50</v>
      </c>
      <c r="E11" s="489"/>
      <c r="F11" s="490"/>
      <c r="G11" s="150">
        <f>SUM(G9:G10)</f>
        <v>49</v>
      </c>
      <c r="H11" s="150">
        <f>SUM(H9:H10)</f>
        <v>49</v>
      </c>
      <c r="I11" s="281"/>
      <c r="J11" s="12"/>
      <c r="K11" s="305" t="s">
        <v>285</v>
      </c>
      <c r="L11" s="89">
        <v>42370</v>
      </c>
      <c r="M11" s="89">
        <v>44196</v>
      </c>
      <c r="N11" s="466" t="s">
        <v>286</v>
      </c>
      <c r="O11" s="467"/>
      <c r="P11" s="468"/>
      <c r="Q11" s="495">
        <f t="shared" si="0"/>
        <v>1827</v>
      </c>
      <c r="R11" s="496"/>
      <c r="S11" s="12"/>
      <c r="T11" s="209"/>
      <c r="U11" s="230"/>
      <c r="V11" s="231"/>
      <c r="W11" s="231"/>
      <c r="X11" s="232" t="str">
        <f t="shared" ref="X11:X18" si="5">IF(V11="","",IF(V11&lt;=($B$3-365*3),$B$3-365*3,V11))</f>
        <v/>
      </c>
      <c r="Y11" s="232" t="str">
        <f t="shared" ref="Y11:Y18" si="6">IF(W11="","",IF(W11&lt;=$B$3,W11,$B$3))</f>
        <v/>
      </c>
      <c r="Z11" s="233" t="str">
        <f t="shared" ref="Z11:Z18" si="7">IF(W11="","",W11-V11+1)</f>
        <v/>
      </c>
      <c r="AA11" s="233" t="str">
        <f t="shared" ref="AA11:AA18" si="8">IF(Z11="","",Y11-X11+1)</f>
        <v/>
      </c>
      <c r="AB11" s="234"/>
      <c r="AC11" s="157" t="str">
        <f t="shared" si="3"/>
        <v/>
      </c>
      <c r="AD11" s="218">
        <v>1</v>
      </c>
      <c r="AE11" s="218">
        <v>1</v>
      </c>
      <c r="AF11" s="359" t="str">
        <f t="shared" si="4"/>
        <v/>
      </c>
      <c r="AG11" s="13"/>
      <c r="AH11" s="440"/>
      <c r="AI11" s="36"/>
      <c r="AJ11" s="441" t="s">
        <v>348</v>
      </c>
      <c r="AK11" s="441" t="s">
        <v>349</v>
      </c>
      <c r="AL11" s="442">
        <v>44322</v>
      </c>
      <c r="AM11" s="442">
        <v>44330</v>
      </c>
      <c r="AN11" s="443">
        <v>15</v>
      </c>
      <c r="AO11" s="444" t="str">
        <f t="shared" ref="AO11:AO14" si="9">IF(AL11="","",IF(AM11&gt;=$B$3,"X",IF(AM11&gt;=$AS$5,"O","X")))</f>
        <v>O</v>
      </c>
      <c r="AP11" s="445">
        <f t="shared" ref="AP11:AP14" si="10">IF(AK11="","",IF(AO11="X",0,AN11))</f>
        <v>15</v>
      </c>
    </row>
    <row r="12" spans="1:42" s="14" customFormat="1" x14ac:dyDescent="0.3">
      <c r="A12" s="471" t="s">
        <v>225</v>
      </c>
      <c r="B12" s="21" t="s">
        <v>20</v>
      </c>
      <c r="C12" s="35" t="s">
        <v>199</v>
      </c>
      <c r="D12" s="214">
        <v>10</v>
      </c>
      <c r="E12" s="523">
        <f>AF38</f>
        <v>433821630</v>
      </c>
      <c r="F12" s="524"/>
      <c r="G12" s="212">
        <v>10</v>
      </c>
      <c r="H12" s="214">
        <f>IF(E12&gt;=$B$5,10,IF(E12&gt;=$B$5*0.8,9,IF(E12&gt;=$B$5*0.6,8,IF(E12&gt;=$B$5*0.4,7,6))))</f>
        <v>9</v>
      </c>
      <c r="I12" s="282"/>
      <c r="J12" s="12"/>
      <c r="K12" s="305"/>
      <c r="L12" s="89"/>
      <c r="M12" s="89"/>
      <c r="N12" s="466"/>
      <c r="O12" s="467"/>
      <c r="P12" s="468"/>
      <c r="Q12" s="495" t="str">
        <f t="shared" si="0"/>
        <v/>
      </c>
      <c r="R12" s="496"/>
      <c r="S12" s="12"/>
      <c r="T12" s="209"/>
      <c r="U12" s="230"/>
      <c r="V12" s="231"/>
      <c r="W12" s="231"/>
      <c r="X12" s="232" t="str">
        <f t="shared" si="5"/>
        <v/>
      </c>
      <c r="Y12" s="232" t="str">
        <f t="shared" si="6"/>
        <v/>
      </c>
      <c r="Z12" s="233" t="str">
        <f t="shared" si="7"/>
        <v/>
      </c>
      <c r="AA12" s="233" t="str">
        <f t="shared" si="8"/>
        <v/>
      </c>
      <c r="AB12" s="234"/>
      <c r="AC12" s="157" t="str">
        <f t="shared" si="3"/>
        <v/>
      </c>
      <c r="AD12" s="218">
        <v>1</v>
      </c>
      <c r="AE12" s="218">
        <v>1</v>
      </c>
      <c r="AF12" s="359" t="str">
        <f t="shared" si="4"/>
        <v/>
      </c>
      <c r="AG12" s="13"/>
      <c r="AH12" s="440"/>
      <c r="AI12" s="36"/>
      <c r="AJ12" s="441"/>
      <c r="AK12" s="441"/>
      <c r="AL12" s="442"/>
      <c r="AM12" s="442"/>
      <c r="AN12" s="443"/>
      <c r="AO12" s="444" t="str">
        <f t="shared" si="9"/>
        <v/>
      </c>
      <c r="AP12" s="445" t="str">
        <f t="shared" si="10"/>
        <v/>
      </c>
    </row>
    <row r="13" spans="1:42" s="14" customFormat="1" x14ac:dyDescent="0.3">
      <c r="A13" s="473"/>
      <c r="B13" s="489" t="s">
        <v>62</v>
      </c>
      <c r="C13" s="490"/>
      <c r="D13" s="213">
        <v>10</v>
      </c>
      <c r="E13" s="489"/>
      <c r="F13" s="490"/>
      <c r="G13" s="213">
        <f>G12</f>
        <v>10</v>
      </c>
      <c r="H13" s="213">
        <f>H12</f>
        <v>9</v>
      </c>
      <c r="I13" s="281"/>
      <c r="J13" s="12"/>
      <c r="K13" s="305"/>
      <c r="L13" s="89"/>
      <c r="M13" s="89"/>
      <c r="N13" s="466"/>
      <c r="O13" s="467"/>
      <c r="P13" s="468"/>
      <c r="Q13" s="495" t="str">
        <f t="shared" si="0"/>
        <v/>
      </c>
      <c r="R13" s="496"/>
      <c r="S13" s="12"/>
      <c r="T13" s="209"/>
      <c r="U13" s="230"/>
      <c r="V13" s="231"/>
      <c r="W13" s="231"/>
      <c r="X13" s="232" t="str">
        <f t="shared" si="5"/>
        <v/>
      </c>
      <c r="Y13" s="232" t="str">
        <f t="shared" si="6"/>
        <v/>
      </c>
      <c r="Z13" s="233" t="str">
        <f t="shared" si="7"/>
        <v/>
      </c>
      <c r="AA13" s="233" t="str">
        <f t="shared" si="8"/>
        <v/>
      </c>
      <c r="AB13" s="234"/>
      <c r="AC13" s="157" t="str">
        <f t="shared" si="3"/>
        <v/>
      </c>
      <c r="AD13" s="218">
        <v>1</v>
      </c>
      <c r="AE13" s="218">
        <v>1</v>
      </c>
      <c r="AF13" s="359" t="str">
        <f t="shared" si="4"/>
        <v/>
      </c>
      <c r="AG13" s="13"/>
      <c r="AH13" s="440"/>
      <c r="AI13" s="36"/>
      <c r="AJ13" s="441"/>
      <c r="AK13" s="441"/>
      <c r="AL13" s="442"/>
      <c r="AM13" s="442"/>
      <c r="AN13" s="443"/>
      <c r="AO13" s="444" t="str">
        <f t="shared" si="9"/>
        <v/>
      </c>
      <c r="AP13" s="445" t="str">
        <f t="shared" si="10"/>
        <v/>
      </c>
    </row>
    <row r="14" spans="1:42" s="14" customFormat="1" x14ac:dyDescent="0.3">
      <c r="A14" s="471" t="s">
        <v>22</v>
      </c>
      <c r="B14" s="23" t="s">
        <v>223</v>
      </c>
      <c r="C14" s="32" t="s">
        <v>46</v>
      </c>
      <c r="D14" s="24" t="s">
        <v>24</v>
      </c>
      <c r="E14" s="25"/>
      <c r="F14" s="26"/>
      <c r="G14" s="24"/>
      <c r="H14" s="24"/>
      <c r="I14" s="278"/>
      <c r="J14" s="12"/>
      <c r="K14" s="305"/>
      <c r="L14" s="89"/>
      <c r="M14" s="89"/>
      <c r="N14" s="466"/>
      <c r="O14" s="467"/>
      <c r="P14" s="468"/>
      <c r="Q14" s="495" t="str">
        <f t="shared" si="0"/>
        <v/>
      </c>
      <c r="R14" s="496"/>
      <c r="S14" s="12"/>
      <c r="T14" s="209"/>
      <c r="U14" s="230"/>
      <c r="V14" s="231"/>
      <c r="W14" s="231"/>
      <c r="X14" s="232" t="str">
        <f t="shared" si="5"/>
        <v/>
      </c>
      <c r="Y14" s="232" t="str">
        <f t="shared" si="6"/>
        <v/>
      </c>
      <c r="Z14" s="233" t="str">
        <f t="shared" si="7"/>
        <v/>
      </c>
      <c r="AA14" s="233" t="str">
        <f t="shared" si="8"/>
        <v/>
      </c>
      <c r="AB14" s="234"/>
      <c r="AC14" s="157" t="str">
        <f t="shared" si="3"/>
        <v/>
      </c>
      <c r="AD14" s="218">
        <v>1</v>
      </c>
      <c r="AE14" s="218">
        <v>1</v>
      </c>
      <c r="AF14" s="359" t="str">
        <f t="shared" si="4"/>
        <v/>
      </c>
      <c r="AG14" s="13"/>
      <c r="AH14" s="440"/>
      <c r="AI14" s="36"/>
      <c r="AJ14" s="441"/>
      <c r="AK14" s="441"/>
      <c r="AL14" s="442"/>
      <c r="AM14" s="442"/>
      <c r="AN14" s="443"/>
      <c r="AO14" s="444" t="str">
        <f t="shared" si="9"/>
        <v/>
      </c>
      <c r="AP14" s="445" t="str">
        <f t="shared" si="10"/>
        <v/>
      </c>
    </row>
    <row r="15" spans="1:42" s="14" customFormat="1" ht="17.25" thickBot="1" x14ac:dyDescent="0.35">
      <c r="A15" s="472"/>
      <c r="B15" s="27" t="s">
        <v>26</v>
      </c>
      <c r="C15" s="52" t="s">
        <v>55</v>
      </c>
      <c r="D15" s="28">
        <v>4</v>
      </c>
      <c r="E15" s="90">
        <v>20</v>
      </c>
      <c r="F15" s="38">
        <f>ROUNDUP(E15/30,0)</f>
        <v>1</v>
      </c>
      <c r="G15" s="139">
        <v>3.8</v>
      </c>
      <c r="H15" s="28">
        <f>IF(F15&gt;20,0,4-(F15*0.2))</f>
        <v>3.8</v>
      </c>
      <c r="I15" s="279"/>
      <c r="J15" s="12"/>
      <c r="K15" s="355"/>
      <c r="L15" s="89"/>
      <c r="M15" s="89"/>
      <c r="N15" s="466"/>
      <c r="O15" s="467"/>
      <c r="P15" s="468"/>
      <c r="Q15" s="495" t="str">
        <f t="shared" si="0"/>
        <v/>
      </c>
      <c r="R15" s="496"/>
      <c r="S15" s="12"/>
      <c r="T15" s="209"/>
      <c r="U15" s="230"/>
      <c r="V15" s="231"/>
      <c r="W15" s="231"/>
      <c r="X15" s="232" t="str">
        <f t="shared" si="5"/>
        <v/>
      </c>
      <c r="Y15" s="232" t="str">
        <f t="shared" si="6"/>
        <v/>
      </c>
      <c r="Z15" s="233" t="str">
        <f t="shared" si="7"/>
        <v/>
      </c>
      <c r="AA15" s="233" t="str">
        <f t="shared" si="8"/>
        <v/>
      </c>
      <c r="AB15" s="234"/>
      <c r="AC15" s="157" t="str">
        <f t="shared" si="3"/>
        <v/>
      </c>
      <c r="AD15" s="218">
        <v>1</v>
      </c>
      <c r="AE15" s="218">
        <v>1</v>
      </c>
      <c r="AF15" s="359" t="str">
        <f t="shared" si="4"/>
        <v/>
      </c>
      <c r="AG15" s="13"/>
      <c r="AH15" s="263" t="s">
        <v>350</v>
      </c>
      <c r="AI15" s="452"/>
      <c r="AJ15" s="452"/>
      <c r="AK15" s="452"/>
      <c r="AL15" s="265"/>
      <c r="AM15" s="265"/>
      <c r="AN15" s="453">
        <f>SUM(AN10:AN14)</f>
        <v>35</v>
      </c>
      <c r="AO15" s="465"/>
      <c r="AP15" s="454">
        <f>SUM(AP10:AP14)</f>
        <v>35</v>
      </c>
    </row>
    <row r="16" spans="1:42" s="14" customFormat="1" x14ac:dyDescent="0.3">
      <c r="A16" s="472"/>
      <c r="B16" s="39" t="s">
        <v>27</v>
      </c>
      <c r="C16" s="53" t="s">
        <v>56</v>
      </c>
      <c r="D16" s="29">
        <v>3</v>
      </c>
      <c r="E16" s="91">
        <v>60</v>
      </c>
      <c r="F16" s="41">
        <f>ROUNDUP(E16/90,0)*3</f>
        <v>3</v>
      </c>
      <c r="G16" s="140">
        <v>2.8</v>
      </c>
      <c r="H16" s="29">
        <f>IF(F16&gt;45,0,3-(F16/3*0.2))</f>
        <v>2.8</v>
      </c>
      <c r="I16" s="283"/>
      <c r="J16" s="12"/>
      <c r="K16" s="305"/>
      <c r="L16" s="89"/>
      <c r="M16" s="89"/>
      <c r="N16" s="466"/>
      <c r="O16" s="467"/>
      <c r="P16" s="468"/>
      <c r="Q16" s="495" t="str">
        <f t="shared" si="0"/>
        <v/>
      </c>
      <c r="R16" s="496"/>
      <c r="S16" s="12"/>
      <c r="T16" s="209"/>
      <c r="U16" s="230"/>
      <c r="V16" s="231"/>
      <c r="W16" s="231"/>
      <c r="X16" s="232" t="str">
        <f t="shared" si="5"/>
        <v/>
      </c>
      <c r="Y16" s="232" t="str">
        <f t="shared" si="6"/>
        <v/>
      </c>
      <c r="Z16" s="233" t="str">
        <f t="shared" si="7"/>
        <v/>
      </c>
      <c r="AA16" s="233" t="str">
        <f t="shared" si="8"/>
        <v/>
      </c>
      <c r="AB16" s="234"/>
      <c r="AC16" s="157" t="str">
        <f t="shared" si="3"/>
        <v/>
      </c>
      <c r="AD16" s="218">
        <v>1</v>
      </c>
      <c r="AE16" s="218">
        <v>1</v>
      </c>
      <c r="AF16" s="359" t="str">
        <f t="shared" si="4"/>
        <v/>
      </c>
      <c r="AG16" s="13"/>
      <c r="AH16" s="215"/>
      <c r="AI16" s="203"/>
      <c r="AJ16" s="204"/>
    </row>
    <row r="17" spans="1:36" s="14" customFormat="1" x14ac:dyDescent="0.3">
      <c r="A17" s="472"/>
      <c r="B17" s="23" t="s">
        <v>25</v>
      </c>
      <c r="C17" s="32" t="s">
        <v>45</v>
      </c>
      <c r="D17" s="24" t="s">
        <v>28</v>
      </c>
      <c r="E17" s="25"/>
      <c r="F17" s="26"/>
      <c r="G17" s="24"/>
      <c r="H17" s="24"/>
      <c r="I17" s="278"/>
      <c r="J17" s="12"/>
      <c r="K17" s="355"/>
      <c r="L17" s="89"/>
      <c r="M17" s="89"/>
      <c r="N17" s="466"/>
      <c r="O17" s="467"/>
      <c r="P17" s="468"/>
      <c r="Q17" s="495" t="str">
        <f t="shared" si="0"/>
        <v/>
      </c>
      <c r="R17" s="496"/>
      <c r="S17" s="12"/>
      <c r="T17" s="209"/>
      <c r="U17" s="230"/>
      <c r="V17" s="231"/>
      <c r="W17" s="231"/>
      <c r="X17" s="232" t="str">
        <f t="shared" si="5"/>
        <v/>
      </c>
      <c r="Y17" s="232" t="str">
        <f t="shared" si="6"/>
        <v/>
      </c>
      <c r="Z17" s="233" t="str">
        <f t="shared" si="7"/>
        <v/>
      </c>
      <c r="AA17" s="233" t="str">
        <f t="shared" si="8"/>
        <v/>
      </c>
      <c r="AB17" s="234"/>
      <c r="AC17" s="157" t="str">
        <f t="shared" si="3"/>
        <v/>
      </c>
      <c r="AD17" s="218">
        <v>1</v>
      </c>
      <c r="AE17" s="218">
        <v>1</v>
      </c>
      <c r="AF17" s="359" t="str">
        <f t="shared" si="4"/>
        <v/>
      </c>
      <c r="AG17" s="13"/>
      <c r="AH17" s="215"/>
      <c r="AI17" s="203"/>
      <c r="AJ17" s="204"/>
    </row>
    <row r="18" spans="1:36" s="14" customFormat="1" ht="17.25" thickBot="1" x14ac:dyDescent="0.35">
      <c r="A18" s="472"/>
      <c r="B18" s="27" t="s">
        <v>30</v>
      </c>
      <c r="C18" s="34" t="s">
        <v>44</v>
      </c>
      <c r="D18" s="28">
        <v>1</v>
      </c>
      <c r="E18" s="519">
        <v>1.1000000000000001</v>
      </c>
      <c r="F18" s="520"/>
      <c r="G18" s="139">
        <v>1</v>
      </c>
      <c r="H18" s="28">
        <f>IF(E18&gt;=1,1,IF(E18&gt;=0.75,0.85,IF(E18&gt;=0.5,0.7,IF(E18&gt;=0.25,0.55,0.4))))</f>
        <v>1</v>
      </c>
      <c r="I18" s="480" t="s">
        <v>210</v>
      </c>
      <c r="J18" s="12"/>
      <c r="K18" s="355"/>
      <c r="L18" s="89"/>
      <c r="M18" s="89"/>
      <c r="N18" s="466"/>
      <c r="O18" s="467"/>
      <c r="P18" s="468"/>
      <c r="Q18" s="495" t="str">
        <f t="shared" si="0"/>
        <v/>
      </c>
      <c r="R18" s="496"/>
      <c r="S18" s="12"/>
      <c r="T18" s="210"/>
      <c r="U18" s="236"/>
      <c r="V18" s="237"/>
      <c r="W18" s="237"/>
      <c r="X18" s="238" t="str">
        <f t="shared" si="5"/>
        <v/>
      </c>
      <c r="Y18" s="238" t="str">
        <f t="shared" si="6"/>
        <v/>
      </c>
      <c r="Z18" s="239" t="str">
        <f t="shared" si="7"/>
        <v/>
      </c>
      <c r="AA18" s="239" t="str">
        <f t="shared" si="8"/>
        <v/>
      </c>
      <c r="AB18" s="240"/>
      <c r="AC18" s="241" t="str">
        <f t="shared" si="3"/>
        <v/>
      </c>
      <c r="AD18" s="242">
        <v>1</v>
      </c>
      <c r="AE18" s="242">
        <v>1</v>
      </c>
      <c r="AF18" s="360" t="str">
        <f t="shared" si="4"/>
        <v/>
      </c>
      <c r="AG18" s="13"/>
      <c r="AH18" s="216"/>
      <c r="AI18" s="203"/>
      <c r="AJ18" s="204"/>
    </row>
    <row r="19" spans="1:36" s="14" customFormat="1" x14ac:dyDescent="0.3">
      <c r="A19" s="472"/>
      <c r="B19" s="39" t="s">
        <v>31</v>
      </c>
      <c r="C19" s="40" t="s">
        <v>29</v>
      </c>
      <c r="D19" s="29">
        <v>2</v>
      </c>
      <c r="E19" s="521">
        <v>1.2</v>
      </c>
      <c r="F19" s="522"/>
      <c r="G19" s="140">
        <v>2</v>
      </c>
      <c r="H19" s="29">
        <f>IF(E19&gt;=1,2,IF(E19&gt;=0.75,1.7,IF(E19&gt;=0.5,1.4,IF(E19&gt;=0.25,1.1,0.8))))</f>
        <v>2</v>
      </c>
      <c r="I19" s="481"/>
      <c r="J19" s="12"/>
      <c r="K19" s="355"/>
      <c r="L19" s="89"/>
      <c r="M19" s="89"/>
      <c r="N19" s="466"/>
      <c r="O19" s="467"/>
      <c r="P19" s="468"/>
      <c r="Q19" s="495" t="str">
        <f t="shared" si="0"/>
        <v/>
      </c>
      <c r="R19" s="496"/>
      <c r="S19" s="12"/>
      <c r="T19" s="211" t="s">
        <v>192</v>
      </c>
      <c r="U19" s="244" t="s">
        <v>189</v>
      </c>
      <c r="V19" s="245">
        <v>43466</v>
      </c>
      <c r="W19" s="245">
        <v>44561</v>
      </c>
      <c r="X19" s="246">
        <f t="shared" si="1"/>
        <v>43491</v>
      </c>
      <c r="Y19" s="246">
        <f>IF(W19="","",IF(W19&lt;=$B$3,W19,$B$3))</f>
        <v>44561</v>
      </c>
      <c r="Z19" s="247">
        <f>IF(W19="","",W19-V19+1)</f>
        <v>1096</v>
      </c>
      <c r="AA19" s="247">
        <f>IF(Z19="","",Y19-X19+1)</f>
        <v>1071</v>
      </c>
      <c r="AB19" s="248">
        <v>30000000</v>
      </c>
      <c r="AC19" s="249">
        <f>IF(AB19="","",AB19*AA19/Z19)</f>
        <v>29315693.430656936</v>
      </c>
      <c r="AD19" s="250">
        <v>1</v>
      </c>
      <c r="AE19" s="250">
        <v>0.7</v>
      </c>
      <c r="AF19" s="361">
        <f>IF(AC19="","",INT(AC19*AD19*AE19))</f>
        <v>20520985</v>
      </c>
      <c r="AG19" s="13"/>
      <c r="AH19" s="216"/>
    </row>
    <row r="20" spans="1:36" s="14" customFormat="1" x14ac:dyDescent="0.3">
      <c r="A20" s="473"/>
      <c r="B20" s="489" t="s">
        <v>62</v>
      </c>
      <c r="C20" s="490"/>
      <c r="D20" s="213">
        <v>10</v>
      </c>
      <c r="E20" s="489"/>
      <c r="F20" s="490"/>
      <c r="G20" s="213">
        <f>SUM(G15:G16,G18:G19)</f>
        <v>9.6</v>
      </c>
      <c r="H20" s="213">
        <f>SUM(H15:H16,H18:H19)</f>
        <v>9.6</v>
      </c>
      <c r="I20" s="281"/>
      <c r="J20" s="12"/>
      <c r="K20" s="355"/>
      <c r="L20" s="89"/>
      <c r="M20" s="89"/>
      <c r="N20" s="466"/>
      <c r="O20" s="467"/>
      <c r="P20" s="468"/>
      <c r="Q20" s="495" t="str">
        <f t="shared" si="0"/>
        <v/>
      </c>
      <c r="R20" s="496"/>
      <c r="S20" s="12"/>
      <c r="T20" s="209" t="s">
        <v>325</v>
      </c>
      <c r="U20" s="230" t="s">
        <v>189</v>
      </c>
      <c r="V20" s="231">
        <v>43831</v>
      </c>
      <c r="W20" s="231">
        <v>44926</v>
      </c>
      <c r="X20" s="232">
        <f t="shared" si="1"/>
        <v>43831</v>
      </c>
      <c r="Y20" s="232">
        <f t="shared" ref="Y20:Y37" si="11">IF(W20="","",IF(W20&lt;=$B$3,W20,$B$3))</f>
        <v>44586</v>
      </c>
      <c r="Z20" s="247">
        <f t="shared" ref="Z20:Z37" si="12">IF(W20="","",W20-V20+1)</f>
        <v>1096</v>
      </c>
      <c r="AA20" s="247">
        <f t="shared" ref="AA20:AA37" si="13">IF(Z20="","",Y20-X20+1)</f>
        <v>756</v>
      </c>
      <c r="AB20" s="234">
        <v>200000000</v>
      </c>
      <c r="AC20" s="157">
        <f t="shared" ref="AC20:AC37" si="14">IF(AB20="","",AB20*AA20/Z20)</f>
        <v>137956204.37956205</v>
      </c>
      <c r="AD20" s="218">
        <v>1</v>
      </c>
      <c r="AE20" s="218">
        <v>0.7</v>
      </c>
      <c r="AF20" s="359">
        <f t="shared" ref="AF20:AF37" si="15">IF(AC20="","",INT(AC20*AD20*AE20))</f>
        <v>96569343</v>
      </c>
      <c r="AG20" s="13"/>
      <c r="AH20" s="217"/>
      <c r="AI20" s="97"/>
      <c r="AJ20" s="98"/>
    </row>
    <row r="21" spans="1:36" s="14" customFormat="1" x14ac:dyDescent="0.3">
      <c r="A21" s="471" t="s">
        <v>32</v>
      </c>
      <c r="B21" s="23" t="s">
        <v>33</v>
      </c>
      <c r="C21" s="42" t="s">
        <v>221</v>
      </c>
      <c r="D21" s="24">
        <v>4</v>
      </c>
      <c r="E21" s="478">
        <f>L38</f>
        <v>4</v>
      </c>
      <c r="F21" s="479"/>
      <c r="G21" s="141">
        <v>4</v>
      </c>
      <c r="H21" s="352">
        <f>R38</f>
        <v>4</v>
      </c>
      <c r="I21" s="278"/>
      <c r="J21" s="12"/>
      <c r="K21" s="355"/>
      <c r="L21" s="89"/>
      <c r="M21" s="89"/>
      <c r="N21" s="466"/>
      <c r="O21" s="467"/>
      <c r="P21" s="468"/>
      <c r="Q21" s="495" t="str">
        <f t="shared" si="0"/>
        <v/>
      </c>
      <c r="R21" s="496"/>
      <c r="S21" s="12"/>
      <c r="T21" s="209" t="s">
        <v>326</v>
      </c>
      <c r="U21" s="230" t="s">
        <v>189</v>
      </c>
      <c r="V21" s="231">
        <v>43466</v>
      </c>
      <c r="W21" s="231">
        <v>44561</v>
      </c>
      <c r="X21" s="232">
        <f t="shared" si="1"/>
        <v>43491</v>
      </c>
      <c r="Y21" s="232">
        <f t="shared" si="11"/>
        <v>44561</v>
      </c>
      <c r="Z21" s="247">
        <f t="shared" si="12"/>
        <v>1096</v>
      </c>
      <c r="AA21" s="247">
        <f t="shared" si="13"/>
        <v>1071</v>
      </c>
      <c r="AB21" s="234">
        <v>100000000</v>
      </c>
      <c r="AC21" s="157">
        <f t="shared" si="14"/>
        <v>97718978.102189779</v>
      </c>
      <c r="AD21" s="218">
        <v>1</v>
      </c>
      <c r="AE21" s="218">
        <v>0.7</v>
      </c>
      <c r="AF21" s="359">
        <f t="shared" si="15"/>
        <v>68403284</v>
      </c>
      <c r="AG21" s="13"/>
      <c r="AH21" s="217"/>
    </row>
    <row r="22" spans="1:36" s="14" customFormat="1" ht="33" x14ac:dyDescent="0.3">
      <c r="A22" s="472"/>
      <c r="B22" s="27" t="s">
        <v>34</v>
      </c>
      <c r="C22" s="34" t="s">
        <v>224</v>
      </c>
      <c r="D22" s="28">
        <v>4</v>
      </c>
      <c r="E22" s="519">
        <v>0.05</v>
      </c>
      <c r="F22" s="520"/>
      <c r="G22" s="139">
        <v>4</v>
      </c>
      <c r="H22" s="28">
        <f>IF(E22&gt;=0.03,4,IF(E22&gt;=0.025,3.5,IF(E22&gt;=0.02,3,IF(E22&gt;=0.015,2.5,2))))</f>
        <v>4</v>
      </c>
      <c r="I22" s="279" t="s">
        <v>222</v>
      </c>
      <c r="J22" s="12"/>
      <c r="K22" s="355"/>
      <c r="L22" s="89"/>
      <c r="M22" s="89"/>
      <c r="N22" s="466"/>
      <c r="O22" s="467"/>
      <c r="P22" s="468"/>
      <c r="Q22" s="495" t="str">
        <f t="shared" si="0"/>
        <v/>
      </c>
      <c r="R22" s="496"/>
      <c r="S22" s="12"/>
      <c r="T22" s="209"/>
      <c r="U22" s="230"/>
      <c r="V22" s="231"/>
      <c r="W22" s="231"/>
      <c r="X22" s="232" t="str">
        <f t="shared" si="1"/>
        <v/>
      </c>
      <c r="Y22" s="232" t="str">
        <f t="shared" si="11"/>
        <v/>
      </c>
      <c r="Z22" s="247" t="str">
        <f t="shared" si="12"/>
        <v/>
      </c>
      <c r="AA22" s="247" t="str">
        <f t="shared" si="13"/>
        <v/>
      </c>
      <c r="AB22" s="234"/>
      <c r="AC22" s="157" t="str">
        <f t="shared" si="14"/>
        <v/>
      </c>
      <c r="AD22" s="218">
        <v>1</v>
      </c>
      <c r="AE22" s="218">
        <v>0.7</v>
      </c>
      <c r="AF22" s="359" t="str">
        <f t="shared" si="15"/>
        <v/>
      </c>
      <c r="AG22" s="13"/>
      <c r="AH22" s="217"/>
    </row>
    <row r="23" spans="1:36" s="14" customFormat="1" x14ac:dyDescent="0.3">
      <c r="A23" s="472"/>
      <c r="B23" s="43" t="s">
        <v>35</v>
      </c>
      <c r="C23" s="44" t="s">
        <v>220</v>
      </c>
      <c r="D23" s="221">
        <v>2</v>
      </c>
      <c r="E23" s="525">
        <v>70</v>
      </c>
      <c r="F23" s="526"/>
      <c r="G23" s="142">
        <v>2</v>
      </c>
      <c r="H23" s="45">
        <f>ROUND((IF(E9="",0,IF(AP15&gt;=70,2,IF(AP15&gt;=35,1,0))/COUNTA(E9))),2)</f>
        <v>1</v>
      </c>
      <c r="I23" s="280"/>
      <c r="J23" s="12"/>
      <c r="K23" s="355"/>
      <c r="L23" s="89"/>
      <c r="M23" s="89"/>
      <c r="N23" s="466"/>
      <c r="O23" s="467"/>
      <c r="P23" s="468"/>
      <c r="Q23" s="495" t="str">
        <f t="shared" si="0"/>
        <v/>
      </c>
      <c r="R23" s="496"/>
      <c r="S23" s="12"/>
      <c r="T23" s="209"/>
      <c r="U23" s="230"/>
      <c r="V23" s="231"/>
      <c r="W23" s="231"/>
      <c r="X23" s="232" t="str">
        <f t="shared" si="1"/>
        <v/>
      </c>
      <c r="Y23" s="232" t="str">
        <f t="shared" si="11"/>
        <v/>
      </c>
      <c r="Z23" s="247" t="str">
        <f t="shared" si="12"/>
        <v/>
      </c>
      <c r="AA23" s="247" t="str">
        <f t="shared" si="13"/>
        <v/>
      </c>
      <c r="AB23" s="234"/>
      <c r="AC23" s="157" t="str">
        <f t="shared" si="14"/>
        <v/>
      </c>
      <c r="AD23" s="218">
        <v>1</v>
      </c>
      <c r="AE23" s="218">
        <v>0.7</v>
      </c>
      <c r="AF23" s="359" t="str">
        <f t="shared" si="15"/>
        <v/>
      </c>
      <c r="AG23" s="13"/>
      <c r="AH23" s="217"/>
      <c r="AI23" s="60"/>
      <c r="AJ23" s="61"/>
    </row>
    <row r="24" spans="1:36" s="14" customFormat="1" x14ac:dyDescent="0.3">
      <c r="A24" s="473"/>
      <c r="B24" s="489" t="s">
        <v>62</v>
      </c>
      <c r="C24" s="490"/>
      <c r="D24" s="213">
        <v>10</v>
      </c>
      <c r="E24" s="489"/>
      <c r="F24" s="490"/>
      <c r="G24" s="152">
        <f>SUM(G21:G23)</f>
        <v>10</v>
      </c>
      <c r="H24" s="152">
        <f>SUM(H21:H23)</f>
        <v>9</v>
      </c>
      <c r="I24" s="281"/>
      <c r="J24" s="12"/>
      <c r="K24" s="355"/>
      <c r="L24" s="89"/>
      <c r="M24" s="89"/>
      <c r="N24" s="466"/>
      <c r="O24" s="467"/>
      <c r="P24" s="468"/>
      <c r="Q24" s="495" t="str">
        <f t="shared" si="0"/>
        <v/>
      </c>
      <c r="R24" s="496"/>
      <c r="S24" s="12"/>
      <c r="T24" s="209"/>
      <c r="U24" s="230"/>
      <c r="V24" s="231"/>
      <c r="W24" s="231"/>
      <c r="X24" s="232" t="str">
        <f t="shared" si="1"/>
        <v/>
      </c>
      <c r="Y24" s="232" t="str">
        <f t="shared" si="11"/>
        <v/>
      </c>
      <c r="Z24" s="247" t="str">
        <f t="shared" si="12"/>
        <v/>
      </c>
      <c r="AA24" s="247" t="str">
        <f t="shared" si="13"/>
        <v/>
      </c>
      <c r="AB24" s="234"/>
      <c r="AC24" s="157" t="str">
        <f t="shared" si="14"/>
        <v/>
      </c>
      <c r="AD24" s="218">
        <v>1</v>
      </c>
      <c r="AE24" s="218">
        <v>0.7</v>
      </c>
      <c r="AF24" s="359" t="str">
        <f t="shared" si="15"/>
        <v/>
      </c>
      <c r="AG24" s="13"/>
      <c r="AH24" s="217"/>
      <c r="AI24" s="60"/>
      <c r="AJ24" s="61"/>
    </row>
    <row r="25" spans="1:36" s="14" customFormat="1" x14ac:dyDescent="0.3">
      <c r="A25" s="471" t="s">
        <v>48</v>
      </c>
      <c r="B25" s="22" t="s">
        <v>73</v>
      </c>
      <c r="C25" s="35" t="s">
        <v>200</v>
      </c>
      <c r="D25" s="214">
        <v>10</v>
      </c>
      <c r="E25" s="54" t="str">
        <f>E9</f>
        <v>홍길동</v>
      </c>
      <c r="F25" s="425">
        <v>2</v>
      </c>
      <c r="G25" s="212">
        <v>10</v>
      </c>
      <c r="H25" s="214">
        <f>IF(F25&lt;=3,10,IF(F25=4,9,IF(F25=5,8,"실격")))</f>
        <v>10</v>
      </c>
      <c r="I25" s="282"/>
      <c r="J25" s="12"/>
      <c r="K25" s="355"/>
      <c r="L25" s="89"/>
      <c r="M25" s="89"/>
      <c r="N25" s="466"/>
      <c r="O25" s="467"/>
      <c r="P25" s="468"/>
      <c r="Q25" s="495" t="str">
        <f t="shared" si="0"/>
        <v/>
      </c>
      <c r="R25" s="496"/>
      <c r="S25" s="12"/>
      <c r="T25" s="209"/>
      <c r="U25" s="230"/>
      <c r="V25" s="231"/>
      <c r="W25" s="231"/>
      <c r="X25" s="232" t="str">
        <f t="shared" si="1"/>
        <v/>
      </c>
      <c r="Y25" s="232" t="str">
        <f t="shared" si="11"/>
        <v/>
      </c>
      <c r="Z25" s="247" t="str">
        <f t="shared" si="12"/>
        <v/>
      </c>
      <c r="AA25" s="247" t="str">
        <f t="shared" si="13"/>
        <v/>
      </c>
      <c r="AB25" s="234"/>
      <c r="AC25" s="157" t="str">
        <f t="shared" si="14"/>
        <v/>
      </c>
      <c r="AD25" s="218">
        <v>1</v>
      </c>
      <c r="AE25" s="218">
        <v>0.7</v>
      </c>
      <c r="AF25" s="359" t="str">
        <f t="shared" si="15"/>
        <v/>
      </c>
      <c r="AG25" s="13"/>
      <c r="AH25" s="217"/>
      <c r="AI25" s="18"/>
      <c r="AJ25" s="62"/>
    </row>
    <row r="26" spans="1:36" s="14" customFormat="1" x14ac:dyDescent="0.3">
      <c r="A26" s="473"/>
      <c r="B26" s="489" t="s">
        <v>62</v>
      </c>
      <c r="C26" s="490"/>
      <c r="D26" s="213">
        <f>D25</f>
        <v>10</v>
      </c>
      <c r="E26" s="489"/>
      <c r="F26" s="490"/>
      <c r="G26" s="152">
        <f>G25</f>
        <v>10</v>
      </c>
      <c r="H26" s="152">
        <f>H25</f>
        <v>10</v>
      </c>
      <c r="I26" s="281"/>
      <c r="J26" s="12"/>
      <c r="K26" s="355"/>
      <c r="L26" s="89"/>
      <c r="M26" s="89"/>
      <c r="N26" s="466"/>
      <c r="O26" s="467"/>
      <c r="P26" s="468"/>
      <c r="Q26" s="495" t="str">
        <f t="shared" si="0"/>
        <v/>
      </c>
      <c r="R26" s="496"/>
      <c r="S26" s="12"/>
      <c r="T26" s="209"/>
      <c r="U26" s="230"/>
      <c r="V26" s="231"/>
      <c r="W26" s="231"/>
      <c r="X26" s="232" t="str">
        <f t="shared" si="1"/>
        <v/>
      </c>
      <c r="Y26" s="232" t="str">
        <f t="shared" si="11"/>
        <v/>
      </c>
      <c r="Z26" s="247" t="str">
        <f t="shared" si="12"/>
        <v/>
      </c>
      <c r="AA26" s="247" t="str">
        <f t="shared" si="13"/>
        <v/>
      </c>
      <c r="AB26" s="234"/>
      <c r="AC26" s="157" t="str">
        <f t="shared" si="14"/>
        <v/>
      </c>
      <c r="AD26" s="218">
        <v>1</v>
      </c>
      <c r="AE26" s="218">
        <v>0.7</v>
      </c>
      <c r="AF26" s="359" t="str">
        <f t="shared" si="15"/>
        <v/>
      </c>
      <c r="AG26" s="13"/>
      <c r="AH26" s="215"/>
      <c r="AI26" s="18"/>
      <c r="AJ26" s="62"/>
    </row>
    <row r="27" spans="1:36" s="14" customFormat="1" x14ac:dyDescent="0.3">
      <c r="A27" s="471" t="s">
        <v>47</v>
      </c>
      <c r="B27" s="23" t="s">
        <v>49</v>
      </c>
      <c r="C27" s="32" t="s">
        <v>52</v>
      </c>
      <c r="D27" s="24">
        <v>2.5</v>
      </c>
      <c r="E27" s="517">
        <v>0.05</v>
      </c>
      <c r="F27" s="518"/>
      <c r="G27" s="141">
        <v>2.5</v>
      </c>
      <c r="H27" s="24">
        <f>IF(E27&lt;10%,2.5,IF(E27&lt;20%,2,IF(E27&lt;30%,1.5,0)))</f>
        <v>2.5</v>
      </c>
      <c r="I27" s="278"/>
      <c r="J27" s="12"/>
      <c r="K27" s="355"/>
      <c r="L27" s="89"/>
      <c r="M27" s="89"/>
      <c r="N27" s="466"/>
      <c r="O27" s="467"/>
      <c r="P27" s="468"/>
      <c r="Q27" s="495" t="str">
        <f t="shared" si="0"/>
        <v/>
      </c>
      <c r="R27" s="496"/>
      <c r="S27" s="12"/>
      <c r="T27" s="209"/>
      <c r="U27" s="230"/>
      <c r="V27" s="231"/>
      <c r="W27" s="231"/>
      <c r="X27" s="232" t="str">
        <f t="shared" si="1"/>
        <v/>
      </c>
      <c r="Y27" s="232" t="str">
        <f t="shared" si="11"/>
        <v/>
      </c>
      <c r="Z27" s="247" t="str">
        <f t="shared" si="12"/>
        <v/>
      </c>
      <c r="AA27" s="247" t="str">
        <f t="shared" si="13"/>
        <v/>
      </c>
      <c r="AB27" s="234"/>
      <c r="AC27" s="157" t="str">
        <f t="shared" si="14"/>
        <v/>
      </c>
      <c r="AD27" s="218">
        <v>1</v>
      </c>
      <c r="AE27" s="218">
        <v>0.7</v>
      </c>
      <c r="AF27" s="359" t="str">
        <f t="shared" si="15"/>
        <v/>
      </c>
      <c r="AG27" s="13"/>
      <c r="AH27" s="215"/>
      <c r="AI27" s="18"/>
      <c r="AJ27" s="62"/>
    </row>
    <row r="28" spans="1:36" s="14" customFormat="1" x14ac:dyDescent="0.3">
      <c r="A28" s="472"/>
      <c r="B28" s="39" t="s">
        <v>50</v>
      </c>
      <c r="C28" s="367" t="s">
        <v>51</v>
      </c>
      <c r="D28" s="29">
        <v>2.5</v>
      </c>
      <c r="E28" s="515">
        <v>1</v>
      </c>
      <c r="F28" s="516"/>
      <c r="G28" s="140">
        <v>2</v>
      </c>
      <c r="H28" s="29">
        <f>IF(E28&gt;5,0,(2.5-E28*0.5))</f>
        <v>2</v>
      </c>
      <c r="I28" s="283"/>
      <c r="J28" s="12"/>
      <c r="K28" s="355"/>
      <c r="L28" s="89"/>
      <c r="M28" s="89"/>
      <c r="N28" s="466"/>
      <c r="O28" s="467"/>
      <c r="P28" s="468"/>
      <c r="Q28" s="495" t="str">
        <f t="shared" si="0"/>
        <v/>
      </c>
      <c r="R28" s="496"/>
      <c r="S28" s="12"/>
      <c r="T28" s="209"/>
      <c r="U28" s="230"/>
      <c r="V28" s="231"/>
      <c r="W28" s="231"/>
      <c r="X28" s="232" t="str">
        <f t="shared" si="1"/>
        <v/>
      </c>
      <c r="Y28" s="232" t="str">
        <f t="shared" si="11"/>
        <v/>
      </c>
      <c r="Z28" s="247" t="str">
        <f t="shared" si="12"/>
        <v/>
      </c>
      <c r="AA28" s="247" t="str">
        <f t="shared" si="13"/>
        <v/>
      </c>
      <c r="AB28" s="234"/>
      <c r="AC28" s="157" t="str">
        <f t="shared" si="14"/>
        <v/>
      </c>
      <c r="AD28" s="218">
        <v>1</v>
      </c>
      <c r="AE28" s="218">
        <v>0.7</v>
      </c>
      <c r="AF28" s="359" t="str">
        <f t="shared" si="15"/>
        <v/>
      </c>
      <c r="AG28" s="13"/>
      <c r="AH28" s="215"/>
      <c r="AI28" s="18"/>
      <c r="AJ28" s="62"/>
    </row>
    <row r="29" spans="1:36" s="14" customFormat="1" x14ac:dyDescent="0.3">
      <c r="A29" s="473"/>
      <c r="B29" s="489" t="s">
        <v>62</v>
      </c>
      <c r="C29" s="490"/>
      <c r="D29" s="213">
        <v>5</v>
      </c>
      <c r="E29" s="489"/>
      <c r="F29" s="490"/>
      <c r="G29" s="92">
        <f>+G27+G28</f>
        <v>4.5</v>
      </c>
      <c r="H29" s="92">
        <f>+H27+H28</f>
        <v>4.5</v>
      </c>
      <c r="I29" s="281"/>
      <c r="J29" s="12"/>
      <c r="K29" s="355"/>
      <c r="L29" s="89"/>
      <c r="M29" s="89"/>
      <c r="N29" s="466"/>
      <c r="O29" s="467"/>
      <c r="P29" s="468"/>
      <c r="Q29" s="495" t="str">
        <f t="shared" si="0"/>
        <v/>
      </c>
      <c r="R29" s="496"/>
      <c r="S29" s="12"/>
      <c r="T29" s="209"/>
      <c r="U29" s="230"/>
      <c r="V29" s="231"/>
      <c r="W29" s="231"/>
      <c r="X29" s="232" t="str">
        <f t="shared" si="1"/>
        <v/>
      </c>
      <c r="Y29" s="232" t="str">
        <f t="shared" si="11"/>
        <v/>
      </c>
      <c r="Z29" s="247" t="str">
        <f t="shared" si="12"/>
        <v/>
      </c>
      <c r="AA29" s="247" t="str">
        <f t="shared" si="13"/>
        <v/>
      </c>
      <c r="AB29" s="234"/>
      <c r="AC29" s="157" t="str">
        <f t="shared" si="14"/>
        <v/>
      </c>
      <c r="AD29" s="218">
        <v>1</v>
      </c>
      <c r="AE29" s="218">
        <v>0.7</v>
      </c>
      <c r="AF29" s="359" t="str">
        <f t="shared" si="15"/>
        <v/>
      </c>
      <c r="AG29" s="13"/>
      <c r="AH29" s="215"/>
      <c r="AI29" s="18"/>
      <c r="AJ29" s="62"/>
    </row>
    <row r="30" spans="1:36" s="14" customFormat="1" ht="17.25" thickBot="1" x14ac:dyDescent="0.35">
      <c r="A30" s="471" t="s">
        <v>226</v>
      </c>
      <c r="B30" s="23" t="s">
        <v>53</v>
      </c>
      <c r="C30" s="370" t="s">
        <v>13</v>
      </c>
      <c r="D30" s="24">
        <v>3</v>
      </c>
      <c r="E30" s="513" t="s">
        <v>201</v>
      </c>
      <c r="F30" s="514"/>
      <c r="G30" s="141">
        <v>3</v>
      </c>
      <c r="H30" s="24">
        <f>IF(E30="제출",3,0)</f>
        <v>3</v>
      </c>
      <c r="I30" s="278"/>
      <c r="J30" s="12"/>
      <c r="K30" s="263" t="s">
        <v>191</v>
      </c>
      <c r="L30" s="264"/>
      <c r="M30" s="265"/>
      <c r="N30" s="486"/>
      <c r="O30" s="487"/>
      <c r="P30" s="488"/>
      <c r="Q30" s="539">
        <f>SUM(Q8:R29)</f>
        <v>7305</v>
      </c>
      <c r="R30" s="540"/>
      <c r="S30" s="12"/>
      <c r="T30" s="209"/>
      <c r="U30" s="230"/>
      <c r="V30" s="231"/>
      <c r="W30" s="231"/>
      <c r="X30" s="232" t="str">
        <f t="shared" si="1"/>
        <v/>
      </c>
      <c r="Y30" s="232" t="str">
        <f t="shared" si="11"/>
        <v/>
      </c>
      <c r="Z30" s="247" t="str">
        <f t="shared" si="12"/>
        <v/>
      </c>
      <c r="AA30" s="247" t="str">
        <f t="shared" si="13"/>
        <v/>
      </c>
      <c r="AB30" s="234"/>
      <c r="AC30" s="157" t="str">
        <f t="shared" si="14"/>
        <v/>
      </c>
      <c r="AD30" s="218">
        <v>1</v>
      </c>
      <c r="AE30" s="218">
        <v>0.7</v>
      </c>
      <c r="AF30" s="359" t="str">
        <f t="shared" si="15"/>
        <v/>
      </c>
      <c r="AG30" s="13"/>
      <c r="AH30" s="215"/>
      <c r="AI30" s="18"/>
      <c r="AJ30" s="62"/>
    </row>
    <row r="31" spans="1:36" s="14" customFormat="1" x14ac:dyDescent="0.3">
      <c r="A31" s="472"/>
      <c r="B31" s="39" t="s">
        <v>54</v>
      </c>
      <c r="C31" s="371" t="s">
        <v>13</v>
      </c>
      <c r="D31" s="29">
        <v>2</v>
      </c>
      <c r="E31" s="515" t="s">
        <v>202</v>
      </c>
      <c r="F31" s="516"/>
      <c r="G31" s="140">
        <v>2</v>
      </c>
      <c r="H31" s="29">
        <f>IF(E31="제출",2,0)</f>
        <v>2</v>
      </c>
      <c r="I31" s="283"/>
      <c r="J31" s="12"/>
      <c r="S31" s="12"/>
      <c r="T31" s="209"/>
      <c r="U31" s="230"/>
      <c r="V31" s="231"/>
      <c r="W31" s="231"/>
      <c r="X31" s="232" t="str">
        <f t="shared" si="1"/>
        <v/>
      </c>
      <c r="Y31" s="232" t="str">
        <f t="shared" si="11"/>
        <v/>
      </c>
      <c r="Z31" s="247" t="str">
        <f t="shared" si="12"/>
        <v/>
      </c>
      <c r="AA31" s="247" t="str">
        <f t="shared" si="13"/>
        <v/>
      </c>
      <c r="AB31" s="234"/>
      <c r="AC31" s="157" t="str">
        <f t="shared" si="14"/>
        <v/>
      </c>
      <c r="AD31" s="218">
        <v>1</v>
      </c>
      <c r="AE31" s="218">
        <v>0.7</v>
      </c>
      <c r="AF31" s="359" t="str">
        <f t="shared" si="15"/>
        <v/>
      </c>
      <c r="AG31" s="13"/>
      <c r="AH31" s="215"/>
      <c r="AI31" s="18"/>
      <c r="AJ31" s="62"/>
    </row>
    <row r="32" spans="1:36" s="14" customFormat="1" ht="17.25" thickBot="1" x14ac:dyDescent="0.35">
      <c r="A32" s="473"/>
      <c r="B32" s="489" t="s">
        <v>62</v>
      </c>
      <c r="C32" s="490"/>
      <c r="D32" s="213">
        <v>5</v>
      </c>
      <c r="E32" s="489"/>
      <c r="F32" s="490"/>
      <c r="G32" s="213">
        <f>+G30+G31</f>
        <v>5</v>
      </c>
      <c r="H32" s="213">
        <f>+H30+H31</f>
        <v>5</v>
      </c>
      <c r="I32" s="281"/>
      <c r="J32" s="12"/>
      <c r="K32" s="76" t="s">
        <v>219</v>
      </c>
      <c r="L32" s="16"/>
      <c r="M32" s="17"/>
      <c r="N32" s="17"/>
      <c r="O32" s="18"/>
      <c r="P32" s="18"/>
      <c r="Q32" s="17"/>
      <c r="R32" s="19"/>
      <c r="S32" s="12"/>
      <c r="T32" s="209"/>
      <c r="U32" s="230"/>
      <c r="V32" s="231"/>
      <c r="W32" s="231"/>
      <c r="X32" s="232" t="str">
        <f t="shared" si="1"/>
        <v/>
      </c>
      <c r="Y32" s="232" t="str">
        <f t="shared" si="11"/>
        <v/>
      </c>
      <c r="Z32" s="247" t="str">
        <f t="shared" si="12"/>
        <v/>
      </c>
      <c r="AA32" s="247" t="str">
        <f t="shared" si="13"/>
        <v/>
      </c>
      <c r="AB32" s="234"/>
      <c r="AC32" s="157" t="str">
        <f t="shared" si="14"/>
        <v/>
      </c>
      <c r="AD32" s="218">
        <v>1</v>
      </c>
      <c r="AE32" s="218">
        <v>0.7</v>
      </c>
      <c r="AF32" s="359" t="str">
        <f t="shared" si="15"/>
        <v/>
      </c>
      <c r="AG32" s="13"/>
      <c r="AH32" s="217"/>
      <c r="AI32" s="18"/>
      <c r="AJ32" s="62"/>
    </row>
    <row r="33" spans="1:36" s="14" customFormat="1" ht="33" x14ac:dyDescent="0.3">
      <c r="A33" s="471" t="s">
        <v>331</v>
      </c>
      <c r="B33" s="32" t="s">
        <v>57</v>
      </c>
      <c r="C33" s="32" t="s">
        <v>205</v>
      </c>
      <c r="D33" s="24">
        <v>1</v>
      </c>
      <c r="E33" s="474">
        <v>43101</v>
      </c>
      <c r="F33" s="475"/>
      <c r="G33" s="141">
        <v>1</v>
      </c>
      <c r="H33" s="24">
        <f>IF(E33="","",IF(E33&lt;=($B$3-180),1,0))</f>
        <v>1</v>
      </c>
      <c r="I33" s="278"/>
      <c r="J33" s="12"/>
      <c r="K33" s="145" t="s">
        <v>19</v>
      </c>
      <c r="L33" s="146" t="s">
        <v>36</v>
      </c>
      <c r="M33" s="147" t="s">
        <v>43</v>
      </c>
      <c r="N33" s="147" t="s">
        <v>38</v>
      </c>
      <c r="O33" s="206" t="s">
        <v>39</v>
      </c>
      <c r="P33" s="206" t="s">
        <v>42</v>
      </c>
      <c r="Q33" s="147" t="s">
        <v>41</v>
      </c>
      <c r="R33" s="207" t="s">
        <v>40</v>
      </c>
      <c r="S33" s="12"/>
      <c r="T33" s="209"/>
      <c r="U33" s="230"/>
      <c r="V33" s="231"/>
      <c r="W33" s="231"/>
      <c r="X33" s="232" t="str">
        <f t="shared" si="1"/>
        <v/>
      </c>
      <c r="Y33" s="232" t="str">
        <f t="shared" si="11"/>
        <v/>
      </c>
      <c r="Z33" s="247" t="str">
        <f t="shared" si="12"/>
        <v/>
      </c>
      <c r="AA33" s="247" t="str">
        <f t="shared" si="13"/>
        <v/>
      </c>
      <c r="AB33" s="234"/>
      <c r="AC33" s="157" t="str">
        <f t="shared" si="14"/>
        <v/>
      </c>
      <c r="AD33" s="218">
        <v>1</v>
      </c>
      <c r="AE33" s="218">
        <v>0.7</v>
      </c>
      <c r="AF33" s="359" t="str">
        <f t="shared" si="15"/>
        <v/>
      </c>
      <c r="AG33" s="13"/>
      <c r="AH33" s="217"/>
      <c r="AI33" s="18"/>
      <c r="AJ33" s="62"/>
    </row>
    <row r="34" spans="1:36" s="14" customFormat="1" x14ac:dyDescent="0.3">
      <c r="A34" s="472"/>
      <c r="B34" s="33" t="s">
        <v>58</v>
      </c>
      <c r="C34" s="33" t="s">
        <v>312</v>
      </c>
      <c r="D34" s="28">
        <v>1</v>
      </c>
      <c r="E34" s="372" t="str">
        <f>E9</f>
        <v>홍길동</v>
      </c>
      <c r="F34" s="374" t="s">
        <v>207</v>
      </c>
      <c r="G34" s="139">
        <v>0.4</v>
      </c>
      <c r="H34" s="373">
        <f>IF(F34="소방기술사",1,IF(F34="소방설비기사",0.4,IF(F34="소방설비산업기사",0.3,0)))</f>
        <v>0.4</v>
      </c>
      <c r="I34" s="279"/>
      <c r="J34" s="12"/>
      <c r="K34" s="356" t="s">
        <v>72</v>
      </c>
      <c r="L34" s="148" t="s">
        <v>214</v>
      </c>
      <c r="M34" s="222">
        <v>43101</v>
      </c>
      <c r="N34" s="223">
        <f>IF(L34="","",($B$3-M34)/365)</f>
        <v>4.0684931506849313</v>
      </c>
      <c r="O34" s="224">
        <f>IF(N34="","",IF(K34="특허",(IF(N34&lt;=5,100%,IF(N34&lt;=10,80%,IF(N34&lt;=20,60%)))),(IF(N34&lt;=5,100%,IF(N34&lt;=10,80%,IF(N34&lt;=20,0))))))</f>
        <v>1</v>
      </c>
      <c r="P34" s="218" t="s">
        <v>216</v>
      </c>
      <c r="Q34" s="225">
        <v>1</v>
      </c>
      <c r="R34" s="358">
        <f>IF(L34="","",2*O34/Q34)</f>
        <v>2</v>
      </c>
      <c r="S34" s="12"/>
      <c r="T34" s="209"/>
      <c r="U34" s="230"/>
      <c r="V34" s="231"/>
      <c r="W34" s="231"/>
      <c r="X34" s="232" t="str">
        <f t="shared" si="1"/>
        <v/>
      </c>
      <c r="Y34" s="232" t="str">
        <f t="shared" si="11"/>
        <v/>
      </c>
      <c r="Z34" s="247" t="str">
        <f t="shared" si="12"/>
        <v/>
      </c>
      <c r="AA34" s="247" t="str">
        <f t="shared" si="13"/>
        <v/>
      </c>
      <c r="AB34" s="234"/>
      <c r="AC34" s="157" t="str">
        <f t="shared" si="14"/>
        <v/>
      </c>
      <c r="AD34" s="218">
        <v>1</v>
      </c>
      <c r="AE34" s="218">
        <v>0.7</v>
      </c>
      <c r="AF34" s="359" t="str">
        <f t="shared" si="15"/>
        <v/>
      </c>
      <c r="AG34" s="13"/>
      <c r="AH34" s="217"/>
      <c r="AI34" s="18"/>
      <c r="AJ34" s="62"/>
    </row>
    <row r="35" spans="1:36" s="14" customFormat="1" x14ac:dyDescent="0.3">
      <c r="A35" s="472"/>
      <c r="B35" s="529" t="s">
        <v>336</v>
      </c>
      <c r="C35" s="431" t="s">
        <v>337</v>
      </c>
      <c r="D35" s="469">
        <v>-5</v>
      </c>
      <c r="E35" s="476">
        <v>1</v>
      </c>
      <c r="F35" s="477"/>
      <c r="G35" s="484">
        <v>-0.2</v>
      </c>
      <c r="H35" s="469">
        <f>IF((E35+E36)/2&gt;=20,-5,IF((E35+E36)/2&gt;=15,-3,IF((E35+E36)/2&gt;=10,-2,IF((E35+E36)/2&gt;=5,-1,IF((E35+E36)/2&gt;=2,-0.5,IF((E35+E36)/2&gt;=1,-0.2,0))))))</f>
        <v>-0.2</v>
      </c>
      <c r="I35" s="279"/>
      <c r="J35" s="12"/>
      <c r="K35" s="357" t="s">
        <v>217</v>
      </c>
      <c r="L35" s="148" t="s">
        <v>215</v>
      </c>
      <c r="M35" s="222">
        <v>40544</v>
      </c>
      <c r="N35" s="223">
        <f t="shared" ref="N35:N37" si="16">IF(L35="","",($B$3-M35)/365)</f>
        <v>11.073972602739726</v>
      </c>
      <c r="O35" s="224">
        <f t="shared" ref="O35:O37" si="17">IF(N35="","",IF(K35="특허",(IF(N35&lt;=5,100%,IF(N35&lt;=10,80%,IF(N35&lt;=20,60%)))),(IF(N35&lt;=5,100%,IF(N35&lt;=10,80%,IF(N35&lt;=20,0))))))</f>
        <v>0.6</v>
      </c>
      <c r="P35" s="218" t="s">
        <v>216</v>
      </c>
      <c r="Q35" s="225">
        <v>2</v>
      </c>
      <c r="R35" s="358">
        <f t="shared" ref="R35:R37" si="18">IF(L35="","",2*O35/Q35)</f>
        <v>0.6</v>
      </c>
      <c r="S35" s="12"/>
      <c r="T35" s="209"/>
      <c r="U35" s="230"/>
      <c r="V35" s="231"/>
      <c r="W35" s="231"/>
      <c r="X35" s="232" t="str">
        <f t="shared" si="1"/>
        <v/>
      </c>
      <c r="Y35" s="232" t="str">
        <f t="shared" si="11"/>
        <v/>
      </c>
      <c r="Z35" s="247" t="str">
        <f t="shared" si="12"/>
        <v/>
      </c>
      <c r="AA35" s="247" t="str">
        <f t="shared" si="13"/>
        <v/>
      </c>
      <c r="AB35" s="234"/>
      <c r="AC35" s="157" t="str">
        <f t="shared" si="14"/>
        <v/>
      </c>
      <c r="AD35" s="218">
        <v>1</v>
      </c>
      <c r="AE35" s="218">
        <v>0.7</v>
      </c>
      <c r="AF35" s="359" t="str">
        <f t="shared" si="15"/>
        <v/>
      </c>
      <c r="AG35" s="13"/>
      <c r="AH35" s="217"/>
      <c r="AI35" s="18"/>
      <c r="AJ35" s="62"/>
    </row>
    <row r="36" spans="1:36" s="14" customFormat="1" x14ac:dyDescent="0.3">
      <c r="A36" s="472"/>
      <c r="B36" s="530"/>
      <c r="C36" s="432" t="s">
        <v>338</v>
      </c>
      <c r="D36" s="470"/>
      <c r="E36" s="531">
        <v>1</v>
      </c>
      <c r="F36" s="532"/>
      <c r="G36" s="485"/>
      <c r="H36" s="470"/>
      <c r="I36" s="283"/>
      <c r="J36" s="12"/>
      <c r="K36" s="305" t="s">
        <v>212</v>
      </c>
      <c r="L36" s="148" t="s">
        <v>214</v>
      </c>
      <c r="M36" s="89">
        <v>42736</v>
      </c>
      <c r="N36" s="223">
        <f t="shared" si="16"/>
        <v>5.0684931506849313</v>
      </c>
      <c r="O36" s="224">
        <f t="shared" si="17"/>
        <v>0.8</v>
      </c>
      <c r="P36" s="218" t="s">
        <v>216</v>
      </c>
      <c r="Q36" s="226">
        <v>1</v>
      </c>
      <c r="R36" s="358">
        <f t="shared" si="18"/>
        <v>1.6</v>
      </c>
      <c r="S36" s="12"/>
      <c r="T36" s="220"/>
      <c r="U36" s="252"/>
      <c r="V36" s="253"/>
      <c r="W36" s="253"/>
      <c r="X36" s="232"/>
      <c r="Y36" s="232"/>
      <c r="Z36" s="247" t="str">
        <f t="shared" si="12"/>
        <v/>
      </c>
      <c r="AA36" s="247" t="str">
        <f t="shared" si="13"/>
        <v/>
      </c>
      <c r="AB36" s="254"/>
      <c r="AC36" s="157"/>
      <c r="AD36" s="255">
        <v>1</v>
      </c>
      <c r="AE36" s="255">
        <v>0.7</v>
      </c>
      <c r="AF36" s="359"/>
      <c r="AG36" s="13"/>
      <c r="AH36" s="217"/>
      <c r="AI36" s="18"/>
      <c r="AJ36" s="62"/>
    </row>
    <row r="37" spans="1:36" s="14" customFormat="1" ht="17.25" thickBot="1" x14ac:dyDescent="0.35">
      <c r="A37" s="473"/>
      <c r="B37" s="536" t="s">
        <v>62</v>
      </c>
      <c r="C37" s="536"/>
      <c r="D37" s="213"/>
      <c r="E37" s="489"/>
      <c r="F37" s="490"/>
      <c r="G37" s="92">
        <f>SUM(G33:G36)</f>
        <v>1.2</v>
      </c>
      <c r="H37" s="92">
        <f>SUM(H33:H35)</f>
        <v>1.2</v>
      </c>
      <c r="I37" s="281"/>
      <c r="J37" s="12"/>
      <c r="K37" s="305" t="s">
        <v>212</v>
      </c>
      <c r="L37" s="148" t="s">
        <v>215</v>
      </c>
      <c r="M37" s="89">
        <v>40544</v>
      </c>
      <c r="N37" s="223">
        <f t="shared" si="16"/>
        <v>11.073972602739726</v>
      </c>
      <c r="O37" s="224">
        <f t="shared" si="17"/>
        <v>0</v>
      </c>
      <c r="P37" s="218" t="s">
        <v>216</v>
      </c>
      <c r="Q37" s="227">
        <v>1</v>
      </c>
      <c r="R37" s="358">
        <f t="shared" si="18"/>
        <v>0</v>
      </c>
      <c r="S37" s="12"/>
      <c r="T37" s="210"/>
      <c r="U37" s="236"/>
      <c r="V37" s="237"/>
      <c r="W37" s="237"/>
      <c r="X37" s="232" t="str">
        <f t="shared" si="1"/>
        <v/>
      </c>
      <c r="Y37" s="232" t="str">
        <f t="shared" si="11"/>
        <v/>
      </c>
      <c r="Z37" s="247" t="str">
        <f t="shared" si="12"/>
        <v/>
      </c>
      <c r="AA37" s="247" t="str">
        <f t="shared" si="13"/>
        <v/>
      </c>
      <c r="AB37" s="240"/>
      <c r="AC37" s="157" t="str">
        <f t="shared" si="14"/>
        <v/>
      </c>
      <c r="AD37" s="242">
        <v>1</v>
      </c>
      <c r="AE37" s="242">
        <v>0.7</v>
      </c>
      <c r="AF37" s="359" t="str">
        <f t="shared" si="15"/>
        <v/>
      </c>
      <c r="AG37" s="13"/>
      <c r="AH37" s="215"/>
      <c r="AI37" s="18"/>
      <c r="AJ37" s="62"/>
    </row>
    <row r="38" spans="1:36" s="14" customFormat="1" ht="17.25" thickBot="1" x14ac:dyDescent="0.35">
      <c r="A38" s="533" t="s">
        <v>61</v>
      </c>
      <c r="B38" s="534"/>
      <c r="C38" s="535"/>
      <c r="D38" s="284">
        <f>SUM(D11,D13,D20,D24,D26,D29,D32)</f>
        <v>100</v>
      </c>
      <c r="E38" s="527"/>
      <c r="F38" s="528"/>
      <c r="G38" s="285">
        <f>SUM(G11,G13,G20,G24,G26,G29,G32,G37)</f>
        <v>99.3</v>
      </c>
      <c r="H38" s="285">
        <f>IF(SUM(H11,H13,H20,H24,H26,H29,H32,H37)&gt;100,100,SUM(H11,H13,H20,H24,H26,H29,H32,H37))</f>
        <v>97.3</v>
      </c>
      <c r="I38" s="286" t="str">
        <f>IF(H38&gt;=80,"적격","부적격")</f>
        <v>적격</v>
      </c>
      <c r="J38" s="12"/>
      <c r="K38" s="267" t="s">
        <v>59</v>
      </c>
      <c r="L38" s="268">
        <f>COUNTA(L34:L37)</f>
        <v>4</v>
      </c>
      <c r="M38" s="269"/>
      <c r="N38" s="270"/>
      <c r="O38" s="271"/>
      <c r="P38" s="271"/>
      <c r="Q38" s="271"/>
      <c r="R38" s="272">
        <f>IF(SUM(R34:R37)&gt;=4,4,SUM(R34:R37))</f>
        <v>4</v>
      </c>
      <c r="S38" s="12"/>
      <c r="T38" s="208" t="s">
        <v>60</v>
      </c>
      <c r="U38" s="256"/>
      <c r="V38" s="256"/>
      <c r="W38" s="256"/>
      <c r="X38" s="256"/>
      <c r="Y38" s="256"/>
      <c r="Z38" s="256"/>
      <c r="AA38" s="256"/>
      <c r="AB38" s="256"/>
      <c r="AC38" s="257"/>
      <c r="AD38" s="258"/>
      <c r="AE38" s="259"/>
      <c r="AF38" s="362">
        <f>SUM(AF8:AF37)</f>
        <v>433821630</v>
      </c>
      <c r="AG38" s="13"/>
      <c r="AH38" s="215"/>
      <c r="AI38" s="18"/>
      <c r="AJ38" s="62"/>
    </row>
    <row r="39" spans="1:36" s="14" customFormat="1" x14ac:dyDescent="0.3">
      <c r="A39" s="101"/>
      <c r="B39" s="102"/>
      <c r="C39" s="55"/>
      <c r="D39" s="102"/>
      <c r="E39" s="102"/>
      <c r="F39" s="103"/>
      <c r="G39" s="102"/>
      <c r="H39" s="102"/>
      <c r="I39" s="102"/>
      <c r="J39" s="12"/>
      <c r="K39" s="188"/>
      <c r="L39" s="191"/>
      <c r="M39" s="192"/>
      <c r="N39" s="192"/>
      <c r="O39" s="193"/>
      <c r="P39" s="194"/>
      <c r="Q39" s="194"/>
      <c r="R39" s="194"/>
      <c r="S39" s="12"/>
      <c r="T39" s="195"/>
      <c r="U39" s="196"/>
      <c r="V39" s="197"/>
      <c r="W39" s="197"/>
      <c r="X39" s="197"/>
      <c r="Y39" s="197"/>
      <c r="Z39" s="198"/>
      <c r="AA39" s="198"/>
      <c r="AB39" s="199"/>
      <c r="AC39" s="200"/>
      <c r="AD39" s="201"/>
      <c r="AE39" s="201"/>
      <c r="AF39" s="202"/>
      <c r="AG39" s="13"/>
      <c r="AI39" s="18"/>
      <c r="AJ39" s="62"/>
    </row>
    <row r="40" spans="1:36" s="14" customFormat="1" x14ac:dyDescent="0.3">
      <c r="F40" s="186" t="s">
        <v>182</v>
      </c>
      <c r="J40" s="12"/>
      <c r="K40" s="188" t="s">
        <v>218</v>
      </c>
      <c r="L40" s="191"/>
      <c r="M40" s="192"/>
      <c r="N40" s="192"/>
      <c r="O40" s="193"/>
      <c r="P40" s="194"/>
      <c r="Q40" s="194"/>
      <c r="R40" s="194"/>
      <c r="S40" s="12"/>
      <c r="T40" s="195"/>
      <c r="U40" s="196"/>
      <c r="V40" s="197"/>
      <c r="W40" s="197"/>
      <c r="X40" s="197"/>
      <c r="Y40" s="197"/>
      <c r="Z40" s="198"/>
      <c r="AA40" s="198"/>
      <c r="AB40" s="199"/>
      <c r="AC40" s="200"/>
      <c r="AD40" s="201"/>
      <c r="AE40" s="201"/>
      <c r="AF40" s="202"/>
      <c r="AG40" s="13"/>
      <c r="AI40" s="66"/>
      <c r="AJ40" s="62"/>
    </row>
    <row r="41" spans="1:36" s="14" customFormat="1" x14ac:dyDescent="0.3">
      <c r="A41" s="131"/>
      <c r="B41" s="132"/>
      <c r="C41" s="132"/>
      <c r="F41" s="114" t="s">
        <v>183</v>
      </c>
      <c r="J41" s="12"/>
      <c r="K41" s="188" t="s">
        <v>213</v>
      </c>
      <c r="L41" s="191"/>
      <c r="M41" s="192"/>
      <c r="N41" s="192"/>
      <c r="O41" s="194"/>
      <c r="P41" s="194"/>
      <c r="Q41" s="194"/>
      <c r="R41" s="194"/>
      <c r="S41" s="12"/>
      <c r="T41" s="195"/>
      <c r="U41" s="196"/>
      <c r="V41" s="197"/>
      <c r="W41" s="197"/>
      <c r="X41" s="197"/>
      <c r="Y41" s="197"/>
      <c r="Z41" s="198"/>
      <c r="AA41" s="198"/>
      <c r="AB41" s="199"/>
      <c r="AC41" s="200"/>
      <c r="AD41" s="201"/>
      <c r="AE41" s="201"/>
      <c r="AF41" s="202"/>
      <c r="AG41" s="13"/>
      <c r="AI41" s="66"/>
      <c r="AJ41" s="62"/>
    </row>
    <row r="42" spans="1:36" s="14" customFormat="1" x14ac:dyDescent="0.3">
      <c r="A42" s="133"/>
      <c r="B42" s="134"/>
      <c r="C42" s="135"/>
      <c r="D42" s="102"/>
      <c r="E42" s="102"/>
      <c r="F42" s="114" t="s">
        <v>184</v>
      </c>
      <c r="G42" s="102"/>
      <c r="H42" s="102"/>
      <c r="I42" s="102"/>
      <c r="J42" s="12"/>
      <c r="K42" s="188"/>
      <c r="L42" s="191"/>
      <c r="M42" s="192"/>
      <c r="N42" s="192"/>
      <c r="O42" s="188"/>
      <c r="P42" s="188"/>
      <c r="Q42" s="188"/>
      <c r="R42" s="188"/>
      <c r="S42" s="12"/>
      <c r="T42" s="195"/>
      <c r="U42" s="196"/>
      <c r="V42" s="197"/>
      <c r="W42" s="197"/>
      <c r="X42" s="197"/>
      <c r="Y42" s="197"/>
      <c r="Z42" s="198"/>
      <c r="AA42" s="198"/>
      <c r="AB42" s="199"/>
      <c r="AC42" s="200"/>
      <c r="AD42" s="201"/>
      <c r="AE42" s="201"/>
      <c r="AF42" s="202"/>
      <c r="AG42" s="13"/>
      <c r="AI42" s="66"/>
      <c r="AJ42" s="62"/>
    </row>
    <row r="43" spans="1:36" s="14" customFormat="1" x14ac:dyDescent="0.3">
      <c r="A43" s="133"/>
      <c r="B43" s="134"/>
      <c r="C43" s="135"/>
      <c r="D43" s="102"/>
      <c r="E43" s="102"/>
      <c r="F43" s="15" t="s">
        <v>185</v>
      </c>
      <c r="G43" s="102"/>
      <c r="H43" s="102"/>
      <c r="I43" s="102"/>
      <c r="J43" s="12"/>
      <c r="K43" s="188"/>
      <c r="L43" s="191"/>
      <c r="M43" s="192"/>
      <c r="N43" s="192"/>
      <c r="O43" s="188"/>
      <c r="P43" s="188"/>
      <c r="Q43" s="188"/>
      <c r="R43" s="188"/>
      <c r="S43" s="12"/>
      <c r="T43" s="195"/>
      <c r="U43" s="196"/>
      <c r="V43" s="197"/>
      <c r="W43" s="197"/>
      <c r="X43" s="197"/>
      <c r="Y43" s="197"/>
      <c r="Z43" s="198"/>
      <c r="AA43" s="198"/>
      <c r="AB43" s="199"/>
      <c r="AC43" s="200"/>
      <c r="AD43" s="201"/>
      <c r="AE43" s="201"/>
      <c r="AF43" s="202"/>
      <c r="AG43" s="13"/>
      <c r="AI43" s="66"/>
      <c r="AJ43" s="62"/>
    </row>
    <row r="44" spans="1:36" s="14" customFormat="1" x14ac:dyDescent="0.3">
      <c r="A44" s="133"/>
      <c r="B44" s="134"/>
      <c r="C44" s="135"/>
      <c r="D44" s="102"/>
      <c r="E44" s="102"/>
      <c r="F44" s="15" t="s">
        <v>186</v>
      </c>
      <c r="G44" s="102"/>
      <c r="H44" s="102"/>
      <c r="I44" s="102"/>
      <c r="J44" s="12"/>
      <c r="S44" s="12"/>
      <c r="T44" s="195"/>
      <c r="U44" s="196"/>
      <c r="V44" s="197"/>
      <c r="W44" s="197"/>
      <c r="X44" s="197"/>
      <c r="Y44" s="197"/>
      <c r="Z44" s="198"/>
      <c r="AA44" s="198"/>
      <c r="AB44" s="199"/>
      <c r="AC44" s="200"/>
      <c r="AD44" s="201"/>
      <c r="AE44" s="201"/>
      <c r="AF44" s="202"/>
      <c r="AG44" s="13"/>
      <c r="AI44" s="66"/>
      <c r="AJ44" s="62"/>
    </row>
    <row r="45" spans="1:36" x14ac:dyDescent="0.3">
      <c r="A45" s="133"/>
      <c r="B45" s="134"/>
      <c r="C45" s="134"/>
      <c r="D45" s="102"/>
      <c r="E45" s="102"/>
      <c r="F45" s="103" t="s">
        <v>203</v>
      </c>
      <c r="G45" s="102"/>
      <c r="H45" s="102"/>
      <c r="I45" s="102"/>
      <c r="K45" s="78"/>
      <c r="L45" s="79"/>
      <c r="M45" s="80"/>
      <c r="N45" s="80"/>
      <c r="O45" s="78"/>
      <c r="P45" s="78"/>
      <c r="Q45" s="78"/>
      <c r="R45" s="78"/>
      <c r="S45" s="37"/>
      <c r="T45" s="195"/>
      <c r="U45" s="196"/>
      <c r="V45" s="197"/>
      <c r="W45" s="197"/>
      <c r="X45" s="197"/>
      <c r="Y45" s="197"/>
      <c r="Z45" s="198"/>
      <c r="AA45" s="198"/>
      <c r="AB45" s="199"/>
      <c r="AC45" s="200"/>
      <c r="AD45" s="201"/>
      <c r="AE45" s="201"/>
      <c r="AF45" s="202"/>
      <c r="AI45" s="66"/>
      <c r="AJ45" s="62"/>
    </row>
    <row r="46" spans="1:36" x14ac:dyDescent="0.3">
      <c r="A46" s="136"/>
      <c r="B46" s="137"/>
      <c r="C46" s="137"/>
      <c r="D46" s="15"/>
      <c r="E46" s="124"/>
      <c r="F46" s="219" t="s">
        <v>204</v>
      </c>
      <c r="G46" s="15"/>
      <c r="H46" s="15"/>
      <c r="I46" s="105"/>
      <c r="K46" s="78"/>
      <c r="L46" s="79"/>
      <c r="M46" s="80"/>
      <c r="N46" s="80"/>
      <c r="O46" s="78"/>
      <c r="P46" s="78"/>
      <c r="Q46" s="78"/>
      <c r="R46" s="78"/>
      <c r="S46" s="37"/>
      <c r="AG46" s="4" t="s">
        <v>8</v>
      </c>
      <c r="AI46" s="66"/>
      <c r="AJ46" s="62"/>
    </row>
    <row r="47" spans="1:36" x14ac:dyDescent="0.3">
      <c r="A47" s="136"/>
      <c r="B47" s="138"/>
      <c r="C47" s="138"/>
      <c r="D47" s="15"/>
      <c r="E47" s="125"/>
      <c r="F47" s="125" t="s">
        <v>206</v>
      </c>
      <c r="G47" s="15"/>
      <c r="H47" s="15"/>
      <c r="I47" s="106"/>
      <c r="K47" s="81"/>
      <c r="L47" s="81"/>
      <c r="M47" s="81"/>
      <c r="N47" s="81"/>
      <c r="O47" s="81"/>
      <c r="P47" s="81"/>
      <c r="Q47" s="81"/>
      <c r="R47" s="81"/>
      <c r="S47" s="78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I47" s="66"/>
      <c r="AJ47" s="62"/>
    </row>
    <row r="48" spans="1:36" x14ac:dyDescent="0.3">
      <c r="A48" s="123"/>
      <c r="B48" s="110"/>
      <c r="C48" s="110"/>
      <c r="D48" s="105"/>
      <c r="E48" s="110"/>
      <c r="F48" s="181" t="s">
        <v>208</v>
      </c>
      <c r="G48" s="105"/>
      <c r="H48" s="105"/>
      <c r="I48" s="107"/>
      <c r="K48" s="81"/>
      <c r="L48" s="81"/>
      <c r="M48" s="81"/>
      <c r="N48" s="81"/>
      <c r="O48" s="81"/>
      <c r="P48" s="81"/>
      <c r="Q48" s="81"/>
      <c r="R48" s="81"/>
      <c r="S48" s="78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H48" s="14"/>
      <c r="AI48" s="66"/>
      <c r="AJ48" s="62"/>
    </row>
    <row r="49" spans="1:36" x14ac:dyDescent="0.3">
      <c r="A49" s="123"/>
      <c r="B49" s="105"/>
      <c r="C49" s="102"/>
      <c r="D49" s="15"/>
      <c r="E49" s="108"/>
      <c r="F49" s="108" t="s">
        <v>209</v>
      </c>
      <c r="G49" s="15"/>
      <c r="H49" s="15"/>
      <c r="I49" s="107"/>
      <c r="K49" s="78"/>
      <c r="L49" s="79"/>
      <c r="M49" s="80"/>
      <c r="N49" s="80"/>
      <c r="O49" s="78"/>
      <c r="P49" s="78"/>
      <c r="Q49" s="78"/>
      <c r="R49" s="78"/>
      <c r="S49" s="78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H49" s="14"/>
      <c r="AI49" s="66"/>
      <c r="AJ49" s="62"/>
    </row>
    <row r="50" spans="1:36" x14ac:dyDescent="0.3">
      <c r="A50" s="123"/>
      <c r="B50" s="105"/>
      <c r="C50" s="102"/>
      <c r="D50" s="15"/>
      <c r="E50" s="104"/>
      <c r="F50" s="109"/>
      <c r="G50" s="15"/>
      <c r="H50" s="15"/>
      <c r="I50" s="107"/>
      <c r="K50" s="81"/>
      <c r="L50" s="81"/>
      <c r="M50" s="81"/>
      <c r="N50" s="81"/>
      <c r="O50" s="81"/>
      <c r="P50" s="81"/>
      <c r="Q50" s="81"/>
      <c r="R50" s="81"/>
      <c r="S50" s="78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H50" s="14"/>
      <c r="AI50" s="66"/>
      <c r="AJ50" s="62"/>
    </row>
    <row r="51" spans="1:36" x14ac:dyDescent="0.3">
      <c r="A51" s="123"/>
      <c r="B51" s="110"/>
      <c r="C51" s="110"/>
      <c r="D51" s="105"/>
      <c r="E51" s="110"/>
      <c r="F51" s="110"/>
      <c r="G51" s="105"/>
      <c r="H51" s="105"/>
      <c r="I51" s="107"/>
      <c r="K51" s="81"/>
      <c r="L51" s="81"/>
      <c r="M51" s="81"/>
      <c r="N51" s="81"/>
      <c r="O51" s="81"/>
      <c r="P51" s="81"/>
      <c r="Q51" s="81"/>
      <c r="R51" s="81"/>
      <c r="S51" s="78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H51" s="14"/>
      <c r="AI51" s="66"/>
      <c r="AJ51" s="62"/>
    </row>
    <row r="52" spans="1:36" x14ac:dyDescent="0.3">
      <c r="A52" s="105"/>
      <c r="B52" s="110"/>
      <c r="C52" s="102"/>
      <c r="D52" s="15"/>
      <c r="E52" s="104"/>
      <c r="F52" s="108"/>
      <c r="G52" s="15"/>
      <c r="H52" s="15"/>
      <c r="I52" s="107"/>
      <c r="K52" s="81"/>
      <c r="L52" s="81"/>
      <c r="M52" s="81"/>
      <c r="N52" s="81"/>
      <c r="O52" s="81"/>
      <c r="P52" s="81"/>
      <c r="Q52" s="81"/>
      <c r="R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H52" s="14"/>
      <c r="AI52" s="66"/>
      <c r="AJ52" s="62"/>
    </row>
    <row r="53" spans="1:36" x14ac:dyDescent="0.3">
      <c r="A53" s="110"/>
      <c r="B53" s="110"/>
      <c r="C53" s="111"/>
      <c r="D53" s="111"/>
      <c r="E53" s="117"/>
      <c r="F53" s="117"/>
      <c r="G53" s="111"/>
      <c r="H53" s="112"/>
      <c r="I53" s="113"/>
      <c r="K53" s="78"/>
      <c r="L53" s="79"/>
      <c r="M53" s="80"/>
      <c r="N53" s="80"/>
      <c r="O53" s="78"/>
      <c r="P53" s="78"/>
      <c r="Q53" s="78"/>
      <c r="R53" s="78"/>
      <c r="S53" s="78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H53" s="14"/>
      <c r="AI53" s="66"/>
      <c r="AJ53" s="62"/>
    </row>
    <row r="54" spans="1:36" x14ac:dyDescent="0.3">
      <c r="A54" s="110"/>
      <c r="B54" s="110"/>
      <c r="C54" s="114"/>
      <c r="D54" s="126"/>
      <c r="E54" s="127"/>
      <c r="F54" s="127"/>
      <c r="G54" s="114"/>
      <c r="H54" s="114"/>
      <c r="I54" s="115"/>
      <c r="K54" s="78"/>
      <c r="L54" s="79"/>
      <c r="M54" s="84"/>
      <c r="N54" s="84"/>
      <c r="O54" s="85"/>
      <c r="P54" s="85"/>
      <c r="Q54" s="85"/>
      <c r="R54" s="85"/>
      <c r="S54" s="78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H54" s="18"/>
      <c r="AI54" s="66"/>
      <c r="AJ54" s="62"/>
    </row>
    <row r="55" spans="1:36" x14ac:dyDescent="0.3">
      <c r="A55" s="110"/>
      <c r="B55" s="110"/>
      <c r="C55" s="114"/>
      <c r="D55" s="126"/>
      <c r="E55" s="127"/>
      <c r="G55" s="114"/>
      <c r="H55" s="114"/>
      <c r="I55" s="115"/>
      <c r="K55" s="78"/>
      <c r="L55" s="79"/>
      <c r="M55" s="80"/>
      <c r="N55" s="80"/>
      <c r="O55" s="78"/>
      <c r="P55" s="78"/>
      <c r="Q55" s="78"/>
      <c r="R55" s="78"/>
      <c r="S55" s="78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H55" s="18"/>
      <c r="AI55" s="66"/>
      <c r="AJ55" s="62"/>
    </row>
    <row r="56" spans="1:36" x14ac:dyDescent="0.3">
      <c r="A56" s="110"/>
      <c r="B56" s="110"/>
      <c r="C56" s="111"/>
      <c r="D56" s="111"/>
      <c r="E56" s="111"/>
      <c r="G56" s="111"/>
      <c r="H56" s="111"/>
      <c r="I56" s="116"/>
      <c r="J56" s="8"/>
      <c r="K56" s="78"/>
      <c r="L56" s="79"/>
      <c r="M56" s="80"/>
      <c r="N56" s="80"/>
      <c r="O56" s="78"/>
      <c r="P56" s="78"/>
      <c r="Q56" s="78"/>
      <c r="R56" s="78"/>
      <c r="S56" s="85"/>
      <c r="T56" s="63"/>
      <c r="U56" s="63"/>
      <c r="V56" s="63"/>
      <c r="W56" s="63"/>
      <c r="X56" s="63"/>
      <c r="Y56" s="63"/>
      <c r="Z56" s="63"/>
      <c r="AA56" s="63"/>
      <c r="AB56" s="63"/>
      <c r="AC56" s="65"/>
      <c r="AD56" s="66"/>
      <c r="AE56" s="18"/>
      <c r="AF56" s="86"/>
      <c r="AH56" s="18"/>
      <c r="AI56" s="66"/>
      <c r="AJ56" s="62"/>
    </row>
    <row r="57" spans="1:36" x14ac:dyDescent="0.3">
      <c r="A57" s="105"/>
      <c r="B57" s="110"/>
      <c r="C57" s="117"/>
      <c r="D57" s="111"/>
      <c r="E57" s="111"/>
      <c r="G57" s="118"/>
      <c r="H57" s="118"/>
      <c r="I57" s="119"/>
      <c r="K57" s="78"/>
      <c r="L57" s="79"/>
      <c r="M57" s="80"/>
      <c r="N57" s="80"/>
      <c r="O57" s="78"/>
      <c r="P57" s="78"/>
      <c r="Q57" s="78"/>
      <c r="R57" s="78"/>
      <c r="S57" s="78"/>
      <c r="T57" s="63"/>
      <c r="U57" s="63"/>
      <c r="V57" s="63"/>
      <c r="W57" s="63"/>
      <c r="X57" s="63"/>
      <c r="Y57" s="63"/>
      <c r="Z57" s="63"/>
      <c r="AA57" s="63"/>
      <c r="AB57" s="63"/>
      <c r="AC57" s="65"/>
      <c r="AD57" s="66"/>
      <c r="AE57" s="18"/>
      <c r="AF57" s="86"/>
      <c r="AH57" s="18"/>
      <c r="AI57" s="66"/>
      <c r="AJ57" s="62"/>
    </row>
    <row r="58" spans="1:36" x14ac:dyDescent="0.3">
      <c r="A58" s="16"/>
      <c r="B58" s="16"/>
      <c r="C58" s="16"/>
      <c r="D58" s="16"/>
      <c r="E58" s="16"/>
      <c r="G58" s="16"/>
      <c r="H58" s="16"/>
      <c r="I58" s="16"/>
      <c r="K58" s="78"/>
      <c r="L58" s="79"/>
      <c r="M58" s="80"/>
      <c r="N58" s="80"/>
      <c r="O58" s="78"/>
      <c r="P58" s="78"/>
      <c r="Q58" s="78"/>
      <c r="R58" s="78"/>
      <c r="S58" s="78"/>
      <c r="T58" s="63"/>
      <c r="U58" s="63"/>
      <c r="V58" s="63"/>
      <c r="W58" s="63"/>
      <c r="X58" s="63"/>
      <c r="Y58" s="63"/>
      <c r="Z58" s="63"/>
      <c r="AA58" s="63"/>
      <c r="AB58" s="63"/>
      <c r="AC58" s="65"/>
      <c r="AD58" s="66"/>
      <c r="AE58" s="18"/>
      <c r="AF58" s="86"/>
      <c r="AH58" s="18"/>
      <c r="AI58" s="66"/>
      <c r="AJ58" s="62"/>
    </row>
    <row r="59" spans="1:36" x14ac:dyDescent="0.3">
      <c r="A59" s="16"/>
      <c r="B59" s="16"/>
      <c r="C59" s="16"/>
      <c r="D59" s="16"/>
      <c r="E59" s="16"/>
      <c r="G59" s="120"/>
      <c r="H59" s="121"/>
      <c r="I59" s="16"/>
      <c r="K59" s="78"/>
      <c r="L59" s="79"/>
      <c r="M59" s="80"/>
      <c r="N59" s="80"/>
      <c r="O59" s="78"/>
      <c r="P59" s="78"/>
      <c r="Q59" s="78"/>
      <c r="R59" s="78"/>
      <c r="S59" s="78"/>
      <c r="T59" s="63"/>
      <c r="U59" s="63"/>
      <c r="V59" s="63"/>
      <c r="W59" s="63"/>
      <c r="X59" s="63"/>
      <c r="Y59" s="63"/>
      <c r="Z59" s="63"/>
      <c r="AA59" s="63"/>
      <c r="AB59" s="63"/>
      <c r="AC59" s="65"/>
      <c r="AD59" s="66"/>
      <c r="AE59" s="18"/>
      <c r="AF59" s="86"/>
      <c r="AH59" s="18"/>
      <c r="AI59" s="66"/>
      <c r="AJ59" s="62"/>
    </row>
    <row r="60" spans="1:36" x14ac:dyDescent="0.3">
      <c r="A60" s="16"/>
      <c r="B60" s="76"/>
      <c r="C60" s="16"/>
      <c r="D60" s="16"/>
      <c r="E60" s="16"/>
      <c r="F60" s="15"/>
      <c r="G60" s="16"/>
      <c r="H60" s="16"/>
      <c r="I60" s="16"/>
      <c r="K60" s="78"/>
      <c r="L60" s="79"/>
      <c r="M60" s="80"/>
      <c r="N60" s="80"/>
      <c r="O60" s="78"/>
      <c r="P60" s="78"/>
      <c r="Q60" s="78"/>
      <c r="R60" s="78"/>
      <c r="S60" s="78"/>
      <c r="T60" s="63"/>
      <c r="U60" s="63"/>
      <c r="V60" s="63"/>
      <c r="W60" s="63"/>
      <c r="X60" s="63"/>
      <c r="Y60" s="63"/>
      <c r="Z60" s="63"/>
      <c r="AA60" s="63"/>
      <c r="AB60" s="63"/>
      <c r="AC60" s="65"/>
      <c r="AD60" s="66"/>
      <c r="AE60" s="18"/>
      <c r="AF60" s="86"/>
      <c r="AH60" s="18"/>
      <c r="AI60" s="66"/>
      <c r="AJ60" s="62"/>
    </row>
    <row r="61" spans="1:36" x14ac:dyDescent="0.3">
      <c r="A61" s="16"/>
      <c r="B61" s="122"/>
      <c r="C61" s="16"/>
      <c r="D61" s="16"/>
      <c r="E61" s="16"/>
      <c r="F61" s="16"/>
      <c r="G61" s="16"/>
      <c r="H61" s="16"/>
      <c r="I61" s="16"/>
      <c r="K61" s="5"/>
      <c r="L61" s="5"/>
      <c r="M61" s="5"/>
      <c r="N61" s="5"/>
      <c r="O61" s="5"/>
      <c r="P61" s="5"/>
      <c r="Q61" s="5"/>
      <c r="R61" s="5"/>
      <c r="S61" s="78"/>
      <c r="T61" s="63"/>
      <c r="U61" s="63"/>
      <c r="V61" s="63"/>
      <c r="W61" s="63"/>
      <c r="X61" s="63"/>
      <c r="Y61" s="63"/>
      <c r="Z61" s="63"/>
      <c r="AA61" s="63"/>
      <c r="AB61" s="63"/>
      <c r="AC61" s="65"/>
      <c r="AD61" s="66"/>
      <c r="AE61" s="18"/>
      <c r="AF61" s="86"/>
      <c r="AH61" s="18"/>
      <c r="AI61" s="66"/>
      <c r="AJ61" s="62"/>
    </row>
    <row r="62" spans="1:36" x14ac:dyDescent="0.3">
      <c r="A62" s="16"/>
      <c r="B62" s="122"/>
      <c r="C62" s="16"/>
      <c r="D62" s="16"/>
      <c r="E62" s="16"/>
      <c r="F62" s="16"/>
      <c r="G62" s="16"/>
      <c r="H62" s="16"/>
      <c r="I62" s="16"/>
      <c r="K62" s="5"/>
      <c r="L62" s="5"/>
      <c r="M62" s="5"/>
      <c r="N62" s="5"/>
      <c r="O62" s="5"/>
      <c r="P62" s="5"/>
      <c r="Q62" s="5"/>
      <c r="R62" s="5"/>
      <c r="S62" s="78"/>
      <c r="T62" s="56"/>
      <c r="U62" s="56"/>
      <c r="V62" s="56"/>
      <c r="W62" s="56"/>
      <c r="X62" s="56"/>
      <c r="Y62" s="56"/>
      <c r="Z62" s="56"/>
      <c r="AA62" s="56"/>
      <c r="AB62" s="56"/>
      <c r="AC62" s="65"/>
      <c r="AD62" s="66"/>
      <c r="AE62" s="18"/>
      <c r="AF62" s="86"/>
      <c r="AH62" s="18"/>
      <c r="AI62" s="66"/>
      <c r="AJ62" s="62"/>
    </row>
    <row r="63" spans="1:36" x14ac:dyDescent="0.3">
      <c r="K63" s="5"/>
      <c r="L63" s="5"/>
      <c r="M63" s="5"/>
      <c r="N63" s="5"/>
      <c r="O63" s="5"/>
      <c r="P63" s="5"/>
      <c r="Q63" s="5"/>
      <c r="R63" s="5"/>
      <c r="S63" s="37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H63" s="20"/>
      <c r="AI63" s="17"/>
      <c r="AJ63" s="62"/>
    </row>
    <row r="64" spans="1:36" x14ac:dyDescent="0.3">
      <c r="K64" s="5"/>
      <c r="L64" s="5"/>
      <c r="M64" s="5"/>
      <c r="N64" s="5"/>
      <c r="O64" s="5"/>
      <c r="P64" s="5"/>
      <c r="Q64" s="5"/>
      <c r="R64" s="5"/>
      <c r="S64" s="37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H64" s="20"/>
      <c r="AI64" s="17"/>
      <c r="AJ64" s="62"/>
    </row>
    <row r="65" spans="1:36" x14ac:dyDescent="0.3">
      <c r="K65" s="5"/>
      <c r="L65" s="5"/>
      <c r="M65" s="5"/>
      <c r="N65" s="5"/>
      <c r="O65" s="5"/>
      <c r="P65" s="5"/>
      <c r="Q65" s="5"/>
      <c r="R65" s="5"/>
      <c r="S65" s="37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H65" s="20"/>
      <c r="AI65" s="17"/>
      <c r="AJ65" s="62"/>
    </row>
    <row r="66" spans="1:36" x14ac:dyDescent="0.3">
      <c r="K66" s="5"/>
      <c r="L66" s="5"/>
      <c r="M66" s="5"/>
      <c r="N66" s="5"/>
      <c r="O66" s="5"/>
      <c r="P66" s="5"/>
      <c r="Q66" s="5"/>
      <c r="R66" s="5"/>
      <c r="S66" s="37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H66" s="20"/>
      <c r="AI66" s="17"/>
      <c r="AJ66" s="62"/>
    </row>
    <row r="67" spans="1:36" x14ac:dyDescent="0.3">
      <c r="K67" s="4"/>
      <c r="L67" s="4"/>
      <c r="M67" s="4"/>
      <c r="N67" s="4"/>
      <c r="O67" s="4"/>
      <c r="P67" s="4"/>
      <c r="Q67" s="4"/>
      <c r="R67" s="4"/>
      <c r="S67" s="37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H67" s="20"/>
      <c r="AI67" s="17"/>
      <c r="AJ67" s="62"/>
    </row>
    <row r="68" spans="1:36" x14ac:dyDescent="0.3">
      <c r="K68" s="4"/>
      <c r="L68" s="4"/>
      <c r="M68" s="4"/>
      <c r="N68" s="4"/>
      <c r="O68" s="4"/>
      <c r="P68" s="4"/>
      <c r="Q68" s="4"/>
      <c r="R68" s="4"/>
      <c r="S68" s="37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H68" s="20"/>
      <c r="AI68" s="17"/>
      <c r="AJ68" s="62"/>
    </row>
    <row r="69" spans="1:36" s="4" customFormat="1" x14ac:dyDescent="0.3">
      <c r="A69" s="5"/>
      <c r="B69" s="5"/>
      <c r="C69" s="5"/>
      <c r="D69" s="5"/>
      <c r="E69" s="5"/>
      <c r="F69" s="5"/>
      <c r="G69" s="5"/>
      <c r="H69" s="5"/>
      <c r="I69" s="5"/>
      <c r="J69" s="9"/>
      <c r="K69" s="5"/>
      <c r="L69" s="5"/>
      <c r="M69" s="5"/>
      <c r="N69" s="5"/>
      <c r="O69" s="5"/>
      <c r="P69" s="5"/>
      <c r="Q69" s="5"/>
      <c r="R69" s="5"/>
      <c r="S69" s="9"/>
      <c r="AH69" s="20"/>
      <c r="AI69" s="17"/>
      <c r="AJ69" s="62"/>
    </row>
    <row r="70" spans="1:36" s="4" customFormat="1" x14ac:dyDescent="0.3">
      <c r="A70" s="5"/>
      <c r="B70" s="5"/>
      <c r="C70" s="5"/>
      <c r="D70" s="5"/>
      <c r="E70" s="5"/>
      <c r="F70" s="5"/>
      <c r="G70" s="5"/>
      <c r="H70" s="5"/>
      <c r="I70" s="5"/>
      <c r="J70" s="9"/>
      <c r="K70" s="5"/>
      <c r="L70" s="5"/>
      <c r="M70" s="5"/>
      <c r="N70" s="5"/>
      <c r="O70" s="5"/>
      <c r="P70" s="5"/>
      <c r="Q70" s="5"/>
      <c r="R70" s="5"/>
      <c r="S70" s="9"/>
      <c r="AH70" s="20"/>
      <c r="AI70" s="17"/>
      <c r="AJ70" s="62"/>
    </row>
    <row r="71" spans="1:36" x14ac:dyDescent="0.3">
      <c r="K71" s="5"/>
      <c r="L71" s="5"/>
      <c r="M71" s="5"/>
      <c r="N71" s="5"/>
      <c r="O71" s="5"/>
      <c r="P71" s="5"/>
      <c r="Q71" s="5"/>
      <c r="R71" s="5"/>
      <c r="S71" s="37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H71" s="20"/>
      <c r="AI71" s="17"/>
      <c r="AJ71" s="62"/>
    </row>
    <row r="72" spans="1:36" x14ac:dyDescent="0.3">
      <c r="K72" s="5"/>
      <c r="L72" s="5"/>
      <c r="M72" s="5"/>
      <c r="N72" s="5"/>
      <c r="O72" s="5"/>
      <c r="P72" s="5"/>
      <c r="Q72" s="5"/>
      <c r="R72" s="5"/>
      <c r="S72" s="37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H72" s="20"/>
      <c r="AI72" s="17"/>
      <c r="AJ72" s="62"/>
    </row>
    <row r="73" spans="1:36" x14ac:dyDescent="0.3">
      <c r="K73" s="5"/>
      <c r="L73" s="5"/>
      <c r="M73" s="5"/>
      <c r="N73" s="5"/>
      <c r="O73" s="5"/>
      <c r="P73" s="5"/>
      <c r="Q73" s="5"/>
      <c r="R73" s="5"/>
      <c r="S73" s="37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H73" s="20"/>
      <c r="AI73" s="17"/>
      <c r="AJ73" s="62"/>
    </row>
    <row r="74" spans="1:36" x14ac:dyDescent="0.3">
      <c r="K74" s="5"/>
      <c r="L74" s="5"/>
      <c r="M74" s="5"/>
      <c r="N74" s="5"/>
      <c r="O74" s="5"/>
      <c r="P74" s="5"/>
      <c r="Q74" s="5"/>
      <c r="R74" s="5"/>
      <c r="S74" s="37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H74" s="20"/>
      <c r="AI74" s="17"/>
      <c r="AJ74" s="62"/>
    </row>
    <row r="75" spans="1:36" x14ac:dyDescent="0.3">
      <c r="K75" s="5"/>
      <c r="L75" s="5"/>
      <c r="M75" s="5"/>
      <c r="N75" s="5"/>
      <c r="O75" s="5"/>
      <c r="P75" s="5"/>
      <c r="Q75" s="5"/>
      <c r="R75" s="5"/>
      <c r="S75" s="37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H75" s="20"/>
      <c r="AI75" s="17"/>
      <c r="AJ75" s="62"/>
    </row>
    <row r="76" spans="1:36" x14ac:dyDescent="0.3">
      <c r="K76" s="5"/>
      <c r="L76" s="5"/>
      <c r="M76" s="5"/>
      <c r="N76" s="5"/>
      <c r="O76" s="5"/>
      <c r="P76" s="5"/>
      <c r="Q76" s="5"/>
      <c r="R76" s="5"/>
      <c r="S76" s="37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H76" s="20"/>
      <c r="AI76" s="17"/>
      <c r="AJ76" s="62"/>
    </row>
    <row r="77" spans="1:36" x14ac:dyDescent="0.3">
      <c r="K77" s="5"/>
      <c r="L77" s="5"/>
      <c r="M77" s="5"/>
      <c r="N77" s="5"/>
      <c r="O77" s="5"/>
      <c r="P77" s="5"/>
      <c r="Q77" s="5"/>
      <c r="R77" s="5"/>
      <c r="S77" s="37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H77" s="20"/>
      <c r="AI77" s="17"/>
      <c r="AJ77" s="62"/>
    </row>
    <row r="78" spans="1:36" x14ac:dyDescent="0.3">
      <c r="K78" s="37"/>
      <c r="L78" s="37"/>
      <c r="M78" s="37"/>
      <c r="N78" s="37"/>
      <c r="O78" s="37"/>
      <c r="P78" s="37"/>
      <c r="S78" s="37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H78" s="18"/>
      <c r="AI78" s="17"/>
      <c r="AJ78" s="62"/>
    </row>
    <row r="79" spans="1:36" x14ac:dyDescent="0.3">
      <c r="K79" s="37"/>
      <c r="L79" s="37"/>
      <c r="M79" s="37"/>
      <c r="N79" s="37"/>
      <c r="O79" s="37"/>
      <c r="P79" s="37"/>
      <c r="S79" s="37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H79" s="18"/>
      <c r="AI79" s="17"/>
      <c r="AJ79" s="58"/>
    </row>
    <row r="80" spans="1:36" x14ac:dyDescent="0.3">
      <c r="K80" s="37"/>
      <c r="L80" s="37"/>
      <c r="M80" s="37"/>
      <c r="N80" s="37"/>
      <c r="O80" s="37"/>
      <c r="P80" s="37"/>
      <c r="S80" s="37"/>
      <c r="T80" s="37"/>
    </row>
    <row r="81" spans="11:20" x14ac:dyDescent="0.3">
      <c r="K81" s="37"/>
      <c r="L81" s="37"/>
      <c r="M81" s="37"/>
      <c r="N81" s="37"/>
      <c r="O81" s="37"/>
      <c r="P81" s="37"/>
      <c r="S81" s="37"/>
      <c r="T81" s="37"/>
    </row>
    <row r="82" spans="11:20" x14ac:dyDescent="0.3">
      <c r="K82" s="37"/>
      <c r="L82" s="37"/>
      <c r="M82" s="37"/>
      <c r="N82" s="37"/>
      <c r="O82" s="37"/>
      <c r="P82" s="37"/>
      <c r="S82" s="37"/>
      <c r="T82" s="37"/>
    </row>
    <row r="83" spans="11:20" x14ac:dyDescent="0.3">
      <c r="K83" s="37"/>
      <c r="L83" s="37"/>
      <c r="M83" s="37"/>
      <c r="N83" s="37"/>
      <c r="O83" s="37"/>
      <c r="P83" s="37"/>
      <c r="S83" s="37"/>
      <c r="T83" s="37"/>
    </row>
    <row r="84" spans="11:20" x14ac:dyDescent="0.3">
      <c r="K84" s="37"/>
      <c r="L84" s="37"/>
      <c r="M84" s="37"/>
      <c r="N84" s="37"/>
      <c r="O84" s="37"/>
      <c r="P84" s="37"/>
      <c r="S84" s="37"/>
      <c r="T84" s="37"/>
    </row>
    <row r="85" spans="11:20" x14ac:dyDescent="0.3">
      <c r="K85" s="37"/>
      <c r="L85" s="37"/>
      <c r="M85" s="37"/>
      <c r="N85" s="37"/>
      <c r="O85" s="37"/>
      <c r="P85" s="37"/>
      <c r="S85" s="37"/>
      <c r="T85" s="37"/>
    </row>
    <row r="86" spans="11:20" x14ac:dyDescent="0.3">
      <c r="K86" s="37"/>
      <c r="L86" s="37"/>
      <c r="M86" s="37"/>
      <c r="N86" s="37"/>
      <c r="O86" s="37"/>
      <c r="P86" s="37"/>
      <c r="S86" s="37"/>
      <c r="T86" s="37"/>
    </row>
    <row r="87" spans="11:20" x14ac:dyDescent="0.3">
      <c r="K87" s="37"/>
      <c r="L87" s="37"/>
      <c r="M87" s="37"/>
      <c r="N87" s="37"/>
      <c r="O87" s="37"/>
      <c r="P87" s="37"/>
      <c r="S87" s="37"/>
      <c r="T87" s="37"/>
    </row>
    <row r="88" spans="11:20" x14ac:dyDescent="0.3">
      <c r="S88" s="37"/>
      <c r="T88" s="37"/>
    </row>
    <row r="89" spans="11:20" x14ac:dyDescent="0.3">
      <c r="S89" s="37"/>
      <c r="T89" s="37"/>
    </row>
  </sheetData>
  <mergeCells count="108">
    <mergeCell ref="AH4:AP5"/>
    <mergeCell ref="AH8:AI8"/>
    <mergeCell ref="Q27:R27"/>
    <mergeCell ref="Q28:R28"/>
    <mergeCell ref="Q29:R29"/>
    <mergeCell ref="Q30:R30"/>
    <mergeCell ref="Q22:R22"/>
    <mergeCell ref="Q23:R23"/>
    <mergeCell ref="Q24:R24"/>
    <mergeCell ref="Q25:R25"/>
    <mergeCell ref="Q26:R26"/>
    <mergeCell ref="Q15:R15"/>
    <mergeCell ref="Q16:R16"/>
    <mergeCell ref="Q17:R17"/>
    <mergeCell ref="Q18:R18"/>
    <mergeCell ref="Q19:R19"/>
    <mergeCell ref="Q20:R20"/>
    <mergeCell ref="Q21:R21"/>
    <mergeCell ref="T4:AF4"/>
    <mergeCell ref="T5:AF5"/>
    <mergeCell ref="N24:P24"/>
    <mergeCell ref="N25:P25"/>
    <mergeCell ref="N19:P19"/>
    <mergeCell ref="N20:P20"/>
    <mergeCell ref="N21:P21"/>
    <mergeCell ref="N15:P15"/>
    <mergeCell ref="N16:P16"/>
    <mergeCell ref="N17:P17"/>
    <mergeCell ref="N18:P18"/>
    <mergeCell ref="N22:P22"/>
    <mergeCell ref="N23:P23"/>
    <mergeCell ref="E38:F38"/>
    <mergeCell ref="E37:F37"/>
    <mergeCell ref="B35:B36"/>
    <mergeCell ref="E36:F36"/>
    <mergeCell ref="D35:D36"/>
    <mergeCell ref="E26:F26"/>
    <mergeCell ref="A38:C38"/>
    <mergeCell ref="B37:C37"/>
    <mergeCell ref="B32:C32"/>
    <mergeCell ref="B29:C29"/>
    <mergeCell ref="B26:C26"/>
    <mergeCell ref="K6:M6"/>
    <mergeCell ref="E29:F29"/>
    <mergeCell ref="E32:F32"/>
    <mergeCell ref="E30:F30"/>
    <mergeCell ref="E31:F31"/>
    <mergeCell ref="E27:F27"/>
    <mergeCell ref="E28:F28"/>
    <mergeCell ref="E20:F20"/>
    <mergeCell ref="E18:F18"/>
    <mergeCell ref="E19:F19"/>
    <mergeCell ref="E24:F24"/>
    <mergeCell ref="E12:F12"/>
    <mergeCell ref="E22:F22"/>
    <mergeCell ref="E23:F23"/>
    <mergeCell ref="E11:F11"/>
    <mergeCell ref="E13:F13"/>
    <mergeCell ref="A1:I1"/>
    <mergeCell ref="C4:C5"/>
    <mergeCell ref="D4:D5"/>
    <mergeCell ref="A7:B7"/>
    <mergeCell ref="E7:F7"/>
    <mergeCell ref="H3:I3"/>
    <mergeCell ref="E4:F5"/>
    <mergeCell ref="G4:G5"/>
    <mergeCell ref="H4:I5"/>
    <mergeCell ref="E3:F3"/>
    <mergeCell ref="N7:P7"/>
    <mergeCell ref="Q7:R7"/>
    <mergeCell ref="N8:P8"/>
    <mergeCell ref="N9:P9"/>
    <mergeCell ref="N10:P10"/>
    <mergeCell ref="N11:P11"/>
    <mergeCell ref="N12:P12"/>
    <mergeCell ref="N13:P13"/>
    <mergeCell ref="N14:P14"/>
    <mergeCell ref="Q8:R8"/>
    <mergeCell ref="Q9:R9"/>
    <mergeCell ref="Q10:R10"/>
    <mergeCell ref="Q11:R11"/>
    <mergeCell ref="Q12:R12"/>
    <mergeCell ref="Q13:R13"/>
    <mergeCell ref="Q14:R14"/>
    <mergeCell ref="N26:P26"/>
    <mergeCell ref="N27:P27"/>
    <mergeCell ref="N28:P28"/>
    <mergeCell ref="H35:H36"/>
    <mergeCell ref="A8:A11"/>
    <mergeCell ref="A12:A13"/>
    <mergeCell ref="A14:A20"/>
    <mergeCell ref="A21:A24"/>
    <mergeCell ref="A25:A26"/>
    <mergeCell ref="A27:A29"/>
    <mergeCell ref="A30:A32"/>
    <mergeCell ref="A33:A37"/>
    <mergeCell ref="E33:F33"/>
    <mergeCell ref="E35:F35"/>
    <mergeCell ref="E21:F21"/>
    <mergeCell ref="I18:I19"/>
    <mergeCell ref="E10:F10"/>
    <mergeCell ref="G35:G36"/>
    <mergeCell ref="N29:P29"/>
    <mergeCell ref="N30:P30"/>
    <mergeCell ref="B11:C11"/>
    <mergeCell ref="B13:C13"/>
    <mergeCell ref="B20:C20"/>
    <mergeCell ref="B24:C24"/>
  </mergeCells>
  <phoneticPr fontId="7" type="noConversion"/>
  <conditionalFormatting sqref="I38">
    <cfRule type="containsText" dxfId="5" priority="1" operator="containsText" text="부적격">
      <formula>NOT(ISERROR(SEARCH("부적격",I38)))</formula>
    </cfRule>
  </conditionalFormatting>
  <dataValidations count="4">
    <dataValidation type="list" allowBlank="1" showInputMessage="1" showErrorMessage="1" sqref="F9" xr:uid="{00000000-0002-0000-0000-000000000000}">
      <formula1>$F$40:$F$44</formula1>
    </dataValidation>
    <dataValidation type="list" allowBlank="1" showInputMessage="1" showErrorMessage="1" sqref="E30:F31" xr:uid="{00000000-0002-0000-0000-000001000000}">
      <formula1>$F$45:$F$46</formula1>
    </dataValidation>
    <dataValidation type="list" allowBlank="1" showInputMessage="1" showErrorMessage="1" sqref="F34" xr:uid="{00000000-0002-0000-0000-000002000000}">
      <formula1>$F$47:$F$49</formula1>
    </dataValidation>
    <dataValidation type="list" allowBlank="1" showInputMessage="1" showErrorMessage="1" sqref="K34:K37" xr:uid="{00000000-0002-0000-0000-000003000000}">
      <formula1>$K$40:$K$41</formula1>
    </dataValidation>
  </dataValidations>
  <pageMargins left="0.7" right="0.7" top="0.75" bottom="0.75" header="0.3" footer="0.3"/>
  <pageSetup paperSize="9" scale="1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S90"/>
  <sheetViews>
    <sheetView tabSelected="1" view="pageBreakPreview" topLeftCell="A16" zoomScale="85" zoomScaleNormal="85" zoomScaleSheetLayoutView="85" workbookViewId="0">
      <selection activeCell="C31" sqref="C31"/>
    </sheetView>
  </sheetViews>
  <sheetFormatPr defaultColWidth="9" defaultRowHeight="16.5" x14ac:dyDescent="0.3"/>
  <cols>
    <col min="1" max="1" width="20" style="5" customWidth="1"/>
    <col min="2" max="2" width="24.25" style="5" bestFit="1" customWidth="1"/>
    <col min="3" max="3" width="38.875" style="5" customWidth="1"/>
    <col min="4" max="4" width="7.25" style="5" customWidth="1"/>
    <col min="5" max="5" width="15" style="5" customWidth="1"/>
    <col min="6" max="6" width="9.625" style="5" customWidth="1"/>
    <col min="7" max="8" width="7.625" style="5" customWidth="1"/>
    <col min="9" max="9" width="12" style="5" bestFit="1" customWidth="1"/>
    <col min="10" max="10" width="5.75" style="37" customWidth="1"/>
    <col min="11" max="11" width="18.75" style="37" bestFit="1" customWidth="1"/>
    <col min="12" max="12" width="21.5" style="37" bestFit="1" customWidth="1"/>
    <col min="13" max="13" width="16.5" style="37" bestFit="1" customWidth="1"/>
    <col min="14" max="14" width="30.5" style="37" bestFit="1" customWidth="1"/>
    <col min="15" max="15" width="9.25" style="37" bestFit="1" customWidth="1"/>
    <col min="16" max="16" width="5.75" style="37" customWidth="1"/>
    <col min="17" max="17" width="12.875" style="37" customWidth="1"/>
    <col min="18" max="18" width="16.5" style="37" bestFit="1" customWidth="1"/>
    <col min="19" max="19" width="11.625" style="37" bestFit="1" customWidth="1"/>
    <col min="20" max="20" width="37.5" style="37" bestFit="1" customWidth="1"/>
    <col min="21" max="21" width="19.375" style="37" customWidth="1"/>
    <col min="22" max="22" width="5.75" style="37" customWidth="1"/>
    <col min="23" max="23" width="14.625" style="37" customWidth="1"/>
    <col min="24" max="24" width="29.5" style="1" customWidth="1"/>
    <col min="25" max="26" width="12.25" style="1" bestFit="1" customWidth="1"/>
    <col min="27" max="27" width="9.25" style="1" bestFit="1" customWidth="1"/>
    <col min="28" max="29" width="11.625" style="1" bestFit="1" customWidth="1"/>
    <col min="30" max="30" width="12.25" style="1" bestFit="1" customWidth="1"/>
    <col min="31" max="31" width="12.25" style="1" customWidth="1"/>
    <col min="32" max="32" width="13.625" style="10" bestFit="1" customWidth="1"/>
    <col min="33" max="33" width="12.125" style="10" customWidth="1"/>
    <col min="34" max="34" width="12" style="2" bestFit="1" customWidth="1"/>
    <col min="35" max="35" width="14.625" style="3" bestFit="1" customWidth="1"/>
    <col min="36" max="36" width="4.125" style="4" customWidth="1"/>
    <col min="37" max="37" width="19" style="37" customWidth="1"/>
    <col min="38" max="38" width="24.625" style="1" customWidth="1"/>
    <col min="39" max="39" width="19.375" style="10" customWidth="1"/>
    <col min="40" max="40" width="15.25" style="10" customWidth="1"/>
    <col min="41" max="41" width="20.125" style="2" customWidth="1"/>
    <col min="42" max="42" width="20.875" style="2" customWidth="1"/>
    <col min="43" max="43" width="9.125" style="10" customWidth="1"/>
    <col min="44" max="44" width="7.875" style="3" customWidth="1"/>
    <col min="45" max="16384" width="9" style="5"/>
  </cols>
  <sheetData>
    <row r="1" spans="1:45" ht="31.5" x14ac:dyDescent="0.3">
      <c r="A1" s="569" t="s">
        <v>228</v>
      </c>
      <c r="B1" s="569"/>
      <c r="C1" s="569"/>
      <c r="D1" s="569"/>
      <c r="E1" s="569"/>
      <c r="F1" s="569"/>
      <c r="G1" s="569"/>
      <c r="H1" s="569"/>
      <c r="I1" s="569"/>
      <c r="N1" s="188"/>
      <c r="W1" s="436"/>
      <c r="X1" s="455"/>
      <c r="Y1" s="455"/>
      <c r="Z1" s="455"/>
      <c r="AA1" s="455"/>
      <c r="AB1" s="455"/>
      <c r="AC1" s="455"/>
      <c r="AD1" s="455"/>
      <c r="AE1" s="455"/>
      <c r="AF1" s="456"/>
      <c r="AG1" s="456"/>
      <c r="AH1" s="457"/>
      <c r="AI1" s="458"/>
    </row>
    <row r="2" spans="1:45" ht="27" thickBot="1" x14ac:dyDescent="0.35">
      <c r="A2" s="153" t="s">
        <v>75</v>
      </c>
      <c r="N2" s="189"/>
      <c r="W2" s="436"/>
      <c r="X2" s="455"/>
      <c r="Y2" s="455"/>
      <c r="Z2" s="455"/>
      <c r="AA2" s="455"/>
      <c r="AB2" s="455"/>
      <c r="AC2" s="455"/>
      <c r="AD2" s="455"/>
      <c r="AE2" s="455"/>
      <c r="AF2" s="456"/>
      <c r="AG2" s="456"/>
      <c r="AH2" s="457"/>
      <c r="AI2" s="458"/>
    </row>
    <row r="3" spans="1:45" ht="21" thickBot="1" x14ac:dyDescent="0.35">
      <c r="A3" s="70" t="s">
        <v>76</v>
      </c>
      <c r="B3" s="67">
        <v>44562</v>
      </c>
      <c r="C3" s="73" t="s">
        <v>77</v>
      </c>
      <c r="D3" s="74" t="s">
        <v>78</v>
      </c>
      <c r="E3" s="503" t="s">
        <v>79</v>
      </c>
      <c r="F3" s="511"/>
      <c r="G3" s="74" t="s">
        <v>80</v>
      </c>
      <c r="H3" s="503" t="s">
        <v>81</v>
      </c>
      <c r="I3" s="504"/>
      <c r="N3" s="190"/>
      <c r="W3" s="571" t="s">
        <v>173</v>
      </c>
      <c r="X3" s="571"/>
      <c r="Y3" s="571"/>
      <c r="Z3" s="571"/>
      <c r="AA3" s="571"/>
      <c r="AB3" s="571"/>
      <c r="AC3" s="571"/>
      <c r="AD3" s="571"/>
      <c r="AE3" s="571"/>
      <c r="AF3" s="571"/>
      <c r="AG3" s="571"/>
      <c r="AH3" s="571"/>
      <c r="AI3" s="571"/>
      <c r="AK3" s="541" t="s">
        <v>352</v>
      </c>
      <c r="AL3" s="541"/>
      <c r="AM3" s="541"/>
      <c r="AN3" s="541"/>
      <c r="AO3" s="541"/>
      <c r="AP3" s="541"/>
      <c r="AQ3" s="541"/>
      <c r="AR3" s="541"/>
      <c r="AS3" s="541"/>
    </row>
    <row r="4" spans="1:45" ht="21" thickBot="1" x14ac:dyDescent="0.35">
      <c r="A4" s="71" t="s">
        <v>82</v>
      </c>
      <c r="B4" s="154">
        <v>10000000000</v>
      </c>
      <c r="C4" s="498" t="s">
        <v>322</v>
      </c>
      <c r="D4" s="500" t="s">
        <v>178</v>
      </c>
      <c r="E4" s="505" t="s">
        <v>84</v>
      </c>
      <c r="F4" s="505"/>
      <c r="G4" s="507" t="s">
        <v>180</v>
      </c>
      <c r="H4" s="505" t="s">
        <v>85</v>
      </c>
      <c r="I4" s="509"/>
      <c r="N4" s="190"/>
      <c r="W4" s="571" t="s">
        <v>174</v>
      </c>
      <c r="X4" s="571"/>
      <c r="Y4" s="571"/>
      <c r="Z4" s="571"/>
      <c r="AA4" s="571"/>
      <c r="AB4" s="571"/>
      <c r="AC4" s="571"/>
      <c r="AD4" s="571"/>
      <c r="AE4" s="571"/>
      <c r="AF4" s="571"/>
      <c r="AG4" s="571"/>
      <c r="AH4" s="571"/>
      <c r="AI4" s="571"/>
      <c r="AK4" s="463" t="s">
        <v>351</v>
      </c>
      <c r="AL4" s="464">
        <v>43467</v>
      </c>
    </row>
    <row r="5" spans="1:45" ht="27" thickBot="1" x14ac:dyDescent="0.35">
      <c r="A5" s="72" t="s">
        <v>86</v>
      </c>
      <c r="B5" s="155">
        <v>1000000000</v>
      </c>
      <c r="C5" s="499"/>
      <c r="D5" s="501"/>
      <c r="E5" s="506"/>
      <c r="F5" s="506"/>
      <c r="G5" s="508"/>
      <c r="H5" s="506"/>
      <c r="I5" s="510"/>
      <c r="K5" s="78"/>
      <c r="L5" s="78"/>
      <c r="M5" s="78"/>
      <c r="N5" s="190"/>
      <c r="Q5" s="153"/>
      <c r="W5" s="459" t="s">
        <v>87</v>
      </c>
      <c r="X5" s="81"/>
      <c r="Y5" s="81"/>
      <c r="Z5" s="81"/>
      <c r="AA5" s="81"/>
      <c r="AB5" s="81"/>
      <c r="AC5" s="81"/>
      <c r="AD5" s="460"/>
      <c r="AE5" s="81"/>
      <c r="AF5" s="456"/>
      <c r="AG5" s="456"/>
      <c r="AH5" s="457"/>
      <c r="AI5" s="458"/>
    </row>
    <row r="6" spans="1:45" s="16" customFormat="1" ht="17.25" thickBot="1" x14ac:dyDescent="0.35">
      <c r="A6" s="46"/>
      <c r="B6" s="47"/>
      <c r="C6" s="47"/>
      <c r="D6" s="48"/>
      <c r="E6" s="49"/>
      <c r="F6" s="49"/>
      <c r="G6" s="50"/>
      <c r="H6" s="49"/>
      <c r="I6" s="49"/>
      <c r="J6" s="15"/>
      <c r="K6" s="538" t="s">
        <v>252</v>
      </c>
      <c r="L6" s="538"/>
      <c r="M6" s="538"/>
      <c r="N6" s="15"/>
      <c r="O6" s="15"/>
      <c r="P6" s="15"/>
      <c r="Q6" s="75" t="s">
        <v>254</v>
      </c>
      <c r="R6" s="15"/>
      <c r="S6" s="15"/>
      <c r="T6" s="15"/>
      <c r="U6" s="15"/>
      <c r="V6" s="15"/>
      <c r="W6" s="76" t="s">
        <v>88</v>
      </c>
      <c r="AD6" s="144"/>
      <c r="AE6" s="144"/>
      <c r="AF6" s="17"/>
      <c r="AG6" s="17"/>
      <c r="AH6" s="18"/>
      <c r="AI6" s="19"/>
      <c r="AJ6" s="20"/>
      <c r="AK6" s="538" t="s">
        <v>353</v>
      </c>
      <c r="AL6" s="538"/>
      <c r="AM6" s="462"/>
      <c r="AQ6" s="15"/>
      <c r="AR6" s="15"/>
      <c r="AS6" s="15"/>
    </row>
    <row r="7" spans="1:45" ht="33" x14ac:dyDescent="0.3">
      <c r="A7" s="575" t="s">
        <v>89</v>
      </c>
      <c r="B7" s="576"/>
      <c r="C7" s="68" t="s">
        <v>90</v>
      </c>
      <c r="D7" s="69" t="s">
        <v>91</v>
      </c>
      <c r="E7" s="575" t="s">
        <v>92</v>
      </c>
      <c r="F7" s="576"/>
      <c r="G7" s="69" t="s">
        <v>93</v>
      </c>
      <c r="H7" s="69" t="s">
        <v>94</v>
      </c>
      <c r="I7" s="69" t="s">
        <v>95</v>
      </c>
      <c r="J7" s="5"/>
      <c r="K7" s="260" t="s">
        <v>235</v>
      </c>
      <c r="L7" s="336" t="s">
        <v>238</v>
      </c>
      <c r="M7" s="336" t="s">
        <v>239</v>
      </c>
      <c r="N7" s="336" t="s">
        <v>301</v>
      </c>
      <c r="O7" s="262" t="s">
        <v>240</v>
      </c>
      <c r="P7" s="5"/>
      <c r="Q7" s="260" t="s">
        <v>235</v>
      </c>
      <c r="R7" s="336" t="s">
        <v>238</v>
      </c>
      <c r="S7" s="336" t="s">
        <v>239</v>
      </c>
      <c r="T7" s="336" t="s">
        <v>236</v>
      </c>
      <c r="U7" s="262" t="s">
        <v>240</v>
      </c>
      <c r="V7" s="5"/>
      <c r="W7" s="145" t="s">
        <v>96</v>
      </c>
      <c r="X7" s="146" t="s">
        <v>97</v>
      </c>
      <c r="Y7" s="146" t="s">
        <v>98</v>
      </c>
      <c r="Z7" s="146" t="s">
        <v>99</v>
      </c>
      <c r="AA7" s="146" t="s">
        <v>100</v>
      </c>
      <c r="AB7" s="146" t="s">
        <v>256</v>
      </c>
      <c r="AC7" s="146" t="s">
        <v>257</v>
      </c>
      <c r="AD7" s="146" t="s">
        <v>101</v>
      </c>
      <c r="AE7" s="146" t="s">
        <v>102</v>
      </c>
      <c r="AF7" s="205" t="s">
        <v>103</v>
      </c>
      <c r="AG7" s="147" t="s">
        <v>104</v>
      </c>
      <c r="AH7" s="206" t="s">
        <v>258</v>
      </c>
      <c r="AI7" s="207" t="s">
        <v>105</v>
      </c>
      <c r="AK7" s="260" t="s">
        <v>339</v>
      </c>
      <c r="AL7" s="336" t="s">
        <v>340</v>
      </c>
      <c r="AM7" s="336" t="s">
        <v>341</v>
      </c>
      <c r="AN7" s="336" t="s">
        <v>342</v>
      </c>
      <c r="AO7" s="336" t="s">
        <v>343</v>
      </c>
      <c r="AP7" s="336" t="s">
        <v>344</v>
      </c>
      <c r="AQ7" s="336" t="s">
        <v>345</v>
      </c>
      <c r="AR7" s="336" t="s">
        <v>346</v>
      </c>
      <c r="AS7" s="262" t="s">
        <v>347</v>
      </c>
    </row>
    <row r="8" spans="1:45" s="14" customFormat="1" x14ac:dyDescent="0.3">
      <c r="A8" s="543" t="s">
        <v>305</v>
      </c>
      <c r="B8" s="23" t="s">
        <v>106</v>
      </c>
      <c r="C8" s="32"/>
      <c r="D8" s="24" t="s">
        <v>107</v>
      </c>
      <c r="E8" s="290" t="s">
        <v>229</v>
      </c>
      <c r="F8" s="291" t="s">
        <v>324</v>
      </c>
      <c r="G8" s="24"/>
      <c r="H8" s="24"/>
      <c r="I8" s="24"/>
      <c r="K8" s="305" t="s">
        <v>233</v>
      </c>
      <c r="L8" s="89">
        <v>36892</v>
      </c>
      <c r="M8" s="89">
        <v>38717</v>
      </c>
      <c r="N8" s="89" t="s">
        <v>241</v>
      </c>
      <c r="O8" s="363">
        <f>IF(L8="","",(M8-L8+1))</f>
        <v>1826</v>
      </c>
      <c r="Q8" s="305" t="s">
        <v>233</v>
      </c>
      <c r="R8" s="89">
        <v>36892</v>
      </c>
      <c r="S8" s="89">
        <v>38717</v>
      </c>
      <c r="T8" s="89" t="s">
        <v>241</v>
      </c>
      <c r="U8" s="363">
        <f>IF(R8="","",(S8-R8+1))</f>
        <v>1826</v>
      </c>
      <c r="W8" s="356" t="s">
        <v>176</v>
      </c>
      <c r="X8" s="310" t="s">
        <v>259</v>
      </c>
      <c r="Y8" s="222">
        <v>42370</v>
      </c>
      <c r="Z8" s="222">
        <v>44196</v>
      </c>
      <c r="AA8" s="233">
        <f>IF(X8="","",Z8-Y8+1)</f>
        <v>1827</v>
      </c>
      <c r="AB8" s="311">
        <f>IF(X8="","",IF(Y8&lt;=($B$3-365*3),$B$3-365*3,Y8))</f>
        <v>43467</v>
      </c>
      <c r="AC8" s="311">
        <f>IF(X8="","",IF(Z8&lt;=$B$3,Z8,$B$3))</f>
        <v>44196</v>
      </c>
      <c r="AD8" s="233">
        <f>IF(X8="","",AC8-AB8+1)</f>
        <v>730</v>
      </c>
      <c r="AE8" s="234">
        <v>100000000</v>
      </c>
      <c r="AF8" s="157">
        <f>IF(X8="","",AE8*AD8/AA8)</f>
        <v>39956212.370005473</v>
      </c>
      <c r="AG8" s="218">
        <v>1</v>
      </c>
      <c r="AH8" s="312">
        <f>IF(X8="","",100%)</f>
        <v>1</v>
      </c>
      <c r="AI8" s="235">
        <f>IF(X8="","",INT(AF8*AG8*AH8))</f>
        <v>39956212</v>
      </c>
      <c r="AJ8" s="13"/>
      <c r="AK8" s="440" t="str">
        <f>IF(E9="","","책임감리원")</f>
        <v>책임감리원</v>
      </c>
      <c r="AL8" s="36" t="str">
        <f>IF(E9="","",E9)</f>
        <v>홍길동</v>
      </c>
      <c r="AM8" s="441" t="s">
        <v>348</v>
      </c>
      <c r="AN8" s="441" t="s">
        <v>349</v>
      </c>
      <c r="AO8" s="442">
        <v>43960</v>
      </c>
      <c r="AP8" s="442">
        <v>43977</v>
      </c>
      <c r="AQ8" s="443">
        <v>20</v>
      </c>
      <c r="AR8" s="444" t="str">
        <f>IF(AO8="","",IF(AP8&gt;=$B$3,"X",IF(AP8&gt;=$AL$4,"O","X")))</f>
        <v>O</v>
      </c>
      <c r="AS8" s="445">
        <f>IF(AN8="","",IF(AR8="X",0,AQ8))</f>
        <v>20</v>
      </c>
    </row>
    <row r="9" spans="1:45" s="14" customFormat="1" x14ac:dyDescent="0.3">
      <c r="A9" s="544"/>
      <c r="B9" s="27" t="s">
        <v>108</v>
      </c>
      <c r="C9" s="33" t="s">
        <v>230</v>
      </c>
      <c r="D9" s="28" t="s">
        <v>109</v>
      </c>
      <c r="E9" s="87" t="s">
        <v>110</v>
      </c>
      <c r="F9" s="88" t="s">
        <v>193</v>
      </c>
      <c r="G9" s="139" t="s">
        <v>111</v>
      </c>
      <c r="H9" s="28" t="str">
        <f>IF(F9="특급(소방기술사)","적격",IF(AND(F8="특급이상",OR(F9="특급(소방기술사)",F9="특급")),"적격",IF(AND(F8="고급이상",OR(F9="특급(소방기술사)",F9="특급",F9="고급")),"적격",IF(AND(F8="중급이상",OR(F9="특급(소방기술사)",F9="특급",F9="고급",F9="중급")),"적격",IF(AND(F8="초급이상",OR(F9="특급(소방기술사)",F9="특급",F9="고급",F9="중급",F9="초급")),"적격","부적격")))))</f>
        <v>적격</v>
      </c>
      <c r="I9" s="28"/>
      <c r="J9" s="12"/>
      <c r="K9" s="305" t="s">
        <v>234</v>
      </c>
      <c r="L9" s="89">
        <v>38718</v>
      </c>
      <c r="M9" s="89">
        <v>40543</v>
      </c>
      <c r="N9" s="89" t="s">
        <v>241</v>
      </c>
      <c r="O9" s="363">
        <f t="shared" ref="O9:O15" si="0">IF(L9="","",(M9-L9+1))</f>
        <v>1826</v>
      </c>
      <c r="P9" s="12"/>
      <c r="Q9" s="305" t="s">
        <v>234</v>
      </c>
      <c r="R9" s="89">
        <v>38718</v>
      </c>
      <c r="S9" s="89">
        <v>40543</v>
      </c>
      <c r="T9" s="89" t="s">
        <v>241</v>
      </c>
      <c r="U9" s="363">
        <f t="shared" ref="U9:U15" si="1">IF(R9="","",(S9-R9+1))</f>
        <v>1826</v>
      </c>
      <c r="V9" s="12"/>
      <c r="W9" s="356" t="s">
        <v>260</v>
      </c>
      <c r="X9" s="310" t="s">
        <v>259</v>
      </c>
      <c r="Y9" s="222">
        <v>43466</v>
      </c>
      <c r="Z9" s="222">
        <v>45291</v>
      </c>
      <c r="AA9" s="233">
        <f t="shared" ref="AA9:AA47" si="2">IF(X9="","",Z9-Y9+1)</f>
        <v>1826</v>
      </c>
      <c r="AB9" s="311">
        <f t="shared" ref="AB9:AB47" si="3">IF(X9="","",IF(Y9&lt;=($B$3-365*3),$B$3-365*3,Y9))</f>
        <v>43467</v>
      </c>
      <c r="AC9" s="311">
        <f t="shared" ref="AC9:AC47" si="4">IF(X9="","",IF(Z9&lt;=$B$3,Z9,$B$3))</f>
        <v>44562</v>
      </c>
      <c r="AD9" s="233">
        <f t="shared" ref="AD9:AD47" si="5">IF(X9="","",AC9-AB9+1)</f>
        <v>1096</v>
      </c>
      <c r="AE9" s="234">
        <v>200000000</v>
      </c>
      <c r="AF9" s="157">
        <f t="shared" ref="AF9:AF47" si="6">IF(X9="","",AE9*AD9/AA9)</f>
        <v>120043811.61007667</v>
      </c>
      <c r="AG9" s="218">
        <v>0.7</v>
      </c>
      <c r="AH9" s="312">
        <f t="shared" ref="AH9:AH26" si="7">IF(X9="","",100%)</f>
        <v>1</v>
      </c>
      <c r="AI9" s="235">
        <f t="shared" ref="AI9:AI55" si="8">IF(X9="","",INT(AF9*AG9*AH9))</f>
        <v>84030668</v>
      </c>
      <c r="AJ9" s="13"/>
      <c r="AK9" s="440"/>
      <c r="AL9" s="36"/>
      <c r="AM9" s="441" t="s">
        <v>348</v>
      </c>
      <c r="AN9" s="441" t="s">
        <v>349</v>
      </c>
      <c r="AO9" s="442">
        <v>44322</v>
      </c>
      <c r="AP9" s="442">
        <v>44330</v>
      </c>
      <c r="AQ9" s="443">
        <v>15</v>
      </c>
      <c r="AR9" s="444" t="str">
        <f>IF(AO9="","",IF(AP9&gt;=$B$3,"X",IF(AP9&gt;=$AL$4,"O","X")))</f>
        <v>O</v>
      </c>
      <c r="AS9" s="445">
        <f t="shared" ref="AS9:AS18" si="9">IF(AN9="","",IF(AR9="X",0,AQ9))</f>
        <v>15</v>
      </c>
    </row>
    <row r="10" spans="1:45" s="14" customFormat="1" ht="49.5" x14ac:dyDescent="0.3">
      <c r="A10" s="544"/>
      <c r="B10" s="27" t="s">
        <v>112</v>
      </c>
      <c r="C10" s="34" t="s">
        <v>231</v>
      </c>
      <c r="D10" s="28">
        <v>12</v>
      </c>
      <c r="E10" s="158" t="str">
        <f>E9</f>
        <v>홍길동</v>
      </c>
      <c r="F10" s="159">
        <f>ROUNDDOWN(O16/365,1)</f>
        <v>20</v>
      </c>
      <c r="G10" s="139">
        <v>12</v>
      </c>
      <c r="H10" s="28">
        <f>IF(OR(AND($B$4&gt;=10000000000,F10&gt;=7),AND($B$4&lt;10000000000,$B$4&gt;=5000000000,F10&gt;=6),AND($B$4&lt;5000000000,$B$4&gt;=300000000,F10&gt;=5),AND($B$4&lt;300000000,F10&gt;=4)),12,IF(OR(AND($B$4&gt;=10000000000,F10&lt;7,F10&gt;=6),AND($B$4&lt;10000000000,$B$4&gt;=5000000000,F10&lt;6,F10&gt;=5),AND($B$4&lt;=5000000000,$B$4&gt;=300000000,F10&lt;5,F10&gt;=4),AND($B$4&lt;300000000,F10&lt;4,F10&gt;=3)),11,IF(OR(AND($B$4&gt;=10000000000,F10&lt;6,F10&gt;=5),AND($B$4&lt;10000000000,$B$4&gt;=500000000,F10&lt;5,F10&gt;=4),AND($B$4&lt;500000000,$B$4&gt;=300000000,F10&lt;4,F10&gt;=3),AND($B$4&lt;300000000,F10&lt;3,F10&gt;=2)),10,IF(OR(AND($B$4&gt;=10000000000,F10&lt;5,F10&gt;=4),AND($B$4&lt;10000000000,$B$4&gt;=5000000000,F10&lt;4,F10&gt;=3),AND($B$4&lt;5000000000,$B$4&gt;=300000000,F10&lt;3,F10&gt;=2),AND($B$4&lt;300000000,F10&lt;2,F10&gt;=1)),9,8))))</f>
        <v>12</v>
      </c>
      <c r="I10" s="28"/>
      <c r="J10" s="12"/>
      <c r="K10" s="305" t="s">
        <v>232</v>
      </c>
      <c r="L10" s="89">
        <v>40544</v>
      </c>
      <c r="M10" s="89">
        <v>42369</v>
      </c>
      <c r="N10" s="89" t="s">
        <v>241</v>
      </c>
      <c r="O10" s="363">
        <f t="shared" si="0"/>
        <v>1826</v>
      </c>
      <c r="P10" s="12"/>
      <c r="Q10" s="305" t="s">
        <v>232</v>
      </c>
      <c r="R10" s="89">
        <v>40544</v>
      </c>
      <c r="S10" s="89">
        <v>42369</v>
      </c>
      <c r="T10" s="89" t="s">
        <v>241</v>
      </c>
      <c r="U10" s="363">
        <f t="shared" si="1"/>
        <v>1826</v>
      </c>
      <c r="V10" s="12"/>
      <c r="W10" s="356"/>
      <c r="X10" s="310"/>
      <c r="Y10" s="222"/>
      <c r="Z10" s="222"/>
      <c r="AA10" s="233" t="str">
        <f t="shared" si="2"/>
        <v/>
      </c>
      <c r="AB10" s="311" t="str">
        <f t="shared" si="3"/>
        <v/>
      </c>
      <c r="AC10" s="311" t="str">
        <f t="shared" si="4"/>
        <v/>
      </c>
      <c r="AD10" s="233" t="str">
        <f t="shared" si="5"/>
        <v/>
      </c>
      <c r="AE10" s="234"/>
      <c r="AF10" s="157" t="str">
        <f t="shared" si="6"/>
        <v/>
      </c>
      <c r="AG10" s="218"/>
      <c r="AH10" s="312" t="str">
        <f t="shared" si="7"/>
        <v/>
      </c>
      <c r="AI10" s="235" t="str">
        <f t="shared" si="8"/>
        <v/>
      </c>
      <c r="AJ10" s="13"/>
      <c r="AK10" s="440"/>
      <c r="AL10" s="36"/>
      <c r="AM10" s="441"/>
      <c r="AN10" s="441"/>
      <c r="AO10" s="442"/>
      <c r="AP10" s="442"/>
      <c r="AQ10" s="443"/>
      <c r="AR10" s="444" t="str">
        <f>IF(AO10="","",IF(AP10&gt;=$B$3,"X",IF(AP10&gt;=$AL$4,"O","X")))</f>
        <v/>
      </c>
      <c r="AS10" s="445" t="str">
        <f t="shared" si="9"/>
        <v/>
      </c>
    </row>
    <row r="11" spans="1:45" s="14" customFormat="1" x14ac:dyDescent="0.3">
      <c r="A11" s="544"/>
      <c r="B11" s="27" t="s">
        <v>113</v>
      </c>
      <c r="C11" s="160" t="s">
        <v>264</v>
      </c>
      <c r="D11" s="28">
        <v>12</v>
      </c>
      <c r="E11" s="162" t="str">
        <f>E9</f>
        <v>홍길동</v>
      </c>
      <c r="F11" s="163">
        <f>ROUNDDOWN(O39/365,1)</f>
        <v>12</v>
      </c>
      <c r="G11" s="164">
        <v>12</v>
      </c>
      <c r="H11" s="165">
        <f>IF(OR(AND($B$4&gt;=10000000000,OR(AND($F$9="특급(소방기술사)",F11&gt;=6),AND($F$9="특급",F11&gt;=7),AND($F$9="고급",F11&gt;=8))),AND($B$4&lt;10000000000,$B$4&gt;=5000000000,OR(AND($F$9="특급(소방기술사)",F11&gt;=5),AND($F$9="특급",F11&gt;=6),AND($F$9="고급",F11&gt;=7))),AND($B$4&lt;5000000000,$B$4&gt;=300000000,OR(AND($F$9="특급(소방기술사)",F11&gt;=4),AND($F$9="특급",F11&gt;=5),AND($F$9="고급",F11&gt;=6))),AND($B$4&lt;300000000,OR(AND($F$9="특급",F11&gt;=4),AND($F$9="고급",F11&gt;=5)))),12,IF(OR(AND($B$4&gt;=10000000000,OR(AND($F$9="특급(소방기술사)",F11&lt;6,F11&gt;=5),AND($F$9="특급",F11&lt;7,F11&gt;=6),AND($F$9="고급",F11&lt;8,F11&gt;=7))),AND($B$4&lt;10000000000,$B$4&gt;=5000000000,OR(AND($F$9="특급(소방기술사)",F11&lt;5,F11&gt;=4),AND($F$9="특급",F11&lt;6,F11&gt;=5),AND($F$9="고급",F11&lt;7,F11&gt;=6))),AND($B$4&lt;500000000,$B$4&gt;=300000000,OR(AND($F$9="특급(소방기술사)",F11&lt;4,F11&gt;=3),AND($F$9="특급",F11&lt;5,F11&gt;=4),AND($F$9="고급",F11&lt;6,F11&gt;=5))),AND($B$4&lt;300000000,OR(AND($F$9="특급",F11&lt;4,F11&gt;=3),AND($F$9="고급",F11&lt;5,F11&gt;=4)))),11,IF(OR(AND($B$4&gt;=10000000000,OR(AND($F$9="특급(소방기술사)",F11&lt;5,F11&gt;=4),AND($F$9="특급",F11&lt;6,F11&gt;=5),AND($F$9="고급",F11&lt;7,F11&gt;=6))),AND($B$4&lt;10000000000,$B$4&gt;=5000000000,OR(AND($F$9="특급(소방기술사)",F11&lt;4,F11&gt;=3),AND($F$9="특급",F11&lt;5,F11&gt;=4),AND($F$9="고급",F11&lt;6,F11&gt;=5))),AND($B$4&lt;5000000000,$B$4&gt;=300000000,OR(AND($F$9="특급(소방기술사)",F11&lt;3,F11&gt;=2),AND($F$9="특급",F11=4,F11&gt;=3),AND($F$9="고급",F11&lt;5,F11&gt;=4))),AND($B$4&lt;300000000,OR(AND($F$9="특급",F11&lt;3,F11&gt;=2),AND($F$9="고급",F11&lt;4,F11&gt;=3)))),10,IF(OR(AND($B$4&gt;=10000000000,OR(AND($F$9="특급(소방기술사)",F11&lt;4,F11&gt;=3),AND($F$9="특급",F11&lt;5,F11&gt;=4),AND($F$9="고급",F11&lt;6,F11&gt;=5))),AND($B$4&lt;10000000000,$B$4&gt;5000000000,OR(AND($F$9="특급(소방기술사)",F11&lt;3,F11&gt;=2),AND($F$9="특급",F11&lt;4,F11&gt;=3),AND($F$9="고급",F11&lt;5,F11&gt;=4))),AND($B$4&lt;5000000000,$B$4&gt;=300000000,OR(AND($F$9="특급(소방기술사)",F11&lt;2,F11&gt;=1),AND($F$9="특급",F11&lt;3,F11&gt;=2),AND($F$9="고급",F11&lt;4,F11&gt;=3))),AND($B$4&lt;300000000,OR(AND($F$9="특급",F11&lt;2,F11&gt;=1),AND($F$9="고급",F11&lt;3,F11&gt;=2)))),9,8))))</f>
        <v>12</v>
      </c>
      <c r="I11" s="28"/>
      <c r="J11" s="12"/>
      <c r="K11" s="305" t="s">
        <v>250</v>
      </c>
      <c r="L11" s="89">
        <v>42370</v>
      </c>
      <c r="M11" s="89">
        <v>44196</v>
      </c>
      <c r="N11" s="89" t="s">
        <v>241</v>
      </c>
      <c r="O11" s="363">
        <f t="shared" si="0"/>
        <v>1827</v>
      </c>
      <c r="P11" s="12"/>
      <c r="Q11" s="305" t="s">
        <v>250</v>
      </c>
      <c r="R11" s="89">
        <v>42370</v>
      </c>
      <c r="S11" s="89">
        <v>44196</v>
      </c>
      <c r="T11" s="89" t="s">
        <v>241</v>
      </c>
      <c r="U11" s="363">
        <f t="shared" si="1"/>
        <v>1827</v>
      </c>
      <c r="V11" s="12"/>
      <c r="W11" s="356"/>
      <c r="X11" s="310"/>
      <c r="Y11" s="222"/>
      <c r="Z11" s="222"/>
      <c r="AA11" s="233" t="str">
        <f t="shared" si="2"/>
        <v/>
      </c>
      <c r="AB11" s="311" t="str">
        <f t="shared" si="3"/>
        <v/>
      </c>
      <c r="AC11" s="311" t="str">
        <f t="shared" si="4"/>
        <v/>
      </c>
      <c r="AD11" s="233" t="str">
        <f t="shared" si="5"/>
        <v/>
      </c>
      <c r="AE11" s="234"/>
      <c r="AF11" s="157" t="str">
        <f t="shared" si="6"/>
        <v/>
      </c>
      <c r="AG11" s="218"/>
      <c r="AH11" s="312" t="str">
        <f t="shared" si="7"/>
        <v/>
      </c>
      <c r="AI11" s="235" t="str">
        <f t="shared" si="8"/>
        <v/>
      </c>
      <c r="AJ11" s="13"/>
      <c r="AK11" s="440"/>
      <c r="AL11" s="36"/>
      <c r="AM11" s="441"/>
      <c r="AN11" s="441"/>
      <c r="AO11" s="442"/>
      <c r="AP11" s="442"/>
      <c r="AQ11" s="443"/>
      <c r="AR11" s="444" t="str">
        <f>IF(AO11="","",IF(AP11&gt;=$B$3,"X",IF(AP11&gt;=$AL$4,"O","X")))</f>
        <v/>
      </c>
      <c r="AS11" s="445" t="str">
        <f t="shared" si="9"/>
        <v/>
      </c>
    </row>
    <row r="12" spans="1:45" s="14" customFormat="1" x14ac:dyDescent="0.3">
      <c r="A12" s="544"/>
      <c r="B12" s="149"/>
      <c r="C12" s="166" t="s">
        <v>265</v>
      </c>
      <c r="D12" s="29">
        <v>6</v>
      </c>
      <c r="E12" s="167" t="str">
        <f>E9</f>
        <v>홍길동</v>
      </c>
      <c r="F12" s="168">
        <f>ROUNDDOWN(O38/365,1)</f>
        <v>5</v>
      </c>
      <c r="G12" s="169">
        <v>5.4</v>
      </c>
      <c r="H12" s="165">
        <f>IF(OR(AND($B$4&gt;=10000000000,OR(AND($F$9="특급(소방기술사)",F12&gt;=6),AND($F$9="특급",F12&gt;=7),AND($F$9="고급",F12&gt;=8))),AND($B$4&lt;10000000000,$B$4&gt;=5000000000,OR(AND($F$9="특급(소방기술사)",F12&gt;=5),AND($F$9="특급",F12&gt;=6),AND($F$9="고급",F12&gt;=7))),AND($B$4&lt;5000000000,$B$4&gt;=300000000,OR(AND($F$9="특급(소방기술사)",F12&gt;=4),AND($F$9="특급",F12&gt;=5),AND($F$9="고급",F12&gt;=6))),AND($B$4&lt;300000000,OR(AND($F$9="특급",F12&gt;=4),AND($F$9="고급",F12&gt;=5)))),6,IF(OR(AND($B$4&gt;=10000000000,OR(AND($F$9="특급(소방기술사)",F12&lt;6,F12&gt;=5),AND($F$9="특급",F12&lt;7,F12&gt;=6),AND($F$9="고급",F12&lt;8,F12&gt;=7))),AND($B$4&lt;10000000000,$B$4&gt;=5000000000,OR(AND($F$9="특급(소방기술사)",F12&lt;5,F12&gt;=4),AND($F$9="특급",F12&lt;6,F12&gt;=5),AND($F$9="고급",F12&lt;7,F12&gt;=6))),AND($B$4&lt;500000000,$B$4&gt;=300000000,OR(AND($F$9="특급(소방기술사)",F12&lt;4,F12&gt;=3),AND($F$9="특급",F12&lt;5,F12&gt;=4),AND($F$9="고급",F12&lt;6,F12&gt;=5))),AND($B$4&lt;300000000,OR(AND($F$9="특급",F12&lt;4,F12&gt;=3),AND($F$9="고급",F12&lt;5,F12&gt;=4)))),5.7,IF(OR(AND($B$4&gt;=10000000000,OR(AND($F$9="특급(소방기술사)",F12&lt;5,F12&gt;=4),AND($F$9="특급",F12&lt;6,F12&gt;=5),AND($F$9="고급",F12&lt;7,F12&gt;=6))),AND($B$4&lt;10000000000,$B$4&gt;=5000000000,OR(AND($F$9="특급(소방기술사)",F12&lt;4,F12&gt;=3),AND($F$9="특급",F12&lt;5,F12&gt;=4),AND($F$9="고급",F12&lt;6,F12&gt;=5))),AND($B$4&lt;5000000000,$B$4&gt;=300000000,OR(AND($F$9="특급(소방기술사)",F12&lt;3,F12&gt;=2),AND($F$9="특급",F12=4,F12&gt;=3),AND($F$9="고급",F12&lt;5,F12&gt;=4))),AND($B$4&lt;300000000,OR(AND($F$9="특급",F12&lt;3,F12&gt;=2),AND($F$9="고급",F12&lt;4,F12&gt;=3)))),5.4,IF(OR(AND($B$4&gt;=10000000000,OR(AND($F$9="특급(소방기술사)",F12&lt;4,F12&gt;=3),AND($F$9="특급",F12&lt;5,F12&gt;=4),AND($F$9="고급",F12&lt;6,F12&gt;=5))),AND($B$4&lt;10000000000,$B$4&gt;5000000000,OR(AND($F$9="특급(소방기술사)",F12&lt;3,F12&gt;=2),AND($F$9="특급",F12&lt;4,F12&gt;=3),AND($F$9="고급",F12&lt;5,F12&gt;=4))),AND($B$4&lt;5000000000,$B$4&gt;=300000000,OR(AND($F$9="특급(소방기술사)",F12&lt;2,F12&gt;=1),AND($F$9="특급",F12&lt;3,F12&gt;=2),AND($F$9="고급",F12&lt;4,F12&gt;=3))),AND($B$4&lt;300000000,OR(AND($F$9="특급",F12&lt;2,F12&gt;=1),AND($F$9="고급",F12&lt;3,F12&gt;=2)))),5.1,4.8))))</f>
        <v>5.4</v>
      </c>
      <c r="I12" s="149"/>
      <c r="J12" s="12"/>
      <c r="K12" s="305"/>
      <c r="L12" s="89"/>
      <c r="M12" s="89"/>
      <c r="N12" s="89"/>
      <c r="O12" s="363" t="str">
        <f t="shared" si="0"/>
        <v/>
      </c>
      <c r="P12" s="12"/>
      <c r="Q12" s="305"/>
      <c r="R12" s="89"/>
      <c r="S12" s="89"/>
      <c r="T12" s="89"/>
      <c r="U12" s="363" t="str">
        <f t="shared" si="1"/>
        <v/>
      </c>
      <c r="V12" s="12"/>
      <c r="W12" s="356"/>
      <c r="X12" s="310"/>
      <c r="Y12" s="222"/>
      <c r="Z12" s="222"/>
      <c r="AA12" s="233" t="str">
        <f t="shared" si="2"/>
        <v/>
      </c>
      <c r="AB12" s="311" t="str">
        <f t="shared" si="3"/>
        <v/>
      </c>
      <c r="AC12" s="311" t="str">
        <f t="shared" si="4"/>
        <v/>
      </c>
      <c r="AD12" s="233" t="str">
        <f t="shared" si="5"/>
        <v/>
      </c>
      <c r="AE12" s="234"/>
      <c r="AF12" s="157" t="str">
        <f t="shared" si="6"/>
        <v/>
      </c>
      <c r="AG12" s="218"/>
      <c r="AH12" s="312" t="str">
        <f t="shared" si="7"/>
        <v/>
      </c>
      <c r="AI12" s="235" t="str">
        <f t="shared" si="8"/>
        <v/>
      </c>
      <c r="AJ12" s="13"/>
      <c r="AK12" s="440"/>
      <c r="AL12" s="36"/>
      <c r="AM12" s="441"/>
      <c r="AN12" s="441"/>
      <c r="AO12" s="442"/>
      <c r="AP12" s="442"/>
      <c r="AQ12" s="443"/>
      <c r="AR12" s="444" t="str">
        <f>IF(AO12="","",IF(AP12&gt;=$B$3,"X",IF(AP12&gt;=$AL$4,"O","X")))</f>
        <v/>
      </c>
      <c r="AS12" s="445" t="str">
        <f t="shared" si="9"/>
        <v/>
      </c>
    </row>
    <row r="13" spans="1:45" s="14" customFormat="1" x14ac:dyDescent="0.3">
      <c r="A13" s="544"/>
      <c r="B13" s="161"/>
      <c r="C13" s="577" t="s">
        <v>116</v>
      </c>
      <c r="D13" s="577"/>
      <c r="E13" s="577"/>
      <c r="F13" s="577"/>
      <c r="G13" s="228">
        <f>G10+G11+G12</f>
        <v>29.4</v>
      </c>
      <c r="H13" s="170">
        <f>SUM(H10:H12)</f>
        <v>29.4</v>
      </c>
      <c r="I13" s="229"/>
      <c r="J13" s="15"/>
      <c r="K13" s="305"/>
      <c r="L13" s="89"/>
      <c r="M13" s="89"/>
      <c r="N13" s="89"/>
      <c r="O13" s="363" t="str">
        <f t="shared" si="0"/>
        <v/>
      </c>
      <c r="P13" s="12"/>
      <c r="Q13" s="305"/>
      <c r="R13" s="89"/>
      <c r="S13" s="89"/>
      <c r="T13" s="89"/>
      <c r="U13" s="363" t="str">
        <f t="shared" si="1"/>
        <v/>
      </c>
      <c r="V13" s="12"/>
      <c r="W13" s="356"/>
      <c r="X13" s="310"/>
      <c r="Y13" s="222"/>
      <c r="Z13" s="222"/>
      <c r="AA13" s="233" t="str">
        <f t="shared" si="2"/>
        <v/>
      </c>
      <c r="AB13" s="311" t="str">
        <f t="shared" si="3"/>
        <v/>
      </c>
      <c r="AC13" s="311" t="str">
        <f t="shared" si="4"/>
        <v/>
      </c>
      <c r="AD13" s="233" t="str">
        <f t="shared" si="5"/>
        <v/>
      </c>
      <c r="AE13" s="234"/>
      <c r="AF13" s="157" t="str">
        <f t="shared" si="6"/>
        <v/>
      </c>
      <c r="AG13" s="218"/>
      <c r="AH13" s="312" t="str">
        <f t="shared" si="7"/>
        <v/>
      </c>
      <c r="AI13" s="235" t="str">
        <f t="shared" si="8"/>
        <v/>
      </c>
      <c r="AJ13" s="13"/>
      <c r="AK13" s="446" t="s">
        <v>350</v>
      </c>
      <c r="AL13" s="447"/>
      <c r="AM13" s="447"/>
      <c r="AN13" s="447"/>
      <c r="AO13" s="448"/>
      <c r="AP13" s="448"/>
      <c r="AQ13" s="449">
        <f>SUM(AQ8:AQ12)</f>
        <v>35</v>
      </c>
      <c r="AR13" s="450"/>
      <c r="AS13" s="451">
        <f>SUM(AS8:AS12)</f>
        <v>35</v>
      </c>
    </row>
    <row r="14" spans="1:45" s="14" customFormat="1" x14ac:dyDescent="0.3">
      <c r="A14" s="544"/>
      <c r="B14" s="30" t="s">
        <v>117</v>
      </c>
      <c r="C14" s="171"/>
      <c r="D14" s="172" t="s">
        <v>118</v>
      </c>
      <c r="E14" s="290" t="s">
        <v>229</v>
      </c>
      <c r="F14" s="291" t="s">
        <v>262</v>
      </c>
      <c r="G14" s="24"/>
      <c r="H14" s="25"/>
      <c r="I14" s="24"/>
      <c r="J14" s="12"/>
      <c r="K14" s="305"/>
      <c r="L14" s="89"/>
      <c r="M14" s="89"/>
      <c r="N14" s="89"/>
      <c r="O14" s="363" t="str">
        <f t="shared" si="0"/>
        <v/>
      </c>
      <c r="P14" s="12"/>
      <c r="Q14" s="305"/>
      <c r="R14" s="89"/>
      <c r="S14" s="89"/>
      <c r="T14" s="89"/>
      <c r="U14" s="363" t="str">
        <f t="shared" si="1"/>
        <v/>
      </c>
      <c r="V14" s="12"/>
      <c r="W14" s="356"/>
      <c r="X14" s="310"/>
      <c r="Y14" s="222"/>
      <c r="Z14" s="222"/>
      <c r="AA14" s="233" t="str">
        <f t="shared" si="2"/>
        <v/>
      </c>
      <c r="AB14" s="311" t="str">
        <f t="shared" si="3"/>
        <v/>
      </c>
      <c r="AC14" s="311" t="str">
        <f t="shared" si="4"/>
        <v/>
      </c>
      <c r="AD14" s="233" t="str">
        <f t="shared" si="5"/>
        <v/>
      </c>
      <c r="AE14" s="234"/>
      <c r="AF14" s="157" t="str">
        <f t="shared" si="6"/>
        <v/>
      </c>
      <c r="AG14" s="218"/>
      <c r="AH14" s="312" t="str">
        <f t="shared" si="7"/>
        <v/>
      </c>
      <c r="AI14" s="235" t="str">
        <f t="shared" si="8"/>
        <v/>
      </c>
      <c r="AJ14" s="13"/>
      <c r="AK14" s="440" t="str">
        <f>IF(E15="","","보조감리원")</f>
        <v>보조감리원</v>
      </c>
      <c r="AL14" s="36" t="str">
        <f>IF(E15="","",E15)</f>
        <v>김한국</v>
      </c>
      <c r="AM14" s="441" t="s">
        <v>348</v>
      </c>
      <c r="AN14" s="441" t="s">
        <v>349</v>
      </c>
      <c r="AO14" s="442">
        <v>44083</v>
      </c>
      <c r="AP14" s="442">
        <v>44109</v>
      </c>
      <c r="AQ14" s="443">
        <v>25</v>
      </c>
      <c r="AR14" s="444" t="str">
        <f>IF(AO14="","",IF(AP14&gt;=$B$3,"X",IF(AP14&gt;=$AL$4,"O","X")))</f>
        <v>O</v>
      </c>
      <c r="AS14" s="445">
        <f t="shared" si="9"/>
        <v>25</v>
      </c>
    </row>
    <row r="15" spans="1:45" s="14" customFormat="1" x14ac:dyDescent="0.3">
      <c r="A15" s="544"/>
      <c r="B15" s="31" t="s">
        <v>119</v>
      </c>
      <c r="C15" s="166" t="s">
        <v>120</v>
      </c>
      <c r="D15" s="161" t="s">
        <v>121</v>
      </c>
      <c r="E15" s="87" t="s">
        <v>122</v>
      </c>
      <c r="F15" s="88" t="s">
        <v>263</v>
      </c>
      <c r="G15" s="139" t="s">
        <v>123</v>
      </c>
      <c r="H15" s="28" t="str">
        <f>IF(F15="특급(소방기술사)","적격",IF(AND(F14="특급이상",OR(F15="특급(소방기술사)",F15="특급")),"적격",IF(AND(F14="고급이상",OR(F15="특급(소방기술사)",F15="특급",F15="고급")),"적격",IF(AND(F14="중급이상",OR(F15="특급(소방기술사)",F15="특급",F15="고급",F15="중급")),"적격",IF(AND(F14="초급이상",OR(F15="특급(소방기술사)",F15="특급",F15="고급",F15="중급",F15="초급")),"적격","부적격")))))</f>
        <v>적격</v>
      </c>
      <c r="I15" s="28"/>
      <c r="J15" s="12"/>
      <c r="K15" s="305"/>
      <c r="L15" s="89"/>
      <c r="M15" s="89"/>
      <c r="N15" s="89"/>
      <c r="O15" s="363" t="str">
        <f t="shared" si="0"/>
        <v/>
      </c>
      <c r="P15" s="12"/>
      <c r="Q15" s="305"/>
      <c r="R15" s="89"/>
      <c r="S15" s="89"/>
      <c r="T15" s="89"/>
      <c r="U15" s="363" t="str">
        <f t="shared" si="1"/>
        <v/>
      </c>
      <c r="V15" s="12"/>
      <c r="W15" s="356"/>
      <c r="X15" s="310"/>
      <c r="Y15" s="222"/>
      <c r="Z15" s="222"/>
      <c r="AA15" s="233" t="str">
        <f t="shared" si="2"/>
        <v/>
      </c>
      <c r="AB15" s="311" t="str">
        <f t="shared" si="3"/>
        <v/>
      </c>
      <c r="AC15" s="311" t="str">
        <f t="shared" si="4"/>
        <v/>
      </c>
      <c r="AD15" s="233" t="str">
        <f t="shared" si="5"/>
        <v/>
      </c>
      <c r="AE15" s="234"/>
      <c r="AF15" s="157" t="str">
        <f t="shared" si="6"/>
        <v/>
      </c>
      <c r="AG15" s="218"/>
      <c r="AH15" s="312" t="str">
        <f t="shared" si="7"/>
        <v/>
      </c>
      <c r="AI15" s="235" t="str">
        <f t="shared" si="8"/>
        <v/>
      </c>
      <c r="AJ15" s="13"/>
      <c r="AK15" s="440"/>
      <c r="AL15" s="36"/>
      <c r="AM15" s="441" t="s">
        <v>348</v>
      </c>
      <c r="AN15" s="441" t="s">
        <v>349</v>
      </c>
      <c r="AO15" s="442">
        <v>44686</v>
      </c>
      <c r="AP15" s="442">
        <v>44691</v>
      </c>
      <c r="AQ15" s="443">
        <v>30</v>
      </c>
      <c r="AR15" s="444" t="str">
        <f>IF(AO15="","",IF(AP15&gt;=$B$3,"X",IF(AP15&gt;=$AL$4,"O","X")))</f>
        <v>X</v>
      </c>
      <c r="AS15" s="445">
        <f t="shared" si="9"/>
        <v>0</v>
      </c>
    </row>
    <row r="16" spans="1:45" s="14" customFormat="1" ht="50.25" thickBot="1" x14ac:dyDescent="0.35">
      <c r="A16" s="544"/>
      <c r="B16" s="27" t="s">
        <v>124</v>
      </c>
      <c r="C16" s="34" t="s">
        <v>231</v>
      </c>
      <c r="D16" s="28">
        <v>8</v>
      </c>
      <c r="E16" s="158" t="str">
        <f>E15</f>
        <v>김한국</v>
      </c>
      <c r="F16" s="159">
        <f>ROUNDDOWN(U16/365,1)</f>
        <v>20</v>
      </c>
      <c r="G16" s="139">
        <v>8</v>
      </c>
      <c r="H16" s="28">
        <f>IF(OR(AND($B$4&gt;=10000000000,F16&gt;7),AND($B$4&lt;10000000000,$B$4&gt;=5000000000,F16&gt;6),AND($B$4&lt;5000000000,$B$4&gt;=300000000,F16&gt;5),AND($B$4&lt;300000000,F16&gt;4)),8,IF(OR(AND($B$4&gt;=10000000000,F16&lt;7,F16&gt;=6),AND($B$4&lt;10000000000,$B$4&gt;=5000000000,F16&lt;6,F16&gt;=5),AND($B$4&lt;=5000000000,$B$4&gt;=300000000,F16&lt;5,F16&gt;=4),AND($B$4&lt;300000000,F16&lt;4,F16&gt;=3)),7.7,IF(OR(AND($B$4&gt;=10000000000,F16&lt;6,F16&gt;=5),AND($B$4&lt;10000000000,$B$4&gt;=500000000,F16&lt;5,F16&gt;=4),AND($B$4&lt;500000000,$B$4&gt;=300000000,F16&lt;4,F16&gt;=3),AND($B$4&lt;300000000,F16&lt;3,F16&gt;=2)),7.4,IF(OR(AND($B$4&gt;=10000000000,F16&lt;5,F16&gt;=4),AND($B$4&lt;10000000000,$B$4&gt;=5000000000,F16&lt;4,F16&gt;=3),AND($B$4&lt;5000000000,$B$4&gt;=300000000,F16&lt;3,F16&gt;=2),AND($B$4&lt;300000000,F16&lt;2,F16&gt;=1)),7.1,6.8))))</f>
        <v>8</v>
      </c>
      <c r="I16" s="28"/>
      <c r="J16" s="12"/>
      <c r="K16" s="572" t="s">
        <v>169</v>
      </c>
      <c r="L16" s="573"/>
      <c r="M16" s="573"/>
      <c r="N16" s="574"/>
      <c r="O16" s="307">
        <f>SUM(O8:O15)</f>
        <v>7305</v>
      </c>
      <c r="P16" s="12"/>
      <c r="Q16" s="572" t="s">
        <v>169</v>
      </c>
      <c r="R16" s="573"/>
      <c r="S16" s="573"/>
      <c r="T16" s="574"/>
      <c r="U16" s="307">
        <f>SUM(U8:U15)</f>
        <v>7305</v>
      </c>
      <c r="V16" s="12"/>
      <c r="W16" s="356"/>
      <c r="X16" s="310"/>
      <c r="Y16" s="222"/>
      <c r="Z16" s="222"/>
      <c r="AA16" s="233" t="str">
        <f t="shared" si="2"/>
        <v/>
      </c>
      <c r="AB16" s="311" t="str">
        <f t="shared" si="3"/>
        <v/>
      </c>
      <c r="AC16" s="311" t="str">
        <f t="shared" si="4"/>
        <v/>
      </c>
      <c r="AD16" s="233" t="str">
        <f t="shared" si="5"/>
        <v/>
      </c>
      <c r="AE16" s="234"/>
      <c r="AF16" s="157" t="str">
        <f t="shared" si="6"/>
        <v/>
      </c>
      <c r="AG16" s="218"/>
      <c r="AH16" s="312" t="str">
        <f t="shared" si="7"/>
        <v/>
      </c>
      <c r="AI16" s="235" t="str">
        <f t="shared" si="8"/>
        <v/>
      </c>
      <c r="AJ16" s="13"/>
      <c r="AK16" s="440"/>
      <c r="AL16" s="36"/>
      <c r="AM16" s="441"/>
      <c r="AN16" s="441"/>
      <c r="AO16" s="442"/>
      <c r="AP16" s="442"/>
      <c r="AQ16" s="443"/>
      <c r="AR16" s="444" t="str">
        <f>IF(AO16="","",IF(AP16&gt;=$B$3,"X",IF(AP16&gt;=$AL$4,"O","X")))</f>
        <v/>
      </c>
      <c r="AS16" s="445" t="str">
        <f t="shared" si="9"/>
        <v/>
      </c>
    </row>
    <row r="17" spans="1:45" s="14" customFormat="1" ht="17.25" thickBot="1" x14ac:dyDescent="0.35">
      <c r="A17" s="544"/>
      <c r="B17" s="27" t="s">
        <v>125</v>
      </c>
      <c r="C17" s="33" t="s">
        <v>114</v>
      </c>
      <c r="D17" s="28">
        <v>8</v>
      </c>
      <c r="E17" s="158" t="str">
        <f>E15</f>
        <v>김한국</v>
      </c>
      <c r="F17" s="159">
        <f>ROUNDDOWN(U39/365,1)</f>
        <v>9.5</v>
      </c>
      <c r="G17" s="139">
        <v>8</v>
      </c>
      <c r="H17" s="28">
        <f>IF(F17&gt;=5,8,IF(F17&gt;=4,7.7,IF(F17&gt;=3,7.4,7.1)))</f>
        <v>8</v>
      </c>
      <c r="I17" s="28"/>
      <c r="J17" s="12"/>
      <c r="K17" s="568" t="s">
        <v>253</v>
      </c>
      <c r="L17" s="568"/>
      <c r="M17" s="568"/>
      <c r="N17" s="192"/>
      <c r="O17" s="188"/>
      <c r="P17" s="12"/>
      <c r="Q17" s="342" t="s">
        <v>255</v>
      </c>
      <c r="R17" s="343"/>
      <c r="S17" s="344"/>
      <c r="T17" s="344"/>
      <c r="U17" s="345"/>
      <c r="V17" s="12"/>
      <c r="W17" s="356"/>
      <c r="X17" s="310"/>
      <c r="Y17" s="222"/>
      <c r="Z17" s="222"/>
      <c r="AA17" s="233" t="str">
        <f t="shared" si="2"/>
        <v/>
      </c>
      <c r="AB17" s="311" t="str">
        <f t="shared" si="3"/>
        <v/>
      </c>
      <c r="AC17" s="311" t="str">
        <f t="shared" si="4"/>
        <v/>
      </c>
      <c r="AD17" s="233" t="str">
        <f t="shared" si="5"/>
        <v/>
      </c>
      <c r="AE17" s="234"/>
      <c r="AF17" s="157" t="str">
        <f t="shared" si="6"/>
        <v/>
      </c>
      <c r="AG17" s="218"/>
      <c r="AH17" s="312" t="str">
        <f t="shared" si="7"/>
        <v/>
      </c>
      <c r="AI17" s="235" t="str">
        <f t="shared" si="8"/>
        <v/>
      </c>
      <c r="AJ17" s="13"/>
      <c r="AK17" s="440"/>
      <c r="AL17" s="36"/>
      <c r="AM17" s="441"/>
      <c r="AN17" s="441"/>
      <c r="AO17" s="442"/>
      <c r="AP17" s="442"/>
      <c r="AQ17" s="443"/>
      <c r="AR17" s="444" t="str">
        <f>IF(AO17="","",IF(AP17&gt;=$B$3,"X",IF(AP17&gt;=$AL$4,"O","X")))</f>
        <v/>
      </c>
      <c r="AS17" s="445" t="str">
        <f t="shared" si="9"/>
        <v/>
      </c>
    </row>
    <row r="18" spans="1:45" s="14" customFormat="1" x14ac:dyDescent="0.3">
      <c r="A18" s="544"/>
      <c r="B18" s="161"/>
      <c r="C18" s="173" t="s">
        <v>115</v>
      </c>
      <c r="D18" s="161">
        <v>4</v>
      </c>
      <c r="E18" s="329" t="str">
        <f>E15</f>
        <v>김한국</v>
      </c>
      <c r="F18" s="330">
        <f>ROUNDDOWN(U38/365,1)</f>
        <v>5</v>
      </c>
      <c r="G18" s="142">
        <v>4</v>
      </c>
      <c r="H18" s="28">
        <f>IF(F18&gt;=5,4,IF(F18&gt;=4,3.8,IF(F18&gt;=3,3.6,3.4)))</f>
        <v>4</v>
      </c>
      <c r="I18" s="221"/>
      <c r="J18" s="12"/>
      <c r="K18" s="260" t="s">
        <v>237</v>
      </c>
      <c r="L18" s="336" t="s">
        <v>238</v>
      </c>
      <c r="M18" s="336" t="s">
        <v>239</v>
      </c>
      <c r="N18" s="336" t="s">
        <v>300</v>
      </c>
      <c r="O18" s="262" t="s">
        <v>240</v>
      </c>
      <c r="P18" s="12"/>
      <c r="Q18" s="260" t="s">
        <v>237</v>
      </c>
      <c r="R18" s="336" t="s">
        <v>238</v>
      </c>
      <c r="S18" s="336" t="s">
        <v>239</v>
      </c>
      <c r="T18" s="336" t="s">
        <v>245</v>
      </c>
      <c r="U18" s="262" t="s">
        <v>240</v>
      </c>
      <c r="V18" s="12"/>
      <c r="W18" s="356"/>
      <c r="X18" s="310"/>
      <c r="Y18" s="222"/>
      <c r="Z18" s="222"/>
      <c r="AA18" s="233" t="str">
        <f t="shared" si="2"/>
        <v/>
      </c>
      <c r="AB18" s="311" t="str">
        <f t="shared" si="3"/>
        <v/>
      </c>
      <c r="AC18" s="311" t="str">
        <f t="shared" si="4"/>
        <v/>
      </c>
      <c r="AD18" s="233" t="str">
        <f t="shared" si="5"/>
        <v/>
      </c>
      <c r="AE18" s="234"/>
      <c r="AF18" s="157" t="str">
        <f t="shared" si="6"/>
        <v/>
      </c>
      <c r="AG18" s="218"/>
      <c r="AH18" s="312" t="str">
        <f t="shared" si="7"/>
        <v/>
      </c>
      <c r="AI18" s="235" t="str">
        <f t="shared" si="8"/>
        <v/>
      </c>
      <c r="AJ18" s="13"/>
      <c r="AK18" s="440"/>
      <c r="AL18" s="36"/>
      <c r="AM18" s="441"/>
      <c r="AN18" s="441"/>
      <c r="AO18" s="442"/>
      <c r="AP18" s="442"/>
      <c r="AQ18" s="443"/>
      <c r="AR18" s="444" t="str">
        <f>IF(AO18="","",IF(AP18&gt;=$B$3,"X",IF(AP18&gt;=$AL$4,"O","X")))</f>
        <v/>
      </c>
      <c r="AS18" s="445" t="str">
        <f t="shared" si="9"/>
        <v/>
      </c>
    </row>
    <row r="19" spans="1:45" s="14" customFormat="1" ht="17.25" thickBot="1" x14ac:dyDescent="0.35">
      <c r="A19" s="544"/>
      <c r="B19" s="174"/>
      <c r="C19" s="578" t="s">
        <v>126</v>
      </c>
      <c r="D19" s="561"/>
      <c r="E19" s="561"/>
      <c r="F19" s="562"/>
      <c r="G19" s="228">
        <f>SUM(G16,G17,G18)</f>
        <v>20</v>
      </c>
      <c r="H19" s="229">
        <f>SUM(H16,H17,H18)</f>
        <v>20</v>
      </c>
      <c r="I19" s="229"/>
      <c r="J19" s="12"/>
      <c r="K19" s="565" t="s">
        <v>243</v>
      </c>
      <c r="L19" s="566"/>
      <c r="M19" s="566"/>
      <c r="N19" s="566"/>
      <c r="O19" s="567"/>
      <c r="P19" s="12"/>
      <c r="Q19" s="565" t="s">
        <v>243</v>
      </c>
      <c r="R19" s="566"/>
      <c r="S19" s="566"/>
      <c r="T19" s="566"/>
      <c r="U19" s="567"/>
      <c r="V19" s="12"/>
      <c r="W19" s="356"/>
      <c r="X19" s="310"/>
      <c r="Y19" s="222"/>
      <c r="Z19" s="222"/>
      <c r="AA19" s="233" t="str">
        <f t="shared" si="2"/>
        <v/>
      </c>
      <c r="AB19" s="311" t="str">
        <f t="shared" si="3"/>
        <v/>
      </c>
      <c r="AC19" s="311" t="str">
        <f t="shared" si="4"/>
        <v/>
      </c>
      <c r="AD19" s="233" t="str">
        <f t="shared" si="5"/>
        <v/>
      </c>
      <c r="AE19" s="234"/>
      <c r="AF19" s="157" t="str">
        <f t="shared" si="6"/>
        <v/>
      </c>
      <c r="AG19" s="218"/>
      <c r="AH19" s="312" t="str">
        <f t="shared" si="7"/>
        <v/>
      </c>
      <c r="AI19" s="235" t="str">
        <f t="shared" si="8"/>
        <v/>
      </c>
      <c r="AJ19" s="13"/>
      <c r="AK19" s="263" t="s">
        <v>350</v>
      </c>
      <c r="AL19" s="452"/>
      <c r="AM19" s="452"/>
      <c r="AN19" s="452"/>
      <c r="AO19" s="265"/>
      <c r="AP19" s="265"/>
      <c r="AQ19" s="453">
        <f>SUM(AQ14:AQ18)</f>
        <v>55</v>
      </c>
      <c r="AR19" s="465"/>
      <c r="AS19" s="454">
        <f>SUM(AS14:AS18)</f>
        <v>25</v>
      </c>
    </row>
    <row r="20" spans="1:45" s="14" customFormat="1" x14ac:dyDescent="0.3">
      <c r="A20" s="545"/>
      <c r="B20" s="489" t="s">
        <v>127</v>
      </c>
      <c r="C20" s="490"/>
      <c r="D20" s="6">
        <v>50</v>
      </c>
      <c r="E20" s="489"/>
      <c r="F20" s="490"/>
      <c r="G20" s="6">
        <f>SUM(G13,G19)</f>
        <v>49.4</v>
      </c>
      <c r="H20" s="6">
        <f>SUM(H13,H19)</f>
        <v>49.4</v>
      </c>
      <c r="I20" s="7"/>
      <c r="J20" s="12"/>
      <c r="K20" s="305" t="s">
        <v>233</v>
      </c>
      <c r="L20" s="89">
        <v>36892</v>
      </c>
      <c r="M20" s="89">
        <v>38352</v>
      </c>
      <c r="N20" s="89" t="s">
        <v>246</v>
      </c>
      <c r="O20" s="363">
        <f>IF(L20="","",(M20-L20+1))</f>
        <v>1461</v>
      </c>
      <c r="P20" s="12"/>
      <c r="Q20" s="305" t="s">
        <v>233</v>
      </c>
      <c r="R20" s="89">
        <v>36892</v>
      </c>
      <c r="S20" s="89">
        <v>37437</v>
      </c>
      <c r="T20" s="89" t="s">
        <v>246</v>
      </c>
      <c r="U20" s="363">
        <f>IF(R20="","",(S20-R20+1))</f>
        <v>546</v>
      </c>
      <c r="V20" s="12"/>
      <c r="W20" s="356"/>
      <c r="X20" s="310"/>
      <c r="Y20" s="222"/>
      <c r="Z20" s="222"/>
      <c r="AA20" s="233" t="str">
        <f t="shared" si="2"/>
        <v/>
      </c>
      <c r="AB20" s="311" t="str">
        <f t="shared" si="3"/>
        <v/>
      </c>
      <c r="AC20" s="311" t="str">
        <f t="shared" si="4"/>
        <v/>
      </c>
      <c r="AD20" s="233" t="str">
        <f t="shared" si="5"/>
        <v/>
      </c>
      <c r="AE20" s="234"/>
      <c r="AF20" s="157" t="str">
        <f t="shared" si="6"/>
        <v/>
      </c>
      <c r="AG20" s="218"/>
      <c r="AH20" s="312" t="str">
        <f t="shared" si="7"/>
        <v/>
      </c>
      <c r="AI20" s="235" t="str">
        <f t="shared" si="8"/>
        <v/>
      </c>
      <c r="AJ20" s="13"/>
      <c r="AK20" s="128"/>
      <c r="AL20" s="129"/>
      <c r="AM20" s="177"/>
      <c r="AN20" s="177"/>
      <c r="AO20" s="130"/>
      <c r="AP20" s="59"/>
      <c r="AQ20" s="60"/>
      <c r="AR20" s="61"/>
    </row>
    <row r="21" spans="1:45" s="14" customFormat="1" x14ac:dyDescent="0.3">
      <c r="A21" s="543" t="s">
        <v>128</v>
      </c>
      <c r="B21" s="21" t="s">
        <v>129</v>
      </c>
      <c r="C21" s="35" t="s">
        <v>130</v>
      </c>
      <c r="D21" s="51">
        <v>10</v>
      </c>
      <c r="E21" s="523">
        <f>AI48</f>
        <v>271073122</v>
      </c>
      <c r="F21" s="524"/>
      <c r="G21" s="406">
        <v>6</v>
      </c>
      <c r="H21" s="383">
        <f>IF(E21&gt;=B5,10,IF(E21&gt;=B5*0.8,9,IF(E21&gt;=B5*0.6,8,IF(E21&gt;=B5*0.4,7,6))))</f>
        <v>6</v>
      </c>
      <c r="I21" s="51"/>
      <c r="J21" s="12"/>
      <c r="K21" s="305" t="s">
        <v>234</v>
      </c>
      <c r="L21" s="89">
        <v>38718</v>
      </c>
      <c r="M21" s="89">
        <v>39813</v>
      </c>
      <c r="N21" s="89" t="s">
        <v>249</v>
      </c>
      <c r="O21" s="363">
        <f t="shared" ref="O21:O28" si="10">IF(L21="","",(M21-L21+1))</f>
        <v>1096</v>
      </c>
      <c r="P21" s="304"/>
      <c r="Q21" s="305" t="s">
        <v>234</v>
      </c>
      <c r="R21" s="89">
        <v>38718</v>
      </c>
      <c r="S21" s="89">
        <v>39813</v>
      </c>
      <c r="T21" s="89" t="s">
        <v>249</v>
      </c>
      <c r="U21" s="363">
        <f t="shared" ref="U21:U28" si="11">IF(R21="","",(S21-R21+1))</f>
        <v>1096</v>
      </c>
      <c r="V21" s="304"/>
      <c r="W21" s="356"/>
      <c r="X21" s="310"/>
      <c r="Y21" s="222"/>
      <c r="Z21" s="222"/>
      <c r="AA21" s="233" t="str">
        <f t="shared" si="2"/>
        <v/>
      </c>
      <c r="AB21" s="311" t="str">
        <f t="shared" si="3"/>
        <v/>
      </c>
      <c r="AC21" s="311" t="str">
        <f t="shared" si="4"/>
        <v/>
      </c>
      <c r="AD21" s="233" t="str">
        <f t="shared" si="5"/>
        <v/>
      </c>
      <c r="AE21" s="234"/>
      <c r="AF21" s="157" t="str">
        <f t="shared" si="6"/>
        <v/>
      </c>
      <c r="AG21" s="218"/>
      <c r="AH21" s="312" t="str">
        <f t="shared" si="7"/>
        <v/>
      </c>
      <c r="AI21" s="313"/>
      <c r="AJ21" s="13"/>
      <c r="AK21" s="128"/>
      <c r="AL21" s="129"/>
      <c r="AM21" s="177"/>
      <c r="AN21" s="177"/>
      <c r="AO21" s="130"/>
      <c r="AP21" s="59"/>
      <c r="AQ21" s="439"/>
      <c r="AR21" s="61"/>
    </row>
    <row r="22" spans="1:45" s="14" customFormat="1" x14ac:dyDescent="0.3">
      <c r="A22" s="545"/>
      <c r="B22" s="489" t="s">
        <v>131</v>
      </c>
      <c r="C22" s="490"/>
      <c r="D22" s="6">
        <v>10</v>
      </c>
      <c r="E22" s="489"/>
      <c r="F22" s="490"/>
      <c r="G22" s="152">
        <f>G21</f>
        <v>6</v>
      </c>
      <c r="H22" s="152">
        <f>H21</f>
        <v>6</v>
      </c>
      <c r="I22" s="7"/>
      <c r="J22" s="12"/>
      <c r="K22" s="305"/>
      <c r="L22" s="89" t="str">
        <f t="shared" ref="L22:L23" si="12">IF(M22="","",(N22-M22+1))</f>
        <v/>
      </c>
      <c r="M22" s="89"/>
      <c r="N22" s="89"/>
      <c r="O22" s="363" t="str">
        <f t="shared" si="10"/>
        <v/>
      </c>
      <c r="P22" s="12"/>
      <c r="Q22" s="305"/>
      <c r="R22" s="89" t="str">
        <f t="shared" ref="R22:R23" si="13">IF(S22="","",(T22-S22+1))</f>
        <v/>
      </c>
      <c r="S22" s="89"/>
      <c r="T22" s="89"/>
      <c r="U22" s="363" t="str">
        <f t="shared" si="11"/>
        <v/>
      </c>
      <c r="V22" s="12"/>
      <c r="W22" s="356"/>
      <c r="X22" s="310"/>
      <c r="Y22" s="222"/>
      <c r="Z22" s="222"/>
      <c r="AA22" s="233" t="str">
        <f t="shared" si="2"/>
        <v/>
      </c>
      <c r="AB22" s="311" t="str">
        <f t="shared" si="3"/>
        <v/>
      </c>
      <c r="AC22" s="311" t="str">
        <f t="shared" si="4"/>
        <v/>
      </c>
      <c r="AD22" s="233" t="str">
        <f t="shared" si="5"/>
        <v/>
      </c>
      <c r="AE22" s="234"/>
      <c r="AF22" s="157" t="str">
        <f t="shared" si="6"/>
        <v/>
      </c>
      <c r="AG22" s="218"/>
      <c r="AH22" s="312" t="str">
        <f t="shared" si="7"/>
        <v/>
      </c>
      <c r="AI22" s="235" t="str">
        <f t="shared" si="8"/>
        <v/>
      </c>
      <c r="AJ22" s="13"/>
      <c r="AK22" s="93"/>
      <c r="AL22" s="94"/>
      <c r="AM22" s="178"/>
      <c r="AN22" s="178"/>
      <c r="AO22" s="179"/>
      <c r="AP22" s="18"/>
      <c r="AQ22" s="18"/>
      <c r="AR22" s="62"/>
    </row>
    <row r="23" spans="1:45" s="14" customFormat="1" x14ac:dyDescent="0.3">
      <c r="A23" s="543" t="s">
        <v>132</v>
      </c>
      <c r="B23" s="23" t="s">
        <v>242</v>
      </c>
      <c r="C23" s="32" t="s">
        <v>133</v>
      </c>
      <c r="D23" s="24" t="s">
        <v>134</v>
      </c>
      <c r="E23" s="25"/>
      <c r="F23" s="26"/>
      <c r="G23" s="24"/>
      <c r="H23" s="24"/>
      <c r="I23" s="24"/>
      <c r="J23" s="12"/>
      <c r="K23" s="305"/>
      <c r="L23" s="89" t="str">
        <f t="shared" si="12"/>
        <v/>
      </c>
      <c r="M23" s="89"/>
      <c r="N23" s="89"/>
      <c r="O23" s="363" t="str">
        <f t="shared" si="10"/>
        <v/>
      </c>
      <c r="P23" s="12"/>
      <c r="Q23" s="305"/>
      <c r="R23" s="89" t="str">
        <f t="shared" si="13"/>
        <v/>
      </c>
      <c r="S23" s="89"/>
      <c r="T23" s="89"/>
      <c r="U23" s="363" t="str">
        <f t="shared" si="11"/>
        <v/>
      </c>
      <c r="V23" s="12"/>
      <c r="W23" s="356"/>
      <c r="X23" s="310"/>
      <c r="Y23" s="222"/>
      <c r="Z23" s="222"/>
      <c r="AA23" s="233" t="str">
        <f t="shared" si="2"/>
        <v/>
      </c>
      <c r="AB23" s="311" t="str">
        <f t="shared" si="3"/>
        <v/>
      </c>
      <c r="AC23" s="311" t="str">
        <f t="shared" si="4"/>
        <v/>
      </c>
      <c r="AD23" s="233" t="str">
        <f t="shared" si="5"/>
        <v/>
      </c>
      <c r="AE23" s="234"/>
      <c r="AF23" s="157" t="str">
        <f t="shared" si="6"/>
        <v/>
      </c>
      <c r="AG23" s="218"/>
      <c r="AH23" s="312" t="str">
        <f t="shared" si="7"/>
        <v/>
      </c>
      <c r="AI23" s="235" t="str">
        <f t="shared" si="8"/>
        <v/>
      </c>
      <c r="AJ23" s="13"/>
      <c r="AK23" s="93"/>
      <c r="AL23" s="94"/>
      <c r="AM23" s="438"/>
      <c r="AN23" s="438"/>
      <c r="AO23" s="179"/>
      <c r="AP23" s="18"/>
      <c r="AQ23" s="18"/>
      <c r="AR23" s="62"/>
    </row>
    <row r="24" spans="1:45" s="14" customFormat="1" x14ac:dyDescent="0.3">
      <c r="A24" s="544"/>
      <c r="B24" s="27" t="s">
        <v>135</v>
      </c>
      <c r="C24" s="52" t="s">
        <v>136</v>
      </c>
      <c r="D24" s="28">
        <v>4</v>
      </c>
      <c r="E24" s="90">
        <v>20</v>
      </c>
      <c r="F24" s="38">
        <f>ROUNDUP(E24/30,0)</f>
        <v>1</v>
      </c>
      <c r="G24" s="139">
        <v>3.8</v>
      </c>
      <c r="H24" s="28">
        <f>IF(F24&gt;20,0,D24-(F24*0.2))</f>
        <v>3.8</v>
      </c>
      <c r="I24" s="28"/>
      <c r="J24" s="12"/>
      <c r="K24" s="305"/>
      <c r="L24" s="89"/>
      <c r="M24" s="89"/>
      <c r="N24" s="89"/>
      <c r="O24" s="363" t="str">
        <f t="shared" si="10"/>
        <v/>
      </c>
      <c r="P24" s="12"/>
      <c r="Q24" s="305"/>
      <c r="R24" s="89"/>
      <c r="S24" s="89"/>
      <c r="T24" s="89"/>
      <c r="U24" s="363" t="str">
        <f t="shared" si="11"/>
        <v/>
      </c>
      <c r="V24" s="12"/>
      <c r="W24" s="356"/>
      <c r="X24" s="310"/>
      <c r="Y24" s="222"/>
      <c r="Z24" s="222"/>
      <c r="AA24" s="233" t="str">
        <f t="shared" si="2"/>
        <v/>
      </c>
      <c r="AB24" s="311" t="str">
        <f t="shared" si="3"/>
        <v/>
      </c>
      <c r="AC24" s="311" t="str">
        <f t="shared" si="4"/>
        <v/>
      </c>
      <c r="AD24" s="233" t="str">
        <f t="shared" si="5"/>
        <v/>
      </c>
      <c r="AE24" s="234"/>
      <c r="AF24" s="157" t="str">
        <f t="shared" si="6"/>
        <v/>
      </c>
      <c r="AG24" s="218"/>
      <c r="AH24" s="312" t="str">
        <f t="shared" si="7"/>
        <v/>
      </c>
      <c r="AI24" s="235" t="str">
        <f t="shared" si="8"/>
        <v/>
      </c>
      <c r="AJ24" s="13"/>
      <c r="AK24" s="76"/>
      <c r="AL24" s="16"/>
      <c r="AM24" s="16"/>
      <c r="AN24" s="16"/>
      <c r="AO24" s="16"/>
      <c r="AP24" s="18"/>
      <c r="AQ24" s="18"/>
      <c r="AR24" s="62"/>
    </row>
    <row r="25" spans="1:45" s="14" customFormat="1" x14ac:dyDescent="0.3">
      <c r="A25" s="544"/>
      <c r="B25" s="39" t="s">
        <v>137</v>
      </c>
      <c r="C25" s="53" t="s">
        <v>138</v>
      </c>
      <c r="D25" s="29">
        <v>3</v>
      </c>
      <c r="E25" s="91">
        <v>60</v>
      </c>
      <c r="F25" s="41">
        <f>ROUNDUP(E25/90,0)*3</f>
        <v>3</v>
      </c>
      <c r="G25" s="140">
        <v>2.8</v>
      </c>
      <c r="H25" s="29">
        <f>IF(F25&gt;45,0,D25-(F25/3*0.2))</f>
        <v>2.8</v>
      </c>
      <c r="I25" s="29"/>
      <c r="J25" s="12"/>
      <c r="K25" s="305"/>
      <c r="L25" s="89"/>
      <c r="M25" s="89"/>
      <c r="N25" s="89"/>
      <c r="O25" s="363" t="str">
        <f t="shared" si="10"/>
        <v/>
      </c>
      <c r="P25" s="12"/>
      <c r="Q25" s="305"/>
      <c r="R25" s="89"/>
      <c r="S25" s="89"/>
      <c r="T25" s="89"/>
      <c r="U25" s="363" t="str">
        <f t="shared" si="11"/>
        <v/>
      </c>
      <c r="V25" s="12"/>
      <c r="W25" s="356"/>
      <c r="X25" s="310"/>
      <c r="Y25" s="222"/>
      <c r="Z25" s="222"/>
      <c r="AA25" s="233" t="str">
        <f t="shared" si="2"/>
        <v/>
      </c>
      <c r="AB25" s="311" t="str">
        <f t="shared" si="3"/>
        <v/>
      </c>
      <c r="AC25" s="311" t="str">
        <f t="shared" si="4"/>
        <v/>
      </c>
      <c r="AD25" s="233" t="str">
        <f t="shared" si="5"/>
        <v/>
      </c>
      <c r="AE25" s="234"/>
      <c r="AF25" s="157" t="str">
        <f t="shared" si="6"/>
        <v/>
      </c>
      <c r="AG25" s="218"/>
      <c r="AH25" s="312" t="str">
        <f t="shared" si="7"/>
        <v/>
      </c>
      <c r="AI25" s="235" t="str">
        <f t="shared" si="8"/>
        <v/>
      </c>
      <c r="AJ25" s="13"/>
      <c r="AK25" s="175"/>
      <c r="AL25" s="175"/>
      <c r="AM25" s="176"/>
      <c r="AN25" s="176"/>
      <c r="AO25" s="59"/>
      <c r="AP25" s="18"/>
      <c r="AQ25" s="18"/>
      <c r="AR25" s="62"/>
    </row>
    <row r="26" spans="1:45" s="14" customFormat="1" ht="17.25" thickBot="1" x14ac:dyDescent="0.35">
      <c r="A26" s="544"/>
      <c r="B26" s="23" t="s">
        <v>139</v>
      </c>
      <c r="C26" s="32" t="s">
        <v>140</v>
      </c>
      <c r="D26" s="24" t="s">
        <v>141</v>
      </c>
      <c r="E26" s="579"/>
      <c r="F26" s="580"/>
      <c r="G26" s="24"/>
      <c r="H26" s="24"/>
      <c r="I26" s="24"/>
      <c r="J26" s="12"/>
      <c r="K26" s="305"/>
      <c r="L26" s="89"/>
      <c r="M26" s="89"/>
      <c r="N26" s="335"/>
      <c r="O26" s="363" t="str">
        <f t="shared" si="10"/>
        <v/>
      </c>
      <c r="P26" s="12"/>
      <c r="Q26" s="305"/>
      <c r="R26" s="89"/>
      <c r="S26" s="89"/>
      <c r="T26" s="335"/>
      <c r="U26" s="363" t="str">
        <f t="shared" si="11"/>
        <v/>
      </c>
      <c r="V26" s="12"/>
      <c r="W26" s="430"/>
      <c r="X26" s="325"/>
      <c r="Y26" s="326"/>
      <c r="Z26" s="326"/>
      <c r="AA26" s="239" t="str">
        <f t="shared" si="2"/>
        <v/>
      </c>
      <c r="AB26" s="327" t="str">
        <f t="shared" si="3"/>
        <v/>
      </c>
      <c r="AC26" s="327" t="str">
        <f t="shared" si="4"/>
        <v/>
      </c>
      <c r="AD26" s="239" t="str">
        <f t="shared" si="5"/>
        <v/>
      </c>
      <c r="AE26" s="240"/>
      <c r="AF26" s="241" t="str">
        <f t="shared" si="6"/>
        <v/>
      </c>
      <c r="AG26" s="242"/>
      <c r="AH26" s="328" t="str">
        <f t="shared" si="7"/>
        <v/>
      </c>
      <c r="AI26" s="243" t="str">
        <f t="shared" si="8"/>
        <v/>
      </c>
      <c r="AJ26" s="13"/>
      <c r="AK26" s="128"/>
      <c r="AL26" s="129"/>
      <c r="AM26" s="461"/>
      <c r="AN26" s="461"/>
      <c r="AO26" s="184"/>
      <c r="AP26" s="18"/>
      <c r="AQ26" s="18"/>
      <c r="AR26" s="62"/>
    </row>
    <row r="27" spans="1:45" s="14" customFormat="1" x14ac:dyDescent="0.3">
      <c r="A27" s="544"/>
      <c r="B27" s="27" t="s">
        <v>142</v>
      </c>
      <c r="C27" s="34" t="s">
        <v>143</v>
      </c>
      <c r="D27" s="28">
        <v>1</v>
      </c>
      <c r="E27" s="519">
        <v>1.5</v>
      </c>
      <c r="F27" s="520"/>
      <c r="G27" s="379">
        <v>1</v>
      </c>
      <c r="H27" s="380">
        <f>IF(E27="","",IF(E27&gt;=100%,1,IF(E27&gt;=75%,0.85,IF(E27&gt;=50%,0.7,IF(E27&gt;=25%,0.55,0.4)))))</f>
        <v>1</v>
      </c>
      <c r="I27" s="570" t="s">
        <v>315</v>
      </c>
      <c r="J27" s="12"/>
      <c r="K27" s="306"/>
      <c r="L27" s="89"/>
      <c r="M27" s="89"/>
      <c r="N27" s="89"/>
      <c r="O27" s="363" t="str">
        <f t="shared" si="10"/>
        <v/>
      </c>
      <c r="P27" s="12"/>
      <c r="Q27" s="306"/>
      <c r="R27" s="89"/>
      <c r="S27" s="89"/>
      <c r="T27" s="89"/>
      <c r="U27" s="363" t="str">
        <f t="shared" si="11"/>
        <v/>
      </c>
      <c r="V27" s="12"/>
      <c r="W27" s="408" t="s">
        <v>192</v>
      </c>
      <c r="X27" s="321" t="s">
        <v>144</v>
      </c>
      <c r="Y27" s="322">
        <v>43586</v>
      </c>
      <c r="Z27" s="322">
        <v>43977</v>
      </c>
      <c r="AA27" s="247">
        <f t="shared" si="2"/>
        <v>392</v>
      </c>
      <c r="AB27" s="323">
        <f t="shared" si="3"/>
        <v>43586</v>
      </c>
      <c r="AC27" s="323">
        <f t="shared" si="4"/>
        <v>43977</v>
      </c>
      <c r="AD27" s="247">
        <f t="shared" si="5"/>
        <v>392</v>
      </c>
      <c r="AE27" s="248">
        <v>150000000</v>
      </c>
      <c r="AF27" s="249">
        <f t="shared" si="6"/>
        <v>150000000</v>
      </c>
      <c r="AG27" s="250">
        <v>1</v>
      </c>
      <c r="AH27" s="324">
        <f>IF(X27="","",70%)</f>
        <v>0.7</v>
      </c>
      <c r="AI27" s="251">
        <f>IF(X27="","",INT(AF27*AG27*AH27))</f>
        <v>105000000</v>
      </c>
      <c r="AJ27" s="13"/>
      <c r="AK27" s="128"/>
      <c r="AL27" s="129"/>
      <c r="AM27" s="177"/>
      <c r="AN27" s="177"/>
      <c r="AO27" s="184"/>
      <c r="AP27" s="18"/>
      <c r="AQ27" s="18"/>
      <c r="AR27" s="62"/>
    </row>
    <row r="28" spans="1:45" s="14" customFormat="1" x14ac:dyDescent="0.3">
      <c r="A28" s="544"/>
      <c r="B28" s="39" t="s">
        <v>145</v>
      </c>
      <c r="C28" s="40" t="s">
        <v>146</v>
      </c>
      <c r="D28" s="29">
        <v>2</v>
      </c>
      <c r="E28" s="521">
        <v>1.5</v>
      </c>
      <c r="F28" s="522"/>
      <c r="G28" s="381">
        <v>2</v>
      </c>
      <c r="H28" s="382">
        <f>IF(E28="","",IF(E28&gt;=100%,2,IF(E28&gt;=75%,1.7,IF(E28&gt;=50%,1.4,IF(E28&gt;=25%,1.1,0.8)))))</f>
        <v>2</v>
      </c>
      <c r="I28" s="545"/>
      <c r="J28" s="12"/>
      <c r="K28" s="305"/>
      <c r="L28" s="89"/>
      <c r="M28" s="89"/>
      <c r="N28" s="335"/>
      <c r="O28" s="363" t="str">
        <f t="shared" si="10"/>
        <v/>
      </c>
      <c r="P28" s="12"/>
      <c r="Q28" s="305"/>
      <c r="R28" s="89"/>
      <c r="S28" s="89"/>
      <c r="T28" s="335"/>
      <c r="U28" s="363" t="str">
        <f t="shared" si="11"/>
        <v/>
      </c>
      <c r="V28" s="12"/>
      <c r="W28" s="356" t="s">
        <v>327</v>
      </c>
      <c r="X28" s="310" t="s">
        <v>261</v>
      </c>
      <c r="Y28" s="222">
        <v>43831</v>
      </c>
      <c r="Z28" s="222">
        <v>45291</v>
      </c>
      <c r="AA28" s="233">
        <f t="shared" si="2"/>
        <v>1461</v>
      </c>
      <c r="AB28" s="311">
        <f t="shared" si="3"/>
        <v>43831</v>
      </c>
      <c r="AC28" s="311">
        <f t="shared" si="4"/>
        <v>44562</v>
      </c>
      <c r="AD28" s="233">
        <f t="shared" si="5"/>
        <v>732</v>
      </c>
      <c r="AE28" s="234">
        <v>200000000</v>
      </c>
      <c r="AF28" s="157">
        <f t="shared" si="6"/>
        <v>100205338.80903491</v>
      </c>
      <c r="AG28" s="218">
        <v>0.6</v>
      </c>
      <c r="AH28" s="312">
        <f t="shared" ref="AH28:AH47" si="14">IF(X28="","",70%)</f>
        <v>0.7</v>
      </c>
      <c r="AI28" s="235">
        <f t="shared" si="8"/>
        <v>42086242</v>
      </c>
      <c r="AJ28" s="13"/>
      <c r="AK28" s="128"/>
      <c r="AL28" s="129"/>
      <c r="AM28" s="177"/>
      <c r="AN28" s="177"/>
      <c r="AO28" s="184"/>
      <c r="AP28" s="18"/>
      <c r="AQ28" s="18"/>
      <c r="AR28" s="62"/>
    </row>
    <row r="29" spans="1:45" s="14" customFormat="1" ht="17.25" thickBot="1" x14ac:dyDescent="0.35">
      <c r="A29" s="545"/>
      <c r="B29" s="489" t="s">
        <v>131</v>
      </c>
      <c r="C29" s="490"/>
      <c r="D29" s="6">
        <v>10</v>
      </c>
      <c r="E29" s="489"/>
      <c r="F29" s="490"/>
      <c r="G29" s="6">
        <f>SUM(G24:G25,G27:G28)</f>
        <v>9.6</v>
      </c>
      <c r="H29" s="6">
        <f>SUM(H24:H25,H27:H28)</f>
        <v>9.6</v>
      </c>
      <c r="I29" s="7"/>
      <c r="J29" s="12"/>
      <c r="K29" s="338" t="s">
        <v>247</v>
      </c>
      <c r="L29" s="339"/>
      <c r="M29" s="339"/>
      <c r="N29" s="340"/>
      <c r="O29" s="426">
        <f>SUM(O20:O28)</f>
        <v>2557</v>
      </c>
      <c r="P29" s="12"/>
      <c r="Q29" s="338" t="s">
        <v>247</v>
      </c>
      <c r="R29" s="339"/>
      <c r="S29" s="339"/>
      <c r="T29" s="340"/>
      <c r="U29" s="426">
        <f>SUM(U20:U28)</f>
        <v>1642</v>
      </c>
      <c r="V29" s="12"/>
      <c r="W29" s="356"/>
      <c r="X29" s="310"/>
      <c r="Y29" s="222"/>
      <c r="Z29" s="222"/>
      <c r="AA29" s="233" t="str">
        <f t="shared" si="2"/>
        <v/>
      </c>
      <c r="AB29" s="311" t="str">
        <f t="shared" si="3"/>
        <v/>
      </c>
      <c r="AC29" s="311" t="str">
        <f t="shared" si="4"/>
        <v/>
      </c>
      <c r="AD29" s="233" t="str">
        <f t="shared" si="5"/>
        <v/>
      </c>
      <c r="AE29" s="234"/>
      <c r="AF29" s="157" t="str">
        <f t="shared" si="6"/>
        <v/>
      </c>
      <c r="AG29" s="218"/>
      <c r="AH29" s="312" t="str">
        <f t="shared" si="14"/>
        <v/>
      </c>
      <c r="AI29" s="235" t="str">
        <f t="shared" si="8"/>
        <v/>
      </c>
      <c r="AJ29" s="13"/>
      <c r="AK29" s="93"/>
      <c r="AL29" s="94"/>
      <c r="AM29" s="178"/>
      <c r="AN29" s="178"/>
      <c r="AO29" s="185"/>
      <c r="AP29" s="18"/>
      <c r="AQ29" s="18"/>
      <c r="AR29" s="62"/>
    </row>
    <row r="30" spans="1:45" s="14" customFormat="1" ht="33" x14ac:dyDescent="0.3">
      <c r="A30" s="543" t="s">
        <v>147</v>
      </c>
      <c r="B30" s="23" t="s">
        <v>148</v>
      </c>
      <c r="C30" s="23" t="s">
        <v>149</v>
      </c>
      <c r="D30" s="24">
        <v>4</v>
      </c>
      <c r="E30" s="478">
        <f>L48</f>
        <v>5</v>
      </c>
      <c r="F30" s="479"/>
      <c r="G30" s="141">
        <v>4</v>
      </c>
      <c r="H30" s="352">
        <f>S48</f>
        <v>4</v>
      </c>
      <c r="I30" s="24"/>
      <c r="J30" s="12"/>
      <c r="K30" s="557" t="s">
        <v>244</v>
      </c>
      <c r="L30" s="558"/>
      <c r="M30" s="558"/>
      <c r="N30" s="558"/>
      <c r="O30" s="559"/>
      <c r="P30" s="12"/>
      <c r="Q30" s="557" t="s">
        <v>244</v>
      </c>
      <c r="R30" s="558"/>
      <c r="S30" s="558"/>
      <c r="T30" s="558"/>
      <c r="U30" s="559"/>
      <c r="V30" s="12"/>
      <c r="W30" s="356"/>
      <c r="X30" s="310"/>
      <c r="Y30" s="222"/>
      <c r="Z30" s="222"/>
      <c r="AA30" s="233" t="str">
        <f t="shared" si="2"/>
        <v/>
      </c>
      <c r="AB30" s="311" t="str">
        <f t="shared" si="3"/>
        <v/>
      </c>
      <c r="AC30" s="311" t="str">
        <f t="shared" si="4"/>
        <v/>
      </c>
      <c r="AD30" s="233" t="str">
        <f t="shared" si="5"/>
        <v/>
      </c>
      <c r="AE30" s="234"/>
      <c r="AF30" s="157" t="str">
        <f t="shared" si="6"/>
        <v/>
      </c>
      <c r="AG30" s="218"/>
      <c r="AH30" s="312" t="str">
        <f t="shared" si="14"/>
        <v/>
      </c>
      <c r="AI30" s="235" t="str">
        <f t="shared" si="8"/>
        <v/>
      </c>
      <c r="AJ30" s="13"/>
      <c r="AK30" s="16"/>
      <c r="AL30" s="16"/>
      <c r="AM30" s="16"/>
      <c r="AN30" s="16"/>
      <c r="AO30" s="16"/>
      <c r="AP30" s="18"/>
      <c r="AQ30" s="18"/>
      <c r="AR30" s="62"/>
    </row>
    <row r="31" spans="1:45" s="14" customFormat="1" ht="33" x14ac:dyDescent="0.3">
      <c r="A31" s="544"/>
      <c r="B31" s="27" t="s">
        <v>150</v>
      </c>
      <c r="C31" s="27" t="s">
        <v>151</v>
      </c>
      <c r="D31" s="28">
        <v>4</v>
      </c>
      <c r="E31" s="519">
        <v>0.04</v>
      </c>
      <c r="F31" s="520"/>
      <c r="G31" s="379">
        <v>4</v>
      </c>
      <c r="H31" s="380">
        <f>IF(E31="","",IF(E31&gt;=3%,4,IF(E31&gt;=2.5%,3.5,IF(E31&gt;=2%,3,IF(E31&gt;=1.5%,2.5,2)))))</f>
        <v>4</v>
      </c>
      <c r="I31" s="28"/>
      <c r="J31" s="12"/>
      <c r="K31" s="305" t="s">
        <v>232</v>
      </c>
      <c r="L31" s="89">
        <v>40544</v>
      </c>
      <c r="M31" s="89">
        <v>41274</v>
      </c>
      <c r="N31" s="89" t="s">
        <v>251</v>
      </c>
      <c r="O31" s="363">
        <f>IF(L31="","",(M31-L31+1))</f>
        <v>731</v>
      </c>
      <c r="P31" s="12"/>
      <c r="Q31" s="305" t="s">
        <v>232</v>
      </c>
      <c r="R31" s="89">
        <v>40544</v>
      </c>
      <c r="S31" s="89">
        <v>41274</v>
      </c>
      <c r="T31" s="89" t="s">
        <v>251</v>
      </c>
      <c r="U31" s="363">
        <f>IF(R31="","",(S31-R31+1))</f>
        <v>731</v>
      </c>
      <c r="V31" s="12"/>
      <c r="W31" s="356"/>
      <c r="X31" s="310"/>
      <c r="Y31" s="222"/>
      <c r="Z31" s="222"/>
      <c r="AA31" s="233" t="str">
        <f t="shared" si="2"/>
        <v/>
      </c>
      <c r="AB31" s="311" t="str">
        <f t="shared" si="3"/>
        <v/>
      </c>
      <c r="AC31" s="311" t="str">
        <f t="shared" si="4"/>
        <v/>
      </c>
      <c r="AD31" s="233" t="str">
        <f t="shared" si="5"/>
        <v/>
      </c>
      <c r="AE31" s="234"/>
      <c r="AF31" s="157" t="str">
        <f t="shared" si="6"/>
        <v/>
      </c>
      <c r="AG31" s="218"/>
      <c r="AH31" s="312" t="str">
        <f t="shared" si="14"/>
        <v/>
      </c>
      <c r="AI31" s="235" t="str">
        <f t="shared" si="8"/>
        <v/>
      </c>
      <c r="AJ31" s="13"/>
      <c r="AK31" s="76"/>
      <c r="AL31" s="16"/>
      <c r="AM31" s="16"/>
      <c r="AN31" s="16"/>
      <c r="AO31" s="16"/>
      <c r="AP31" s="18"/>
      <c r="AQ31" s="18"/>
      <c r="AR31" s="62"/>
    </row>
    <row r="32" spans="1:45" s="14" customFormat="1" x14ac:dyDescent="0.3">
      <c r="A32" s="544"/>
      <c r="B32" s="39" t="s">
        <v>152</v>
      </c>
      <c r="C32" s="365" t="s">
        <v>153</v>
      </c>
      <c r="D32" s="149">
        <v>2</v>
      </c>
      <c r="E32" s="581">
        <v>70</v>
      </c>
      <c r="F32" s="582"/>
      <c r="G32" s="142">
        <v>2</v>
      </c>
      <c r="H32" s="45">
        <f>ROUND((IF(E9="",0,IF(AS13&gt;=70,2,IF(AS13&gt;=35,1,0))/COUNTA(E9,E15))+IF(E15="",0,IF(AS19&gt;=70,2,IF(AS19&gt;=35,1,0))/COUNTA(E9,E15))),2)</f>
        <v>0.5</v>
      </c>
      <c r="I32" s="149"/>
      <c r="J32" s="12"/>
      <c r="K32" s="305" t="s">
        <v>250</v>
      </c>
      <c r="L32" s="89">
        <v>42370</v>
      </c>
      <c r="M32" s="89">
        <v>43465</v>
      </c>
      <c r="N32" s="89" t="s">
        <v>248</v>
      </c>
      <c r="O32" s="363">
        <f t="shared" ref="O32:O37" si="15">IF(L32="","",(M32-L32+1))</f>
        <v>1096</v>
      </c>
      <c r="P32" s="12"/>
      <c r="Q32" s="305" t="s">
        <v>250</v>
      </c>
      <c r="R32" s="89">
        <v>42370</v>
      </c>
      <c r="S32" s="89">
        <v>43465</v>
      </c>
      <c r="T32" s="89" t="s">
        <v>248</v>
      </c>
      <c r="U32" s="363">
        <f t="shared" ref="U32:U37" si="16">IF(R32="","",(S32-R32+1))</f>
        <v>1096</v>
      </c>
      <c r="V32" s="12"/>
      <c r="W32" s="356"/>
      <c r="X32" s="310"/>
      <c r="Y32" s="222"/>
      <c r="Z32" s="222"/>
      <c r="AA32" s="233" t="str">
        <f t="shared" si="2"/>
        <v/>
      </c>
      <c r="AB32" s="311" t="str">
        <f t="shared" si="3"/>
        <v/>
      </c>
      <c r="AC32" s="311" t="str">
        <f t="shared" si="4"/>
        <v/>
      </c>
      <c r="AD32" s="233" t="str">
        <f t="shared" si="5"/>
        <v/>
      </c>
      <c r="AE32" s="234"/>
      <c r="AF32" s="157" t="str">
        <f t="shared" si="6"/>
        <v/>
      </c>
      <c r="AG32" s="218"/>
      <c r="AH32" s="312" t="str">
        <f t="shared" si="14"/>
        <v/>
      </c>
      <c r="AI32" s="235" t="str">
        <f t="shared" si="8"/>
        <v/>
      </c>
      <c r="AJ32" s="13"/>
      <c r="AK32" s="175"/>
      <c r="AL32" s="175"/>
      <c r="AM32" s="176"/>
      <c r="AN32" s="176"/>
      <c r="AO32" s="59"/>
      <c r="AP32" s="18"/>
      <c r="AQ32" s="18"/>
      <c r="AR32" s="62"/>
    </row>
    <row r="33" spans="1:45" s="14" customFormat="1" x14ac:dyDescent="0.3">
      <c r="A33" s="545"/>
      <c r="B33" s="489" t="s">
        <v>127</v>
      </c>
      <c r="C33" s="490"/>
      <c r="D33" s="6">
        <v>10</v>
      </c>
      <c r="E33" s="489"/>
      <c r="F33" s="490"/>
      <c r="G33" s="152">
        <f>SUM(G30:G32)</f>
        <v>10</v>
      </c>
      <c r="H33" s="152">
        <f>SUM(H30:H32)</f>
        <v>8.5</v>
      </c>
      <c r="I33" s="7"/>
      <c r="J33" s="12"/>
      <c r="K33" s="305"/>
      <c r="L33" s="89" t="str">
        <f>IF(M33="","",(N33-M33+1))</f>
        <v/>
      </c>
      <c r="M33" s="89"/>
      <c r="N33" s="89"/>
      <c r="O33" s="363" t="str">
        <f t="shared" si="15"/>
        <v/>
      </c>
      <c r="P33" s="12"/>
      <c r="Q33" s="305"/>
      <c r="R33" s="89" t="str">
        <f t="shared" ref="R33:R36" si="17">IF(S33="","",(T33-S33+1))</f>
        <v/>
      </c>
      <c r="S33" s="89"/>
      <c r="T33" s="89"/>
      <c r="U33" s="363" t="str">
        <f t="shared" si="16"/>
        <v/>
      </c>
      <c r="V33" s="12"/>
      <c r="W33" s="356"/>
      <c r="X33" s="310"/>
      <c r="Y33" s="222"/>
      <c r="Z33" s="222"/>
      <c r="AA33" s="233" t="str">
        <f t="shared" si="2"/>
        <v/>
      </c>
      <c r="AB33" s="311" t="str">
        <f t="shared" si="3"/>
        <v/>
      </c>
      <c r="AC33" s="311" t="str">
        <f t="shared" si="4"/>
        <v/>
      </c>
      <c r="AD33" s="233" t="str">
        <f t="shared" si="5"/>
        <v/>
      </c>
      <c r="AE33" s="234"/>
      <c r="AF33" s="157" t="str">
        <f t="shared" si="6"/>
        <v/>
      </c>
      <c r="AG33" s="218"/>
      <c r="AH33" s="312" t="str">
        <f t="shared" si="14"/>
        <v/>
      </c>
      <c r="AI33" s="235" t="str">
        <f t="shared" si="8"/>
        <v/>
      </c>
      <c r="AJ33" s="13"/>
      <c r="AK33" s="128"/>
      <c r="AL33" s="182"/>
      <c r="AM33" s="177"/>
      <c r="AN33" s="177"/>
      <c r="AO33" s="130"/>
      <c r="AP33" s="18"/>
      <c r="AQ33" s="18"/>
      <c r="AR33" s="62"/>
    </row>
    <row r="34" spans="1:45" s="14" customFormat="1" x14ac:dyDescent="0.3">
      <c r="A34" s="543" t="s">
        <v>154</v>
      </c>
      <c r="B34" s="23" t="s">
        <v>155</v>
      </c>
      <c r="C34" s="32" t="s">
        <v>156</v>
      </c>
      <c r="D34" s="24">
        <v>7</v>
      </c>
      <c r="E34" s="290" t="str">
        <f>E9</f>
        <v>홍길동</v>
      </c>
      <c r="F34" s="366">
        <v>0</v>
      </c>
      <c r="G34" s="141">
        <v>7</v>
      </c>
      <c r="H34" s="24">
        <f>IF(F34=0,7,"부적격")</f>
        <v>7</v>
      </c>
      <c r="I34" s="24"/>
      <c r="J34" s="12"/>
      <c r="K34" s="305"/>
      <c r="L34" s="89" t="str">
        <f>IF(M34="","",(N34-M34+1))</f>
        <v/>
      </c>
      <c r="M34" s="89"/>
      <c r="N34" s="89"/>
      <c r="O34" s="363" t="str">
        <f t="shared" si="15"/>
        <v/>
      </c>
      <c r="P34" s="12"/>
      <c r="Q34" s="305"/>
      <c r="R34" s="89" t="str">
        <f t="shared" si="17"/>
        <v/>
      </c>
      <c r="S34" s="89"/>
      <c r="T34" s="89"/>
      <c r="U34" s="363" t="str">
        <f t="shared" si="16"/>
        <v/>
      </c>
      <c r="V34" s="12"/>
      <c r="W34" s="356"/>
      <c r="X34" s="310"/>
      <c r="Y34" s="222"/>
      <c r="Z34" s="222"/>
      <c r="AA34" s="233" t="str">
        <f t="shared" si="2"/>
        <v/>
      </c>
      <c r="AB34" s="311" t="str">
        <f t="shared" si="3"/>
        <v/>
      </c>
      <c r="AC34" s="311" t="str">
        <f t="shared" si="4"/>
        <v/>
      </c>
      <c r="AD34" s="233" t="str">
        <f t="shared" si="5"/>
        <v/>
      </c>
      <c r="AE34" s="234"/>
      <c r="AF34" s="157" t="str">
        <f t="shared" si="6"/>
        <v/>
      </c>
      <c r="AG34" s="218"/>
      <c r="AH34" s="312" t="str">
        <f t="shared" si="14"/>
        <v/>
      </c>
      <c r="AI34" s="235" t="str">
        <f t="shared" si="8"/>
        <v/>
      </c>
      <c r="AJ34" s="13"/>
      <c r="AK34" s="128"/>
      <c r="AL34" s="182"/>
      <c r="AM34" s="437"/>
      <c r="AN34" s="437"/>
      <c r="AO34" s="130"/>
      <c r="AP34" s="18"/>
      <c r="AQ34" s="18"/>
      <c r="AR34" s="62"/>
    </row>
    <row r="35" spans="1:45" s="14" customFormat="1" x14ac:dyDescent="0.3">
      <c r="A35" s="544"/>
      <c r="B35" s="39"/>
      <c r="C35" s="367" t="s">
        <v>157</v>
      </c>
      <c r="D35" s="29">
        <v>3</v>
      </c>
      <c r="E35" s="368" t="str">
        <f>E15</f>
        <v>김한국</v>
      </c>
      <c r="F35" s="369">
        <v>0</v>
      </c>
      <c r="G35" s="140">
        <v>3</v>
      </c>
      <c r="H35" s="29">
        <f>IF(F35=0,3,"부적격")</f>
        <v>3</v>
      </c>
      <c r="I35" s="29"/>
      <c r="J35" s="12"/>
      <c r="K35" s="305"/>
      <c r="L35" s="89" t="str">
        <f>IF(M35="","",(N35-M35+1))</f>
        <v/>
      </c>
      <c r="M35" s="89"/>
      <c r="N35" s="89"/>
      <c r="O35" s="363" t="str">
        <f t="shared" si="15"/>
        <v/>
      </c>
      <c r="P35" s="12"/>
      <c r="Q35" s="305"/>
      <c r="R35" s="89" t="str">
        <f t="shared" si="17"/>
        <v/>
      </c>
      <c r="S35" s="89"/>
      <c r="T35" s="89"/>
      <c r="U35" s="363" t="str">
        <f t="shared" si="16"/>
        <v/>
      </c>
      <c r="V35" s="12"/>
      <c r="W35" s="356"/>
      <c r="X35" s="310"/>
      <c r="Y35" s="222"/>
      <c r="Z35" s="222"/>
      <c r="AA35" s="233" t="str">
        <f t="shared" si="2"/>
        <v/>
      </c>
      <c r="AB35" s="311" t="str">
        <f t="shared" si="3"/>
        <v/>
      </c>
      <c r="AC35" s="311" t="str">
        <f t="shared" si="4"/>
        <v/>
      </c>
      <c r="AD35" s="233" t="str">
        <f t="shared" si="5"/>
        <v/>
      </c>
      <c r="AE35" s="234"/>
      <c r="AF35" s="157" t="str">
        <f t="shared" si="6"/>
        <v/>
      </c>
      <c r="AG35" s="218"/>
      <c r="AH35" s="312" t="str">
        <f t="shared" si="14"/>
        <v/>
      </c>
      <c r="AI35" s="235" t="str">
        <f t="shared" si="8"/>
        <v/>
      </c>
      <c r="AJ35" s="13"/>
      <c r="AK35" s="128"/>
      <c r="AL35" s="182"/>
      <c r="AM35" s="177"/>
      <c r="AN35" s="177"/>
      <c r="AO35" s="130"/>
      <c r="AP35" s="18"/>
      <c r="AQ35" s="18"/>
      <c r="AR35" s="62"/>
    </row>
    <row r="36" spans="1:45" s="14" customFormat="1" x14ac:dyDescent="0.3">
      <c r="A36" s="545"/>
      <c r="B36" s="489" t="s">
        <v>127</v>
      </c>
      <c r="C36" s="490"/>
      <c r="D36" s="6">
        <v>10</v>
      </c>
      <c r="E36" s="489"/>
      <c r="F36" s="490"/>
      <c r="G36" s="6">
        <f>SUM(G34:G35)</f>
        <v>10</v>
      </c>
      <c r="H36" s="6">
        <f>SUM(H34:H35)</f>
        <v>10</v>
      </c>
      <c r="I36" s="7"/>
      <c r="J36" s="12"/>
      <c r="K36" s="305"/>
      <c r="L36" s="89" t="str">
        <f>IF(M36="","",(N36-M36+1))</f>
        <v/>
      </c>
      <c r="M36" s="89"/>
      <c r="N36" s="89"/>
      <c r="O36" s="363" t="str">
        <f t="shared" si="15"/>
        <v/>
      </c>
      <c r="P36" s="12"/>
      <c r="Q36" s="305"/>
      <c r="R36" s="89" t="str">
        <f t="shared" si="17"/>
        <v/>
      </c>
      <c r="S36" s="89"/>
      <c r="T36" s="89"/>
      <c r="U36" s="363" t="str">
        <f t="shared" si="16"/>
        <v/>
      </c>
      <c r="V36" s="12"/>
      <c r="W36" s="356"/>
      <c r="X36" s="310"/>
      <c r="Y36" s="222"/>
      <c r="Z36" s="222"/>
      <c r="AA36" s="233" t="str">
        <f t="shared" si="2"/>
        <v/>
      </c>
      <c r="AB36" s="311" t="str">
        <f t="shared" si="3"/>
        <v/>
      </c>
      <c r="AC36" s="311" t="str">
        <f t="shared" si="4"/>
        <v/>
      </c>
      <c r="AD36" s="233" t="str">
        <f t="shared" si="5"/>
        <v/>
      </c>
      <c r="AE36" s="234"/>
      <c r="AF36" s="157" t="str">
        <f t="shared" si="6"/>
        <v/>
      </c>
      <c r="AG36" s="218"/>
      <c r="AH36" s="312" t="str">
        <f t="shared" si="14"/>
        <v/>
      </c>
      <c r="AI36" s="235" t="str">
        <f t="shared" si="8"/>
        <v/>
      </c>
      <c r="AJ36" s="13"/>
      <c r="AK36" s="128"/>
      <c r="AL36" s="182"/>
      <c r="AM36" s="550"/>
      <c r="AN36" s="550"/>
      <c r="AO36" s="130"/>
      <c r="AP36" s="18"/>
      <c r="AQ36" s="18"/>
      <c r="AR36" s="62"/>
    </row>
    <row r="37" spans="1:45" s="14" customFormat="1" x14ac:dyDescent="0.3">
      <c r="A37" s="543" t="s">
        <v>158</v>
      </c>
      <c r="B37" s="23" t="s">
        <v>159</v>
      </c>
      <c r="C37" s="32" t="s">
        <v>160</v>
      </c>
      <c r="D37" s="24">
        <v>2.5</v>
      </c>
      <c r="E37" s="517">
        <v>0.1</v>
      </c>
      <c r="F37" s="518"/>
      <c r="G37" s="141">
        <v>2</v>
      </c>
      <c r="H37" s="24">
        <f>IF(E37="","",IF(E37&lt;10%,2.5,IF(E37&lt;20%,2,IF(E37&lt;30%,1.5,0))))</f>
        <v>2</v>
      </c>
      <c r="I37" s="24"/>
      <c r="J37" s="12"/>
      <c r="K37" s="305"/>
      <c r="L37" s="89"/>
      <c r="M37" s="89"/>
      <c r="N37" s="335"/>
      <c r="O37" s="363" t="str">
        <f t="shared" si="15"/>
        <v/>
      </c>
      <c r="P37" s="12"/>
      <c r="Q37" s="305"/>
      <c r="R37" s="89"/>
      <c r="S37" s="89"/>
      <c r="T37" s="335"/>
      <c r="U37" s="363" t="str">
        <f t="shared" si="16"/>
        <v/>
      </c>
      <c r="V37" s="12"/>
      <c r="W37" s="356"/>
      <c r="X37" s="310"/>
      <c r="Y37" s="222"/>
      <c r="Z37" s="222"/>
      <c r="AA37" s="233" t="str">
        <f t="shared" si="2"/>
        <v/>
      </c>
      <c r="AB37" s="311" t="str">
        <f t="shared" si="3"/>
        <v/>
      </c>
      <c r="AC37" s="311" t="str">
        <f t="shared" si="4"/>
        <v/>
      </c>
      <c r="AD37" s="233" t="str">
        <f t="shared" si="5"/>
        <v/>
      </c>
      <c r="AE37" s="234"/>
      <c r="AF37" s="157" t="str">
        <f t="shared" si="6"/>
        <v/>
      </c>
      <c r="AG37" s="218"/>
      <c r="AH37" s="312" t="str">
        <f t="shared" si="14"/>
        <v/>
      </c>
      <c r="AI37" s="235" t="str">
        <f t="shared" si="8"/>
        <v/>
      </c>
      <c r="AJ37" s="13"/>
      <c r="AK37" s="128"/>
      <c r="AL37" s="182"/>
      <c r="AM37" s="550"/>
      <c r="AN37" s="550"/>
      <c r="AO37" s="130"/>
      <c r="AP37" s="18"/>
      <c r="AQ37" s="18"/>
      <c r="AR37" s="62"/>
    </row>
    <row r="38" spans="1:45" s="14" customFormat="1" x14ac:dyDescent="0.3">
      <c r="A38" s="544"/>
      <c r="B38" s="39" t="s">
        <v>161</v>
      </c>
      <c r="C38" s="367" t="s">
        <v>162</v>
      </c>
      <c r="D38" s="29">
        <v>2.5</v>
      </c>
      <c r="E38" s="515">
        <v>1</v>
      </c>
      <c r="F38" s="516"/>
      <c r="G38" s="140">
        <v>2</v>
      </c>
      <c r="H38" s="29">
        <f>IF(E38="","",IF(E38&gt;5,0,(D38-E38*0.5)))</f>
        <v>2</v>
      </c>
      <c r="I38" s="29"/>
      <c r="J38" s="12"/>
      <c r="K38" s="560" t="s">
        <v>170</v>
      </c>
      <c r="L38" s="561"/>
      <c r="M38" s="561"/>
      <c r="N38" s="562"/>
      <c r="O38" s="427">
        <f>SUM(O31:O37)</f>
        <v>1827</v>
      </c>
      <c r="P38" s="12"/>
      <c r="Q38" s="560" t="s">
        <v>170</v>
      </c>
      <c r="R38" s="561"/>
      <c r="S38" s="561"/>
      <c r="T38" s="562"/>
      <c r="U38" s="427">
        <f>SUM(U31:U37)</f>
        <v>1827</v>
      </c>
      <c r="V38" s="12"/>
      <c r="W38" s="356"/>
      <c r="X38" s="310"/>
      <c r="Y38" s="222"/>
      <c r="Z38" s="222"/>
      <c r="AA38" s="233" t="str">
        <f t="shared" si="2"/>
        <v/>
      </c>
      <c r="AB38" s="311" t="str">
        <f t="shared" si="3"/>
        <v/>
      </c>
      <c r="AC38" s="311" t="str">
        <f t="shared" si="4"/>
        <v/>
      </c>
      <c r="AD38" s="233" t="str">
        <f t="shared" si="5"/>
        <v/>
      </c>
      <c r="AE38" s="234"/>
      <c r="AF38" s="157" t="str">
        <f t="shared" si="6"/>
        <v/>
      </c>
      <c r="AG38" s="218"/>
      <c r="AH38" s="312" t="str">
        <f t="shared" si="14"/>
        <v/>
      </c>
      <c r="AI38" s="235" t="str">
        <f t="shared" si="8"/>
        <v/>
      </c>
      <c r="AJ38" s="13"/>
      <c r="AK38" s="93"/>
      <c r="AL38" s="183"/>
      <c r="AM38" s="551"/>
      <c r="AN38" s="551"/>
      <c r="AO38" s="130"/>
      <c r="AP38" s="18"/>
      <c r="AQ38" s="18"/>
      <c r="AR38" s="62"/>
    </row>
    <row r="39" spans="1:45" s="14" customFormat="1" ht="17.25" thickBot="1" x14ac:dyDescent="0.35">
      <c r="A39" s="545"/>
      <c r="B39" s="489" t="s">
        <v>127</v>
      </c>
      <c r="C39" s="490"/>
      <c r="D39" s="6">
        <v>5</v>
      </c>
      <c r="E39" s="489"/>
      <c r="F39" s="490"/>
      <c r="G39" s="92">
        <f>+G37+G38</f>
        <v>4</v>
      </c>
      <c r="H39" s="92">
        <f>+H37+H38</f>
        <v>4</v>
      </c>
      <c r="I39" s="7"/>
      <c r="J39" s="12"/>
      <c r="K39" s="563" t="s">
        <v>171</v>
      </c>
      <c r="L39" s="564"/>
      <c r="M39" s="564"/>
      <c r="N39" s="553"/>
      <c r="O39" s="428">
        <f>SUM(O38,O29)</f>
        <v>4384</v>
      </c>
      <c r="P39" s="12"/>
      <c r="Q39" s="563" t="s">
        <v>171</v>
      </c>
      <c r="R39" s="564"/>
      <c r="S39" s="564"/>
      <c r="T39" s="553"/>
      <c r="U39" s="428">
        <f>SUM(U38,U29)</f>
        <v>3469</v>
      </c>
      <c r="V39" s="12"/>
      <c r="W39" s="356"/>
      <c r="X39" s="310"/>
      <c r="Y39" s="222"/>
      <c r="Z39" s="222"/>
      <c r="AA39" s="233" t="str">
        <f t="shared" si="2"/>
        <v/>
      </c>
      <c r="AB39" s="311" t="str">
        <f t="shared" si="3"/>
        <v/>
      </c>
      <c r="AC39" s="311" t="str">
        <f t="shared" si="4"/>
        <v/>
      </c>
      <c r="AD39" s="233" t="str">
        <f t="shared" si="5"/>
        <v/>
      </c>
      <c r="AE39" s="234"/>
      <c r="AF39" s="157" t="str">
        <f t="shared" si="6"/>
        <v/>
      </c>
      <c r="AG39" s="218"/>
      <c r="AH39" s="312" t="str">
        <f t="shared" si="14"/>
        <v/>
      </c>
      <c r="AI39" s="235" t="str">
        <f t="shared" si="8"/>
        <v/>
      </c>
      <c r="AJ39" s="13"/>
      <c r="AP39" s="18"/>
      <c r="AQ39" s="66"/>
      <c r="AR39" s="62"/>
    </row>
    <row r="40" spans="1:45" s="14" customFormat="1" x14ac:dyDescent="0.3">
      <c r="A40" s="543" t="s">
        <v>163</v>
      </c>
      <c r="B40" s="23" t="s">
        <v>164</v>
      </c>
      <c r="C40" s="370" t="s">
        <v>121</v>
      </c>
      <c r="D40" s="24">
        <v>3</v>
      </c>
      <c r="E40" s="513" t="s">
        <v>201</v>
      </c>
      <c r="F40" s="514"/>
      <c r="G40" s="141">
        <v>3</v>
      </c>
      <c r="H40" s="24">
        <f>IF(E40="제출",3,0)</f>
        <v>3</v>
      </c>
      <c r="I40" s="24"/>
      <c r="J40" s="12"/>
      <c r="P40" s="12"/>
      <c r="V40" s="12"/>
      <c r="W40" s="356"/>
      <c r="X40" s="310"/>
      <c r="Y40" s="222"/>
      <c r="Z40" s="222"/>
      <c r="AA40" s="233" t="str">
        <f t="shared" si="2"/>
        <v/>
      </c>
      <c r="AB40" s="311" t="str">
        <f t="shared" si="3"/>
        <v/>
      </c>
      <c r="AC40" s="311" t="str">
        <f t="shared" si="4"/>
        <v/>
      </c>
      <c r="AD40" s="233" t="str">
        <f t="shared" si="5"/>
        <v/>
      </c>
      <c r="AE40" s="234"/>
      <c r="AF40" s="157" t="str">
        <f t="shared" si="6"/>
        <v/>
      </c>
      <c r="AG40" s="218"/>
      <c r="AH40" s="312" t="str">
        <f t="shared" si="14"/>
        <v/>
      </c>
      <c r="AI40" s="235" t="str">
        <f t="shared" si="8"/>
        <v/>
      </c>
      <c r="AJ40" s="13"/>
      <c r="AP40" s="18"/>
      <c r="AQ40" s="66"/>
      <c r="AR40" s="62"/>
    </row>
    <row r="41" spans="1:45" s="14" customFormat="1" ht="17.25" thickBot="1" x14ac:dyDescent="0.35">
      <c r="A41" s="544"/>
      <c r="B41" s="39" t="s">
        <v>165</v>
      </c>
      <c r="C41" s="371" t="s">
        <v>121</v>
      </c>
      <c r="D41" s="29">
        <v>2</v>
      </c>
      <c r="E41" s="515" t="s">
        <v>277</v>
      </c>
      <c r="F41" s="516"/>
      <c r="G41" s="140">
        <v>2</v>
      </c>
      <c r="H41" s="29">
        <f>IF(E41="제출",2,0)</f>
        <v>2</v>
      </c>
      <c r="I41" s="29"/>
      <c r="J41" s="12"/>
      <c r="K41" s="350" t="s">
        <v>287</v>
      </c>
      <c r="P41" s="12"/>
      <c r="V41" s="12"/>
      <c r="W41" s="356"/>
      <c r="X41" s="310"/>
      <c r="Y41" s="222"/>
      <c r="Z41" s="222"/>
      <c r="AA41" s="233" t="str">
        <f t="shared" si="2"/>
        <v/>
      </c>
      <c r="AB41" s="311" t="str">
        <f t="shared" si="3"/>
        <v/>
      </c>
      <c r="AC41" s="311" t="str">
        <f t="shared" si="4"/>
        <v/>
      </c>
      <c r="AD41" s="233" t="str">
        <f t="shared" si="5"/>
        <v/>
      </c>
      <c r="AE41" s="234"/>
      <c r="AF41" s="157" t="str">
        <f t="shared" si="6"/>
        <v/>
      </c>
      <c r="AG41" s="218"/>
      <c r="AH41" s="312" t="str">
        <f t="shared" si="14"/>
        <v/>
      </c>
      <c r="AI41" s="235" t="str">
        <f t="shared" si="8"/>
        <v/>
      </c>
      <c r="AJ41" s="13"/>
      <c r="AP41" s="18"/>
      <c r="AQ41" s="66"/>
      <c r="AR41" s="62"/>
    </row>
    <row r="42" spans="1:45" s="14" customFormat="1" x14ac:dyDescent="0.3">
      <c r="A42" s="545"/>
      <c r="B42" s="489" t="s">
        <v>127</v>
      </c>
      <c r="C42" s="490"/>
      <c r="D42" s="6">
        <v>5</v>
      </c>
      <c r="E42" s="489"/>
      <c r="F42" s="490"/>
      <c r="G42" s="6">
        <f>+G40+G41</f>
        <v>5</v>
      </c>
      <c r="H42" s="6">
        <f>+H40+H41</f>
        <v>5</v>
      </c>
      <c r="I42" s="7"/>
      <c r="J42" s="12"/>
      <c r="K42" s="73" t="s">
        <v>288</v>
      </c>
      <c r="L42" s="74" t="s">
        <v>289</v>
      </c>
      <c r="M42" s="74" t="s">
        <v>290</v>
      </c>
      <c r="N42" s="74" t="s">
        <v>291</v>
      </c>
      <c r="O42" s="74" t="s">
        <v>292</v>
      </c>
      <c r="P42" s="556" t="s">
        <v>293</v>
      </c>
      <c r="Q42" s="556"/>
      <c r="R42" s="74" t="s">
        <v>294</v>
      </c>
      <c r="S42" s="347" t="s">
        <v>295</v>
      </c>
      <c r="V42" s="12"/>
      <c r="W42" s="356"/>
      <c r="X42" s="310"/>
      <c r="Y42" s="222"/>
      <c r="Z42" s="222"/>
      <c r="AA42" s="233" t="str">
        <f t="shared" si="2"/>
        <v/>
      </c>
      <c r="AB42" s="311" t="str">
        <f t="shared" si="3"/>
        <v/>
      </c>
      <c r="AC42" s="311" t="str">
        <f t="shared" si="4"/>
        <v/>
      </c>
      <c r="AD42" s="233" t="str">
        <f t="shared" si="5"/>
        <v/>
      </c>
      <c r="AE42" s="234"/>
      <c r="AF42" s="157" t="str">
        <f t="shared" si="6"/>
        <v/>
      </c>
      <c r="AG42" s="218"/>
      <c r="AH42" s="312" t="str">
        <f t="shared" si="14"/>
        <v/>
      </c>
      <c r="AI42" s="235" t="str">
        <f t="shared" si="8"/>
        <v/>
      </c>
      <c r="AJ42" s="13"/>
      <c r="AP42" s="18"/>
      <c r="AQ42" s="66"/>
      <c r="AR42" s="62"/>
    </row>
    <row r="43" spans="1:45" s="14" customFormat="1" x14ac:dyDescent="0.3">
      <c r="A43" s="543" t="s">
        <v>332</v>
      </c>
      <c r="B43" s="378" t="s">
        <v>166</v>
      </c>
      <c r="C43" s="376" t="s">
        <v>313</v>
      </c>
      <c r="D43" s="24">
        <v>1</v>
      </c>
      <c r="E43" s="474">
        <v>42005</v>
      </c>
      <c r="F43" s="475"/>
      <c r="G43" s="141">
        <v>1</v>
      </c>
      <c r="H43" s="24">
        <f>IF(E43="","",IF(E43&lt;($B$3-180),1,0))</f>
        <v>1</v>
      </c>
      <c r="I43" s="24"/>
      <c r="J43" s="12"/>
      <c r="K43" s="305" t="s">
        <v>217</v>
      </c>
      <c r="L43" s="335" t="s">
        <v>296</v>
      </c>
      <c r="M43" s="222">
        <v>43101</v>
      </c>
      <c r="N43" s="346">
        <f>IF(L43="","",($B$3-M43)/365)</f>
        <v>4.0027397260273974</v>
      </c>
      <c r="O43" s="36">
        <f>IF(N43="","",IF(K43="특허",(IF(N43&lt;=5,100%,IF(N43&lt;=10,80%,IF(N43&lt;=20,60%)))),(IF(N43&lt;=5,100%,IF(N43&lt;=10,80%,IF(N43&lt;=20,0))))))</f>
        <v>1</v>
      </c>
      <c r="P43" s="505" t="s">
        <v>297</v>
      </c>
      <c r="Q43" s="505"/>
      <c r="R43" s="335">
        <v>1</v>
      </c>
      <c r="S43" s="354">
        <f>IF(L43="","",2*O43/R43)</f>
        <v>2</v>
      </c>
      <c r="V43" s="12"/>
      <c r="W43" s="356"/>
      <c r="X43" s="310"/>
      <c r="Y43" s="222"/>
      <c r="Z43" s="222"/>
      <c r="AA43" s="233" t="str">
        <f t="shared" si="2"/>
        <v/>
      </c>
      <c r="AB43" s="311" t="str">
        <f t="shared" si="3"/>
        <v/>
      </c>
      <c r="AC43" s="311" t="str">
        <f t="shared" si="4"/>
        <v/>
      </c>
      <c r="AD43" s="233" t="str">
        <f t="shared" si="5"/>
        <v/>
      </c>
      <c r="AE43" s="234"/>
      <c r="AF43" s="157" t="str">
        <f t="shared" si="6"/>
        <v/>
      </c>
      <c r="AG43" s="218"/>
      <c r="AH43" s="312" t="str">
        <f t="shared" si="14"/>
        <v/>
      </c>
      <c r="AI43" s="235" t="str">
        <f t="shared" si="8"/>
        <v/>
      </c>
      <c r="AJ43" s="13"/>
      <c r="AP43" s="18"/>
      <c r="AQ43" s="66"/>
      <c r="AR43" s="62"/>
    </row>
    <row r="44" spans="1:45" s="14" customFormat="1" x14ac:dyDescent="0.3">
      <c r="A44" s="544"/>
      <c r="B44" s="375" t="s">
        <v>167</v>
      </c>
      <c r="C44" s="377" t="s">
        <v>311</v>
      </c>
      <c r="D44" s="28">
        <v>1</v>
      </c>
      <c r="E44" s="372" t="str">
        <f>E9</f>
        <v>홍길동</v>
      </c>
      <c r="F44" s="374" t="s">
        <v>207</v>
      </c>
      <c r="G44" s="139">
        <v>0.4</v>
      </c>
      <c r="H44" s="373">
        <f>IF(F44="소방기술사",1,IF(F44="소방설비기사",0.4,IF(F44="소방설비산업기사",0.3,0)))</f>
        <v>0.4</v>
      </c>
      <c r="I44" s="28"/>
      <c r="J44" s="12"/>
      <c r="K44" s="305" t="s">
        <v>217</v>
      </c>
      <c r="L44" s="335" t="s">
        <v>298</v>
      </c>
      <c r="M44" s="222">
        <v>40544</v>
      </c>
      <c r="N44" s="346">
        <f t="shared" ref="N44:N47" si="18">IF(L44="","",($B$3-M44)/365)</f>
        <v>11.008219178082191</v>
      </c>
      <c r="O44" s="36">
        <f t="shared" ref="O44:O47" si="19">IF(N44="","",IF(K44="특허",(IF(N44&lt;=5,100%,IF(N44&lt;=10,80%,IF(N44&lt;=20,60%)))),(IF(N44&lt;=5,100%,IF(N44&lt;=10,80%,IF(N44&lt;=20,0))))))</f>
        <v>0.6</v>
      </c>
      <c r="P44" s="505" t="s">
        <v>297</v>
      </c>
      <c r="Q44" s="505"/>
      <c r="R44" s="335">
        <v>2</v>
      </c>
      <c r="S44" s="354">
        <f t="shared" ref="S44:S47" si="20">IF(L44="","",2*O44/R44)</f>
        <v>0.6</v>
      </c>
      <c r="V44" s="12"/>
      <c r="W44" s="305"/>
      <c r="X44" s="435"/>
      <c r="Y44" s="435"/>
      <c r="Z44" s="435"/>
      <c r="AA44" s="233" t="str">
        <f t="shared" si="2"/>
        <v/>
      </c>
      <c r="AB44" s="311" t="str">
        <f t="shared" si="3"/>
        <v/>
      </c>
      <c r="AC44" s="311" t="str">
        <f t="shared" si="4"/>
        <v/>
      </c>
      <c r="AD44" s="233" t="str">
        <f t="shared" si="5"/>
        <v/>
      </c>
      <c r="AE44" s="435"/>
      <c r="AF44" s="157" t="str">
        <f t="shared" si="6"/>
        <v/>
      </c>
      <c r="AG44" s="435"/>
      <c r="AH44" s="312" t="str">
        <f t="shared" si="14"/>
        <v/>
      </c>
      <c r="AI44" s="314"/>
      <c r="AJ44" s="13"/>
      <c r="AK44" s="5"/>
      <c r="AL44" s="5"/>
      <c r="AM44" s="5"/>
      <c r="AN44" s="5"/>
      <c r="AO44" s="5"/>
      <c r="AP44" s="18"/>
      <c r="AQ44" s="66"/>
      <c r="AR44" s="62"/>
      <c r="AS44" s="5"/>
    </row>
    <row r="45" spans="1:45" s="14" customFormat="1" x14ac:dyDescent="0.3">
      <c r="A45" s="544"/>
      <c r="B45" s="529" t="s">
        <v>333</v>
      </c>
      <c r="C45" s="431" t="s">
        <v>334</v>
      </c>
      <c r="D45" s="469">
        <v>-5</v>
      </c>
      <c r="E45" s="476">
        <v>1</v>
      </c>
      <c r="F45" s="477"/>
      <c r="G45" s="484">
        <v>-0.2</v>
      </c>
      <c r="H45" s="469">
        <f>IF((E45+E46)/2&gt;=20,-5,IF((E45+E46)/2&gt;=15,-3,IF((E45+E46)/2&gt;=10,-2,IF((E45+E46)/2&gt;=5,-1,IF((E45+E46)/2&gt;=2,-0.5,IF((E45+E46)/2&gt;=1,-0.2,0))))))</f>
        <v>-0.2</v>
      </c>
      <c r="I45" s="433"/>
      <c r="J45" s="12"/>
      <c r="K45" s="305" t="s">
        <v>212</v>
      </c>
      <c r="L45" s="335" t="s">
        <v>296</v>
      </c>
      <c r="M45" s="89">
        <v>42736</v>
      </c>
      <c r="N45" s="346">
        <f t="shared" si="18"/>
        <v>5.0027397260273974</v>
      </c>
      <c r="O45" s="36">
        <f t="shared" si="19"/>
        <v>0.8</v>
      </c>
      <c r="P45" s="505" t="s">
        <v>297</v>
      </c>
      <c r="Q45" s="505"/>
      <c r="R45" s="335">
        <v>1</v>
      </c>
      <c r="S45" s="354">
        <f t="shared" si="20"/>
        <v>1.6</v>
      </c>
      <c r="V45" s="12"/>
      <c r="W45" s="356"/>
      <c r="X45" s="310"/>
      <c r="Y45" s="222"/>
      <c r="Z45" s="222"/>
      <c r="AA45" s="233" t="str">
        <f t="shared" si="2"/>
        <v/>
      </c>
      <c r="AB45" s="311" t="str">
        <f t="shared" si="3"/>
        <v/>
      </c>
      <c r="AC45" s="311" t="str">
        <f t="shared" si="4"/>
        <v/>
      </c>
      <c r="AD45" s="233" t="str">
        <f t="shared" si="5"/>
        <v/>
      </c>
      <c r="AE45" s="234"/>
      <c r="AF45" s="157" t="str">
        <f t="shared" si="6"/>
        <v/>
      </c>
      <c r="AG45" s="218"/>
      <c r="AH45" s="312" t="str">
        <f t="shared" si="14"/>
        <v/>
      </c>
      <c r="AI45" s="313" t="str">
        <f t="shared" si="8"/>
        <v/>
      </c>
      <c r="AJ45" s="13"/>
      <c r="AK45" s="5"/>
      <c r="AL45" s="5"/>
      <c r="AM45" s="5"/>
      <c r="AN45" s="5"/>
      <c r="AO45" s="5"/>
      <c r="AP45" s="18"/>
      <c r="AQ45" s="66"/>
      <c r="AR45" s="62"/>
      <c r="AS45" s="5"/>
    </row>
    <row r="46" spans="1:45" s="14" customFormat="1" x14ac:dyDescent="0.3">
      <c r="A46" s="544"/>
      <c r="B46" s="530"/>
      <c r="C46" s="432" t="s">
        <v>335</v>
      </c>
      <c r="D46" s="470"/>
      <c r="E46" s="531">
        <v>1</v>
      </c>
      <c r="F46" s="532"/>
      <c r="G46" s="485"/>
      <c r="H46" s="470"/>
      <c r="I46" s="434"/>
      <c r="J46" s="12"/>
      <c r="K46" s="305" t="s">
        <v>212</v>
      </c>
      <c r="L46" s="386" t="s">
        <v>296</v>
      </c>
      <c r="M46" s="89">
        <v>42736</v>
      </c>
      <c r="N46" s="346">
        <f t="shared" si="18"/>
        <v>5.0027397260273974</v>
      </c>
      <c r="O46" s="36">
        <f t="shared" si="19"/>
        <v>0.8</v>
      </c>
      <c r="P46" s="554" t="s">
        <v>314</v>
      </c>
      <c r="Q46" s="555"/>
      <c r="R46" s="335">
        <v>2</v>
      </c>
      <c r="S46" s="354">
        <f t="shared" si="20"/>
        <v>0.8</v>
      </c>
      <c r="V46" s="12"/>
      <c r="W46" s="356"/>
      <c r="X46" s="310"/>
      <c r="Y46" s="222"/>
      <c r="Z46" s="222"/>
      <c r="AA46" s="233"/>
      <c r="AB46" s="311"/>
      <c r="AC46" s="311"/>
      <c r="AD46" s="233"/>
      <c r="AE46" s="234"/>
      <c r="AF46" s="157"/>
      <c r="AG46" s="218"/>
      <c r="AH46" s="312"/>
      <c r="AI46" s="313"/>
      <c r="AJ46" s="13"/>
      <c r="AK46" s="63"/>
      <c r="AL46" s="63"/>
      <c r="AM46" s="64"/>
      <c r="AN46" s="65"/>
      <c r="AO46" s="18"/>
      <c r="AP46" s="18"/>
      <c r="AQ46" s="66"/>
      <c r="AR46" s="62"/>
      <c r="AS46" s="5"/>
    </row>
    <row r="47" spans="1:45" s="14" customFormat="1" x14ac:dyDescent="0.3">
      <c r="A47" s="545"/>
      <c r="B47" s="489" t="s">
        <v>127</v>
      </c>
      <c r="C47" s="490"/>
      <c r="D47" s="6"/>
      <c r="E47" s="489"/>
      <c r="F47" s="490"/>
      <c r="G47" s="92">
        <f>SUM(G43:G45)</f>
        <v>1.2</v>
      </c>
      <c r="H47" s="92">
        <f>SUM(H43:H45)</f>
        <v>1.2</v>
      </c>
      <c r="I47" s="7"/>
      <c r="J47" s="12"/>
      <c r="K47" s="305" t="s">
        <v>212</v>
      </c>
      <c r="L47" s="335" t="s">
        <v>298</v>
      </c>
      <c r="M47" s="89">
        <v>40544</v>
      </c>
      <c r="N47" s="346">
        <f t="shared" si="18"/>
        <v>11.008219178082191</v>
      </c>
      <c r="O47" s="36">
        <f t="shared" si="19"/>
        <v>0</v>
      </c>
      <c r="P47" s="505" t="s">
        <v>297</v>
      </c>
      <c r="Q47" s="505"/>
      <c r="R47" s="335">
        <v>1</v>
      </c>
      <c r="S47" s="354">
        <f t="shared" si="20"/>
        <v>0</v>
      </c>
      <c r="V47" s="12"/>
      <c r="W47" s="356"/>
      <c r="X47" s="310"/>
      <c r="Y47" s="222"/>
      <c r="Z47" s="222"/>
      <c r="AA47" s="233" t="str">
        <f t="shared" si="2"/>
        <v/>
      </c>
      <c r="AB47" s="311" t="str">
        <f t="shared" si="3"/>
        <v/>
      </c>
      <c r="AC47" s="311" t="str">
        <f t="shared" si="4"/>
        <v/>
      </c>
      <c r="AD47" s="233" t="str">
        <f t="shared" si="5"/>
        <v/>
      </c>
      <c r="AE47" s="234"/>
      <c r="AF47" s="157" t="str">
        <f t="shared" si="6"/>
        <v/>
      </c>
      <c r="AG47" s="218"/>
      <c r="AH47" s="312" t="str">
        <f t="shared" si="14"/>
        <v/>
      </c>
      <c r="AI47" s="313" t="str">
        <f t="shared" si="8"/>
        <v/>
      </c>
      <c r="AJ47" s="13"/>
      <c r="AK47" s="63"/>
      <c r="AL47" s="63"/>
      <c r="AM47" s="64"/>
      <c r="AN47" s="65"/>
      <c r="AO47" s="18"/>
      <c r="AP47" s="18"/>
      <c r="AQ47" s="66"/>
      <c r="AR47" s="62"/>
      <c r="AS47" s="5"/>
    </row>
    <row r="48" spans="1:45" s="14" customFormat="1" ht="17.25" thickBot="1" x14ac:dyDescent="0.35">
      <c r="A48" s="547" t="s">
        <v>168</v>
      </c>
      <c r="B48" s="547"/>
      <c r="C48" s="547"/>
      <c r="D48" s="99">
        <f>SUM(D20,D22,D29,D33,D36,D39,D42)</f>
        <v>100</v>
      </c>
      <c r="E48" s="548"/>
      <c r="F48" s="549"/>
      <c r="G48" s="100">
        <f>SUM(G47,G42,G39,G36,G33,G29,G22,G20)</f>
        <v>95.199999999999989</v>
      </c>
      <c r="H48" s="407">
        <f>SUM(H20,H22,H29,H33,H36,H39,H42,H47)</f>
        <v>93.7</v>
      </c>
      <c r="I48" s="143" t="str">
        <f>IF(H48&gt;=80,"적격","부적격")</f>
        <v>적격</v>
      </c>
      <c r="J48" s="12"/>
      <c r="K48" s="348" t="s">
        <v>299</v>
      </c>
      <c r="L48" s="349">
        <f>COUNTA(L43:L47)</f>
        <v>5</v>
      </c>
      <c r="M48" s="337"/>
      <c r="N48" s="337"/>
      <c r="O48" s="337"/>
      <c r="P48" s="552"/>
      <c r="Q48" s="553"/>
      <c r="R48" s="337"/>
      <c r="S48" s="429">
        <f>IF(SUM(S43:S47)&gt;=4,4,SUM(S43:S47))</f>
        <v>4</v>
      </c>
      <c r="V48" s="12"/>
      <c r="W48" s="315" t="s">
        <v>127</v>
      </c>
      <c r="X48" s="316"/>
      <c r="Y48" s="316"/>
      <c r="Z48" s="316"/>
      <c r="AA48" s="316"/>
      <c r="AB48" s="316"/>
      <c r="AC48" s="316"/>
      <c r="AD48" s="316"/>
      <c r="AE48" s="316"/>
      <c r="AF48" s="317"/>
      <c r="AG48" s="318"/>
      <c r="AH48" s="319"/>
      <c r="AI48" s="320">
        <f>SUM(AI8:AI47)</f>
        <v>271073122</v>
      </c>
      <c r="AJ48" s="13"/>
      <c r="AK48" s="63"/>
      <c r="AL48" s="63"/>
      <c r="AM48" s="64"/>
      <c r="AN48" s="65"/>
      <c r="AO48" s="18"/>
      <c r="AP48" s="18"/>
      <c r="AQ48" s="66"/>
      <c r="AR48" s="62"/>
      <c r="AS48" s="5"/>
    </row>
    <row r="49" spans="1:45" s="14" customFormat="1" x14ac:dyDescent="0.3">
      <c r="A49" s="101"/>
      <c r="B49" s="102"/>
      <c r="C49" s="55"/>
      <c r="D49" s="102"/>
      <c r="E49" s="102"/>
      <c r="F49" s="103"/>
      <c r="G49" s="102"/>
      <c r="H49" s="102"/>
      <c r="I49" s="102"/>
      <c r="J49" s="12"/>
      <c r="P49" s="12"/>
      <c r="Q49" s="301"/>
      <c r="R49" s="191" t="str">
        <f t="shared" ref="R49:R54" si="21">IF(S49="","",(T49-S49+1))</f>
        <v/>
      </c>
      <c r="S49" s="192"/>
      <c r="T49" s="192"/>
      <c r="U49" s="188"/>
      <c r="V49" s="12"/>
      <c r="W49" s="302"/>
      <c r="X49" s="200"/>
      <c r="Y49" s="303"/>
      <c r="Z49" s="303"/>
      <c r="AA49" s="198" t="str">
        <f t="shared" ref="AA49:AA56" si="22">IF(X49="","",Z49-Y49)</f>
        <v/>
      </c>
      <c r="AB49" s="198"/>
      <c r="AC49" s="198"/>
      <c r="AD49" s="198" t="str">
        <f t="shared" ref="AD49:AD56" si="23">IF(X49="","",IF(AND(Z49&gt;$AD$5,Y49&lt;$AD$6),$AD$5-$AD$6,IF(AND(Z49&gt;$AD$5,Y49&gt;$AD$6),$AD$5-Y49,IF(AND(Z49&lt;$AD$5,Y49&lt;$AD$6),Z49-$AD$6,IF(AND(Z49&lt;$AD$5,Y49&gt;$AD$6),Z49-Y49)))))</f>
        <v/>
      </c>
      <c r="AE49" s="199"/>
      <c r="AF49" s="200" t="str">
        <f t="shared" ref="AF49:AF56" si="24">IF(X49="","",AE49*AD49/AA49)</f>
        <v/>
      </c>
      <c r="AG49" s="201"/>
      <c r="AH49" s="201" t="str">
        <f t="shared" ref="AH49:AH56" si="25">IF(W49="","",IF(W49="공동주택",100%,"70"%))</f>
        <v/>
      </c>
      <c r="AI49" s="202" t="str">
        <f t="shared" si="8"/>
        <v/>
      </c>
      <c r="AJ49" s="13"/>
      <c r="AK49" s="63"/>
      <c r="AL49" s="63"/>
      <c r="AM49" s="64"/>
      <c r="AN49" s="65"/>
      <c r="AO49" s="18"/>
      <c r="AP49" s="18"/>
      <c r="AQ49" s="66"/>
      <c r="AR49" s="62"/>
      <c r="AS49" s="5"/>
    </row>
    <row r="50" spans="1:45" s="14" customFormat="1" x14ac:dyDescent="0.3">
      <c r="F50" s="12" t="s">
        <v>268</v>
      </c>
      <c r="J50" s="12"/>
      <c r="K50" s="351" t="s">
        <v>302</v>
      </c>
      <c r="P50" s="12"/>
      <c r="Q50" s="301"/>
      <c r="R50" s="191" t="str">
        <f t="shared" si="21"/>
        <v/>
      </c>
      <c r="S50" s="192"/>
      <c r="T50" s="192"/>
      <c r="U50" s="188"/>
      <c r="V50" s="12"/>
      <c r="W50" s="302"/>
      <c r="X50" s="200"/>
      <c r="Y50" s="303"/>
      <c r="Z50" s="303"/>
      <c r="AA50" s="198" t="str">
        <f t="shared" si="22"/>
        <v/>
      </c>
      <c r="AB50" s="198"/>
      <c r="AC50" s="198"/>
      <c r="AD50" s="198" t="str">
        <f t="shared" si="23"/>
        <v/>
      </c>
      <c r="AE50" s="199"/>
      <c r="AF50" s="200" t="str">
        <f t="shared" si="24"/>
        <v/>
      </c>
      <c r="AG50" s="201"/>
      <c r="AH50" s="201" t="str">
        <f t="shared" si="25"/>
        <v/>
      </c>
      <c r="AI50" s="202" t="str">
        <f t="shared" si="8"/>
        <v/>
      </c>
      <c r="AJ50" s="13"/>
      <c r="AK50" s="63"/>
      <c r="AL50" s="63"/>
      <c r="AM50" s="64"/>
      <c r="AN50" s="65"/>
      <c r="AO50" s="18"/>
      <c r="AP50" s="18"/>
      <c r="AQ50" s="66"/>
      <c r="AR50" s="62"/>
      <c r="AS50" s="5"/>
    </row>
    <row r="51" spans="1:45" s="14" customFormat="1" x14ac:dyDescent="0.3">
      <c r="A51" s="131"/>
      <c r="B51" s="132"/>
      <c r="C51" s="132"/>
      <c r="F51" s="12" t="s">
        <v>269</v>
      </c>
      <c r="J51" s="12"/>
      <c r="K51" s="351" t="s">
        <v>303</v>
      </c>
      <c r="P51" s="12"/>
      <c r="Q51" s="301"/>
      <c r="R51" s="191" t="str">
        <f t="shared" si="21"/>
        <v/>
      </c>
      <c r="S51" s="192"/>
      <c r="T51" s="192"/>
      <c r="U51" s="188"/>
      <c r="V51" s="12"/>
      <c r="W51" s="302"/>
      <c r="X51" s="200"/>
      <c r="Y51" s="303"/>
      <c r="Z51" s="303"/>
      <c r="AA51" s="198" t="str">
        <f t="shared" si="22"/>
        <v/>
      </c>
      <c r="AB51" s="198"/>
      <c r="AC51" s="198"/>
      <c r="AD51" s="198" t="str">
        <f t="shared" si="23"/>
        <v/>
      </c>
      <c r="AE51" s="199"/>
      <c r="AF51" s="200" t="str">
        <f t="shared" si="24"/>
        <v/>
      </c>
      <c r="AG51" s="201"/>
      <c r="AH51" s="201" t="str">
        <f t="shared" si="25"/>
        <v/>
      </c>
      <c r="AI51" s="202" t="str">
        <f t="shared" si="8"/>
        <v/>
      </c>
      <c r="AJ51" s="13"/>
      <c r="AK51" s="63"/>
      <c r="AL51" s="63"/>
      <c r="AM51" s="64"/>
      <c r="AN51" s="65"/>
      <c r="AO51" s="18"/>
      <c r="AP51" s="18"/>
      <c r="AQ51" s="66"/>
      <c r="AR51" s="62"/>
      <c r="AS51" s="5"/>
    </row>
    <row r="52" spans="1:45" s="14" customFormat="1" x14ac:dyDescent="0.3">
      <c r="A52" s="133"/>
      <c r="B52" s="134"/>
      <c r="C52" s="135"/>
      <c r="D52" s="102"/>
      <c r="E52" s="102"/>
      <c r="F52" s="103" t="s">
        <v>270</v>
      </c>
      <c r="G52" s="102"/>
      <c r="H52" s="102"/>
      <c r="I52" s="102"/>
      <c r="J52" s="12"/>
      <c r="P52" s="12"/>
      <c r="Q52" s="301"/>
      <c r="R52" s="191" t="str">
        <f t="shared" si="21"/>
        <v/>
      </c>
      <c r="S52" s="192"/>
      <c r="T52" s="192"/>
      <c r="U52" s="188"/>
      <c r="V52" s="12"/>
      <c r="W52" s="302"/>
      <c r="X52" s="200"/>
      <c r="Y52" s="303"/>
      <c r="Z52" s="303"/>
      <c r="AA52" s="198" t="str">
        <f t="shared" si="22"/>
        <v/>
      </c>
      <c r="AB52" s="198"/>
      <c r="AC52" s="198"/>
      <c r="AD52" s="198" t="str">
        <f t="shared" si="23"/>
        <v/>
      </c>
      <c r="AE52" s="199"/>
      <c r="AF52" s="200" t="str">
        <f t="shared" si="24"/>
        <v/>
      </c>
      <c r="AG52" s="201"/>
      <c r="AH52" s="201" t="str">
        <f t="shared" si="25"/>
        <v/>
      </c>
      <c r="AI52" s="202" t="str">
        <f t="shared" si="8"/>
        <v/>
      </c>
      <c r="AJ52" s="13"/>
      <c r="AK52" s="63"/>
      <c r="AL52" s="63"/>
      <c r="AM52" s="64"/>
      <c r="AN52" s="65"/>
      <c r="AO52" s="18"/>
      <c r="AP52" s="18"/>
      <c r="AQ52" s="66"/>
      <c r="AR52" s="62"/>
      <c r="AS52" s="5"/>
    </row>
    <row r="53" spans="1:45" s="14" customFormat="1" x14ac:dyDescent="0.3">
      <c r="A53" s="133"/>
      <c r="B53" s="134"/>
      <c r="C53" s="135"/>
      <c r="D53" s="102"/>
      <c r="E53" s="102"/>
      <c r="F53" s="103" t="s">
        <v>271</v>
      </c>
      <c r="G53" s="102"/>
      <c r="H53" s="102"/>
      <c r="I53" s="102"/>
      <c r="J53" s="12"/>
      <c r="P53" s="12"/>
      <c r="Q53" s="301"/>
      <c r="R53" s="191" t="str">
        <f t="shared" si="21"/>
        <v/>
      </c>
      <c r="S53" s="192"/>
      <c r="T53" s="192"/>
      <c r="U53" s="188"/>
      <c r="V53" s="12"/>
      <c r="W53" s="302"/>
      <c r="X53" s="200"/>
      <c r="Y53" s="303"/>
      <c r="Z53" s="303"/>
      <c r="AA53" s="198" t="str">
        <f t="shared" si="22"/>
        <v/>
      </c>
      <c r="AB53" s="198"/>
      <c r="AC53" s="198"/>
      <c r="AD53" s="198" t="str">
        <f t="shared" si="23"/>
        <v/>
      </c>
      <c r="AE53" s="199"/>
      <c r="AF53" s="200" t="str">
        <f t="shared" si="24"/>
        <v/>
      </c>
      <c r="AG53" s="201"/>
      <c r="AH53" s="201" t="str">
        <f t="shared" si="25"/>
        <v/>
      </c>
      <c r="AI53" s="202" t="str">
        <f t="shared" si="8"/>
        <v/>
      </c>
      <c r="AJ53" s="13"/>
      <c r="AK53" s="63"/>
      <c r="AL53" s="63"/>
      <c r="AM53" s="64"/>
      <c r="AN53" s="65"/>
      <c r="AO53" s="18"/>
      <c r="AP53" s="18"/>
      <c r="AQ53" s="66"/>
      <c r="AR53" s="62"/>
      <c r="AS53" s="5"/>
    </row>
    <row r="54" spans="1:45" s="14" customFormat="1" x14ac:dyDescent="0.3">
      <c r="A54" s="133"/>
      <c r="B54" s="134"/>
      <c r="C54" s="135"/>
      <c r="D54" s="102"/>
      <c r="E54" s="102"/>
      <c r="F54" s="103" t="s">
        <v>272</v>
      </c>
      <c r="G54" s="102"/>
      <c r="H54" s="102"/>
      <c r="I54" s="102"/>
      <c r="J54" s="12"/>
      <c r="P54" s="12"/>
      <c r="Q54" s="301"/>
      <c r="R54" s="191" t="str">
        <f t="shared" si="21"/>
        <v/>
      </c>
      <c r="S54" s="192"/>
      <c r="T54" s="192"/>
      <c r="U54" s="188"/>
      <c r="V54" s="12"/>
      <c r="W54" s="302"/>
      <c r="X54" s="200"/>
      <c r="Y54" s="303"/>
      <c r="Z54" s="303"/>
      <c r="AA54" s="198" t="str">
        <f t="shared" si="22"/>
        <v/>
      </c>
      <c r="AB54" s="198"/>
      <c r="AC54" s="198"/>
      <c r="AD54" s="198" t="str">
        <f t="shared" si="23"/>
        <v/>
      </c>
      <c r="AE54" s="199"/>
      <c r="AF54" s="200" t="str">
        <f t="shared" si="24"/>
        <v/>
      </c>
      <c r="AG54" s="201"/>
      <c r="AH54" s="201" t="str">
        <f t="shared" si="25"/>
        <v/>
      </c>
      <c r="AI54" s="202" t="str">
        <f t="shared" si="8"/>
        <v/>
      </c>
      <c r="AJ54" s="13"/>
      <c r="AK54" s="63"/>
      <c r="AL54" s="63"/>
      <c r="AM54" s="64"/>
      <c r="AN54" s="65"/>
      <c r="AO54" s="18"/>
      <c r="AP54" s="18"/>
      <c r="AQ54" s="66"/>
      <c r="AR54" s="62"/>
      <c r="AS54" s="5"/>
    </row>
    <row r="55" spans="1:45" s="14" customFormat="1" x14ac:dyDescent="0.3">
      <c r="A55" s="133"/>
      <c r="B55" s="134"/>
      <c r="C55" s="134"/>
      <c r="D55" s="102"/>
      <c r="E55" s="102"/>
      <c r="F55" s="103"/>
      <c r="G55" s="102"/>
      <c r="H55" s="102"/>
      <c r="I55" s="102"/>
      <c r="J55" s="12"/>
      <c r="P55" s="12"/>
      <c r="Q55" s="301"/>
      <c r="R55" s="191"/>
      <c r="S55" s="192"/>
      <c r="T55" s="192"/>
      <c r="U55" s="188"/>
      <c r="V55" s="12"/>
      <c r="W55" s="302"/>
      <c r="X55" s="200"/>
      <c r="Y55" s="303"/>
      <c r="Z55" s="303"/>
      <c r="AA55" s="198" t="str">
        <f t="shared" si="22"/>
        <v/>
      </c>
      <c r="AB55" s="198"/>
      <c r="AC55" s="198"/>
      <c r="AD55" s="198" t="str">
        <f t="shared" si="23"/>
        <v/>
      </c>
      <c r="AE55" s="199"/>
      <c r="AF55" s="200" t="str">
        <f t="shared" si="24"/>
        <v/>
      </c>
      <c r="AG55" s="201"/>
      <c r="AH55" s="201" t="str">
        <f t="shared" si="25"/>
        <v/>
      </c>
      <c r="AI55" s="202" t="str">
        <f t="shared" si="8"/>
        <v/>
      </c>
      <c r="AJ55" s="13"/>
      <c r="AK55" s="63"/>
      <c r="AL55" s="63"/>
      <c r="AM55" s="64"/>
      <c r="AN55" s="65"/>
      <c r="AO55" s="18"/>
      <c r="AP55" s="18"/>
      <c r="AQ55" s="66"/>
      <c r="AR55" s="62"/>
      <c r="AS55" s="5"/>
    </row>
    <row r="56" spans="1:45" x14ac:dyDescent="0.3">
      <c r="A56" s="136"/>
      <c r="B56" s="137"/>
      <c r="C56" s="137"/>
      <c r="D56" s="15"/>
      <c r="E56" s="124"/>
      <c r="F56" s="219" t="s">
        <v>268</v>
      </c>
      <c r="G56" s="15"/>
      <c r="H56" s="15"/>
      <c r="I56" s="105"/>
      <c r="Q56" s="188"/>
      <c r="R56" s="191"/>
      <c r="S56" s="192"/>
      <c r="T56" s="192"/>
      <c r="U56" s="188"/>
      <c r="W56" s="302"/>
      <c r="X56" s="200"/>
      <c r="Y56" s="303"/>
      <c r="Z56" s="303"/>
      <c r="AA56" s="198" t="str">
        <f t="shared" si="22"/>
        <v/>
      </c>
      <c r="AB56" s="198"/>
      <c r="AC56" s="198"/>
      <c r="AD56" s="198" t="str">
        <f t="shared" si="23"/>
        <v/>
      </c>
      <c r="AE56" s="199"/>
      <c r="AF56" s="200" t="str">
        <f t="shared" si="24"/>
        <v/>
      </c>
      <c r="AG56" s="201"/>
      <c r="AH56" s="201" t="str">
        <f t="shared" si="25"/>
        <v/>
      </c>
      <c r="AI56" s="202" t="str">
        <f>IF(X56="","",INT(AF56*AG56*AH56))</f>
        <v/>
      </c>
      <c r="AK56" s="63"/>
      <c r="AL56" s="63"/>
      <c r="AM56" s="64"/>
      <c r="AN56" s="65"/>
      <c r="AO56" s="18"/>
      <c r="AP56" s="18"/>
      <c r="AQ56" s="66"/>
      <c r="AR56" s="62"/>
    </row>
    <row r="57" spans="1:45" x14ac:dyDescent="0.3">
      <c r="A57" s="136"/>
      <c r="B57" s="138"/>
      <c r="C57" s="138"/>
      <c r="D57" s="15"/>
      <c r="E57" s="125"/>
      <c r="F57" s="104" t="s">
        <v>273</v>
      </c>
      <c r="G57" s="15"/>
      <c r="H57" s="15"/>
      <c r="I57" s="106"/>
      <c r="Q57" s="296"/>
      <c r="R57" s="297"/>
      <c r="S57" s="192"/>
      <c r="T57" s="192"/>
      <c r="U57" s="188"/>
      <c r="AJ57" s="4" t="s">
        <v>172</v>
      </c>
      <c r="AK57" s="63"/>
      <c r="AL57" s="63"/>
      <c r="AM57" s="64"/>
      <c r="AN57" s="65"/>
      <c r="AO57" s="18"/>
      <c r="AP57" s="18"/>
      <c r="AQ57" s="66"/>
      <c r="AR57" s="62"/>
    </row>
    <row r="58" spans="1:45" x14ac:dyDescent="0.3">
      <c r="A58" s="123"/>
      <c r="B58" s="110"/>
      <c r="C58" s="110"/>
      <c r="D58" s="105"/>
      <c r="E58" s="110"/>
      <c r="F58" s="15" t="s">
        <v>274</v>
      </c>
      <c r="G58" s="105"/>
      <c r="H58" s="105"/>
      <c r="I58" s="107"/>
      <c r="K58" s="78"/>
      <c r="L58" s="79"/>
      <c r="M58" s="80"/>
      <c r="N58" s="80"/>
      <c r="O58" s="78"/>
      <c r="P58" s="78"/>
      <c r="Q58" s="78"/>
      <c r="R58" s="79"/>
      <c r="S58" s="80"/>
      <c r="T58" s="80"/>
      <c r="U58" s="78"/>
      <c r="V58" s="78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K58" s="63"/>
      <c r="AL58" s="63"/>
      <c r="AM58" s="64"/>
      <c r="AN58" s="65"/>
      <c r="AO58" s="18"/>
      <c r="AP58" s="18"/>
      <c r="AQ58" s="66"/>
      <c r="AR58" s="62"/>
    </row>
    <row r="59" spans="1:45" x14ac:dyDescent="0.3">
      <c r="A59" s="123"/>
      <c r="B59" s="105"/>
      <c r="C59" s="102"/>
      <c r="D59" s="15"/>
      <c r="E59" s="108"/>
      <c r="F59" s="108" t="s">
        <v>275</v>
      </c>
      <c r="G59" s="15"/>
      <c r="H59" s="15"/>
      <c r="I59" s="107"/>
      <c r="K59" s="78"/>
      <c r="L59" s="79"/>
      <c r="M59" s="80"/>
      <c r="N59" s="80"/>
      <c r="O59" s="78"/>
      <c r="P59" s="78"/>
      <c r="Q59" s="78"/>
      <c r="R59" s="79"/>
      <c r="S59" s="80"/>
      <c r="T59" s="80"/>
      <c r="U59" s="78"/>
      <c r="V59" s="78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K59" s="63"/>
      <c r="AL59" s="63"/>
      <c r="AM59" s="64"/>
      <c r="AN59" s="65"/>
      <c r="AO59" s="18"/>
      <c r="AP59" s="18"/>
      <c r="AQ59" s="66"/>
      <c r="AR59" s="62"/>
    </row>
    <row r="60" spans="1:45" x14ac:dyDescent="0.3">
      <c r="A60" s="123"/>
      <c r="B60" s="105"/>
      <c r="C60" s="102"/>
      <c r="D60" s="15"/>
      <c r="E60" s="104"/>
      <c r="F60" s="109" t="s">
        <v>276</v>
      </c>
      <c r="G60" s="15"/>
      <c r="H60" s="15"/>
      <c r="I60" s="107"/>
      <c r="K60" s="546"/>
      <c r="L60" s="331"/>
      <c r="M60" s="332"/>
      <c r="N60" s="333"/>
      <c r="O60" s="332"/>
      <c r="P60" s="104"/>
      <c r="Q60" s="104"/>
      <c r="R60" s="82"/>
      <c r="S60" s="83"/>
      <c r="T60" s="83"/>
      <c r="U60" s="15"/>
      <c r="V60" s="78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K60" s="63"/>
      <c r="AL60" s="63"/>
      <c r="AM60" s="64"/>
      <c r="AN60" s="65"/>
      <c r="AO60" s="18"/>
      <c r="AP60" s="18"/>
      <c r="AQ60" s="66"/>
      <c r="AR60" s="62"/>
    </row>
    <row r="61" spans="1:45" x14ac:dyDescent="0.3">
      <c r="A61" s="123"/>
      <c r="B61" s="110"/>
      <c r="C61" s="110"/>
      <c r="D61" s="105"/>
      <c r="E61" s="110"/>
      <c r="F61" s="181"/>
      <c r="G61" s="105"/>
      <c r="H61" s="105"/>
      <c r="I61" s="107"/>
      <c r="K61" s="546"/>
      <c r="L61" s="78"/>
      <c r="M61" s="333"/>
      <c r="N61" s="333"/>
      <c r="O61" s="333"/>
      <c r="P61" s="104"/>
      <c r="Q61" s="334"/>
      <c r="R61" s="180"/>
      <c r="S61" s="83"/>
      <c r="T61" s="83"/>
      <c r="U61" s="15"/>
      <c r="V61" s="78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K61" s="56"/>
      <c r="AL61" s="56"/>
      <c r="AM61" s="64"/>
      <c r="AN61" s="65"/>
      <c r="AO61" s="18"/>
      <c r="AP61" s="18"/>
      <c r="AQ61" s="66"/>
      <c r="AR61" s="62"/>
    </row>
    <row r="62" spans="1:45" x14ac:dyDescent="0.3">
      <c r="A62" s="105"/>
      <c r="B62" s="110"/>
      <c r="C62" s="102"/>
      <c r="D62" s="15"/>
      <c r="E62" s="104"/>
      <c r="F62" s="108" t="s">
        <v>306</v>
      </c>
      <c r="G62" s="15"/>
      <c r="H62" s="15"/>
      <c r="I62" s="107"/>
      <c r="K62" s="546"/>
      <c r="L62" s="78"/>
      <c r="M62" s="333"/>
      <c r="N62" s="333"/>
      <c r="O62" s="333"/>
      <c r="P62" s="104"/>
      <c r="Q62" s="104"/>
      <c r="R62" s="82"/>
      <c r="S62" s="83"/>
      <c r="T62" s="83"/>
      <c r="U62" s="15"/>
      <c r="V62" s="78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K62" s="56"/>
      <c r="AL62" s="56"/>
      <c r="AM62" s="64"/>
      <c r="AN62" s="57"/>
      <c r="AO62" s="20"/>
      <c r="AP62" s="20"/>
      <c r="AQ62" s="17"/>
      <c r="AR62" s="62"/>
    </row>
    <row r="63" spans="1:45" x14ac:dyDescent="0.3">
      <c r="A63" s="110"/>
      <c r="B63" s="110"/>
      <c r="C63" s="111"/>
      <c r="D63" s="111"/>
      <c r="E63" s="117"/>
      <c r="F63" s="114" t="s">
        <v>307</v>
      </c>
      <c r="G63" s="111"/>
      <c r="H63" s="112"/>
      <c r="I63" s="113"/>
      <c r="K63" s="542"/>
      <c r="L63" s="78"/>
      <c r="M63" s="332"/>
      <c r="N63" s="332"/>
      <c r="O63" s="332"/>
      <c r="P63" s="332"/>
      <c r="Q63" s="104"/>
      <c r="R63" s="82"/>
      <c r="S63" s="83"/>
      <c r="T63" s="83"/>
      <c r="U63" s="15"/>
      <c r="V63" s="78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K63" s="56"/>
      <c r="AL63" s="56"/>
      <c r="AM63" s="64"/>
      <c r="AN63" s="57"/>
      <c r="AO63" s="20"/>
      <c r="AP63" s="20"/>
      <c r="AQ63" s="17"/>
      <c r="AR63" s="62"/>
    </row>
    <row r="64" spans="1:45" x14ac:dyDescent="0.3">
      <c r="A64" s="110"/>
      <c r="B64" s="110"/>
      <c r="C64" s="114"/>
      <c r="D64" s="126"/>
      <c r="E64" s="127"/>
      <c r="F64" s="127"/>
      <c r="G64" s="114"/>
      <c r="H64" s="114"/>
      <c r="I64" s="115"/>
      <c r="K64" s="542"/>
      <c r="L64" s="78"/>
      <c r="M64" s="333"/>
      <c r="N64" s="333"/>
      <c r="O64" s="333"/>
      <c r="P64" s="104"/>
      <c r="Q64" s="333"/>
      <c r="R64" s="79"/>
      <c r="S64" s="80"/>
      <c r="T64" s="80"/>
      <c r="U64" s="78"/>
      <c r="V64" s="78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K64" s="56"/>
      <c r="AL64" s="56"/>
      <c r="AM64" s="64"/>
      <c r="AN64" s="57"/>
      <c r="AO64" s="20"/>
      <c r="AP64" s="20"/>
      <c r="AQ64" s="17"/>
      <c r="AR64" s="62"/>
    </row>
    <row r="65" spans="1:45" x14ac:dyDescent="0.3">
      <c r="A65" s="110"/>
      <c r="B65" s="110"/>
      <c r="C65" s="114"/>
      <c r="D65" s="126"/>
      <c r="E65" s="127"/>
      <c r="F65" s="127" t="s">
        <v>308</v>
      </c>
      <c r="G65" s="114"/>
      <c r="H65" s="114"/>
      <c r="I65" s="115"/>
      <c r="K65" s="542"/>
      <c r="L65" s="78"/>
      <c r="M65" s="333"/>
      <c r="N65" s="333"/>
      <c r="O65" s="333"/>
      <c r="P65" s="104"/>
      <c r="Q65" s="333"/>
      <c r="R65" s="79"/>
      <c r="S65" s="80"/>
      <c r="T65" s="80"/>
      <c r="U65" s="78"/>
      <c r="V65" s="78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K65" s="56"/>
      <c r="AL65" s="56"/>
      <c r="AM65" s="64"/>
      <c r="AN65" s="57"/>
      <c r="AO65" s="20"/>
      <c r="AP65" s="20"/>
      <c r="AQ65" s="17"/>
      <c r="AR65" s="62"/>
    </row>
    <row r="66" spans="1:45" x14ac:dyDescent="0.3">
      <c r="A66" s="110"/>
      <c r="B66" s="110"/>
      <c r="C66" s="111"/>
      <c r="D66" s="111"/>
      <c r="E66" s="111"/>
      <c r="F66" s="114" t="s">
        <v>309</v>
      </c>
      <c r="G66" s="111"/>
      <c r="H66" s="111"/>
      <c r="I66" s="116"/>
      <c r="K66" s="542"/>
      <c r="L66" s="79"/>
      <c r="M66" s="332"/>
      <c r="N66" s="333"/>
      <c r="O66" s="332"/>
      <c r="P66" s="104"/>
      <c r="Q66" s="333"/>
      <c r="R66" s="79"/>
      <c r="S66" s="80"/>
      <c r="T66" s="80"/>
      <c r="U66" s="78"/>
      <c r="V66" s="78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K66" s="56"/>
      <c r="AL66" s="56"/>
      <c r="AM66" s="64"/>
      <c r="AN66" s="57"/>
      <c r="AO66" s="20"/>
      <c r="AP66" s="20"/>
      <c r="AQ66" s="17"/>
      <c r="AR66" s="62"/>
    </row>
    <row r="67" spans="1:45" x14ac:dyDescent="0.3">
      <c r="A67" s="105"/>
      <c r="B67" s="110"/>
      <c r="C67" s="117"/>
      <c r="D67" s="111"/>
      <c r="E67" s="111"/>
      <c r="F67" s="114" t="s">
        <v>310</v>
      </c>
      <c r="G67" s="118"/>
      <c r="H67" s="118"/>
      <c r="I67" s="119"/>
      <c r="J67" s="8"/>
      <c r="K67" s="542"/>
      <c r="L67" s="79"/>
      <c r="M67" s="333"/>
      <c r="N67" s="333"/>
      <c r="O67" s="333"/>
      <c r="P67" s="104"/>
      <c r="Q67" s="333"/>
      <c r="R67" s="79"/>
      <c r="S67" s="84"/>
      <c r="T67" s="84"/>
      <c r="U67" s="85"/>
      <c r="V67" s="85"/>
      <c r="W67" s="63"/>
      <c r="X67" s="63"/>
      <c r="Y67" s="63"/>
      <c r="Z67" s="63"/>
      <c r="AA67" s="63"/>
      <c r="AB67" s="63"/>
      <c r="AC67" s="63"/>
      <c r="AD67" s="63"/>
      <c r="AE67" s="63"/>
      <c r="AF67" s="65"/>
      <c r="AG67" s="66"/>
      <c r="AH67" s="18"/>
      <c r="AI67" s="86"/>
      <c r="AK67" s="56"/>
      <c r="AL67" s="56"/>
      <c r="AM67" s="64"/>
      <c r="AN67" s="57"/>
      <c r="AO67" s="20"/>
      <c r="AP67" s="20"/>
      <c r="AQ67" s="17"/>
      <c r="AR67" s="62"/>
    </row>
    <row r="68" spans="1:45" x14ac:dyDescent="0.3">
      <c r="A68" s="16"/>
      <c r="B68" s="16"/>
      <c r="C68" s="16"/>
      <c r="D68" s="16"/>
      <c r="E68" s="16"/>
      <c r="F68" s="16"/>
      <c r="G68" s="16"/>
      <c r="H68" s="16"/>
      <c r="I68" s="16"/>
      <c r="K68" s="542"/>
      <c r="L68" s="79"/>
      <c r="M68" s="333"/>
      <c r="N68" s="333"/>
      <c r="O68" s="333"/>
      <c r="P68" s="104"/>
      <c r="Q68" s="333"/>
      <c r="R68" s="79"/>
      <c r="S68" s="80"/>
      <c r="T68" s="80"/>
      <c r="U68" s="78"/>
      <c r="V68" s="78"/>
      <c r="W68" s="63"/>
      <c r="X68" s="63"/>
      <c r="Y68" s="63"/>
      <c r="Z68" s="63"/>
      <c r="AA68" s="63"/>
      <c r="AB68" s="63"/>
      <c r="AC68" s="63"/>
      <c r="AD68" s="63"/>
      <c r="AE68" s="63"/>
      <c r="AF68" s="65"/>
      <c r="AG68" s="66"/>
      <c r="AH68" s="18"/>
      <c r="AI68" s="86"/>
      <c r="AK68" s="56"/>
      <c r="AL68" s="56"/>
      <c r="AM68" s="64"/>
      <c r="AN68" s="57"/>
      <c r="AO68" s="20"/>
      <c r="AP68" s="20"/>
      <c r="AQ68" s="17"/>
      <c r="AR68" s="62"/>
      <c r="AS68" s="4"/>
    </row>
    <row r="69" spans="1:45" x14ac:dyDescent="0.3">
      <c r="A69" s="16"/>
      <c r="B69" s="16"/>
      <c r="C69" s="16"/>
      <c r="D69" s="16"/>
      <c r="E69" s="16"/>
      <c r="F69" s="16"/>
      <c r="G69" s="120"/>
      <c r="H69" s="121"/>
      <c r="I69" s="16"/>
      <c r="K69" s="542"/>
      <c r="L69" s="79"/>
      <c r="M69" s="333"/>
      <c r="N69" s="333"/>
      <c r="O69" s="333"/>
      <c r="P69" s="104"/>
      <c r="Q69" s="333"/>
      <c r="R69" s="79"/>
      <c r="S69" s="80"/>
      <c r="T69" s="80"/>
      <c r="U69" s="78"/>
      <c r="V69" s="78"/>
      <c r="W69" s="63"/>
      <c r="X69" s="63"/>
      <c r="Y69" s="63"/>
      <c r="Z69" s="63"/>
      <c r="AA69" s="63"/>
      <c r="AB69" s="63"/>
      <c r="AC69" s="63"/>
      <c r="AD69" s="63"/>
      <c r="AE69" s="63"/>
      <c r="AF69" s="65"/>
      <c r="AG69" s="66"/>
      <c r="AH69" s="18"/>
      <c r="AI69" s="86"/>
      <c r="AK69" s="56"/>
      <c r="AL69" s="56"/>
      <c r="AM69" s="64"/>
      <c r="AN69" s="57"/>
      <c r="AO69" s="20"/>
      <c r="AP69" s="20"/>
      <c r="AQ69" s="17"/>
      <c r="AR69" s="62"/>
      <c r="AS69" s="4"/>
    </row>
    <row r="70" spans="1:45" x14ac:dyDescent="0.3">
      <c r="A70" s="16"/>
      <c r="B70" s="76"/>
      <c r="C70" s="16"/>
      <c r="D70" s="16"/>
      <c r="E70" s="16"/>
      <c r="F70" s="16"/>
      <c r="G70" s="16"/>
      <c r="H70" s="16"/>
      <c r="I70" s="16"/>
      <c r="K70" s="542"/>
      <c r="L70" s="79"/>
      <c r="M70" s="333"/>
      <c r="N70" s="333"/>
      <c r="O70" s="333"/>
      <c r="P70" s="104"/>
      <c r="Q70" s="333"/>
      <c r="R70" s="79"/>
      <c r="S70" s="80"/>
      <c r="T70" s="80"/>
      <c r="U70" s="78"/>
      <c r="V70" s="78"/>
      <c r="W70" s="63"/>
      <c r="X70" s="63"/>
      <c r="Y70" s="63"/>
      <c r="Z70" s="63"/>
      <c r="AA70" s="63"/>
      <c r="AB70" s="63"/>
      <c r="AC70" s="63"/>
      <c r="AD70" s="63"/>
      <c r="AE70" s="63"/>
      <c r="AF70" s="65"/>
      <c r="AG70" s="66"/>
      <c r="AH70" s="18"/>
      <c r="AI70" s="86"/>
      <c r="AK70" s="56"/>
      <c r="AL70" s="56"/>
      <c r="AM70" s="64"/>
      <c r="AN70" s="57"/>
      <c r="AO70" s="20"/>
      <c r="AP70" s="20"/>
      <c r="AQ70" s="17"/>
      <c r="AR70" s="62"/>
    </row>
    <row r="71" spans="1:45" x14ac:dyDescent="0.3">
      <c r="A71" s="16"/>
      <c r="B71" s="122"/>
      <c r="C71" s="16"/>
      <c r="D71" s="16"/>
      <c r="E71" s="16"/>
      <c r="F71" s="16"/>
      <c r="G71" s="16"/>
      <c r="H71" s="16"/>
      <c r="I71" s="16"/>
      <c r="K71" s="542"/>
      <c r="L71" s="542"/>
      <c r="M71" s="333"/>
      <c r="N71" s="333"/>
      <c r="O71" s="333"/>
      <c r="P71" s="78"/>
      <c r="Q71" s="78"/>
      <c r="R71" s="79"/>
      <c r="S71" s="80"/>
      <c r="T71" s="80"/>
      <c r="U71" s="78"/>
      <c r="V71" s="78"/>
      <c r="W71" s="63"/>
      <c r="X71" s="63"/>
      <c r="Y71" s="63"/>
      <c r="Z71" s="63"/>
      <c r="AA71" s="63"/>
      <c r="AB71" s="63"/>
      <c r="AC71" s="63"/>
      <c r="AD71" s="63"/>
      <c r="AE71" s="63"/>
      <c r="AF71" s="65"/>
      <c r="AG71" s="66"/>
      <c r="AH71" s="18"/>
      <c r="AI71" s="86"/>
      <c r="AK71" s="56"/>
      <c r="AL71" s="56"/>
      <c r="AM71" s="64"/>
      <c r="AN71" s="57"/>
      <c r="AO71" s="20"/>
      <c r="AP71" s="20"/>
      <c r="AQ71" s="17"/>
      <c r="AR71" s="62"/>
    </row>
    <row r="72" spans="1:45" x14ac:dyDescent="0.3">
      <c r="A72" s="16"/>
      <c r="B72" s="122"/>
      <c r="C72" s="16"/>
      <c r="D72" s="16"/>
      <c r="E72" s="16"/>
      <c r="F72" s="16"/>
      <c r="G72" s="16"/>
      <c r="H72" s="16"/>
      <c r="I72" s="16"/>
      <c r="K72" s="78"/>
      <c r="L72" s="79"/>
      <c r="M72" s="80"/>
      <c r="N72" s="80"/>
      <c r="O72" s="78"/>
      <c r="P72" s="188"/>
      <c r="Q72" s="188"/>
      <c r="R72" s="191"/>
      <c r="S72" s="192"/>
      <c r="T72" s="80"/>
      <c r="U72" s="78"/>
      <c r="V72" s="78"/>
      <c r="W72" s="63"/>
      <c r="X72" s="63"/>
      <c r="Y72" s="63"/>
      <c r="Z72" s="63"/>
      <c r="AA72" s="63"/>
      <c r="AB72" s="63"/>
      <c r="AC72" s="63"/>
      <c r="AD72" s="63"/>
      <c r="AE72" s="63"/>
      <c r="AF72" s="65"/>
      <c r="AG72" s="66"/>
      <c r="AH72" s="18"/>
      <c r="AI72" s="86"/>
      <c r="AK72" s="56"/>
      <c r="AL72" s="56"/>
      <c r="AM72" s="64"/>
      <c r="AN72" s="57"/>
      <c r="AO72" s="20"/>
      <c r="AP72" s="20"/>
      <c r="AQ72" s="17"/>
      <c r="AR72" s="62"/>
    </row>
    <row r="73" spans="1:45" x14ac:dyDescent="0.3">
      <c r="K73" s="78"/>
      <c r="L73" s="79"/>
      <c r="M73" s="80"/>
      <c r="N73" s="80"/>
      <c r="O73" s="78"/>
      <c r="P73" s="188"/>
      <c r="Q73" s="188"/>
      <c r="R73" s="191"/>
      <c r="S73" s="192"/>
      <c r="T73" s="80"/>
      <c r="U73" s="78"/>
      <c r="V73" s="78"/>
      <c r="W73" s="56"/>
      <c r="X73" s="56"/>
      <c r="Y73" s="56"/>
      <c r="Z73" s="56"/>
      <c r="AA73" s="56"/>
      <c r="AB73" s="56"/>
      <c r="AC73" s="56"/>
      <c r="AD73" s="56"/>
      <c r="AE73" s="56"/>
      <c r="AF73" s="65"/>
      <c r="AG73" s="66"/>
      <c r="AH73" s="18"/>
      <c r="AI73" s="86"/>
      <c r="AK73" s="56"/>
      <c r="AL73" s="56"/>
      <c r="AM73" s="64"/>
      <c r="AN73" s="57"/>
      <c r="AO73" s="20"/>
      <c r="AP73" s="20"/>
      <c r="AQ73" s="17"/>
      <c r="AR73" s="62"/>
    </row>
    <row r="74" spans="1:45" x14ac:dyDescent="0.3">
      <c r="K74" s="5"/>
      <c r="L74" s="5"/>
      <c r="M74" s="5"/>
      <c r="N74" s="5"/>
      <c r="O74" s="5"/>
      <c r="P74" s="188"/>
      <c r="Q74" s="188"/>
      <c r="R74" s="191"/>
      <c r="S74" s="295"/>
      <c r="T74" s="84"/>
      <c r="U74" s="85"/>
      <c r="V74" s="78"/>
      <c r="W74" s="81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K74" s="56"/>
      <c r="AL74" s="56"/>
      <c r="AM74" s="64"/>
      <c r="AN74" s="57"/>
      <c r="AO74" s="20"/>
      <c r="AP74" s="20"/>
      <c r="AQ74" s="17"/>
      <c r="AR74" s="62"/>
    </row>
    <row r="75" spans="1:45" x14ac:dyDescent="0.3">
      <c r="K75" s="5"/>
      <c r="L75" s="5"/>
      <c r="M75" s="5"/>
      <c r="N75" s="5"/>
      <c r="O75" s="5"/>
      <c r="P75" s="188"/>
      <c r="Q75" s="296"/>
      <c r="R75" s="297"/>
      <c r="S75" s="192"/>
      <c r="T75" s="80"/>
      <c r="U75" s="78"/>
      <c r="V75" s="78"/>
      <c r="W75" s="81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K75" s="56"/>
      <c r="AL75" s="56"/>
      <c r="AM75" s="64"/>
      <c r="AN75" s="57"/>
      <c r="AO75" s="20"/>
      <c r="AP75" s="20"/>
      <c r="AQ75" s="17"/>
      <c r="AR75" s="62"/>
    </row>
    <row r="76" spans="1:45" x14ac:dyDescent="0.3">
      <c r="K76" s="5"/>
      <c r="L76" s="5"/>
      <c r="M76" s="5"/>
      <c r="N76" s="5"/>
      <c r="O76" s="5"/>
      <c r="P76" s="188"/>
      <c r="Q76" s="188"/>
      <c r="R76" s="191"/>
      <c r="S76" s="192"/>
      <c r="T76" s="83"/>
      <c r="U76" s="78"/>
      <c r="V76" s="78"/>
      <c r="W76" s="81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K76" s="56"/>
      <c r="AL76" s="56"/>
      <c r="AM76" s="64"/>
      <c r="AN76" s="57"/>
      <c r="AO76" s="20"/>
      <c r="AP76" s="20"/>
      <c r="AQ76" s="17"/>
      <c r="AR76" s="62"/>
    </row>
    <row r="77" spans="1:45" x14ac:dyDescent="0.3">
      <c r="K77" s="5"/>
      <c r="L77" s="5"/>
      <c r="M77" s="5"/>
      <c r="N77" s="5"/>
      <c r="O77" s="5"/>
      <c r="P77" s="188"/>
      <c r="Q77" s="188"/>
      <c r="R77" s="191"/>
      <c r="S77" s="192"/>
      <c r="T77" s="80"/>
      <c r="U77" s="78"/>
      <c r="V77" s="78"/>
      <c r="W77" s="81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K77" s="56"/>
      <c r="AL77" s="56"/>
      <c r="AM77" s="57"/>
      <c r="AN77" s="57"/>
      <c r="AO77" s="18"/>
      <c r="AP77" s="18"/>
      <c r="AQ77" s="17"/>
      <c r="AR77" s="62"/>
    </row>
    <row r="78" spans="1:45" x14ac:dyDescent="0.3">
      <c r="K78" s="5"/>
      <c r="L78" s="5"/>
      <c r="M78" s="5"/>
      <c r="N78" s="5"/>
      <c r="O78" s="5"/>
      <c r="P78" s="188"/>
      <c r="Q78" s="188"/>
      <c r="R78" s="191"/>
      <c r="S78" s="192"/>
      <c r="T78" s="80"/>
      <c r="U78" s="78"/>
      <c r="V78" s="78"/>
      <c r="W78" s="81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K78" s="56"/>
      <c r="AL78" s="56"/>
      <c r="AM78" s="57"/>
      <c r="AN78" s="57"/>
      <c r="AO78" s="18"/>
      <c r="AP78" s="18"/>
      <c r="AQ78" s="17"/>
      <c r="AR78" s="58"/>
    </row>
    <row r="79" spans="1:45" x14ac:dyDescent="0.3">
      <c r="K79" s="5"/>
      <c r="L79" s="5"/>
      <c r="M79" s="5"/>
      <c r="N79" s="5"/>
      <c r="O79" s="5"/>
      <c r="P79" s="188"/>
      <c r="Q79" s="188"/>
      <c r="R79" s="191"/>
      <c r="S79" s="192"/>
      <c r="T79" s="80"/>
      <c r="U79" s="78"/>
      <c r="V79" s="78"/>
      <c r="W79" s="81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45" s="4" customFormat="1" x14ac:dyDescent="0.3">
      <c r="A80" s="5"/>
      <c r="B80" s="5"/>
      <c r="C80" s="5"/>
      <c r="D80" s="5"/>
      <c r="E80" s="5"/>
      <c r="F80" s="5"/>
      <c r="G80" s="5"/>
      <c r="H80" s="5"/>
      <c r="I80" s="5"/>
      <c r="J80" s="9"/>
      <c r="P80" s="298"/>
      <c r="Q80" s="298"/>
      <c r="R80" s="299"/>
      <c r="S80" s="300"/>
      <c r="T80" s="293"/>
      <c r="U80" s="292"/>
      <c r="V80" s="292"/>
      <c r="W80" s="294"/>
      <c r="AK80" s="37"/>
      <c r="AL80" s="1"/>
      <c r="AM80" s="10"/>
      <c r="AN80" s="10"/>
      <c r="AO80" s="2"/>
      <c r="AP80" s="2"/>
      <c r="AQ80" s="10"/>
      <c r="AR80" s="3"/>
      <c r="AS80" s="5"/>
    </row>
    <row r="81" spans="1:45" s="4" customFormat="1" x14ac:dyDescent="0.3">
      <c r="A81" s="5"/>
      <c r="B81" s="5"/>
      <c r="C81" s="5"/>
      <c r="D81" s="5"/>
      <c r="E81" s="5"/>
      <c r="F81" s="5"/>
      <c r="G81" s="5"/>
      <c r="H81" s="5"/>
      <c r="I81" s="5"/>
      <c r="J81" s="9"/>
      <c r="P81" s="298"/>
      <c r="Q81" s="298"/>
      <c r="R81" s="299"/>
      <c r="S81" s="300"/>
      <c r="T81" s="293"/>
      <c r="U81" s="292"/>
      <c r="V81" s="292"/>
      <c r="W81" s="294"/>
      <c r="AK81" s="37"/>
      <c r="AL81" s="1"/>
      <c r="AM81" s="10"/>
      <c r="AN81" s="10"/>
      <c r="AO81" s="2"/>
      <c r="AP81" s="2"/>
      <c r="AQ81" s="10"/>
      <c r="AR81" s="3"/>
      <c r="AS81" s="5"/>
    </row>
    <row r="82" spans="1:45" x14ac:dyDescent="0.3">
      <c r="K82" s="5"/>
      <c r="L82" s="5"/>
      <c r="M82" s="5"/>
      <c r="N82" s="5"/>
      <c r="O82" s="5"/>
      <c r="P82" s="188"/>
      <c r="Q82" s="188"/>
      <c r="R82" s="191"/>
      <c r="S82" s="192"/>
      <c r="T82" s="80"/>
      <c r="U82" s="78"/>
      <c r="V82" s="78"/>
      <c r="W82" s="81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45" x14ac:dyDescent="0.3">
      <c r="K83" s="5"/>
      <c r="L83" s="5"/>
      <c r="M83" s="5"/>
      <c r="N83" s="5"/>
      <c r="O83" s="5"/>
      <c r="P83" s="188"/>
      <c r="Q83" s="188"/>
      <c r="R83" s="191"/>
      <c r="S83" s="192"/>
      <c r="T83" s="80"/>
      <c r="U83" s="78"/>
      <c r="V83" s="78"/>
      <c r="W83" s="81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45" x14ac:dyDescent="0.3">
      <c r="K84" s="5"/>
      <c r="L84" s="5"/>
      <c r="M84" s="5"/>
      <c r="N84" s="5"/>
      <c r="O84" s="5"/>
      <c r="P84" s="188"/>
      <c r="Q84" s="188"/>
      <c r="R84" s="191"/>
      <c r="S84" s="192"/>
      <c r="T84" s="80"/>
      <c r="U84" s="78"/>
      <c r="V84" s="78"/>
      <c r="W84" s="81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45" x14ac:dyDescent="0.3">
      <c r="K85" s="5"/>
      <c r="L85" s="5"/>
      <c r="M85" s="5"/>
      <c r="N85" s="5"/>
      <c r="O85" s="5"/>
      <c r="P85" s="188"/>
      <c r="Q85" s="188"/>
      <c r="R85" s="191"/>
      <c r="S85" s="192"/>
      <c r="T85" s="80"/>
      <c r="U85" s="78"/>
      <c r="V85" s="78"/>
      <c r="W85" s="81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45" x14ac:dyDescent="0.3">
      <c r="K86" s="5"/>
      <c r="L86" s="5"/>
      <c r="M86" s="5"/>
      <c r="N86" s="5"/>
      <c r="O86" s="5"/>
      <c r="P86" s="188"/>
      <c r="Q86" s="188"/>
      <c r="R86" s="191"/>
      <c r="S86" s="192"/>
      <c r="T86" s="80"/>
      <c r="U86" s="78"/>
      <c r="V86" s="78"/>
      <c r="W86" s="81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45" x14ac:dyDescent="0.3">
      <c r="K87" s="5"/>
      <c r="L87" s="5"/>
      <c r="M87" s="5"/>
      <c r="N87" s="5"/>
      <c r="O87" s="5"/>
      <c r="P87" s="188"/>
      <c r="Q87" s="188"/>
      <c r="R87" s="191"/>
      <c r="S87" s="192"/>
      <c r="T87" s="80"/>
      <c r="U87" s="78"/>
      <c r="V87" s="78"/>
      <c r="W87" s="81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45" x14ac:dyDescent="0.3">
      <c r="K88" s="5"/>
      <c r="L88" s="5"/>
      <c r="M88" s="5"/>
      <c r="N88" s="5"/>
      <c r="O88" s="5"/>
      <c r="P88" s="188"/>
      <c r="Q88" s="188"/>
      <c r="R88" s="191"/>
      <c r="S88" s="192"/>
      <c r="T88" s="80"/>
      <c r="U88" s="78"/>
      <c r="V88" s="78"/>
      <c r="W88" s="81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45" x14ac:dyDescent="0.3">
      <c r="K89" s="5"/>
      <c r="L89" s="5"/>
      <c r="M89" s="5"/>
      <c r="N89" s="5"/>
      <c r="O89" s="5"/>
      <c r="P89" s="188"/>
      <c r="Q89" s="188"/>
      <c r="R89" s="191"/>
      <c r="S89" s="192"/>
      <c r="T89" s="80"/>
      <c r="U89" s="78"/>
      <c r="V89" s="78"/>
      <c r="W89" s="81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45" x14ac:dyDescent="0.3">
      <c r="K90" s="5"/>
      <c r="L90" s="5"/>
      <c r="M90" s="5"/>
      <c r="N90" s="5"/>
      <c r="O90" s="5"/>
      <c r="P90" s="188"/>
      <c r="Q90" s="296"/>
      <c r="R90" s="297"/>
      <c r="S90" s="192"/>
      <c r="T90" s="80"/>
      <c r="U90" s="78"/>
      <c r="V90" s="78"/>
      <c r="W90" s="81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</sheetData>
  <mergeCells count="88">
    <mergeCell ref="A30:A33"/>
    <mergeCell ref="A34:A36"/>
    <mergeCell ref="A37:A39"/>
    <mergeCell ref="E26:F26"/>
    <mergeCell ref="E30:F30"/>
    <mergeCell ref="B29:C29"/>
    <mergeCell ref="B33:C33"/>
    <mergeCell ref="B36:C36"/>
    <mergeCell ref="B39:C39"/>
    <mergeCell ref="E27:F27"/>
    <mergeCell ref="E28:F28"/>
    <mergeCell ref="E29:F29"/>
    <mergeCell ref="E31:F31"/>
    <mergeCell ref="E32:F32"/>
    <mergeCell ref="E33:F33"/>
    <mergeCell ref="E36:F36"/>
    <mergeCell ref="I27:I28"/>
    <mergeCell ref="A23:A29"/>
    <mergeCell ref="K6:M6"/>
    <mergeCell ref="W3:AI3"/>
    <mergeCell ref="W4:AI4"/>
    <mergeCell ref="Q16:T16"/>
    <mergeCell ref="A7:B7"/>
    <mergeCell ref="E7:F7"/>
    <mergeCell ref="E21:F21"/>
    <mergeCell ref="B22:C22"/>
    <mergeCell ref="E22:F22"/>
    <mergeCell ref="C13:F13"/>
    <mergeCell ref="C19:F19"/>
    <mergeCell ref="B20:C20"/>
    <mergeCell ref="E20:F20"/>
    <mergeCell ref="K16:N16"/>
    <mergeCell ref="A1:I1"/>
    <mergeCell ref="E3:F3"/>
    <mergeCell ref="H3:I3"/>
    <mergeCell ref="C4:C5"/>
    <mergeCell ref="D4:D5"/>
    <mergeCell ref="E4:F5"/>
    <mergeCell ref="G4:G5"/>
    <mergeCell ref="H4:I5"/>
    <mergeCell ref="Q19:U19"/>
    <mergeCell ref="A8:A20"/>
    <mergeCell ref="A21:A22"/>
    <mergeCell ref="K17:M17"/>
    <mergeCell ref="K19:O19"/>
    <mergeCell ref="Q30:U30"/>
    <mergeCell ref="K38:N38"/>
    <mergeCell ref="Q38:T38"/>
    <mergeCell ref="K39:N39"/>
    <mergeCell ref="Q39:T39"/>
    <mergeCell ref="K30:O30"/>
    <mergeCell ref="B42:C42"/>
    <mergeCell ref="E42:F42"/>
    <mergeCell ref="E40:F40"/>
    <mergeCell ref="P42:Q42"/>
    <mergeCell ref="P43:Q43"/>
    <mergeCell ref="P48:Q48"/>
    <mergeCell ref="P44:Q44"/>
    <mergeCell ref="P45:Q45"/>
    <mergeCell ref="P47:Q47"/>
    <mergeCell ref="P46:Q46"/>
    <mergeCell ref="E46:F46"/>
    <mergeCell ref="G45:G46"/>
    <mergeCell ref="AM36:AN36"/>
    <mergeCell ref="AM37:AN37"/>
    <mergeCell ref="AM38:AN38"/>
    <mergeCell ref="H45:H46"/>
    <mergeCell ref="E41:F41"/>
    <mergeCell ref="E43:F43"/>
    <mergeCell ref="E38:F38"/>
    <mergeCell ref="E39:F39"/>
    <mergeCell ref="E37:F37"/>
    <mergeCell ref="AK6:AL6"/>
    <mergeCell ref="AK3:AS3"/>
    <mergeCell ref="K69:K70"/>
    <mergeCell ref="K71:L71"/>
    <mergeCell ref="A40:A42"/>
    <mergeCell ref="A43:A47"/>
    <mergeCell ref="K60:K62"/>
    <mergeCell ref="K63:K65"/>
    <mergeCell ref="K66:K68"/>
    <mergeCell ref="A48:C48"/>
    <mergeCell ref="E48:F48"/>
    <mergeCell ref="E45:F45"/>
    <mergeCell ref="B47:C47"/>
    <mergeCell ref="E47:F47"/>
    <mergeCell ref="B45:B46"/>
    <mergeCell ref="D45:D46"/>
  </mergeCells>
  <phoneticPr fontId="27" type="noConversion"/>
  <conditionalFormatting sqref="H9">
    <cfRule type="containsText" dxfId="4" priority="2" operator="containsText" text="부적격">
      <formula>NOT(ISERROR(SEARCH("부적격",H9)))</formula>
    </cfRule>
  </conditionalFormatting>
  <conditionalFormatting sqref="H15">
    <cfRule type="containsText" dxfId="3" priority="1" operator="containsText" text="부적격">
      <formula>NOT(ISERROR(SEARCH("부적격",H15)))</formula>
    </cfRule>
  </conditionalFormatting>
  <dataValidations count="5">
    <dataValidation type="list" allowBlank="1" showInputMessage="1" showErrorMessage="1" sqref="F8 F14" xr:uid="{00000000-0002-0000-0100-000000000000}">
      <formula1>$F$50:$F$54</formula1>
    </dataValidation>
    <dataValidation type="list" allowBlank="1" showInputMessage="1" showErrorMessage="1" sqref="F9 F15" xr:uid="{00000000-0002-0000-0100-000001000000}">
      <formula1>$F$56:$F$60</formula1>
    </dataValidation>
    <dataValidation type="list" allowBlank="1" showInputMessage="1" showErrorMessage="1" sqref="K43:K47" xr:uid="{00000000-0002-0000-0100-000002000000}">
      <formula1>$K$50:$K$51</formula1>
    </dataValidation>
    <dataValidation type="list" allowBlank="1" showInputMessage="1" showErrorMessage="1" sqref="E40:F41" xr:uid="{00000000-0002-0000-0100-000003000000}">
      <formula1>$F$62:$F$63</formula1>
    </dataValidation>
    <dataValidation type="list" allowBlank="1" showInputMessage="1" showErrorMessage="1" sqref="F44" xr:uid="{00000000-0002-0000-0100-000004000000}">
      <formula1>$F$65:$F$67</formula1>
    </dataValidation>
  </dataValidations>
  <pageMargins left="0.7" right="0.7" top="0.75" bottom="0.75" header="0.3" footer="0.3"/>
  <pageSetup paperSize="9" scale="11" orientation="portrait" r:id="rId1"/>
  <ignoredErrors>
    <ignoredError sqref="AS1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Z94"/>
  <sheetViews>
    <sheetView view="pageBreakPreview" topLeftCell="A7" zoomScale="80" zoomScaleNormal="85" zoomScaleSheetLayoutView="80" workbookViewId="0">
      <selection activeCell="C32" sqref="C32"/>
    </sheetView>
  </sheetViews>
  <sheetFormatPr defaultColWidth="9" defaultRowHeight="16.5" x14ac:dyDescent="0.3"/>
  <cols>
    <col min="1" max="1" width="20" style="5" customWidth="1"/>
    <col min="2" max="2" width="24.25" style="5" bestFit="1" customWidth="1"/>
    <col min="3" max="3" width="37.625" style="5" customWidth="1"/>
    <col min="4" max="4" width="7.25" style="5" customWidth="1"/>
    <col min="5" max="5" width="15" style="5" customWidth="1"/>
    <col min="6" max="6" width="9.625" style="5" customWidth="1"/>
    <col min="7" max="7" width="7.625" style="5" customWidth="1"/>
    <col min="8" max="8" width="9.25" style="5" customWidth="1"/>
    <col min="9" max="9" width="12" style="5" bestFit="1" customWidth="1"/>
    <col min="10" max="10" width="5.75" style="37" customWidth="1"/>
    <col min="11" max="11" width="18.75" style="37" bestFit="1" customWidth="1"/>
    <col min="12" max="12" width="21.5" style="37" bestFit="1" customWidth="1"/>
    <col min="13" max="13" width="16.5" style="37" bestFit="1" customWidth="1"/>
    <col min="14" max="14" width="30.5" style="37" bestFit="1" customWidth="1"/>
    <col min="15" max="15" width="9.25" style="37" bestFit="1" customWidth="1"/>
    <col min="16" max="16" width="5.75" style="37" customWidth="1"/>
    <col min="17" max="17" width="12.875" style="37" customWidth="1"/>
    <col min="18" max="18" width="16.5" style="37" bestFit="1" customWidth="1"/>
    <col min="19" max="19" width="11.625" style="37" bestFit="1" customWidth="1"/>
    <col min="20" max="20" width="37.5" style="37" bestFit="1" customWidth="1"/>
    <col min="21" max="21" width="19.375" style="37" customWidth="1"/>
    <col min="22" max="22" width="5.75" style="37" customWidth="1"/>
    <col min="23" max="25" width="16.125" style="37" customWidth="1"/>
    <col min="26" max="26" width="35.125" style="37" customWidth="1"/>
    <col min="27" max="27" width="10.375" style="37" customWidth="1"/>
    <col min="28" max="29" width="5.75" style="37" customWidth="1"/>
    <col min="30" max="30" width="12.75" style="37" customWidth="1"/>
    <col min="31" max="31" width="29.5" style="1" customWidth="1"/>
    <col min="32" max="33" width="12.25" style="1" bestFit="1" customWidth="1"/>
    <col min="34" max="34" width="9.25" style="1" bestFit="1" customWidth="1"/>
    <col min="35" max="36" width="11.625" style="1" bestFit="1" customWidth="1"/>
    <col min="37" max="37" width="12.25" style="1" bestFit="1" customWidth="1"/>
    <col min="38" max="38" width="12.25" style="1" customWidth="1"/>
    <col min="39" max="39" width="13.625" style="10" bestFit="1" customWidth="1"/>
    <col min="40" max="40" width="12.125" style="10" customWidth="1"/>
    <col min="41" max="41" width="12" style="2" bestFit="1" customWidth="1"/>
    <col min="42" max="42" width="14.625" style="3" bestFit="1" customWidth="1"/>
    <col min="43" max="43" width="4.125" style="4" customWidth="1"/>
    <col min="44" max="44" width="24.875" style="37" customWidth="1"/>
    <col min="45" max="45" width="24.625" style="1" customWidth="1"/>
    <col min="46" max="46" width="11.625" style="10" bestFit="1" customWidth="1"/>
    <col min="47" max="47" width="15.875" style="10" customWidth="1"/>
    <col min="48" max="48" width="18" style="2" customWidth="1"/>
    <col min="49" max="49" width="14.125" style="2" customWidth="1"/>
    <col min="50" max="50" width="9.125" style="10" customWidth="1"/>
    <col min="51" max="51" width="7.875" style="3" customWidth="1"/>
    <col min="52" max="16384" width="9" style="5"/>
  </cols>
  <sheetData>
    <row r="1" spans="1:52" ht="31.5" x14ac:dyDescent="0.3">
      <c r="A1" s="569" t="s">
        <v>228</v>
      </c>
      <c r="B1" s="569"/>
      <c r="C1" s="569"/>
      <c r="D1" s="569"/>
      <c r="E1" s="569"/>
      <c r="F1" s="569"/>
      <c r="G1" s="569"/>
      <c r="H1" s="569"/>
      <c r="I1" s="569"/>
      <c r="N1" s="188"/>
    </row>
    <row r="2" spans="1:52" ht="27" thickBot="1" x14ac:dyDescent="0.35">
      <c r="A2" s="153" t="s">
        <v>75</v>
      </c>
      <c r="N2" s="189"/>
    </row>
    <row r="3" spans="1:52" ht="20.25" x14ac:dyDescent="0.3">
      <c r="A3" s="70" t="s">
        <v>76</v>
      </c>
      <c r="B3" s="67">
        <v>44562</v>
      </c>
      <c r="C3" s="73" t="s">
        <v>77</v>
      </c>
      <c r="D3" s="403" t="s">
        <v>78</v>
      </c>
      <c r="E3" s="503" t="s">
        <v>79</v>
      </c>
      <c r="F3" s="511"/>
      <c r="G3" s="403" t="s">
        <v>80</v>
      </c>
      <c r="H3" s="503" t="s">
        <v>81</v>
      </c>
      <c r="I3" s="504"/>
      <c r="N3" s="190"/>
      <c r="AD3" s="541" t="s">
        <v>173</v>
      </c>
      <c r="AE3" s="541"/>
      <c r="AF3" s="541"/>
      <c r="AG3" s="541"/>
      <c r="AH3" s="541"/>
      <c r="AI3" s="541"/>
      <c r="AJ3" s="541"/>
      <c r="AK3" s="541"/>
      <c r="AL3" s="541"/>
      <c r="AM3" s="541"/>
      <c r="AN3" s="541"/>
      <c r="AO3" s="541"/>
      <c r="AP3" s="541"/>
      <c r="AR3" s="537" t="s">
        <v>352</v>
      </c>
      <c r="AS3" s="537"/>
      <c r="AT3" s="537"/>
      <c r="AU3" s="537"/>
      <c r="AV3" s="537"/>
      <c r="AW3" s="537"/>
      <c r="AX3" s="537"/>
      <c r="AY3" s="537"/>
      <c r="AZ3" s="537"/>
    </row>
    <row r="4" spans="1:52" ht="21" thickBot="1" x14ac:dyDescent="0.35">
      <c r="A4" s="71" t="s">
        <v>82</v>
      </c>
      <c r="B4" s="154">
        <v>10000000000</v>
      </c>
      <c r="C4" s="498" t="s">
        <v>83</v>
      </c>
      <c r="D4" s="500" t="s">
        <v>178</v>
      </c>
      <c r="E4" s="505" t="s">
        <v>84</v>
      </c>
      <c r="F4" s="505"/>
      <c r="G4" s="507" t="s">
        <v>180</v>
      </c>
      <c r="H4" s="505" t="s">
        <v>85</v>
      </c>
      <c r="I4" s="509"/>
      <c r="N4" s="190"/>
      <c r="AD4" s="541" t="s">
        <v>174</v>
      </c>
      <c r="AE4" s="541"/>
      <c r="AF4" s="541"/>
      <c r="AG4" s="541"/>
      <c r="AH4" s="541"/>
      <c r="AI4" s="541"/>
      <c r="AJ4" s="541"/>
      <c r="AK4" s="541"/>
      <c r="AL4" s="541"/>
      <c r="AM4" s="541"/>
      <c r="AN4" s="541"/>
      <c r="AO4" s="541"/>
      <c r="AP4" s="541"/>
      <c r="AR4" s="537"/>
      <c r="AS4" s="537"/>
      <c r="AT4" s="537"/>
      <c r="AU4" s="537"/>
      <c r="AV4" s="537"/>
      <c r="AW4" s="537"/>
      <c r="AX4" s="537"/>
      <c r="AY4" s="537"/>
      <c r="AZ4" s="537"/>
    </row>
    <row r="5" spans="1:52" ht="27" thickBot="1" x14ac:dyDescent="0.35">
      <c r="A5" s="72" t="s">
        <v>86</v>
      </c>
      <c r="B5" s="155">
        <v>1000000000</v>
      </c>
      <c r="C5" s="499"/>
      <c r="D5" s="501"/>
      <c r="E5" s="506"/>
      <c r="F5" s="506"/>
      <c r="G5" s="508"/>
      <c r="H5" s="506"/>
      <c r="I5" s="510"/>
      <c r="K5" s="393"/>
      <c r="L5" s="393"/>
      <c r="M5" s="393"/>
      <c r="N5" s="190"/>
      <c r="Q5" s="153"/>
      <c r="AD5" s="153" t="s">
        <v>75</v>
      </c>
      <c r="AE5" s="5"/>
      <c r="AF5" s="5"/>
      <c r="AG5" s="5"/>
      <c r="AH5" s="5"/>
      <c r="AI5" s="5"/>
      <c r="AJ5" s="5"/>
      <c r="AK5" s="156"/>
      <c r="AL5" s="5"/>
      <c r="AR5" s="463" t="s">
        <v>351</v>
      </c>
      <c r="AS5" s="464">
        <v>43467</v>
      </c>
    </row>
    <row r="6" spans="1:52" s="16" customFormat="1" ht="17.25" thickBot="1" x14ac:dyDescent="0.35">
      <c r="A6" s="46"/>
      <c r="B6" s="47"/>
      <c r="C6" s="47"/>
      <c r="D6" s="48"/>
      <c r="E6" s="49"/>
      <c r="F6" s="49"/>
      <c r="G6" s="50"/>
      <c r="H6" s="49"/>
      <c r="I6" s="49"/>
      <c r="J6" s="15"/>
      <c r="K6" s="538" t="s">
        <v>252</v>
      </c>
      <c r="L6" s="538"/>
      <c r="M6" s="538"/>
      <c r="N6" s="15"/>
      <c r="O6" s="15"/>
      <c r="P6" s="15"/>
      <c r="Q6" s="538" t="s">
        <v>254</v>
      </c>
      <c r="R6" s="538"/>
      <c r="S6" s="538"/>
      <c r="T6" s="15"/>
      <c r="U6" s="15"/>
      <c r="V6" s="15"/>
      <c r="W6" s="538" t="s">
        <v>254</v>
      </c>
      <c r="X6" s="538"/>
      <c r="Y6" s="538"/>
      <c r="Z6" s="15"/>
      <c r="AA6" s="15"/>
      <c r="AB6" s="15"/>
      <c r="AC6" s="15"/>
      <c r="AD6" s="76" t="s">
        <v>88</v>
      </c>
      <c r="AK6" s="144"/>
      <c r="AL6" s="144"/>
      <c r="AM6" s="17"/>
      <c r="AN6" s="17"/>
      <c r="AO6" s="18"/>
      <c r="AP6" s="19"/>
      <c r="AQ6" s="20"/>
      <c r="AR6" s="37"/>
      <c r="AS6" s="1"/>
      <c r="AT6" s="10"/>
      <c r="AU6" s="10"/>
      <c r="AV6" s="2"/>
      <c r="AW6" s="2"/>
      <c r="AX6" s="10"/>
      <c r="AY6" s="3"/>
      <c r="AZ6" s="5"/>
    </row>
    <row r="7" spans="1:52" ht="33.75" thickBot="1" x14ac:dyDescent="0.35">
      <c r="A7" s="575" t="s">
        <v>0</v>
      </c>
      <c r="B7" s="576"/>
      <c r="C7" s="68" t="s">
        <v>1</v>
      </c>
      <c r="D7" s="69" t="s">
        <v>2</v>
      </c>
      <c r="E7" s="575" t="s">
        <v>3</v>
      </c>
      <c r="F7" s="576"/>
      <c r="G7" s="69" t="s">
        <v>4</v>
      </c>
      <c r="H7" s="69" t="s">
        <v>5</v>
      </c>
      <c r="I7" s="69" t="s">
        <v>6</v>
      </c>
      <c r="J7" s="5"/>
      <c r="K7" s="260" t="s">
        <v>235</v>
      </c>
      <c r="L7" s="336" t="s">
        <v>238</v>
      </c>
      <c r="M7" s="336" t="s">
        <v>239</v>
      </c>
      <c r="N7" s="336" t="s">
        <v>301</v>
      </c>
      <c r="O7" s="262" t="s">
        <v>240</v>
      </c>
      <c r="P7" s="5"/>
      <c r="Q7" s="260" t="s">
        <v>235</v>
      </c>
      <c r="R7" s="336" t="s">
        <v>238</v>
      </c>
      <c r="S7" s="336" t="s">
        <v>239</v>
      </c>
      <c r="T7" s="336" t="s">
        <v>236</v>
      </c>
      <c r="U7" s="262" t="s">
        <v>240</v>
      </c>
      <c r="V7" s="5"/>
      <c r="W7" s="260" t="s">
        <v>235</v>
      </c>
      <c r="X7" s="336" t="s">
        <v>238</v>
      </c>
      <c r="Y7" s="336" t="s">
        <v>239</v>
      </c>
      <c r="Z7" s="336" t="s">
        <v>236</v>
      </c>
      <c r="AA7" s="262" t="s">
        <v>240</v>
      </c>
      <c r="AB7" s="5"/>
      <c r="AC7" s="5"/>
      <c r="AD7" s="145" t="s">
        <v>19</v>
      </c>
      <c r="AE7" s="146" t="s">
        <v>21</v>
      </c>
      <c r="AF7" s="146" t="s">
        <v>98</v>
      </c>
      <c r="AG7" s="146" t="s">
        <v>99</v>
      </c>
      <c r="AH7" s="146" t="s">
        <v>100</v>
      </c>
      <c r="AI7" s="146" t="s">
        <v>256</v>
      </c>
      <c r="AJ7" s="146" t="s">
        <v>257</v>
      </c>
      <c r="AK7" s="146" t="s">
        <v>101</v>
      </c>
      <c r="AL7" s="146" t="s">
        <v>102</v>
      </c>
      <c r="AM7" s="205" t="s">
        <v>66</v>
      </c>
      <c r="AN7" s="147" t="s">
        <v>104</v>
      </c>
      <c r="AO7" s="206" t="s">
        <v>258</v>
      </c>
      <c r="AP7" s="207" t="s">
        <v>7</v>
      </c>
      <c r="AR7" s="538" t="s">
        <v>353</v>
      </c>
      <c r="AS7" s="538"/>
      <c r="AT7" s="462"/>
      <c r="AU7" s="16"/>
      <c r="AV7" s="16"/>
      <c r="AW7" s="16"/>
      <c r="AX7" s="15"/>
      <c r="AY7" s="15"/>
      <c r="AZ7" s="15"/>
    </row>
    <row r="8" spans="1:52" s="14" customFormat="1" ht="16.5" customHeight="1" x14ac:dyDescent="0.3">
      <c r="A8" s="543" t="s">
        <v>305</v>
      </c>
      <c r="B8" s="23" t="s">
        <v>106</v>
      </c>
      <c r="C8" s="32"/>
      <c r="D8" s="24" t="s">
        <v>107</v>
      </c>
      <c r="E8" s="290" t="s">
        <v>229</v>
      </c>
      <c r="F8" s="291" t="s">
        <v>267</v>
      </c>
      <c r="G8" s="24"/>
      <c r="H8" s="24"/>
      <c r="I8" s="24"/>
      <c r="K8" s="305" t="s">
        <v>233</v>
      </c>
      <c r="L8" s="89">
        <v>36892</v>
      </c>
      <c r="M8" s="89">
        <v>38717</v>
      </c>
      <c r="N8" s="89" t="s">
        <v>241</v>
      </c>
      <c r="O8" s="363">
        <f>IF(L8="","",(M8-L8+1))</f>
        <v>1826</v>
      </c>
      <c r="Q8" s="305" t="s">
        <v>233</v>
      </c>
      <c r="R8" s="89">
        <v>36892</v>
      </c>
      <c r="S8" s="89">
        <v>38717</v>
      </c>
      <c r="T8" s="89" t="s">
        <v>241</v>
      </c>
      <c r="U8" s="363">
        <f>IF(R8="","",(S8-R8+1))</f>
        <v>1826</v>
      </c>
      <c r="W8" s="305" t="s">
        <v>233</v>
      </c>
      <c r="X8" s="89">
        <v>36892</v>
      </c>
      <c r="Y8" s="89">
        <v>38717</v>
      </c>
      <c r="Z8" s="89" t="s">
        <v>241</v>
      </c>
      <c r="AA8" s="363">
        <f>IF(X8="","",(Y8-X8+1))</f>
        <v>1826</v>
      </c>
      <c r="AD8" s="356" t="s">
        <v>176</v>
      </c>
      <c r="AE8" s="310" t="s">
        <v>259</v>
      </c>
      <c r="AF8" s="222">
        <v>42370</v>
      </c>
      <c r="AG8" s="222">
        <v>44196</v>
      </c>
      <c r="AH8" s="233">
        <f>IF(AE8="","",AG8-AF8+1)</f>
        <v>1827</v>
      </c>
      <c r="AI8" s="311">
        <f>IF(AE8="","",IF(AF8&lt;=($B$3-365*3),$B$3-365*3,AF8))</f>
        <v>43467</v>
      </c>
      <c r="AJ8" s="311">
        <f>IF(AE8="","",IF(AG8&lt;=$B$3,AG8,$B$3))</f>
        <v>44196</v>
      </c>
      <c r="AK8" s="233">
        <f>IF(AE8="","",AJ8-AI8+1)</f>
        <v>730</v>
      </c>
      <c r="AL8" s="234">
        <v>100000000</v>
      </c>
      <c r="AM8" s="157">
        <f>IF(AE8="","",AL8*AK8/AH8)</f>
        <v>39956212.370005473</v>
      </c>
      <c r="AN8" s="218">
        <v>1</v>
      </c>
      <c r="AO8" s="312">
        <f>IF(AE8="","",100%)</f>
        <v>1</v>
      </c>
      <c r="AP8" s="235">
        <f>IF(AE8="","",INT(AM8*AN8*AO8))</f>
        <v>39956212</v>
      </c>
      <c r="AQ8" s="13"/>
      <c r="AR8" s="260" t="s">
        <v>339</v>
      </c>
      <c r="AS8" s="336" t="s">
        <v>340</v>
      </c>
      <c r="AT8" s="336" t="s">
        <v>341</v>
      </c>
      <c r="AU8" s="336" t="s">
        <v>342</v>
      </c>
      <c r="AV8" s="336" t="s">
        <v>343</v>
      </c>
      <c r="AW8" s="336" t="s">
        <v>344</v>
      </c>
      <c r="AX8" s="336" t="s">
        <v>345</v>
      </c>
      <c r="AY8" s="336" t="s">
        <v>346</v>
      </c>
      <c r="AZ8" s="262" t="s">
        <v>347</v>
      </c>
    </row>
    <row r="9" spans="1:52" s="14" customFormat="1" x14ac:dyDescent="0.3">
      <c r="A9" s="544"/>
      <c r="B9" s="27" t="s">
        <v>108</v>
      </c>
      <c r="C9" s="33" t="s">
        <v>230</v>
      </c>
      <c r="D9" s="384" t="s">
        <v>109</v>
      </c>
      <c r="E9" s="87" t="s">
        <v>110</v>
      </c>
      <c r="F9" s="88" t="s">
        <v>266</v>
      </c>
      <c r="G9" s="391" t="s">
        <v>111</v>
      </c>
      <c r="H9" s="384" t="str">
        <f>IF(F9="특급(소방기술사)","적격",IF(AND(F8="특급이상",OR(F9="특급(소방기술사)",F9="특급")),"적격",IF(AND(F8="고급이상",OR(F9="특급(소방기술사)",F9="특급",F9="고급")),"적격",IF(AND(F8="중급이상",OR(F9="특급(소방기술사)",F9="특급",F9="고급",F9="중급")),"적격",IF(AND(F8="초급이상",OR(F9="특급(소방기술사)",F9="특급",F9="고급",F9="중급",F9="초급")),"적격","부적격")))))</f>
        <v>적격</v>
      </c>
      <c r="I9" s="384"/>
      <c r="J9" s="12"/>
      <c r="K9" s="305" t="s">
        <v>234</v>
      </c>
      <c r="L9" s="89">
        <v>38718</v>
      </c>
      <c r="M9" s="89">
        <v>40543</v>
      </c>
      <c r="N9" s="89" t="s">
        <v>241</v>
      </c>
      <c r="O9" s="363">
        <f t="shared" ref="O9:O15" si="0">IF(L9="","",(M9-L9+1))</f>
        <v>1826</v>
      </c>
      <c r="P9" s="12"/>
      <c r="Q9" s="305" t="s">
        <v>234</v>
      </c>
      <c r="R9" s="89">
        <v>38718</v>
      </c>
      <c r="S9" s="89">
        <v>40543</v>
      </c>
      <c r="T9" s="89" t="s">
        <v>241</v>
      </c>
      <c r="U9" s="363">
        <f t="shared" ref="U9:U15" si="1">IF(R9="","",(S9-R9+1))</f>
        <v>1826</v>
      </c>
      <c r="V9" s="12"/>
      <c r="W9" s="305" t="s">
        <v>234</v>
      </c>
      <c r="X9" s="89">
        <v>38718</v>
      </c>
      <c r="Y9" s="89">
        <v>40543</v>
      </c>
      <c r="Z9" s="89" t="s">
        <v>241</v>
      </c>
      <c r="AA9" s="363">
        <f t="shared" ref="AA9:AA15" si="2">IF(X9="","",(Y9-X9+1))</f>
        <v>1826</v>
      </c>
      <c r="AB9" s="12"/>
      <c r="AC9" s="12"/>
      <c r="AD9" s="209" t="s">
        <v>260</v>
      </c>
      <c r="AE9" s="310" t="s">
        <v>259</v>
      </c>
      <c r="AF9" s="222">
        <v>43466</v>
      </c>
      <c r="AG9" s="222">
        <v>45291</v>
      </c>
      <c r="AH9" s="233">
        <f t="shared" ref="AH9:AH51" si="3">IF(AE9="","",AG9-AF9+1)</f>
        <v>1826</v>
      </c>
      <c r="AI9" s="311">
        <f t="shared" ref="AI9:AI51" si="4">IF(AE9="","",IF(AF9&lt;=($B$3-365*3),$B$3-365*3,AF9))</f>
        <v>43467</v>
      </c>
      <c r="AJ9" s="311">
        <f t="shared" ref="AJ9:AJ51" si="5">IF(AE9="","",IF(AG9&lt;=$B$3,AG9,$B$3))</f>
        <v>44562</v>
      </c>
      <c r="AK9" s="233">
        <f t="shared" ref="AK9:AK51" si="6">IF(AE9="","",AJ9-AI9+1)</f>
        <v>1096</v>
      </c>
      <c r="AL9" s="234">
        <v>200000000</v>
      </c>
      <c r="AM9" s="157">
        <f t="shared" ref="AM9:AM51" si="7">IF(AE9="","",AL9*AK9/AH9)</f>
        <v>120043811.61007667</v>
      </c>
      <c r="AN9" s="218">
        <v>0.7</v>
      </c>
      <c r="AO9" s="312">
        <f t="shared" ref="AO9:AO30" si="8">IF(AE9="","",100%)</f>
        <v>1</v>
      </c>
      <c r="AP9" s="235">
        <f t="shared" ref="AP9:AP59" si="9">IF(AE9="","",INT(AM9*AN9*AO9))</f>
        <v>84030668</v>
      </c>
      <c r="AQ9" s="13"/>
      <c r="AR9" s="440" t="str">
        <f>IF(E9="","","책임감리원")</f>
        <v>책임감리원</v>
      </c>
      <c r="AS9" s="36" t="str">
        <f>IF(E9="","",E9)</f>
        <v>홍길동</v>
      </c>
      <c r="AT9" s="441" t="s">
        <v>348</v>
      </c>
      <c r="AU9" s="441" t="s">
        <v>349</v>
      </c>
      <c r="AV9" s="442">
        <v>43960</v>
      </c>
      <c r="AW9" s="442">
        <v>43977</v>
      </c>
      <c r="AX9" s="443">
        <v>20</v>
      </c>
      <c r="AY9" s="444" t="str">
        <f>IF(AV9="","",IF(AW9&gt;=$B$3,"X",IF(AW9&gt;=$AS$5,"O","X")))</f>
        <v>O</v>
      </c>
      <c r="AZ9" s="445">
        <f>IF(AU9="","",IF(AY9="X",0,AX9))</f>
        <v>20</v>
      </c>
    </row>
    <row r="10" spans="1:52" s="14" customFormat="1" ht="49.5" x14ac:dyDescent="0.3">
      <c r="A10" s="544"/>
      <c r="B10" s="27" t="s">
        <v>112</v>
      </c>
      <c r="C10" s="34" t="s">
        <v>231</v>
      </c>
      <c r="D10" s="384">
        <v>12</v>
      </c>
      <c r="E10" s="158" t="str">
        <f>E9</f>
        <v>홍길동</v>
      </c>
      <c r="F10" s="159">
        <f>ROUNDDOWN(O16/365,1)</f>
        <v>20</v>
      </c>
      <c r="G10" s="391">
        <v>12</v>
      </c>
      <c r="H10" s="384">
        <f>IF(OR(AND($B$4&gt;=10000000000,F10&gt;7),AND($B$4&lt;10000000000,$B$4&gt;=5000000000,F10&gt;6),AND($B$4&lt;5000000000,$B$4&gt;=300000000,F10&gt;5),AND($B$4&lt;300000000,F10&gt;4)),12,IF(OR(AND($B$4&gt;=10000000000,F10&lt;7,F10&gt;=6),AND($B$4&lt;10000000000,$B$4&gt;=5000000000,F10&lt;6,F10&gt;=5),AND($B$4&lt;=5000000000,$B$4&gt;=300000000,F10&lt;5,F10&gt;=4),AND($B$4&lt;300000000,F10&lt;4,F10&gt;=3)),11,IF(OR(AND($B$4&gt;=10000000000,F10&lt;6,F10&gt;=5),AND($B$4&lt;10000000000,$B$4&gt;=500000000,F10&lt;5,F10&gt;=4),AND($B$4&lt;500000000,$B$4&gt;=300000000,F10&lt;4,F10&gt;=3),AND($B$4&lt;300000000,F10&lt;3,F10&gt;=2)),10,IF(OR(AND($B$4&gt;=10000000000,F10&lt;5,F10&gt;=4),AND($B$4&lt;10000000000,$B$4&gt;=5000000000,F10&lt;4,F10&gt;=3),AND($B$4&lt;5000000000,$B$4&gt;=300000000,F10&lt;3,F10&gt;=2),AND($B$4&lt;300000000,F10&lt;2,F10&gt;=1)),9,8))))</f>
        <v>12</v>
      </c>
      <c r="I10" s="384"/>
      <c r="J10" s="12"/>
      <c r="K10" s="305" t="s">
        <v>232</v>
      </c>
      <c r="L10" s="89">
        <v>40544</v>
      </c>
      <c r="M10" s="89">
        <v>42369</v>
      </c>
      <c r="N10" s="89" t="s">
        <v>241</v>
      </c>
      <c r="O10" s="363">
        <f t="shared" si="0"/>
        <v>1826</v>
      </c>
      <c r="P10" s="12"/>
      <c r="Q10" s="305" t="s">
        <v>232</v>
      </c>
      <c r="R10" s="89">
        <v>40544</v>
      </c>
      <c r="S10" s="89">
        <v>42369</v>
      </c>
      <c r="T10" s="89" t="s">
        <v>241</v>
      </c>
      <c r="U10" s="363">
        <f t="shared" si="1"/>
        <v>1826</v>
      </c>
      <c r="V10" s="12"/>
      <c r="W10" s="305"/>
      <c r="X10" s="89"/>
      <c r="Y10" s="89"/>
      <c r="Z10" s="89"/>
      <c r="AA10" s="363" t="str">
        <f t="shared" si="2"/>
        <v/>
      </c>
      <c r="AB10" s="12"/>
      <c r="AC10" s="12"/>
      <c r="AD10" s="209"/>
      <c r="AE10" s="310"/>
      <c r="AF10" s="222"/>
      <c r="AG10" s="222"/>
      <c r="AH10" s="233" t="str">
        <f t="shared" si="3"/>
        <v/>
      </c>
      <c r="AI10" s="311" t="str">
        <f t="shared" si="4"/>
        <v/>
      </c>
      <c r="AJ10" s="311" t="str">
        <f t="shared" si="5"/>
        <v/>
      </c>
      <c r="AK10" s="233" t="str">
        <f t="shared" si="6"/>
        <v/>
      </c>
      <c r="AL10" s="234"/>
      <c r="AM10" s="157" t="str">
        <f t="shared" si="7"/>
        <v/>
      </c>
      <c r="AN10" s="218"/>
      <c r="AO10" s="312" t="str">
        <f t="shared" si="8"/>
        <v/>
      </c>
      <c r="AP10" s="235" t="str">
        <f t="shared" si="9"/>
        <v/>
      </c>
      <c r="AQ10" s="13"/>
      <c r="AR10" s="440"/>
      <c r="AS10" s="36"/>
      <c r="AT10" s="441" t="s">
        <v>348</v>
      </c>
      <c r="AU10" s="441" t="s">
        <v>349</v>
      </c>
      <c r="AV10" s="442">
        <v>44322</v>
      </c>
      <c r="AW10" s="442">
        <v>44330</v>
      </c>
      <c r="AX10" s="443">
        <v>15</v>
      </c>
      <c r="AY10" s="444" t="str">
        <f t="shared" ref="AY10:AY25" si="10">IF(AV10="","",IF(AW10&gt;=$B$3,"X",IF(AW10&gt;=$AS$5,"O","X")))</f>
        <v>O</v>
      </c>
      <c r="AZ10" s="445">
        <f t="shared" ref="AZ10:AZ19" si="11">IF(AU10="","",IF(AY10="X",0,AX10))</f>
        <v>15</v>
      </c>
    </row>
    <row r="11" spans="1:52" s="14" customFormat="1" x14ac:dyDescent="0.3">
      <c r="A11" s="544"/>
      <c r="B11" s="595" t="s">
        <v>113</v>
      </c>
      <c r="C11" s="160" t="s">
        <v>264</v>
      </c>
      <c r="D11" s="384">
        <v>12</v>
      </c>
      <c r="E11" s="162" t="str">
        <f>E9</f>
        <v>홍길동</v>
      </c>
      <c r="F11" s="163">
        <f>ROUNDDOWN(O43/365,1)</f>
        <v>12</v>
      </c>
      <c r="G11" s="164">
        <v>12</v>
      </c>
      <c r="H11" s="165">
        <f>IF(OR(AND($B$4&gt;=10000000000,OR(AND($F$9="특급(소방기술사)",F11&gt;=6),AND($F$9="특급",F11&gt;=7),AND($F$9="고급",F11&gt;=8))),AND($B$4&lt;10000000000,$B$4&gt;=5000000000,OR(AND($F$9="특급(소방기술사)",F11&gt;=5),AND($F$9="특급",F11&gt;=6),AND($F$9="고급",F11&gt;=7))),AND($B$4&lt;5000000000,$B$4&gt;=300000000,OR(AND($F$9="특급(소방기술사)",F11&gt;=4),AND($F$9="특급",F11&gt;=5),AND($F$9="고급",F11&gt;=6))),AND($B$4&lt;300000000,OR(AND($F$9="특급",F11&gt;=4),AND($F$9="고급",F11&gt;=5)))),12,IF(OR(AND($B$4&gt;=10000000000,OR(AND($F$9="특급(소방기술사)",F11&lt;6,F11&gt;=5),AND($F$9="특급",F11&lt;7,F11&gt;=6),AND($F$9="고급",F11&lt;8,F11&gt;=7))),AND($B$4&lt;10000000000,$B$4&gt;=5000000000,OR(AND($F$9="특급(소방기술사)",F11&lt;5,F11&gt;=4),AND($F$9="특급",F11&lt;6,F11&gt;=5),AND($F$9="고급",F11&lt;7,F11&gt;=6))),AND($B$4&lt;500000000,$B$4&gt;=300000000,OR(AND($F$9="특급(소방기술사)",F11&lt;4,F11&gt;=3),AND($F$9="특급",F11&lt;5,F11&gt;=4),AND($F$9="고급",F11&lt;6,F11&gt;=5))),AND($B$4&lt;300000000,OR(AND($F$9="특급",F11&lt;4,F11&gt;=3),AND($F$9="고급",F11&lt;5,F11&gt;=4)))),11,IF(OR(AND($B$4&gt;=10000000000,OR(AND($F$9="특급(소방기술사)",F11&lt;5,F11&gt;=4),AND($F$9="특급",F11&lt;6,F11&gt;=5),AND($F$9="고급",F11&lt;7,F11&gt;=6))),AND($B$4&lt;10000000000,$B$4&gt;=5000000000,OR(AND($F$9="특급(소방기술사)",F11&lt;4,F11&gt;=3),AND($F$9="특급",F11&lt;5,F11&gt;=4),AND($F$9="고급",F11&lt;6,F11&gt;=5))),AND($B$4&lt;5000000000,$B$4&gt;=300000000,OR(AND($F$9="특급(소방기술사)",F11&lt;3,F11&gt;=2),AND($F$9="특급",F11=4,F11&gt;=3),AND($F$9="고급",F11&lt;5,F11&gt;=4))),AND($B$4&lt;300000000,OR(AND($F$9="특급",F11&lt;3,F11&gt;=2),AND($F$9="고급",F11&lt;4,F11&gt;=3)))),10,IF(OR(AND($B$4&gt;=10000000000,OR(AND($F$9="특급(소방기술사)",F11&lt;4,F11&gt;=3),AND($F$9="특급",F11&lt;5,F11&gt;=4),AND($F$9="고급",F11&lt;6,F11&gt;=5))),AND($B$4&lt;10000000000,$B$4&gt;5000000000,OR(AND($F$9="특급(소방기술사)",F11&lt;3,F11&gt;=2),AND($F$9="특급",F11&lt;4,F11&gt;=3),AND($F$9="고급",F11&lt;5,F11&gt;=4))),AND($B$4&lt;5000000000,$B$4&gt;=300000000,OR(AND($F$9="특급(소방기술사)",F11&lt;2,F11&gt;=1),AND($F$9="특급",F11&lt;3,F11&gt;=2),AND($F$9="고급",F11&lt;4,F11&gt;=3))),AND($B$4&lt;300000000,OR(AND($F$9="특급",F11&lt;2,F11&gt;=1),AND($F$9="고급",F11&lt;3,F11&gt;=2)))),9,8))))</f>
        <v>12</v>
      </c>
      <c r="I11" s="384"/>
      <c r="J11" s="12"/>
      <c r="K11" s="305" t="s">
        <v>250</v>
      </c>
      <c r="L11" s="89">
        <v>42370</v>
      </c>
      <c r="M11" s="89">
        <v>44196</v>
      </c>
      <c r="N11" s="89" t="s">
        <v>241</v>
      </c>
      <c r="O11" s="363">
        <f t="shared" si="0"/>
        <v>1827</v>
      </c>
      <c r="P11" s="12"/>
      <c r="Q11" s="305" t="s">
        <v>250</v>
      </c>
      <c r="R11" s="89">
        <v>42370</v>
      </c>
      <c r="S11" s="89">
        <v>44196</v>
      </c>
      <c r="T11" s="89" t="s">
        <v>241</v>
      </c>
      <c r="U11" s="363">
        <f t="shared" si="1"/>
        <v>1827</v>
      </c>
      <c r="V11" s="12"/>
      <c r="W11" s="305"/>
      <c r="X11" s="89"/>
      <c r="Y11" s="89"/>
      <c r="Z11" s="89"/>
      <c r="AA11" s="363" t="str">
        <f t="shared" si="2"/>
        <v/>
      </c>
      <c r="AB11" s="12"/>
      <c r="AC11" s="12"/>
      <c r="AD11" s="209"/>
      <c r="AE11" s="310"/>
      <c r="AF11" s="222"/>
      <c r="AG11" s="222"/>
      <c r="AH11" s="233" t="str">
        <f t="shared" si="3"/>
        <v/>
      </c>
      <c r="AI11" s="311" t="str">
        <f t="shared" si="4"/>
        <v/>
      </c>
      <c r="AJ11" s="311" t="str">
        <f t="shared" si="5"/>
        <v/>
      </c>
      <c r="AK11" s="233" t="str">
        <f t="shared" si="6"/>
        <v/>
      </c>
      <c r="AL11" s="234"/>
      <c r="AM11" s="157" t="str">
        <f t="shared" si="7"/>
        <v/>
      </c>
      <c r="AN11" s="218"/>
      <c r="AO11" s="312" t="str">
        <f t="shared" si="8"/>
        <v/>
      </c>
      <c r="AP11" s="235" t="str">
        <f t="shared" si="9"/>
        <v/>
      </c>
      <c r="AQ11" s="13"/>
      <c r="AR11" s="440"/>
      <c r="AS11" s="36"/>
      <c r="AT11" s="441"/>
      <c r="AU11" s="441"/>
      <c r="AV11" s="442"/>
      <c r="AW11" s="442"/>
      <c r="AX11" s="443"/>
      <c r="AY11" s="444" t="str">
        <f t="shared" si="10"/>
        <v/>
      </c>
      <c r="AZ11" s="445" t="str">
        <f t="shared" si="11"/>
        <v/>
      </c>
    </row>
    <row r="12" spans="1:52" s="14" customFormat="1" x14ac:dyDescent="0.3">
      <c r="A12" s="544"/>
      <c r="B12" s="597"/>
      <c r="C12" s="166" t="s">
        <v>265</v>
      </c>
      <c r="D12" s="385">
        <v>6</v>
      </c>
      <c r="E12" s="167" t="str">
        <f>E9</f>
        <v>홍길동</v>
      </c>
      <c r="F12" s="168">
        <f>ROUNDDOWN(O42/365,1)</f>
        <v>5</v>
      </c>
      <c r="G12" s="169">
        <v>5.0999999999999996</v>
      </c>
      <c r="H12" s="165">
        <f>IF(OR(AND($B$4&gt;=10000000000,OR(AND($F$9="특급(소방기술사)",F12&gt;=6),AND($F$9="특급",F12&gt;=7),AND($F$9="고급",F12&gt;=8))),AND($B$4&lt;10000000000,$B$4&gt;=5000000000,OR(AND($F$9="특급(소방기술사)",F12&gt;=5),AND($F$9="특급",F12&gt;=6),AND($F$9="고급",F12&gt;=7))),AND($B$4&lt;5000000000,$B$4&gt;=300000000,OR(AND($F$9="특급(소방기술사)",F12&gt;=4),AND($F$9="특급",F12&gt;=5),AND($F$9="고급",F12&gt;=6))),AND($B$4&lt;300000000,OR(AND($F$9="특급",F12&gt;=4),AND($F$9="고급",F12&gt;=5)))),6,IF(OR(AND($B$4&gt;=10000000000,OR(AND($F$9="특급(소방기술사)",F12&lt;6,F12&gt;=5),AND($F$9="특급",F12&lt;7,F12&gt;=6),AND($F$9="고급",F12&lt;8,F12&gt;=7))),AND($B$4&lt;10000000000,$B$4&gt;=5000000000,OR(AND($F$9="특급(소방기술사)",F12&lt;5,F12&gt;=4),AND($F$9="특급",F12&lt;6,F12&gt;=5),AND($F$9="고급",F12&lt;7,F12&gt;=6))),AND($B$4&lt;500000000,$B$4&gt;=300000000,OR(AND($F$9="특급(소방기술사)",F12&lt;4,F12&gt;=3),AND($F$9="특급",F12&lt;5,F12&gt;=4),AND($F$9="고급",F12&lt;6,F12&gt;=5))),AND($B$4&lt;300000000,OR(AND($F$9="특급",F12&lt;4,F12&gt;=3),AND($F$9="고급",F12&lt;5,F12&gt;=4)))),5.7,IF(OR(AND($B$4&gt;=10000000000,OR(AND($F$9="특급(소방기술사)",F12&lt;5,F12&gt;=4),AND($F$9="특급",F12&lt;6,F12&gt;=5),AND($F$9="고급",F12&lt;7,F12&gt;=6))),AND($B$4&lt;10000000000,$B$4&gt;=5000000000,OR(AND($F$9="특급(소방기술사)",F12&lt;4,F12&gt;=3),AND($F$9="특급",F12&lt;5,F12&gt;=4),AND($F$9="고급",F12&lt;6,F12&gt;=5))),AND($B$4&lt;5000000000,$B$4&gt;=300000000,OR(AND($F$9="특급(소방기술사)",F12&lt;3,F12&gt;=2),AND($F$9="특급",F12=4,F12&gt;=3),AND($F$9="고급",F12&lt;5,F12&gt;=4))),AND($B$4&lt;300000000,OR(AND($F$9="특급",F12&lt;3,F12&gt;=2),AND($F$9="고급",F12&lt;4,F12&gt;=3)))),5.4,IF(OR(AND($B$4&gt;=10000000000,OR(AND($F$9="특급(소방기술사)",F12&lt;4,F12&gt;=3),AND($F$9="특급",F12&lt;5,F12&gt;=4),AND($F$9="고급",F12&lt;6,F12&gt;=5))),AND($B$4&lt;10000000000,$B$4&gt;5000000000,OR(AND($F$9="특급(소방기술사)",F12&lt;3,F12&gt;=2),AND($F$9="특급",F12&lt;4,F12&gt;=3),AND($F$9="고급",F12&lt;5,F12&gt;=4))),AND($B$4&lt;5000000000,$B$4&gt;=300000000,OR(AND($F$9="특급(소방기술사)",F12&lt;2,F12&gt;=1),AND($F$9="특급",F12&lt;3,F12&gt;=2),AND($F$9="고급",F12&lt;4,F12&gt;=3))),AND($B$4&lt;300000000,OR(AND($F$9="특급",F12&lt;2,F12&gt;=1),AND($F$9="고급",F12&lt;3,F12&gt;=2)))),5.1,4.8))))</f>
        <v>5.0999999999999996</v>
      </c>
      <c r="I12" s="401"/>
      <c r="J12" s="12"/>
      <c r="K12" s="305"/>
      <c r="L12" s="89"/>
      <c r="M12" s="89"/>
      <c r="N12" s="89"/>
      <c r="O12" s="363" t="str">
        <f t="shared" si="0"/>
        <v/>
      </c>
      <c r="P12" s="12"/>
      <c r="Q12" s="305"/>
      <c r="R12" s="89"/>
      <c r="S12" s="89"/>
      <c r="T12" s="89"/>
      <c r="U12" s="363" t="str">
        <f t="shared" si="1"/>
        <v/>
      </c>
      <c r="V12" s="12"/>
      <c r="W12" s="305"/>
      <c r="X12" s="89"/>
      <c r="Y12" s="89"/>
      <c r="Z12" s="89"/>
      <c r="AA12" s="363" t="str">
        <f t="shared" si="2"/>
        <v/>
      </c>
      <c r="AB12" s="12"/>
      <c r="AC12" s="12"/>
      <c r="AD12" s="209"/>
      <c r="AE12" s="310"/>
      <c r="AF12" s="222"/>
      <c r="AG12" s="222"/>
      <c r="AH12" s="233" t="str">
        <f t="shared" si="3"/>
        <v/>
      </c>
      <c r="AI12" s="311" t="str">
        <f t="shared" si="4"/>
        <v/>
      </c>
      <c r="AJ12" s="311" t="str">
        <f t="shared" si="5"/>
        <v/>
      </c>
      <c r="AK12" s="233" t="str">
        <f t="shared" si="6"/>
        <v/>
      </c>
      <c r="AL12" s="234"/>
      <c r="AM12" s="157" t="str">
        <f t="shared" si="7"/>
        <v/>
      </c>
      <c r="AN12" s="218"/>
      <c r="AO12" s="312" t="str">
        <f t="shared" si="8"/>
        <v/>
      </c>
      <c r="AP12" s="235" t="str">
        <f t="shared" si="9"/>
        <v/>
      </c>
      <c r="AQ12" s="13"/>
      <c r="AR12" s="440"/>
      <c r="AS12" s="36"/>
      <c r="AT12" s="441"/>
      <c r="AU12" s="441"/>
      <c r="AV12" s="442"/>
      <c r="AW12" s="442"/>
      <c r="AX12" s="443"/>
      <c r="AY12" s="444" t="str">
        <f t="shared" si="10"/>
        <v/>
      </c>
      <c r="AZ12" s="445" t="str">
        <f t="shared" si="11"/>
        <v/>
      </c>
    </row>
    <row r="13" spans="1:52" s="14" customFormat="1" x14ac:dyDescent="0.3">
      <c r="A13" s="544"/>
      <c r="B13" s="395"/>
      <c r="C13" s="577" t="s">
        <v>116</v>
      </c>
      <c r="D13" s="577"/>
      <c r="E13" s="577"/>
      <c r="F13" s="577"/>
      <c r="G13" s="387">
        <f>G10+G11+G12</f>
        <v>29.1</v>
      </c>
      <c r="H13" s="170">
        <f>SUM(H10:H12)</f>
        <v>29.1</v>
      </c>
      <c r="I13" s="229"/>
      <c r="J13" s="15"/>
      <c r="K13" s="305"/>
      <c r="L13" s="89"/>
      <c r="M13" s="89"/>
      <c r="N13" s="89"/>
      <c r="O13" s="363" t="str">
        <f t="shared" si="0"/>
        <v/>
      </c>
      <c r="P13" s="12"/>
      <c r="Q13" s="305"/>
      <c r="R13" s="89"/>
      <c r="S13" s="89"/>
      <c r="T13" s="89"/>
      <c r="U13" s="363" t="str">
        <f t="shared" si="1"/>
        <v/>
      </c>
      <c r="V13" s="12"/>
      <c r="W13" s="305"/>
      <c r="X13" s="89"/>
      <c r="Y13" s="89"/>
      <c r="Z13" s="89"/>
      <c r="AA13" s="363" t="str">
        <f t="shared" si="2"/>
        <v/>
      </c>
      <c r="AB13" s="12"/>
      <c r="AC13" s="12"/>
      <c r="AD13" s="209"/>
      <c r="AE13" s="310"/>
      <c r="AF13" s="222"/>
      <c r="AG13" s="222"/>
      <c r="AH13" s="233" t="str">
        <f t="shared" si="3"/>
        <v/>
      </c>
      <c r="AI13" s="311" t="str">
        <f t="shared" si="4"/>
        <v/>
      </c>
      <c r="AJ13" s="311" t="str">
        <f t="shared" si="5"/>
        <v/>
      </c>
      <c r="AK13" s="233" t="str">
        <f t="shared" si="6"/>
        <v/>
      </c>
      <c r="AL13" s="234"/>
      <c r="AM13" s="157" t="str">
        <f t="shared" si="7"/>
        <v/>
      </c>
      <c r="AN13" s="218"/>
      <c r="AO13" s="312" t="str">
        <f t="shared" si="8"/>
        <v/>
      </c>
      <c r="AP13" s="235" t="str">
        <f t="shared" si="9"/>
        <v/>
      </c>
      <c r="AQ13" s="13"/>
      <c r="AR13" s="440"/>
      <c r="AS13" s="36"/>
      <c r="AT13" s="441"/>
      <c r="AU13" s="441"/>
      <c r="AV13" s="442"/>
      <c r="AW13" s="442"/>
      <c r="AX13" s="443"/>
      <c r="AY13" s="444" t="str">
        <f t="shared" si="10"/>
        <v/>
      </c>
      <c r="AZ13" s="445" t="str">
        <f t="shared" si="11"/>
        <v/>
      </c>
    </row>
    <row r="14" spans="1:52" s="14" customFormat="1" x14ac:dyDescent="0.3">
      <c r="A14" s="544"/>
      <c r="B14" s="30" t="s">
        <v>117</v>
      </c>
      <c r="C14" s="171"/>
      <c r="D14" s="394" t="s">
        <v>118</v>
      </c>
      <c r="E14" s="409" t="s">
        <v>229</v>
      </c>
      <c r="F14" s="420" t="s">
        <v>262</v>
      </c>
      <c r="G14" s="24"/>
      <c r="H14" s="404"/>
      <c r="I14" s="24"/>
      <c r="J14" s="12"/>
      <c r="K14" s="305"/>
      <c r="L14" s="89"/>
      <c r="M14" s="89"/>
      <c r="N14" s="89"/>
      <c r="O14" s="363" t="str">
        <f t="shared" si="0"/>
        <v/>
      </c>
      <c r="P14" s="12"/>
      <c r="Q14" s="305"/>
      <c r="R14" s="89"/>
      <c r="S14" s="89"/>
      <c r="T14" s="89"/>
      <c r="U14" s="363" t="str">
        <f t="shared" si="1"/>
        <v/>
      </c>
      <c r="V14" s="12"/>
      <c r="W14" s="305"/>
      <c r="X14" s="89"/>
      <c r="Y14" s="89"/>
      <c r="Z14" s="89"/>
      <c r="AA14" s="363" t="str">
        <f t="shared" si="2"/>
        <v/>
      </c>
      <c r="AB14" s="12"/>
      <c r="AC14" s="12"/>
      <c r="AD14" s="209"/>
      <c r="AE14" s="310"/>
      <c r="AF14" s="222"/>
      <c r="AG14" s="222"/>
      <c r="AH14" s="233" t="str">
        <f t="shared" si="3"/>
        <v/>
      </c>
      <c r="AI14" s="311" t="str">
        <f t="shared" si="4"/>
        <v/>
      </c>
      <c r="AJ14" s="311" t="str">
        <f t="shared" si="5"/>
        <v/>
      </c>
      <c r="AK14" s="233" t="str">
        <f t="shared" si="6"/>
        <v/>
      </c>
      <c r="AL14" s="234"/>
      <c r="AM14" s="157" t="str">
        <f t="shared" si="7"/>
        <v/>
      </c>
      <c r="AN14" s="218"/>
      <c r="AO14" s="312" t="str">
        <f t="shared" si="8"/>
        <v/>
      </c>
      <c r="AP14" s="235" t="str">
        <f t="shared" si="9"/>
        <v/>
      </c>
      <c r="AQ14" s="13"/>
      <c r="AR14" s="446" t="s">
        <v>350</v>
      </c>
      <c r="AS14" s="447"/>
      <c r="AT14" s="447"/>
      <c r="AU14" s="447"/>
      <c r="AV14" s="448"/>
      <c r="AW14" s="448"/>
      <c r="AX14" s="449">
        <f>SUM(AX9:AX13)</f>
        <v>35</v>
      </c>
      <c r="AY14" s="450"/>
      <c r="AZ14" s="451">
        <f>SUM(AZ9:AZ13)</f>
        <v>35</v>
      </c>
    </row>
    <row r="15" spans="1:52" s="14" customFormat="1" x14ac:dyDescent="0.3">
      <c r="A15" s="544"/>
      <c r="B15" s="597" t="s">
        <v>108</v>
      </c>
      <c r="C15" s="33" t="s">
        <v>230</v>
      </c>
      <c r="D15" s="395" t="s">
        <v>109</v>
      </c>
      <c r="E15" s="410" t="s">
        <v>122</v>
      </c>
      <c r="F15" s="88" t="s">
        <v>263</v>
      </c>
      <c r="G15" s="391" t="s">
        <v>111</v>
      </c>
      <c r="H15" s="384" t="str">
        <f>IF(F15="특급(소방기술사)","적격",IF(AND(F14="특급이상",OR(F15="특급(소방기술사)",F15="특급")),"적격",IF(AND(F14="고급이상",OR(F15="특급(소방기술사)",F15="특급",F15="고급")),"적격",IF(AND(F14="중급이상",OR(F15="특급(소방기술사)",F15="특급",F15="고급",F15="중급")),"적격",IF(AND(F14="초급이상",OR(F15="특급(소방기술사)",F15="특급",F15="고급",F15="중급",F15="초급")),"적격","부적격")))))</f>
        <v>적격</v>
      </c>
      <c r="I15" s="384"/>
      <c r="J15" s="12"/>
      <c r="K15" s="305"/>
      <c r="L15" s="89"/>
      <c r="M15" s="89"/>
      <c r="N15" s="89"/>
      <c r="O15" s="363" t="str">
        <f t="shared" si="0"/>
        <v/>
      </c>
      <c r="P15" s="12"/>
      <c r="Q15" s="305"/>
      <c r="R15" s="89"/>
      <c r="S15" s="89"/>
      <c r="T15" s="89"/>
      <c r="U15" s="363" t="str">
        <f t="shared" si="1"/>
        <v/>
      </c>
      <c r="V15" s="12"/>
      <c r="W15" s="305"/>
      <c r="X15" s="89"/>
      <c r="Y15" s="89"/>
      <c r="Z15" s="89"/>
      <c r="AA15" s="363" t="str">
        <f t="shared" si="2"/>
        <v/>
      </c>
      <c r="AB15" s="12"/>
      <c r="AC15" s="12"/>
      <c r="AD15" s="209"/>
      <c r="AE15" s="310"/>
      <c r="AF15" s="222"/>
      <c r="AG15" s="222"/>
      <c r="AH15" s="233" t="str">
        <f t="shared" si="3"/>
        <v/>
      </c>
      <c r="AI15" s="311" t="str">
        <f t="shared" si="4"/>
        <v/>
      </c>
      <c r="AJ15" s="311" t="str">
        <f t="shared" si="5"/>
        <v/>
      </c>
      <c r="AK15" s="233" t="str">
        <f t="shared" si="6"/>
        <v/>
      </c>
      <c r="AL15" s="234"/>
      <c r="AM15" s="157" t="str">
        <f t="shared" si="7"/>
        <v/>
      </c>
      <c r="AN15" s="218"/>
      <c r="AO15" s="312" t="str">
        <f t="shared" si="8"/>
        <v/>
      </c>
      <c r="AP15" s="235" t="str">
        <f t="shared" si="9"/>
        <v/>
      </c>
      <c r="AQ15" s="13"/>
      <c r="AR15" s="440" t="str">
        <f>IF(E15="","","보조감리원")</f>
        <v>보조감리원</v>
      </c>
      <c r="AS15" s="36" t="str">
        <f>IF(E15="","",E15)</f>
        <v>김한국</v>
      </c>
      <c r="AT15" s="441" t="s">
        <v>348</v>
      </c>
      <c r="AU15" s="441" t="s">
        <v>349</v>
      </c>
      <c r="AV15" s="442">
        <v>44083</v>
      </c>
      <c r="AW15" s="442">
        <v>44109</v>
      </c>
      <c r="AX15" s="443">
        <v>25</v>
      </c>
      <c r="AY15" s="444" t="str">
        <f t="shared" si="10"/>
        <v>O</v>
      </c>
      <c r="AZ15" s="445">
        <f t="shared" si="11"/>
        <v>25</v>
      </c>
    </row>
    <row r="16" spans="1:52" s="14" customFormat="1" ht="17.25" thickBot="1" x14ac:dyDescent="0.35">
      <c r="A16" s="544"/>
      <c r="B16" s="596"/>
      <c r="C16" s="34"/>
      <c r="D16" s="384"/>
      <c r="E16" s="410" t="s">
        <v>316</v>
      </c>
      <c r="F16" s="419" t="s">
        <v>317</v>
      </c>
      <c r="G16" s="391" t="s">
        <v>318</v>
      </c>
      <c r="H16" s="384" t="str">
        <f>IF(F16="특급(소방기술사)","적격",IF(AND(F14="특급이상",OR(F16="특급(소방기술사)",F16="특급")),"적격",IF(AND(F14="고급이상",OR(F16="특급(소방기술사)",F16="특급",F16="고급")),"적격",IF(AND(F14="중급이상",OR(F16="특급(소방기술사)",F16="특급",F16="고급",F16="중급")),"적격",IF(AND(F14="초급이상",OR(F16="특급(소방기술사)",F16="특급",F16="고급",F16="중급",F16="초급")),"적격","부적격")))))</f>
        <v>적격</v>
      </c>
      <c r="I16" s="384"/>
      <c r="J16" s="12"/>
      <c r="K16" s="572" t="s">
        <v>169</v>
      </c>
      <c r="L16" s="573"/>
      <c r="M16" s="573"/>
      <c r="N16" s="574"/>
      <c r="O16" s="307">
        <f>SUM(O8:O15)</f>
        <v>7305</v>
      </c>
      <c r="P16" s="12"/>
      <c r="Q16" s="572" t="s">
        <v>169</v>
      </c>
      <c r="R16" s="573"/>
      <c r="S16" s="573"/>
      <c r="T16" s="574"/>
      <c r="U16" s="307">
        <f>SUM(U8:U15)</f>
        <v>7305</v>
      </c>
      <c r="V16" s="12"/>
      <c r="W16" s="572" t="s">
        <v>169</v>
      </c>
      <c r="X16" s="573"/>
      <c r="Y16" s="573"/>
      <c r="Z16" s="574"/>
      <c r="AA16" s="307">
        <f>SUM(AA8:AA15)</f>
        <v>3652</v>
      </c>
      <c r="AB16" s="12"/>
      <c r="AC16" s="12"/>
      <c r="AD16" s="209"/>
      <c r="AE16" s="310"/>
      <c r="AF16" s="222"/>
      <c r="AG16" s="222"/>
      <c r="AH16" s="233" t="str">
        <f t="shared" si="3"/>
        <v/>
      </c>
      <c r="AI16" s="311" t="str">
        <f t="shared" si="4"/>
        <v/>
      </c>
      <c r="AJ16" s="311" t="str">
        <f t="shared" si="5"/>
        <v/>
      </c>
      <c r="AK16" s="233" t="str">
        <f t="shared" si="6"/>
        <v/>
      </c>
      <c r="AL16" s="234"/>
      <c r="AM16" s="157" t="str">
        <f t="shared" si="7"/>
        <v/>
      </c>
      <c r="AN16" s="218"/>
      <c r="AO16" s="312" t="str">
        <f t="shared" si="8"/>
        <v/>
      </c>
      <c r="AP16" s="235" t="str">
        <f t="shared" si="9"/>
        <v/>
      </c>
      <c r="AQ16" s="13"/>
      <c r="AR16" s="440"/>
      <c r="AS16" s="36"/>
      <c r="AT16" s="441" t="s">
        <v>348</v>
      </c>
      <c r="AU16" s="441" t="s">
        <v>349</v>
      </c>
      <c r="AV16" s="442">
        <v>44686</v>
      </c>
      <c r="AW16" s="442">
        <v>44691</v>
      </c>
      <c r="AX16" s="443">
        <v>30</v>
      </c>
      <c r="AY16" s="444" t="str">
        <f t="shared" si="10"/>
        <v>X</v>
      </c>
      <c r="AZ16" s="445">
        <f t="shared" si="11"/>
        <v>0</v>
      </c>
    </row>
    <row r="17" spans="1:52" s="14" customFormat="1" ht="28.5" customHeight="1" thickBot="1" x14ac:dyDescent="0.35">
      <c r="A17" s="544"/>
      <c r="B17" s="595" t="s">
        <v>112</v>
      </c>
      <c r="C17" s="595" t="s">
        <v>319</v>
      </c>
      <c r="D17" s="570">
        <v>8</v>
      </c>
      <c r="E17" s="411" t="str">
        <f>E15</f>
        <v>김한국</v>
      </c>
      <c r="F17" s="159">
        <f>ROUNDDOWN(U16/365,1)</f>
        <v>20</v>
      </c>
      <c r="G17" s="391">
        <v>8</v>
      </c>
      <c r="H17" s="384">
        <f>IF(OR(AND($B$4&gt;=10000000000,F16&gt;7),AND($B$4&lt;10000000000,$B$4&gt;=5000000000,F17&gt;6),AND($B$4&lt;5000000000,$B$4&gt;=300000000,F17&gt;5),AND($B$4&lt;300000000,F17&gt;4)),8,IF(OR(AND($B$4&gt;=10000000000,F17&lt;7,F17&gt;=6),AND($B$4&lt;10000000000,$B$4&gt;=5000000000,F17&lt;6,F17&gt;=5),AND($B$4&lt;=5000000000,$B$4&gt;=300000000,F17&lt;5,F17&gt;=4),AND($B$4&lt;300000000,F17&lt;4,F17&gt;=3)),7.7,IF(OR(AND($B$4&gt;=10000000000,F17&lt;6,F17&gt;=5),AND($B$4&lt;10000000000,$B$4&gt;=500000000,F17&lt;5,F17&gt;=4),AND($B$4&lt;500000000,$B$4&gt;=300000000,F17&lt;4,F17&gt;=3),AND($B$4&lt;300000000,F17&lt;3,F17&gt;=2)),7.4,IF(OR(AND($B$4&gt;=10000000000,F17&lt;5,F17&gt;=4),AND($B$4&lt;10000000000,$B$4&gt;=5000000000,F17&lt;4,F17&gt;=3),AND($B$4&lt;5000000000,$B$4&gt;=300000000,F17&lt;3,F17&gt;=2),AND($B$4&lt;300000000,F17&lt;2,F17&gt;=1)),7.1,6.8))))</f>
        <v>8</v>
      </c>
      <c r="I17" s="384"/>
      <c r="J17" s="12"/>
      <c r="K17" s="587" t="s">
        <v>253</v>
      </c>
      <c r="L17" s="587"/>
      <c r="M17" s="587"/>
      <c r="N17" s="192"/>
      <c r="O17" s="188"/>
      <c r="P17" s="12"/>
      <c r="Q17" s="583" t="s">
        <v>255</v>
      </c>
      <c r="R17" s="583"/>
      <c r="S17" s="583"/>
      <c r="T17" s="344"/>
      <c r="U17" s="345"/>
      <c r="V17" s="12"/>
      <c r="W17" s="583" t="s">
        <v>255</v>
      </c>
      <c r="X17" s="583"/>
      <c r="Y17" s="583"/>
      <c r="Z17" s="344"/>
      <c r="AA17" s="345"/>
      <c r="AB17" s="12"/>
      <c r="AC17" s="12"/>
      <c r="AD17" s="209"/>
      <c r="AE17" s="310"/>
      <c r="AF17" s="222"/>
      <c r="AG17" s="222"/>
      <c r="AH17" s="233" t="str">
        <f t="shared" si="3"/>
        <v/>
      </c>
      <c r="AI17" s="311" t="str">
        <f t="shared" si="4"/>
        <v/>
      </c>
      <c r="AJ17" s="311" t="str">
        <f t="shared" si="5"/>
        <v/>
      </c>
      <c r="AK17" s="233" t="str">
        <f t="shared" si="6"/>
        <v/>
      </c>
      <c r="AL17" s="234"/>
      <c r="AM17" s="157" t="str">
        <f t="shared" si="7"/>
        <v/>
      </c>
      <c r="AN17" s="218"/>
      <c r="AO17" s="312" t="str">
        <f t="shared" si="8"/>
        <v/>
      </c>
      <c r="AP17" s="235" t="str">
        <f t="shared" si="9"/>
        <v/>
      </c>
      <c r="AQ17" s="13"/>
      <c r="AR17" s="440"/>
      <c r="AS17" s="36"/>
      <c r="AT17" s="441"/>
      <c r="AU17" s="441"/>
      <c r="AV17" s="442"/>
      <c r="AW17" s="442"/>
      <c r="AX17" s="443"/>
      <c r="AY17" s="444" t="str">
        <f t="shared" si="10"/>
        <v/>
      </c>
      <c r="AZ17" s="445" t="str">
        <f t="shared" si="11"/>
        <v/>
      </c>
    </row>
    <row r="18" spans="1:52" s="14" customFormat="1" ht="28.5" customHeight="1" x14ac:dyDescent="0.3">
      <c r="A18" s="544"/>
      <c r="B18" s="599"/>
      <c r="C18" s="599"/>
      <c r="D18" s="545"/>
      <c r="E18" s="412" t="str">
        <f>E16</f>
        <v>김대한</v>
      </c>
      <c r="F18" s="413">
        <f>ROUNDDOWN(AA16/365,1)</f>
        <v>10</v>
      </c>
      <c r="G18" s="392">
        <v>8</v>
      </c>
      <c r="H18" s="385">
        <f>IF(OR(AND($B$4&gt;=10000000000,F17&gt;7),AND($B$4&lt;10000000000,$B$4&gt;=5000000000,F18&gt;6),AND($B$4&lt;5000000000,$B$4&gt;=300000000,F18&gt;5),AND($B$4&lt;300000000,F18&gt;4)),8,IF(OR(AND($B$4&gt;=10000000000,F18&lt;7,F18&gt;=6),AND($B$4&lt;10000000000,$B$4&gt;=5000000000,F18&lt;6,F18&gt;=5),AND($B$4&lt;=5000000000,$B$4&gt;=300000000,F18&lt;5,F18&gt;=4),AND($B$4&lt;300000000,F18&lt;4,F18&gt;=3)),7.7,IF(OR(AND($B$4&gt;=10000000000,F18&lt;6,F18&gt;=5),AND($B$4&lt;10000000000,$B$4&gt;=500000000,F18&lt;5,F18&gt;=4),AND($B$4&lt;500000000,$B$4&gt;=300000000,F18&lt;4,F18&gt;=3),AND($B$4&lt;300000000,F18&lt;3,F18&gt;=2)),7.4,IF(OR(AND($B$4&gt;=10000000000,F18&lt;5,F18&gt;=4),AND($B$4&lt;10000000000,$B$4&gt;=5000000000,F18&lt;4,F18&gt;=3),AND($B$4&lt;5000000000,$B$4&gt;=300000000,F18&lt;3,F18&gt;=2),AND($B$4&lt;300000000,F18&lt;2,F18&gt;=1)),7.1,6.8))))</f>
        <v>8</v>
      </c>
      <c r="I18" s="385"/>
      <c r="J18" s="12"/>
      <c r="K18" s="260" t="s">
        <v>237</v>
      </c>
      <c r="L18" s="336" t="s">
        <v>238</v>
      </c>
      <c r="M18" s="336" t="s">
        <v>239</v>
      </c>
      <c r="N18" s="336" t="s">
        <v>300</v>
      </c>
      <c r="O18" s="262" t="s">
        <v>240</v>
      </c>
      <c r="P18" s="12"/>
      <c r="Q18" s="260" t="s">
        <v>237</v>
      </c>
      <c r="R18" s="336" t="s">
        <v>238</v>
      </c>
      <c r="S18" s="336" t="s">
        <v>239</v>
      </c>
      <c r="T18" s="336" t="s">
        <v>245</v>
      </c>
      <c r="U18" s="262" t="s">
        <v>240</v>
      </c>
      <c r="V18" s="12"/>
      <c r="W18" s="260" t="s">
        <v>237</v>
      </c>
      <c r="X18" s="336" t="s">
        <v>238</v>
      </c>
      <c r="Y18" s="336" t="s">
        <v>239</v>
      </c>
      <c r="Z18" s="336" t="s">
        <v>245</v>
      </c>
      <c r="AA18" s="262" t="s">
        <v>240</v>
      </c>
      <c r="AB18" s="12"/>
      <c r="AC18" s="12"/>
      <c r="AD18" s="209"/>
      <c r="AE18" s="310"/>
      <c r="AF18" s="222"/>
      <c r="AG18" s="222"/>
      <c r="AH18" s="233" t="str">
        <f t="shared" si="3"/>
        <v/>
      </c>
      <c r="AI18" s="311" t="str">
        <f t="shared" si="4"/>
        <v/>
      </c>
      <c r="AJ18" s="311" t="str">
        <f t="shared" si="5"/>
        <v/>
      </c>
      <c r="AK18" s="233" t="str">
        <f t="shared" si="6"/>
        <v/>
      </c>
      <c r="AL18" s="234"/>
      <c r="AM18" s="157" t="str">
        <f t="shared" si="7"/>
        <v/>
      </c>
      <c r="AN18" s="218"/>
      <c r="AO18" s="312" t="str">
        <f t="shared" si="8"/>
        <v/>
      </c>
      <c r="AP18" s="235" t="str">
        <f t="shared" si="9"/>
        <v/>
      </c>
      <c r="AQ18" s="13"/>
      <c r="AR18" s="440"/>
      <c r="AS18" s="36"/>
      <c r="AT18" s="441"/>
      <c r="AU18" s="441"/>
      <c r="AV18" s="442"/>
      <c r="AW18" s="442"/>
      <c r="AX18" s="443"/>
      <c r="AY18" s="444" t="str">
        <f t="shared" si="10"/>
        <v/>
      </c>
      <c r="AZ18" s="445" t="str">
        <f t="shared" si="11"/>
        <v/>
      </c>
    </row>
    <row r="19" spans="1:52" s="14" customFormat="1" x14ac:dyDescent="0.3">
      <c r="A19" s="544"/>
      <c r="B19" s="597" t="s">
        <v>320</v>
      </c>
      <c r="C19" s="593" t="s">
        <v>264</v>
      </c>
      <c r="D19" s="544">
        <v>8</v>
      </c>
      <c r="E19" s="423" t="str">
        <f>E15</f>
        <v>김한국</v>
      </c>
      <c r="F19" s="424">
        <f>ROUNDDOWN(U43/365,1)</f>
        <v>9.5</v>
      </c>
      <c r="G19" s="164">
        <v>8</v>
      </c>
      <c r="H19" s="165">
        <f>IF(F19&gt;=5,8,IF(F19&gt;=4,7.7,IF(F19&gt;=3,7.4,7.1)))</f>
        <v>8</v>
      </c>
      <c r="I19" s="165"/>
      <c r="J19" s="12"/>
      <c r="K19" s="588" t="s">
        <v>243</v>
      </c>
      <c r="L19" s="589"/>
      <c r="M19" s="589"/>
      <c r="N19" s="589"/>
      <c r="O19" s="590"/>
      <c r="P19" s="12"/>
      <c r="Q19" s="588" t="s">
        <v>243</v>
      </c>
      <c r="R19" s="589"/>
      <c r="S19" s="589"/>
      <c r="T19" s="589"/>
      <c r="U19" s="590"/>
      <c r="V19" s="12"/>
      <c r="W19" s="588" t="s">
        <v>243</v>
      </c>
      <c r="X19" s="589"/>
      <c r="Y19" s="589"/>
      <c r="Z19" s="589"/>
      <c r="AA19" s="590"/>
      <c r="AB19" s="12"/>
      <c r="AC19" s="12"/>
      <c r="AD19" s="209"/>
      <c r="AE19" s="310"/>
      <c r="AF19" s="222"/>
      <c r="AG19" s="222"/>
      <c r="AH19" s="233"/>
      <c r="AI19" s="311"/>
      <c r="AJ19" s="311"/>
      <c r="AK19" s="233"/>
      <c r="AL19" s="234"/>
      <c r="AM19" s="157"/>
      <c r="AN19" s="218"/>
      <c r="AO19" s="312"/>
      <c r="AP19" s="235"/>
      <c r="AQ19" s="13"/>
      <c r="AR19" s="440"/>
      <c r="AS19" s="36"/>
      <c r="AT19" s="441"/>
      <c r="AU19" s="441"/>
      <c r="AV19" s="442"/>
      <c r="AW19" s="442"/>
      <c r="AX19" s="443"/>
      <c r="AY19" s="444" t="str">
        <f t="shared" si="10"/>
        <v/>
      </c>
      <c r="AZ19" s="445" t="str">
        <f t="shared" si="11"/>
        <v/>
      </c>
    </row>
    <row r="20" spans="1:52" s="14" customFormat="1" ht="17.25" thickBot="1" x14ac:dyDescent="0.35">
      <c r="A20" s="544"/>
      <c r="B20" s="597"/>
      <c r="C20" s="594"/>
      <c r="D20" s="598"/>
      <c r="E20" s="421" t="str">
        <f>E16</f>
        <v>김대한</v>
      </c>
      <c r="F20" s="422">
        <f>ROUNDDOWN(AA43/365,1)</f>
        <v>6.5</v>
      </c>
      <c r="G20" s="391">
        <v>8</v>
      </c>
      <c r="H20" s="165">
        <f>IF(F20&gt;=5,8,IF(F20&gt;=4,7.7,IF(F20&gt;=3,7.4,7.1)))</f>
        <v>8</v>
      </c>
      <c r="I20" s="384"/>
      <c r="J20" s="12"/>
      <c r="K20" s="266" t="s">
        <v>233</v>
      </c>
      <c r="L20" s="89">
        <v>36892</v>
      </c>
      <c r="M20" s="89">
        <v>38352</v>
      </c>
      <c r="N20" s="89" t="s">
        <v>246</v>
      </c>
      <c r="O20" s="364">
        <f>IF(L20="","",(M20-L20+1))</f>
        <v>1461</v>
      </c>
      <c r="P20" s="12"/>
      <c r="Q20" s="266" t="s">
        <v>233</v>
      </c>
      <c r="R20" s="89">
        <v>36892</v>
      </c>
      <c r="S20" s="89">
        <v>37437</v>
      </c>
      <c r="T20" s="89" t="s">
        <v>246</v>
      </c>
      <c r="U20" s="364">
        <f>IF(R20="","",(S20-R20+1))</f>
        <v>546</v>
      </c>
      <c r="V20" s="12"/>
      <c r="W20" s="266" t="s">
        <v>233</v>
      </c>
      <c r="X20" s="89">
        <v>36892</v>
      </c>
      <c r="Y20" s="89">
        <v>37437</v>
      </c>
      <c r="Z20" s="89" t="s">
        <v>246</v>
      </c>
      <c r="AA20" s="364">
        <f>IF(X20="","",(Y20-X20+1))</f>
        <v>546</v>
      </c>
      <c r="AB20" s="12"/>
      <c r="AC20" s="12"/>
      <c r="AD20" s="209"/>
      <c r="AE20" s="310"/>
      <c r="AF20" s="222"/>
      <c r="AG20" s="222"/>
      <c r="AH20" s="233"/>
      <c r="AI20" s="311"/>
      <c r="AJ20" s="311"/>
      <c r="AK20" s="233"/>
      <c r="AL20" s="234"/>
      <c r="AM20" s="157"/>
      <c r="AN20" s="218"/>
      <c r="AO20" s="312"/>
      <c r="AP20" s="235"/>
      <c r="AQ20" s="13"/>
      <c r="AR20" s="263" t="s">
        <v>350</v>
      </c>
      <c r="AS20" s="452"/>
      <c r="AT20" s="452"/>
      <c r="AU20" s="452"/>
      <c r="AV20" s="265"/>
      <c r="AW20" s="265"/>
      <c r="AX20" s="453">
        <f>SUM(AX15:AX19)</f>
        <v>55</v>
      </c>
      <c r="AY20" s="450"/>
      <c r="AZ20" s="454">
        <f>SUM(AZ15:AZ19)</f>
        <v>25</v>
      </c>
    </row>
    <row r="21" spans="1:52" s="14" customFormat="1" x14ac:dyDescent="0.3">
      <c r="A21" s="544"/>
      <c r="B21" s="597"/>
      <c r="C21" s="595" t="s">
        <v>321</v>
      </c>
      <c r="D21" s="570">
        <v>4</v>
      </c>
      <c r="E21" s="158" t="str">
        <f>E15</f>
        <v>김한국</v>
      </c>
      <c r="F21" s="159">
        <f>ROUNDDOWN(U42/365,1)</f>
        <v>5</v>
      </c>
      <c r="G21" s="391">
        <v>4</v>
      </c>
      <c r="H21" s="165">
        <f>IF(F21&gt;=5,4,IF(F21&gt;=4,3.8,IF(F21&gt;=3,3.6,3.4)))</f>
        <v>4</v>
      </c>
      <c r="I21" s="384"/>
      <c r="J21" s="12"/>
      <c r="K21" s="266" t="s">
        <v>234</v>
      </c>
      <c r="L21" s="89">
        <v>38718</v>
      </c>
      <c r="M21" s="89">
        <v>39813</v>
      </c>
      <c r="N21" s="89" t="s">
        <v>249</v>
      </c>
      <c r="O21" s="364">
        <f t="shared" ref="O21:O32" si="12">IF(L21="","",(M21-L21+1))</f>
        <v>1096</v>
      </c>
      <c r="P21" s="12"/>
      <c r="Q21" s="266" t="s">
        <v>234</v>
      </c>
      <c r="R21" s="89">
        <v>38718</v>
      </c>
      <c r="S21" s="89">
        <v>39813</v>
      </c>
      <c r="T21" s="89" t="s">
        <v>249</v>
      </c>
      <c r="U21" s="364">
        <f t="shared" ref="U21:U32" si="13">IF(R21="","",(S21-R21+1))</f>
        <v>1096</v>
      </c>
      <c r="V21" s="12"/>
      <c r="W21" s="306"/>
      <c r="X21" s="416"/>
      <c r="Y21" s="416"/>
      <c r="Z21" s="416"/>
      <c r="AA21" s="364" t="str">
        <f t="shared" ref="AA21:AA32" si="14">IF(X21="","",(Y21-X21+1))</f>
        <v/>
      </c>
      <c r="AB21" s="12"/>
      <c r="AC21" s="12"/>
      <c r="AD21" s="209"/>
      <c r="AE21" s="310"/>
      <c r="AF21" s="222"/>
      <c r="AG21" s="222"/>
      <c r="AH21" s="233"/>
      <c r="AI21" s="311"/>
      <c r="AJ21" s="311"/>
      <c r="AK21" s="233"/>
      <c r="AL21" s="234"/>
      <c r="AM21" s="157"/>
      <c r="AN21" s="218"/>
      <c r="AO21" s="312"/>
      <c r="AP21" s="235"/>
      <c r="AQ21" s="13"/>
      <c r="AR21" s="440" t="str">
        <f>IF(E16="","","보조감리원")</f>
        <v>보조감리원</v>
      </c>
      <c r="AS21" s="36" t="str">
        <f>IF(E16="","",E16)</f>
        <v>김대한</v>
      </c>
      <c r="AT21" s="441" t="s">
        <v>348</v>
      </c>
      <c r="AU21" s="441" t="s">
        <v>349</v>
      </c>
      <c r="AV21" s="442">
        <v>44083</v>
      </c>
      <c r="AW21" s="442">
        <v>44109</v>
      </c>
      <c r="AX21" s="443">
        <v>25</v>
      </c>
      <c r="AY21" s="444" t="str">
        <f t="shared" si="10"/>
        <v>O</v>
      </c>
      <c r="AZ21" s="445">
        <f t="shared" ref="AZ21:AZ25" si="15">IF(AU21="","",IF(AY21="X",0,AX21))</f>
        <v>25</v>
      </c>
    </row>
    <row r="22" spans="1:52" s="14" customFormat="1" x14ac:dyDescent="0.3">
      <c r="A22" s="544"/>
      <c r="B22" s="596"/>
      <c r="C22" s="596"/>
      <c r="D22" s="545"/>
      <c r="E22" s="158" t="str">
        <f>E16</f>
        <v>김대한</v>
      </c>
      <c r="F22" s="159">
        <f>ROUNDDOWN(AA42/365,1)</f>
        <v>5</v>
      </c>
      <c r="G22" s="391">
        <v>4</v>
      </c>
      <c r="H22" s="165">
        <f>IF(F22&gt;=5,4,IF(F22&gt;=4,3.8,IF(F22&gt;=3,3.6,3.4)))</f>
        <v>4</v>
      </c>
      <c r="I22" s="384"/>
      <c r="J22" s="12"/>
      <c r="K22" s="306"/>
      <c r="L22" s="416"/>
      <c r="M22" s="416"/>
      <c r="N22" s="416"/>
      <c r="O22" s="364" t="str">
        <f t="shared" si="12"/>
        <v/>
      </c>
      <c r="P22" s="12"/>
      <c r="Q22" s="306"/>
      <c r="R22" s="416"/>
      <c r="S22" s="416"/>
      <c r="T22" s="416"/>
      <c r="U22" s="364" t="str">
        <f t="shared" si="13"/>
        <v/>
      </c>
      <c r="V22" s="12"/>
      <c r="W22" s="306"/>
      <c r="X22" s="416"/>
      <c r="Y22" s="416"/>
      <c r="Z22" s="416"/>
      <c r="AA22" s="364" t="str">
        <f t="shared" si="14"/>
        <v/>
      </c>
      <c r="AB22" s="12"/>
      <c r="AC22" s="12"/>
      <c r="AD22" s="209"/>
      <c r="AE22" s="310"/>
      <c r="AF22" s="222"/>
      <c r="AG22" s="222"/>
      <c r="AH22" s="233"/>
      <c r="AI22" s="311"/>
      <c r="AJ22" s="311"/>
      <c r="AK22" s="233"/>
      <c r="AL22" s="234"/>
      <c r="AM22" s="157"/>
      <c r="AN22" s="218"/>
      <c r="AO22" s="312"/>
      <c r="AP22" s="235"/>
      <c r="AQ22" s="13"/>
      <c r="AR22" s="440"/>
      <c r="AS22" s="36"/>
      <c r="AT22" s="441" t="s">
        <v>348</v>
      </c>
      <c r="AU22" s="441" t="s">
        <v>349</v>
      </c>
      <c r="AV22" s="442">
        <v>44686</v>
      </c>
      <c r="AW22" s="442">
        <v>44691</v>
      </c>
      <c r="AX22" s="443">
        <v>30</v>
      </c>
      <c r="AY22" s="444" t="str">
        <f t="shared" si="10"/>
        <v>X</v>
      </c>
      <c r="AZ22" s="445">
        <f t="shared" si="15"/>
        <v>0</v>
      </c>
    </row>
    <row r="23" spans="1:52" s="14" customFormat="1" x14ac:dyDescent="0.3">
      <c r="A23" s="544"/>
      <c r="B23" s="174"/>
      <c r="C23" s="578" t="s">
        <v>126</v>
      </c>
      <c r="D23" s="561"/>
      <c r="E23" s="561"/>
      <c r="F23" s="562"/>
      <c r="G23" s="387">
        <v>20</v>
      </c>
      <c r="H23" s="229">
        <f>(H17+H18)/2+(H19+H20)/2+(H21+H22)/2</f>
        <v>20</v>
      </c>
      <c r="I23" s="229"/>
      <c r="J23" s="12"/>
      <c r="K23" s="417"/>
      <c r="L23" s="418"/>
      <c r="M23" s="418"/>
      <c r="N23" s="418"/>
      <c r="O23" s="364" t="str">
        <f t="shared" si="12"/>
        <v/>
      </c>
      <c r="P23" s="12"/>
      <c r="Q23" s="417"/>
      <c r="R23" s="418"/>
      <c r="S23" s="418"/>
      <c r="T23" s="418"/>
      <c r="U23" s="364" t="str">
        <f t="shared" si="13"/>
        <v/>
      </c>
      <c r="V23" s="12"/>
      <c r="W23" s="417"/>
      <c r="X23" s="418"/>
      <c r="Y23" s="418"/>
      <c r="Z23" s="418"/>
      <c r="AA23" s="364" t="str">
        <f t="shared" si="14"/>
        <v/>
      </c>
      <c r="AB23" s="12"/>
      <c r="AC23" s="12"/>
      <c r="AD23" s="209"/>
      <c r="AE23" s="310"/>
      <c r="AF23" s="222"/>
      <c r="AG23" s="222"/>
      <c r="AH23" s="233" t="str">
        <f t="shared" si="3"/>
        <v/>
      </c>
      <c r="AI23" s="311" t="str">
        <f t="shared" si="4"/>
        <v/>
      </c>
      <c r="AJ23" s="311" t="str">
        <f t="shared" si="5"/>
        <v/>
      </c>
      <c r="AK23" s="233" t="str">
        <f t="shared" si="6"/>
        <v/>
      </c>
      <c r="AL23" s="234"/>
      <c r="AM23" s="157" t="str">
        <f t="shared" si="7"/>
        <v/>
      </c>
      <c r="AN23" s="218"/>
      <c r="AO23" s="312" t="str">
        <f t="shared" si="8"/>
        <v/>
      </c>
      <c r="AP23" s="235" t="str">
        <f t="shared" si="9"/>
        <v/>
      </c>
      <c r="AQ23" s="13"/>
      <c r="AR23" s="440"/>
      <c r="AS23" s="36"/>
      <c r="AT23" s="441"/>
      <c r="AU23" s="441"/>
      <c r="AV23" s="442"/>
      <c r="AW23" s="442"/>
      <c r="AX23" s="443"/>
      <c r="AY23" s="444" t="str">
        <f t="shared" si="10"/>
        <v/>
      </c>
      <c r="AZ23" s="445" t="str">
        <f t="shared" si="15"/>
        <v/>
      </c>
    </row>
    <row r="24" spans="1:52" s="14" customFormat="1" x14ac:dyDescent="0.3">
      <c r="A24" s="545"/>
      <c r="B24" s="489" t="s">
        <v>62</v>
      </c>
      <c r="C24" s="490"/>
      <c r="D24" s="388">
        <v>50</v>
      </c>
      <c r="E24" s="489"/>
      <c r="F24" s="490"/>
      <c r="G24" s="388">
        <f>SUM(G13,G23)</f>
        <v>49.1</v>
      </c>
      <c r="H24" s="388">
        <f>SUM(H13,H23)</f>
        <v>49.1</v>
      </c>
      <c r="I24" s="7"/>
      <c r="J24" s="12"/>
      <c r="K24" s="417"/>
      <c r="L24" s="418"/>
      <c r="M24" s="418"/>
      <c r="N24" s="418"/>
      <c r="O24" s="364" t="str">
        <f t="shared" si="12"/>
        <v/>
      </c>
      <c r="P24" s="12"/>
      <c r="Q24" s="417"/>
      <c r="R24" s="418"/>
      <c r="S24" s="418"/>
      <c r="T24" s="418"/>
      <c r="U24" s="364" t="str">
        <f t="shared" si="13"/>
        <v/>
      </c>
      <c r="V24" s="12"/>
      <c r="W24" s="417"/>
      <c r="X24" s="418"/>
      <c r="Y24" s="418"/>
      <c r="Z24" s="418"/>
      <c r="AA24" s="364" t="str">
        <f t="shared" si="14"/>
        <v/>
      </c>
      <c r="AB24" s="12"/>
      <c r="AC24" s="12"/>
      <c r="AD24" s="209"/>
      <c r="AE24" s="310"/>
      <c r="AF24" s="222"/>
      <c r="AG24" s="222"/>
      <c r="AH24" s="233" t="str">
        <f t="shared" si="3"/>
        <v/>
      </c>
      <c r="AI24" s="311" t="str">
        <f t="shared" si="4"/>
        <v/>
      </c>
      <c r="AJ24" s="311" t="str">
        <f t="shared" si="5"/>
        <v/>
      </c>
      <c r="AK24" s="233" t="str">
        <f t="shared" si="6"/>
        <v/>
      </c>
      <c r="AL24" s="234"/>
      <c r="AM24" s="157" t="str">
        <f t="shared" si="7"/>
        <v/>
      </c>
      <c r="AN24" s="218"/>
      <c r="AO24" s="312" t="str">
        <f t="shared" si="8"/>
        <v/>
      </c>
      <c r="AP24" s="235" t="str">
        <f t="shared" si="9"/>
        <v/>
      </c>
      <c r="AQ24" s="13"/>
      <c r="AR24" s="440"/>
      <c r="AS24" s="36"/>
      <c r="AT24" s="441"/>
      <c r="AU24" s="441"/>
      <c r="AV24" s="442"/>
      <c r="AW24" s="442"/>
      <c r="AX24" s="443"/>
      <c r="AY24" s="444" t="str">
        <f t="shared" si="10"/>
        <v/>
      </c>
      <c r="AZ24" s="445" t="str">
        <f t="shared" si="15"/>
        <v/>
      </c>
    </row>
    <row r="25" spans="1:52" s="14" customFormat="1" x14ac:dyDescent="0.3">
      <c r="A25" s="543" t="s">
        <v>128</v>
      </c>
      <c r="B25" s="21" t="s">
        <v>129</v>
      </c>
      <c r="C25" s="35" t="s">
        <v>130</v>
      </c>
      <c r="D25" s="229">
        <v>10</v>
      </c>
      <c r="E25" s="523">
        <f>AP52</f>
        <v>271073122</v>
      </c>
      <c r="F25" s="524"/>
      <c r="G25" s="406">
        <v>6</v>
      </c>
      <c r="H25" s="383">
        <f>IF(E25&gt;=B5,10,IF(E25&gt;=B5*0.8,9,IF(E25&gt;=B5*0.6,8,IF(E25&gt;=B5*0.4,7,6))))</f>
        <v>6</v>
      </c>
      <c r="I25" s="229"/>
      <c r="J25" s="12"/>
      <c r="K25" s="417"/>
      <c r="L25" s="418"/>
      <c r="M25" s="418"/>
      <c r="N25" s="418"/>
      <c r="O25" s="364" t="str">
        <f t="shared" si="12"/>
        <v/>
      </c>
      <c r="P25" s="304"/>
      <c r="Q25" s="417"/>
      <c r="R25" s="418"/>
      <c r="S25" s="418"/>
      <c r="T25" s="418"/>
      <c r="U25" s="364" t="str">
        <f t="shared" si="13"/>
        <v/>
      </c>
      <c r="V25" s="304"/>
      <c r="W25" s="266"/>
      <c r="X25" s="89"/>
      <c r="Y25" s="89"/>
      <c r="Z25" s="89"/>
      <c r="AA25" s="364" t="str">
        <f t="shared" si="14"/>
        <v/>
      </c>
      <c r="AB25" s="304"/>
      <c r="AC25" s="304"/>
      <c r="AD25" s="209"/>
      <c r="AE25" s="310"/>
      <c r="AF25" s="222"/>
      <c r="AG25" s="222"/>
      <c r="AH25" s="233" t="str">
        <f t="shared" si="3"/>
        <v/>
      </c>
      <c r="AI25" s="311" t="str">
        <f t="shared" si="4"/>
        <v/>
      </c>
      <c r="AJ25" s="311" t="str">
        <f t="shared" si="5"/>
        <v/>
      </c>
      <c r="AK25" s="233" t="str">
        <f t="shared" si="6"/>
        <v/>
      </c>
      <c r="AL25" s="234"/>
      <c r="AM25" s="157" t="str">
        <f t="shared" si="7"/>
        <v/>
      </c>
      <c r="AN25" s="218"/>
      <c r="AO25" s="312" t="str">
        <f t="shared" si="8"/>
        <v/>
      </c>
      <c r="AP25" s="313"/>
      <c r="AQ25" s="13"/>
      <c r="AR25" s="440"/>
      <c r="AS25" s="36"/>
      <c r="AT25" s="441"/>
      <c r="AU25" s="441"/>
      <c r="AV25" s="442"/>
      <c r="AW25" s="442"/>
      <c r="AX25" s="443"/>
      <c r="AY25" s="444" t="str">
        <f t="shared" si="10"/>
        <v/>
      </c>
      <c r="AZ25" s="445" t="str">
        <f t="shared" si="15"/>
        <v/>
      </c>
    </row>
    <row r="26" spans="1:52" s="14" customFormat="1" ht="17.25" thickBot="1" x14ac:dyDescent="0.35">
      <c r="A26" s="545"/>
      <c r="B26" s="489" t="s">
        <v>62</v>
      </c>
      <c r="C26" s="490"/>
      <c r="D26" s="388">
        <v>10</v>
      </c>
      <c r="E26" s="489"/>
      <c r="F26" s="490"/>
      <c r="G26" s="152">
        <f>G25</f>
        <v>6</v>
      </c>
      <c r="H26" s="152">
        <f>H25</f>
        <v>6</v>
      </c>
      <c r="I26" s="7"/>
      <c r="J26" s="12"/>
      <c r="K26" s="305"/>
      <c r="L26" s="89" t="str">
        <f t="shared" ref="L26:L27" si="16">IF(M26="","",(N26-M26+1))</f>
        <v/>
      </c>
      <c r="M26" s="89"/>
      <c r="N26" s="89"/>
      <c r="O26" s="364" t="str">
        <f t="shared" si="12"/>
        <v/>
      </c>
      <c r="P26" s="12"/>
      <c r="Q26" s="305"/>
      <c r="R26" s="89" t="str">
        <f t="shared" ref="R26:R27" si="17">IF(S26="","",(T26-S26+1))</f>
        <v/>
      </c>
      <c r="S26" s="89"/>
      <c r="T26" s="89"/>
      <c r="U26" s="364" t="str">
        <f t="shared" si="13"/>
        <v/>
      </c>
      <c r="V26" s="12"/>
      <c r="W26" s="305"/>
      <c r="X26" s="89" t="str">
        <f t="shared" ref="X26:X27" si="18">IF(Y26="","",(Z26-Y26+1))</f>
        <v/>
      </c>
      <c r="Y26" s="89"/>
      <c r="Z26" s="89"/>
      <c r="AA26" s="364" t="str">
        <f t="shared" si="14"/>
        <v/>
      </c>
      <c r="AB26" s="12"/>
      <c r="AC26" s="12"/>
      <c r="AD26" s="209"/>
      <c r="AE26" s="310"/>
      <c r="AF26" s="222"/>
      <c r="AG26" s="222"/>
      <c r="AH26" s="233" t="str">
        <f t="shared" si="3"/>
        <v/>
      </c>
      <c r="AI26" s="311" t="str">
        <f t="shared" si="4"/>
        <v/>
      </c>
      <c r="AJ26" s="311" t="str">
        <f t="shared" si="5"/>
        <v/>
      </c>
      <c r="AK26" s="233" t="str">
        <f t="shared" si="6"/>
        <v/>
      </c>
      <c r="AL26" s="234"/>
      <c r="AM26" s="157" t="str">
        <f t="shared" si="7"/>
        <v/>
      </c>
      <c r="AN26" s="218"/>
      <c r="AO26" s="312" t="str">
        <f t="shared" si="8"/>
        <v/>
      </c>
      <c r="AP26" s="235" t="str">
        <f t="shared" si="9"/>
        <v/>
      </c>
      <c r="AQ26" s="13"/>
      <c r="AR26" s="263" t="s">
        <v>350</v>
      </c>
      <c r="AS26" s="452"/>
      <c r="AT26" s="452"/>
      <c r="AU26" s="452"/>
      <c r="AV26" s="265"/>
      <c r="AW26" s="265"/>
      <c r="AX26" s="453">
        <f>SUM(AX21:AX25)</f>
        <v>55</v>
      </c>
      <c r="AY26" s="465"/>
      <c r="AZ26" s="454">
        <f>SUM(AZ21:AZ25)</f>
        <v>25</v>
      </c>
    </row>
    <row r="27" spans="1:52" s="14" customFormat="1" x14ac:dyDescent="0.3">
      <c r="A27" s="543" t="s">
        <v>132</v>
      </c>
      <c r="B27" s="23" t="s">
        <v>242</v>
      </c>
      <c r="C27" s="32" t="s">
        <v>133</v>
      </c>
      <c r="D27" s="24" t="s">
        <v>134</v>
      </c>
      <c r="E27" s="404"/>
      <c r="F27" s="405"/>
      <c r="G27" s="24"/>
      <c r="H27" s="24"/>
      <c r="I27" s="24"/>
      <c r="J27" s="12"/>
      <c r="K27" s="305"/>
      <c r="L27" s="89" t="str">
        <f t="shared" si="16"/>
        <v/>
      </c>
      <c r="M27" s="89"/>
      <c r="N27" s="89"/>
      <c r="O27" s="364" t="str">
        <f t="shared" si="12"/>
        <v/>
      </c>
      <c r="P27" s="12"/>
      <c r="Q27" s="305"/>
      <c r="R27" s="89" t="str">
        <f t="shared" si="17"/>
        <v/>
      </c>
      <c r="S27" s="89"/>
      <c r="T27" s="89"/>
      <c r="U27" s="364" t="str">
        <f t="shared" si="13"/>
        <v/>
      </c>
      <c r="V27" s="12"/>
      <c r="W27" s="305"/>
      <c r="X27" s="89" t="str">
        <f t="shared" si="18"/>
        <v/>
      </c>
      <c r="Y27" s="89"/>
      <c r="Z27" s="89"/>
      <c r="AA27" s="364" t="str">
        <f t="shared" si="14"/>
        <v/>
      </c>
      <c r="AB27" s="12"/>
      <c r="AC27" s="12"/>
      <c r="AD27" s="209"/>
      <c r="AE27" s="310"/>
      <c r="AF27" s="222"/>
      <c r="AG27" s="222"/>
      <c r="AH27" s="233" t="str">
        <f t="shared" si="3"/>
        <v/>
      </c>
      <c r="AI27" s="311" t="str">
        <f t="shared" si="4"/>
        <v/>
      </c>
      <c r="AJ27" s="311" t="str">
        <f t="shared" si="5"/>
        <v/>
      </c>
      <c r="AK27" s="233" t="str">
        <f t="shared" si="6"/>
        <v/>
      </c>
      <c r="AL27" s="234"/>
      <c r="AM27" s="157" t="str">
        <f t="shared" si="7"/>
        <v/>
      </c>
      <c r="AN27" s="218"/>
      <c r="AO27" s="312" t="str">
        <f t="shared" si="8"/>
        <v/>
      </c>
      <c r="AP27" s="235" t="str">
        <f t="shared" si="9"/>
        <v/>
      </c>
      <c r="AQ27" s="13"/>
      <c r="AR27" s="63"/>
      <c r="AS27" s="63"/>
      <c r="AT27" s="64"/>
      <c r="AU27" s="287"/>
      <c r="AV27" s="18"/>
      <c r="AW27" s="18"/>
      <c r="AX27" s="288"/>
      <c r="AY27" s="289"/>
    </row>
    <row r="28" spans="1:52" s="14" customFormat="1" x14ac:dyDescent="0.3">
      <c r="A28" s="544"/>
      <c r="B28" s="27" t="s">
        <v>135</v>
      </c>
      <c r="C28" s="52" t="s">
        <v>136</v>
      </c>
      <c r="D28" s="384">
        <v>4</v>
      </c>
      <c r="E28" s="90">
        <v>20</v>
      </c>
      <c r="F28" s="38">
        <f>ROUNDUP(E28/30,0)</f>
        <v>1</v>
      </c>
      <c r="G28" s="391">
        <v>3.8</v>
      </c>
      <c r="H28" s="384">
        <f>IF(F28&gt;20,0,D28-(F28*0.2))</f>
        <v>3.8</v>
      </c>
      <c r="I28" s="384"/>
      <c r="J28" s="12"/>
      <c r="K28" s="305"/>
      <c r="L28" s="89"/>
      <c r="M28" s="89"/>
      <c r="N28" s="89"/>
      <c r="O28" s="364" t="str">
        <f t="shared" si="12"/>
        <v/>
      </c>
      <c r="P28" s="12"/>
      <c r="Q28" s="305"/>
      <c r="R28" s="89"/>
      <c r="S28" s="89"/>
      <c r="T28" s="89"/>
      <c r="U28" s="364" t="str">
        <f t="shared" si="13"/>
        <v/>
      </c>
      <c r="V28" s="12"/>
      <c r="W28" s="305"/>
      <c r="X28" s="89"/>
      <c r="Y28" s="89"/>
      <c r="Z28" s="89"/>
      <c r="AA28" s="364" t="str">
        <f t="shared" si="14"/>
        <v/>
      </c>
      <c r="AB28" s="12"/>
      <c r="AC28" s="12"/>
      <c r="AD28" s="209"/>
      <c r="AE28" s="310"/>
      <c r="AF28" s="222"/>
      <c r="AG28" s="222"/>
      <c r="AH28" s="233" t="str">
        <f t="shared" si="3"/>
        <v/>
      </c>
      <c r="AI28" s="311" t="str">
        <f t="shared" si="4"/>
        <v/>
      </c>
      <c r="AJ28" s="311" t="str">
        <f t="shared" si="5"/>
        <v/>
      </c>
      <c r="AK28" s="233" t="str">
        <f t="shared" si="6"/>
        <v/>
      </c>
      <c r="AL28" s="234"/>
      <c r="AM28" s="157" t="str">
        <f t="shared" si="7"/>
        <v/>
      </c>
      <c r="AN28" s="218"/>
      <c r="AO28" s="312" t="str">
        <f t="shared" si="8"/>
        <v/>
      </c>
      <c r="AP28" s="235" t="str">
        <f t="shared" si="9"/>
        <v/>
      </c>
      <c r="AQ28" s="13"/>
      <c r="AR28" s="63"/>
      <c r="AS28" s="63"/>
      <c r="AT28" s="64"/>
      <c r="AU28" s="287"/>
      <c r="AV28" s="18"/>
      <c r="AW28" s="18"/>
      <c r="AX28" s="288"/>
      <c r="AY28" s="289"/>
    </row>
    <row r="29" spans="1:52" s="14" customFormat="1" x14ac:dyDescent="0.3">
      <c r="A29" s="544"/>
      <c r="B29" s="39" t="s">
        <v>137</v>
      </c>
      <c r="C29" s="53" t="s">
        <v>138</v>
      </c>
      <c r="D29" s="385">
        <v>3</v>
      </c>
      <c r="E29" s="91">
        <v>60</v>
      </c>
      <c r="F29" s="41">
        <f>ROUNDUP(E29/90,0)*3</f>
        <v>3</v>
      </c>
      <c r="G29" s="392">
        <v>2.8</v>
      </c>
      <c r="H29" s="385">
        <f>IF(F29&gt;45,0,D29-(F29/3*0.2))</f>
        <v>2.8</v>
      </c>
      <c r="I29" s="385"/>
      <c r="J29" s="12"/>
      <c r="K29" s="305"/>
      <c r="L29" s="89"/>
      <c r="M29" s="89"/>
      <c r="N29" s="89"/>
      <c r="O29" s="364" t="str">
        <f t="shared" si="12"/>
        <v/>
      </c>
      <c r="P29" s="12"/>
      <c r="Q29" s="305"/>
      <c r="R29" s="89"/>
      <c r="S29" s="89"/>
      <c r="T29" s="89"/>
      <c r="U29" s="364" t="str">
        <f t="shared" si="13"/>
        <v/>
      </c>
      <c r="V29" s="12"/>
      <c r="W29" s="305"/>
      <c r="X29" s="89"/>
      <c r="Y29" s="89"/>
      <c r="Z29" s="89"/>
      <c r="AA29" s="364" t="str">
        <f t="shared" si="14"/>
        <v/>
      </c>
      <c r="AB29" s="12"/>
      <c r="AC29" s="12"/>
      <c r="AD29" s="209"/>
      <c r="AE29" s="310"/>
      <c r="AF29" s="222"/>
      <c r="AG29" s="222"/>
      <c r="AH29" s="233" t="str">
        <f t="shared" si="3"/>
        <v/>
      </c>
      <c r="AI29" s="311" t="str">
        <f t="shared" si="4"/>
        <v/>
      </c>
      <c r="AJ29" s="311" t="str">
        <f t="shared" si="5"/>
        <v/>
      </c>
      <c r="AK29" s="233" t="str">
        <f t="shared" si="6"/>
        <v/>
      </c>
      <c r="AL29" s="234"/>
      <c r="AM29" s="157" t="str">
        <f t="shared" si="7"/>
        <v/>
      </c>
      <c r="AN29" s="218"/>
      <c r="AO29" s="312" t="str">
        <f t="shared" si="8"/>
        <v/>
      </c>
      <c r="AP29" s="235" t="str">
        <f t="shared" si="9"/>
        <v/>
      </c>
      <c r="AQ29" s="13"/>
      <c r="AR29" s="63"/>
      <c r="AS29" s="63"/>
      <c r="AT29" s="64"/>
      <c r="AU29" s="287"/>
      <c r="AV29" s="18"/>
      <c r="AW29" s="18"/>
      <c r="AX29" s="288"/>
      <c r="AY29" s="289"/>
    </row>
    <row r="30" spans="1:52" s="14" customFormat="1" ht="17.25" thickBot="1" x14ac:dyDescent="0.35">
      <c r="A30" s="544"/>
      <c r="B30" s="23" t="s">
        <v>139</v>
      </c>
      <c r="C30" s="32" t="s">
        <v>140</v>
      </c>
      <c r="D30" s="24" t="s">
        <v>141</v>
      </c>
      <c r="E30" s="579"/>
      <c r="F30" s="580"/>
      <c r="G30" s="24"/>
      <c r="H30" s="24"/>
      <c r="I30" s="24"/>
      <c r="J30" s="12"/>
      <c r="K30" s="266"/>
      <c r="L30" s="89"/>
      <c r="M30" s="89"/>
      <c r="N30" s="386"/>
      <c r="O30" s="364" t="str">
        <f t="shared" si="12"/>
        <v/>
      </c>
      <c r="P30" s="12"/>
      <c r="Q30" s="266"/>
      <c r="R30" s="89"/>
      <c r="S30" s="89"/>
      <c r="T30" s="386"/>
      <c r="U30" s="364" t="str">
        <f t="shared" si="13"/>
        <v/>
      </c>
      <c r="V30" s="12"/>
      <c r="W30" s="266"/>
      <c r="X30" s="89"/>
      <c r="Y30" s="89"/>
      <c r="Z30" s="386"/>
      <c r="AA30" s="364" t="str">
        <f t="shared" si="14"/>
        <v/>
      </c>
      <c r="AB30" s="12"/>
      <c r="AC30" s="12"/>
      <c r="AD30" s="210"/>
      <c r="AE30" s="325"/>
      <c r="AF30" s="326"/>
      <c r="AG30" s="326"/>
      <c r="AH30" s="239" t="str">
        <f t="shared" si="3"/>
        <v/>
      </c>
      <c r="AI30" s="327" t="str">
        <f t="shared" si="4"/>
        <v/>
      </c>
      <c r="AJ30" s="327" t="str">
        <f t="shared" si="5"/>
        <v/>
      </c>
      <c r="AK30" s="239" t="str">
        <f t="shared" si="6"/>
        <v/>
      </c>
      <c r="AL30" s="240"/>
      <c r="AM30" s="241" t="str">
        <f t="shared" si="7"/>
        <v/>
      </c>
      <c r="AN30" s="242"/>
      <c r="AO30" s="328" t="str">
        <f t="shared" si="8"/>
        <v/>
      </c>
      <c r="AP30" s="243" t="str">
        <f t="shared" si="9"/>
        <v/>
      </c>
      <c r="AQ30" s="13"/>
      <c r="AR30" s="63"/>
      <c r="AS30" s="63"/>
      <c r="AT30" s="64"/>
      <c r="AU30" s="287"/>
      <c r="AV30" s="18"/>
      <c r="AW30" s="18"/>
      <c r="AX30" s="288"/>
      <c r="AY30" s="289"/>
    </row>
    <row r="31" spans="1:52" s="14" customFormat="1" x14ac:dyDescent="0.3">
      <c r="A31" s="544"/>
      <c r="B31" s="27" t="s">
        <v>142</v>
      </c>
      <c r="C31" s="34" t="s">
        <v>143</v>
      </c>
      <c r="D31" s="384">
        <v>1</v>
      </c>
      <c r="E31" s="519">
        <v>1.5</v>
      </c>
      <c r="F31" s="520"/>
      <c r="G31" s="379">
        <v>1</v>
      </c>
      <c r="H31" s="380">
        <f>IF(E31="","",IF(E31&gt;=100%,1,IF(E31&gt;=75%,0.85,IF(E31&gt;=50%,0.7,IF(E31&gt;=25%,0.55,0.4)))))</f>
        <v>1</v>
      </c>
      <c r="I31" s="570" t="s">
        <v>315</v>
      </c>
      <c r="J31" s="12"/>
      <c r="K31" s="306"/>
      <c r="L31" s="89"/>
      <c r="M31" s="89"/>
      <c r="N31" s="89"/>
      <c r="O31" s="364" t="str">
        <f t="shared" si="12"/>
        <v/>
      </c>
      <c r="P31" s="12"/>
      <c r="Q31" s="306"/>
      <c r="R31" s="89"/>
      <c r="S31" s="89"/>
      <c r="T31" s="89"/>
      <c r="U31" s="364" t="str">
        <f t="shared" si="13"/>
        <v/>
      </c>
      <c r="V31" s="12"/>
      <c r="W31" s="306"/>
      <c r="X31" s="89"/>
      <c r="Y31" s="89"/>
      <c r="Z31" s="89"/>
      <c r="AA31" s="364" t="str">
        <f t="shared" si="14"/>
        <v/>
      </c>
      <c r="AB31" s="12"/>
      <c r="AC31" s="12"/>
      <c r="AD31" s="408" t="s">
        <v>328</v>
      </c>
      <c r="AE31" s="321" t="s">
        <v>330</v>
      </c>
      <c r="AF31" s="322">
        <v>43586</v>
      </c>
      <c r="AG31" s="322">
        <v>43977</v>
      </c>
      <c r="AH31" s="247">
        <f t="shared" si="3"/>
        <v>392</v>
      </c>
      <c r="AI31" s="323">
        <f t="shared" si="4"/>
        <v>43586</v>
      </c>
      <c r="AJ31" s="323">
        <f t="shared" si="5"/>
        <v>43977</v>
      </c>
      <c r="AK31" s="247">
        <f t="shared" si="6"/>
        <v>392</v>
      </c>
      <c r="AL31" s="248">
        <v>150000000</v>
      </c>
      <c r="AM31" s="249">
        <f t="shared" si="7"/>
        <v>150000000</v>
      </c>
      <c r="AN31" s="250">
        <v>1</v>
      </c>
      <c r="AO31" s="324">
        <f>IF(AE31="","",70%)</f>
        <v>0.7</v>
      </c>
      <c r="AP31" s="251">
        <f>IF(AE31="","",INT(AM31*AN31*AO31))</f>
        <v>105000000</v>
      </c>
      <c r="AQ31" s="13"/>
      <c r="AR31" s="63"/>
      <c r="AS31" s="63"/>
      <c r="AT31" s="64"/>
      <c r="AU31" s="287"/>
      <c r="AV31" s="18"/>
      <c r="AW31" s="18"/>
      <c r="AX31" s="288"/>
      <c r="AY31" s="289"/>
    </row>
    <row r="32" spans="1:52" s="14" customFormat="1" x14ac:dyDescent="0.3">
      <c r="A32" s="544"/>
      <c r="B32" s="39" t="s">
        <v>145</v>
      </c>
      <c r="C32" s="40" t="s">
        <v>146</v>
      </c>
      <c r="D32" s="385">
        <v>2</v>
      </c>
      <c r="E32" s="521">
        <v>1.5</v>
      </c>
      <c r="F32" s="522"/>
      <c r="G32" s="381">
        <v>2</v>
      </c>
      <c r="H32" s="382">
        <f>IF(E32="","",IF(E32&gt;=100%,2,IF(E32&gt;=75%,1.7,IF(E32&gt;=50%,1.4,IF(E32&gt;=25%,1.1,0.8)))))</f>
        <v>2</v>
      </c>
      <c r="I32" s="545"/>
      <c r="J32" s="12"/>
      <c r="K32" s="305"/>
      <c r="L32" s="89"/>
      <c r="M32" s="89"/>
      <c r="N32" s="386"/>
      <c r="O32" s="364" t="str">
        <f t="shared" si="12"/>
        <v/>
      </c>
      <c r="P32" s="12"/>
      <c r="Q32" s="305"/>
      <c r="R32" s="89"/>
      <c r="S32" s="89"/>
      <c r="T32" s="386"/>
      <c r="U32" s="364" t="str">
        <f t="shared" si="13"/>
        <v/>
      </c>
      <c r="V32" s="12"/>
      <c r="W32" s="305"/>
      <c r="X32" s="89"/>
      <c r="Y32" s="89"/>
      <c r="Z32" s="386"/>
      <c r="AA32" s="364" t="str">
        <f t="shared" si="14"/>
        <v/>
      </c>
      <c r="AB32" s="12"/>
      <c r="AC32" s="12"/>
      <c r="AD32" s="356" t="s">
        <v>329</v>
      </c>
      <c r="AE32" s="310" t="s">
        <v>261</v>
      </c>
      <c r="AF32" s="222">
        <v>43831</v>
      </c>
      <c r="AG32" s="222">
        <v>45291</v>
      </c>
      <c r="AH32" s="233">
        <f t="shared" si="3"/>
        <v>1461</v>
      </c>
      <c r="AI32" s="311">
        <f t="shared" si="4"/>
        <v>43831</v>
      </c>
      <c r="AJ32" s="311">
        <f t="shared" si="5"/>
        <v>44562</v>
      </c>
      <c r="AK32" s="233">
        <f t="shared" si="6"/>
        <v>732</v>
      </c>
      <c r="AL32" s="234">
        <v>200000000</v>
      </c>
      <c r="AM32" s="157">
        <f t="shared" si="7"/>
        <v>100205338.80903491</v>
      </c>
      <c r="AN32" s="218">
        <v>0.6</v>
      </c>
      <c r="AO32" s="312">
        <f t="shared" ref="AO32:AO51" si="19">IF(AE32="","",70%)</f>
        <v>0.7</v>
      </c>
      <c r="AP32" s="235">
        <f t="shared" si="9"/>
        <v>42086242</v>
      </c>
      <c r="AQ32" s="13"/>
      <c r="AR32" s="93"/>
      <c r="AS32" s="94"/>
      <c r="AT32" s="95"/>
      <c r="AU32" s="96"/>
      <c r="AV32" s="97"/>
      <c r="AW32" s="97"/>
      <c r="AX32" s="97"/>
      <c r="AY32" s="98"/>
    </row>
    <row r="33" spans="1:51" s="14" customFormat="1" ht="17.25" thickBot="1" x14ac:dyDescent="0.35">
      <c r="A33" s="545"/>
      <c r="B33" s="489" t="s">
        <v>62</v>
      </c>
      <c r="C33" s="490"/>
      <c r="D33" s="388">
        <v>10</v>
      </c>
      <c r="E33" s="489"/>
      <c r="F33" s="490"/>
      <c r="G33" s="388">
        <f>SUM(G28:G29,G31:G32)</f>
        <v>9.6</v>
      </c>
      <c r="H33" s="388">
        <f>SUM(H28:H29,H31:H32)</f>
        <v>9.6</v>
      </c>
      <c r="I33" s="7"/>
      <c r="J33" s="12"/>
      <c r="K33" s="414" t="s">
        <v>247</v>
      </c>
      <c r="L33" s="415"/>
      <c r="M33" s="415"/>
      <c r="N33" s="415"/>
      <c r="O33" s="341">
        <f>SUM(O20:O32)</f>
        <v>2557</v>
      </c>
      <c r="P33" s="12"/>
      <c r="Q33" s="414" t="s">
        <v>247</v>
      </c>
      <c r="R33" s="415"/>
      <c r="S33" s="415"/>
      <c r="T33" s="415"/>
      <c r="U33" s="341">
        <f>SUM(U20:U32)</f>
        <v>1642</v>
      </c>
      <c r="V33" s="12"/>
      <c r="W33" s="414" t="s">
        <v>247</v>
      </c>
      <c r="X33" s="415"/>
      <c r="Y33" s="415"/>
      <c r="Z33" s="415"/>
      <c r="AA33" s="341">
        <f>SUM(AA20:AA32)</f>
        <v>546</v>
      </c>
      <c r="AB33" s="12"/>
      <c r="AC33" s="12"/>
      <c r="AD33" s="356"/>
      <c r="AE33" s="310"/>
      <c r="AF33" s="222"/>
      <c r="AG33" s="222"/>
      <c r="AH33" s="233" t="str">
        <f t="shared" si="3"/>
        <v/>
      </c>
      <c r="AI33" s="311" t="str">
        <f t="shared" si="4"/>
        <v/>
      </c>
      <c r="AJ33" s="311" t="str">
        <f t="shared" si="5"/>
        <v/>
      </c>
      <c r="AK33" s="233" t="str">
        <f t="shared" si="6"/>
        <v/>
      </c>
      <c r="AL33" s="234"/>
      <c r="AM33" s="157" t="str">
        <f t="shared" si="7"/>
        <v/>
      </c>
      <c r="AN33" s="218"/>
      <c r="AO33" s="312" t="str">
        <f t="shared" si="19"/>
        <v/>
      </c>
      <c r="AP33" s="235" t="str">
        <f t="shared" si="9"/>
        <v/>
      </c>
      <c r="AQ33" s="13"/>
      <c r="AR33" s="93"/>
      <c r="AS33" s="94"/>
      <c r="AT33" s="95"/>
      <c r="AU33" s="96"/>
      <c r="AV33" s="97"/>
      <c r="AW33" s="97"/>
      <c r="AX33" s="97"/>
      <c r="AY33" s="98"/>
    </row>
    <row r="34" spans="1:51" s="14" customFormat="1" ht="33" x14ac:dyDescent="0.3">
      <c r="A34" s="543" t="s">
        <v>147</v>
      </c>
      <c r="B34" s="23" t="s">
        <v>148</v>
      </c>
      <c r="C34" s="23" t="s">
        <v>149</v>
      </c>
      <c r="D34" s="24">
        <v>4</v>
      </c>
      <c r="E34" s="478">
        <f>L52</f>
        <v>5</v>
      </c>
      <c r="F34" s="479"/>
      <c r="G34" s="141">
        <v>4</v>
      </c>
      <c r="H34" s="352">
        <f>S52</f>
        <v>4</v>
      </c>
      <c r="I34" s="24"/>
      <c r="J34" s="12"/>
      <c r="K34" s="584" t="s">
        <v>244</v>
      </c>
      <c r="L34" s="585"/>
      <c r="M34" s="585"/>
      <c r="N34" s="585"/>
      <c r="O34" s="586"/>
      <c r="P34" s="12"/>
      <c r="Q34" s="557" t="s">
        <v>244</v>
      </c>
      <c r="R34" s="558"/>
      <c r="S34" s="558"/>
      <c r="T34" s="558"/>
      <c r="U34" s="559"/>
      <c r="V34" s="12"/>
      <c r="W34" s="557" t="s">
        <v>244</v>
      </c>
      <c r="X34" s="558"/>
      <c r="Y34" s="558"/>
      <c r="Z34" s="558"/>
      <c r="AA34" s="559"/>
      <c r="AB34" s="12"/>
      <c r="AC34" s="12"/>
      <c r="AD34" s="356"/>
      <c r="AE34" s="310"/>
      <c r="AF34" s="222"/>
      <c r="AG34" s="222"/>
      <c r="AH34" s="233" t="str">
        <f t="shared" si="3"/>
        <v/>
      </c>
      <c r="AI34" s="311" t="str">
        <f t="shared" si="4"/>
        <v/>
      </c>
      <c r="AJ34" s="311" t="str">
        <f t="shared" si="5"/>
        <v/>
      </c>
      <c r="AK34" s="233" t="str">
        <f t="shared" si="6"/>
        <v/>
      </c>
      <c r="AL34" s="234"/>
      <c r="AM34" s="157" t="str">
        <f t="shared" si="7"/>
        <v/>
      </c>
      <c r="AN34" s="218"/>
      <c r="AO34" s="312" t="str">
        <f t="shared" si="19"/>
        <v/>
      </c>
      <c r="AP34" s="235" t="str">
        <f t="shared" si="9"/>
        <v/>
      </c>
      <c r="AQ34" s="13"/>
      <c r="AR34" s="76"/>
      <c r="AS34" s="16"/>
      <c r="AT34" s="16"/>
      <c r="AU34" s="16"/>
      <c r="AV34" s="16"/>
      <c r="AW34" s="16"/>
    </row>
    <row r="35" spans="1:51" s="14" customFormat="1" ht="33" x14ac:dyDescent="0.3">
      <c r="A35" s="544"/>
      <c r="B35" s="27" t="s">
        <v>150</v>
      </c>
      <c r="C35" s="27" t="s">
        <v>151</v>
      </c>
      <c r="D35" s="384">
        <v>4</v>
      </c>
      <c r="E35" s="519">
        <v>0.04</v>
      </c>
      <c r="F35" s="520"/>
      <c r="G35" s="379">
        <v>4</v>
      </c>
      <c r="H35" s="380">
        <f>IF(E35="","",IF(E35&gt;=3%,4,IF(E35&gt;=2.5%,3.5,IF(E35&gt;=2%,3,IF(E35&gt;=1.5%,2.5,2)))))</f>
        <v>4</v>
      </c>
      <c r="I35" s="384"/>
      <c r="J35" s="12"/>
      <c r="K35" s="266" t="s">
        <v>232</v>
      </c>
      <c r="L35" s="89">
        <v>40544</v>
      </c>
      <c r="M35" s="89">
        <v>41274</v>
      </c>
      <c r="N35" s="89" t="s">
        <v>251</v>
      </c>
      <c r="O35" s="364">
        <f>IF(L35="","",(M35-L35+1))</f>
        <v>731</v>
      </c>
      <c r="P35" s="12"/>
      <c r="Q35" s="266" t="s">
        <v>232</v>
      </c>
      <c r="R35" s="89">
        <v>40544</v>
      </c>
      <c r="S35" s="89">
        <v>41274</v>
      </c>
      <c r="T35" s="89" t="s">
        <v>251</v>
      </c>
      <c r="U35" s="364">
        <f>IF(R35="","",(S35-R35+1))</f>
        <v>731</v>
      </c>
      <c r="V35" s="12"/>
      <c r="W35" s="266" t="s">
        <v>232</v>
      </c>
      <c r="X35" s="89">
        <v>40544</v>
      </c>
      <c r="Y35" s="89">
        <v>41274</v>
      </c>
      <c r="Z35" s="89" t="s">
        <v>251</v>
      </c>
      <c r="AA35" s="364">
        <f>IF(X35="","",(Y35-X35+1))</f>
        <v>731</v>
      </c>
      <c r="AB35" s="12"/>
      <c r="AC35" s="12"/>
      <c r="AD35" s="356"/>
      <c r="AE35" s="310"/>
      <c r="AF35" s="222"/>
      <c r="AG35" s="222"/>
      <c r="AH35" s="233" t="str">
        <f t="shared" si="3"/>
        <v/>
      </c>
      <c r="AI35" s="311" t="str">
        <f t="shared" si="4"/>
        <v/>
      </c>
      <c r="AJ35" s="311" t="str">
        <f t="shared" si="5"/>
        <v/>
      </c>
      <c r="AK35" s="233" t="str">
        <f t="shared" si="6"/>
        <v/>
      </c>
      <c r="AL35" s="234"/>
      <c r="AM35" s="157" t="str">
        <f t="shared" si="7"/>
        <v/>
      </c>
      <c r="AN35" s="218"/>
      <c r="AO35" s="312" t="str">
        <f t="shared" si="19"/>
        <v/>
      </c>
      <c r="AP35" s="235" t="str">
        <f t="shared" si="9"/>
        <v/>
      </c>
      <c r="AQ35" s="13"/>
      <c r="AR35" s="175"/>
      <c r="AS35" s="175"/>
      <c r="AT35" s="176"/>
      <c r="AU35" s="176"/>
      <c r="AV35" s="59"/>
      <c r="AW35" s="16"/>
    </row>
    <row r="36" spans="1:51" s="14" customFormat="1" x14ac:dyDescent="0.3">
      <c r="A36" s="544"/>
      <c r="B36" s="39" t="s">
        <v>152</v>
      </c>
      <c r="C36" s="390" t="s">
        <v>153</v>
      </c>
      <c r="D36" s="401">
        <v>2</v>
      </c>
      <c r="E36" s="581">
        <v>70</v>
      </c>
      <c r="F36" s="582"/>
      <c r="G36" s="402">
        <v>2</v>
      </c>
      <c r="H36" s="45">
        <f>ROUND((IF(E9="",0,IF(AZ14&gt;=70,2,IF(AZ14&gt;=35,1,0))/COUNTA(E9,E15,E16))+IF(E15="",0,IF(AZ20&gt;=70,2,IF(AZ20&gt;=35,1,0))/COUNTA(E9,E15,E16))+IF(E16="","",IF(AZ26&gt;=70,2,IF(AZ26&gt;=35,1,0))/COUNTA(E9,E15,E16))),2)</f>
        <v>0.33</v>
      </c>
      <c r="I36" s="401"/>
      <c r="J36" s="12"/>
      <c r="K36" s="266" t="s">
        <v>250</v>
      </c>
      <c r="L36" s="89">
        <v>42370</v>
      </c>
      <c r="M36" s="89">
        <v>43465</v>
      </c>
      <c r="N36" s="89" t="s">
        <v>248</v>
      </c>
      <c r="O36" s="364">
        <f t="shared" ref="O36:O41" si="20">IF(L36="","",(M36-L36+1))</f>
        <v>1096</v>
      </c>
      <c r="P36" s="12"/>
      <c r="Q36" s="266" t="s">
        <v>250</v>
      </c>
      <c r="R36" s="89">
        <v>42370</v>
      </c>
      <c r="S36" s="89">
        <v>43465</v>
      </c>
      <c r="T36" s="89" t="s">
        <v>248</v>
      </c>
      <c r="U36" s="364">
        <f t="shared" ref="U36:U41" si="21">IF(R36="","",(S36-R36+1))</f>
        <v>1096</v>
      </c>
      <c r="V36" s="12"/>
      <c r="W36" s="266" t="s">
        <v>250</v>
      </c>
      <c r="X36" s="89">
        <v>42370</v>
      </c>
      <c r="Y36" s="89">
        <v>43465</v>
      </c>
      <c r="Z36" s="89" t="s">
        <v>248</v>
      </c>
      <c r="AA36" s="364">
        <f t="shared" ref="AA36:AA41" si="22">IF(X36="","",(Y36-X36+1))</f>
        <v>1096</v>
      </c>
      <c r="AB36" s="12"/>
      <c r="AC36" s="12"/>
      <c r="AD36" s="356"/>
      <c r="AE36" s="310"/>
      <c r="AF36" s="222"/>
      <c r="AG36" s="222"/>
      <c r="AH36" s="233" t="str">
        <f t="shared" si="3"/>
        <v/>
      </c>
      <c r="AI36" s="311" t="str">
        <f t="shared" si="4"/>
        <v/>
      </c>
      <c r="AJ36" s="311" t="str">
        <f t="shared" si="5"/>
        <v/>
      </c>
      <c r="AK36" s="233" t="str">
        <f t="shared" si="6"/>
        <v/>
      </c>
      <c r="AL36" s="234"/>
      <c r="AM36" s="157" t="str">
        <f t="shared" si="7"/>
        <v/>
      </c>
      <c r="AN36" s="218"/>
      <c r="AO36" s="312" t="str">
        <f t="shared" si="19"/>
        <v/>
      </c>
      <c r="AP36" s="235" t="str">
        <f t="shared" si="9"/>
        <v/>
      </c>
      <c r="AQ36" s="13"/>
      <c r="AR36" s="128"/>
      <c r="AS36" s="129"/>
      <c r="AT36" s="177"/>
      <c r="AU36" s="177"/>
      <c r="AV36" s="130"/>
      <c r="AW36" s="59"/>
      <c r="AX36" s="400"/>
      <c r="AY36" s="61"/>
    </row>
    <row r="37" spans="1:51" s="14" customFormat="1" x14ac:dyDescent="0.3">
      <c r="A37" s="545"/>
      <c r="B37" s="489" t="s">
        <v>62</v>
      </c>
      <c r="C37" s="490"/>
      <c r="D37" s="388">
        <v>10</v>
      </c>
      <c r="E37" s="489"/>
      <c r="F37" s="490"/>
      <c r="G37" s="152">
        <f>SUM(G34:G36)</f>
        <v>10</v>
      </c>
      <c r="H37" s="152">
        <f>SUM(H34:H36)</f>
        <v>8.33</v>
      </c>
      <c r="I37" s="7"/>
      <c r="J37" s="12"/>
      <c r="K37" s="266"/>
      <c r="L37" s="89" t="str">
        <f>IF(M37="","",(N37-M37+1))</f>
        <v/>
      </c>
      <c r="M37" s="89"/>
      <c r="N37" s="89"/>
      <c r="O37" s="364" t="str">
        <f t="shared" si="20"/>
        <v/>
      </c>
      <c r="P37" s="12"/>
      <c r="Q37" s="266"/>
      <c r="R37" s="89" t="str">
        <f t="shared" ref="R37:R40" si="23">IF(S37="","",(T37-S37+1))</f>
        <v/>
      </c>
      <c r="S37" s="89"/>
      <c r="T37" s="89"/>
      <c r="U37" s="364" t="str">
        <f t="shared" si="21"/>
        <v/>
      </c>
      <c r="V37" s="12"/>
      <c r="W37" s="266"/>
      <c r="X37" s="89" t="str">
        <f t="shared" ref="X37:X40" si="24">IF(Y37="","",(Z37-Y37+1))</f>
        <v/>
      </c>
      <c r="Y37" s="89"/>
      <c r="Z37" s="89"/>
      <c r="AA37" s="364" t="str">
        <f t="shared" si="22"/>
        <v/>
      </c>
      <c r="AB37" s="12"/>
      <c r="AC37" s="12"/>
      <c r="AD37" s="356"/>
      <c r="AE37" s="310"/>
      <c r="AF37" s="222"/>
      <c r="AG37" s="222"/>
      <c r="AH37" s="233" t="str">
        <f t="shared" si="3"/>
        <v/>
      </c>
      <c r="AI37" s="311" t="str">
        <f t="shared" si="4"/>
        <v/>
      </c>
      <c r="AJ37" s="311" t="str">
        <f t="shared" si="5"/>
        <v/>
      </c>
      <c r="AK37" s="233" t="str">
        <f t="shared" si="6"/>
        <v/>
      </c>
      <c r="AL37" s="234"/>
      <c r="AM37" s="157" t="str">
        <f t="shared" si="7"/>
        <v/>
      </c>
      <c r="AN37" s="218"/>
      <c r="AO37" s="312" t="str">
        <f t="shared" si="19"/>
        <v/>
      </c>
      <c r="AP37" s="235" t="str">
        <f t="shared" si="9"/>
        <v/>
      </c>
      <c r="AQ37" s="13"/>
      <c r="AR37" s="128"/>
      <c r="AS37" s="129"/>
      <c r="AT37" s="177"/>
      <c r="AU37" s="177"/>
      <c r="AV37" s="130"/>
      <c r="AW37" s="59"/>
      <c r="AX37" s="400"/>
      <c r="AY37" s="61"/>
    </row>
    <row r="38" spans="1:51" s="14" customFormat="1" x14ac:dyDescent="0.3">
      <c r="A38" s="543" t="s">
        <v>154</v>
      </c>
      <c r="B38" s="23" t="s">
        <v>155</v>
      </c>
      <c r="C38" s="32" t="s">
        <v>156</v>
      </c>
      <c r="D38" s="24">
        <v>7</v>
      </c>
      <c r="E38" s="290" t="str">
        <f>E9</f>
        <v>홍길동</v>
      </c>
      <c r="F38" s="366">
        <v>0</v>
      </c>
      <c r="G38" s="141">
        <v>7</v>
      </c>
      <c r="H38" s="24">
        <f>IF(F38=0,7,"부적격")</f>
        <v>7</v>
      </c>
      <c r="I38" s="24"/>
      <c r="J38" s="12"/>
      <c r="K38" s="266"/>
      <c r="L38" s="89" t="str">
        <f>IF(M38="","",(N38-M38+1))</f>
        <v/>
      </c>
      <c r="M38" s="89"/>
      <c r="N38" s="89"/>
      <c r="O38" s="364" t="str">
        <f t="shared" si="20"/>
        <v/>
      </c>
      <c r="P38" s="12"/>
      <c r="Q38" s="266"/>
      <c r="R38" s="89" t="str">
        <f t="shared" si="23"/>
        <v/>
      </c>
      <c r="S38" s="89"/>
      <c r="T38" s="89"/>
      <c r="U38" s="364" t="str">
        <f t="shared" si="21"/>
        <v/>
      </c>
      <c r="V38" s="12"/>
      <c r="W38" s="266"/>
      <c r="X38" s="89" t="str">
        <f t="shared" si="24"/>
        <v/>
      </c>
      <c r="Y38" s="89"/>
      <c r="Z38" s="89"/>
      <c r="AA38" s="364" t="str">
        <f t="shared" si="22"/>
        <v/>
      </c>
      <c r="AB38" s="12"/>
      <c r="AC38" s="12"/>
      <c r="AD38" s="356"/>
      <c r="AE38" s="310"/>
      <c r="AF38" s="222"/>
      <c r="AG38" s="222"/>
      <c r="AH38" s="233" t="str">
        <f t="shared" si="3"/>
        <v/>
      </c>
      <c r="AI38" s="311" t="str">
        <f t="shared" si="4"/>
        <v/>
      </c>
      <c r="AJ38" s="311" t="str">
        <f t="shared" si="5"/>
        <v/>
      </c>
      <c r="AK38" s="233" t="str">
        <f t="shared" si="6"/>
        <v/>
      </c>
      <c r="AL38" s="234"/>
      <c r="AM38" s="157" t="str">
        <f t="shared" si="7"/>
        <v/>
      </c>
      <c r="AN38" s="218"/>
      <c r="AO38" s="312" t="str">
        <f t="shared" si="19"/>
        <v/>
      </c>
      <c r="AP38" s="235" t="str">
        <f t="shared" si="9"/>
        <v/>
      </c>
      <c r="AQ38" s="13"/>
      <c r="AR38" s="93"/>
      <c r="AS38" s="94"/>
      <c r="AT38" s="178"/>
      <c r="AU38" s="178"/>
      <c r="AV38" s="179"/>
      <c r="AW38" s="18"/>
      <c r="AX38" s="18"/>
      <c r="AY38" s="62"/>
    </row>
    <row r="39" spans="1:51" s="14" customFormat="1" x14ac:dyDescent="0.3">
      <c r="A39" s="544"/>
      <c r="B39" s="39"/>
      <c r="C39" s="367" t="s">
        <v>157</v>
      </c>
      <c r="D39" s="385">
        <v>3</v>
      </c>
      <c r="E39" s="368" t="str">
        <f>E15</f>
        <v>김한국</v>
      </c>
      <c r="F39" s="369">
        <v>0</v>
      </c>
      <c r="G39" s="392">
        <v>3</v>
      </c>
      <c r="H39" s="385">
        <f>IF(F39=0,3,"부적격")</f>
        <v>3</v>
      </c>
      <c r="I39" s="385"/>
      <c r="J39" s="12"/>
      <c r="K39" s="266"/>
      <c r="L39" s="89" t="str">
        <f>IF(M39="","",(N39-M39+1))</f>
        <v/>
      </c>
      <c r="M39" s="89"/>
      <c r="N39" s="89"/>
      <c r="O39" s="364" t="str">
        <f t="shared" si="20"/>
        <v/>
      </c>
      <c r="P39" s="12"/>
      <c r="Q39" s="266"/>
      <c r="R39" s="89" t="str">
        <f t="shared" si="23"/>
        <v/>
      </c>
      <c r="S39" s="89"/>
      <c r="T39" s="89"/>
      <c r="U39" s="364" t="str">
        <f t="shared" si="21"/>
        <v/>
      </c>
      <c r="V39" s="12"/>
      <c r="W39" s="266"/>
      <c r="X39" s="89" t="str">
        <f t="shared" si="24"/>
        <v/>
      </c>
      <c r="Y39" s="89"/>
      <c r="Z39" s="89"/>
      <c r="AA39" s="364" t="str">
        <f t="shared" si="22"/>
        <v/>
      </c>
      <c r="AB39" s="12"/>
      <c r="AC39" s="12"/>
      <c r="AD39" s="356"/>
      <c r="AE39" s="310"/>
      <c r="AF39" s="222"/>
      <c r="AG39" s="222"/>
      <c r="AH39" s="233" t="str">
        <f t="shared" si="3"/>
        <v/>
      </c>
      <c r="AI39" s="311" t="str">
        <f t="shared" si="4"/>
        <v/>
      </c>
      <c r="AJ39" s="311" t="str">
        <f t="shared" si="5"/>
        <v/>
      </c>
      <c r="AK39" s="233" t="str">
        <f t="shared" si="6"/>
        <v/>
      </c>
      <c r="AL39" s="234"/>
      <c r="AM39" s="157" t="str">
        <f t="shared" si="7"/>
        <v/>
      </c>
      <c r="AN39" s="218"/>
      <c r="AO39" s="312" t="str">
        <f t="shared" si="19"/>
        <v/>
      </c>
      <c r="AP39" s="235" t="str">
        <f t="shared" si="9"/>
        <v/>
      </c>
      <c r="AQ39" s="13"/>
      <c r="AR39" s="93"/>
      <c r="AS39" s="94"/>
      <c r="AT39" s="399"/>
      <c r="AU39" s="399"/>
      <c r="AV39" s="179"/>
      <c r="AW39" s="18"/>
      <c r="AX39" s="18"/>
      <c r="AY39" s="62"/>
    </row>
    <row r="40" spans="1:51" s="14" customFormat="1" x14ac:dyDescent="0.3">
      <c r="A40" s="545"/>
      <c r="B40" s="489" t="s">
        <v>62</v>
      </c>
      <c r="C40" s="490"/>
      <c r="D40" s="388">
        <v>10</v>
      </c>
      <c r="E40" s="489"/>
      <c r="F40" s="490"/>
      <c r="G40" s="388">
        <f>SUM(G38:G39)</f>
        <v>10</v>
      </c>
      <c r="H40" s="388">
        <f>SUM(H38:H39)</f>
        <v>10</v>
      </c>
      <c r="I40" s="7"/>
      <c r="J40" s="12"/>
      <c r="K40" s="266"/>
      <c r="L40" s="89" t="str">
        <f>IF(M40="","",(N40-M40+1))</f>
        <v/>
      </c>
      <c r="M40" s="89"/>
      <c r="N40" s="89"/>
      <c r="O40" s="364" t="str">
        <f t="shared" si="20"/>
        <v/>
      </c>
      <c r="P40" s="12"/>
      <c r="Q40" s="266"/>
      <c r="R40" s="89" t="str">
        <f t="shared" si="23"/>
        <v/>
      </c>
      <c r="S40" s="89"/>
      <c r="T40" s="89"/>
      <c r="U40" s="364" t="str">
        <f t="shared" si="21"/>
        <v/>
      </c>
      <c r="V40" s="12"/>
      <c r="W40" s="266"/>
      <c r="X40" s="89" t="str">
        <f t="shared" si="24"/>
        <v/>
      </c>
      <c r="Y40" s="89"/>
      <c r="Z40" s="89"/>
      <c r="AA40" s="364" t="str">
        <f t="shared" si="22"/>
        <v/>
      </c>
      <c r="AB40" s="12"/>
      <c r="AC40" s="12"/>
      <c r="AD40" s="356"/>
      <c r="AE40" s="310"/>
      <c r="AF40" s="222"/>
      <c r="AG40" s="222"/>
      <c r="AH40" s="233" t="str">
        <f t="shared" si="3"/>
        <v/>
      </c>
      <c r="AI40" s="311" t="str">
        <f t="shared" si="4"/>
        <v/>
      </c>
      <c r="AJ40" s="311" t="str">
        <f t="shared" si="5"/>
        <v/>
      </c>
      <c r="AK40" s="233" t="str">
        <f t="shared" si="6"/>
        <v/>
      </c>
      <c r="AL40" s="234"/>
      <c r="AM40" s="157" t="str">
        <f t="shared" si="7"/>
        <v/>
      </c>
      <c r="AN40" s="218"/>
      <c r="AO40" s="312" t="str">
        <f t="shared" si="19"/>
        <v/>
      </c>
      <c r="AP40" s="235" t="str">
        <f t="shared" si="9"/>
        <v/>
      </c>
      <c r="AQ40" s="13"/>
      <c r="AR40" s="76"/>
      <c r="AS40" s="16"/>
      <c r="AT40" s="16"/>
      <c r="AU40" s="16"/>
      <c r="AV40" s="16"/>
      <c r="AW40" s="18"/>
      <c r="AX40" s="18"/>
      <c r="AY40" s="62"/>
    </row>
    <row r="41" spans="1:51" s="14" customFormat="1" x14ac:dyDescent="0.3">
      <c r="A41" s="543" t="s">
        <v>158</v>
      </c>
      <c r="B41" s="23" t="s">
        <v>159</v>
      </c>
      <c r="C41" s="32" t="s">
        <v>160</v>
      </c>
      <c r="D41" s="24">
        <v>2.5</v>
      </c>
      <c r="E41" s="517">
        <v>0.1</v>
      </c>
      <c r="F41" s="518"/>
      <c r="G41" s="141">
        <v>2</v>
      </c>
      <c r="H41" s="24">
        <f>IF(E41="","",IF(E41&lt;10%,2.5,IF(E41&lt;20%,2,IF(E41&lt;30%,1.5,0))))</f>
        <v>2</v>
      </c>
      <c r="I41" s="24"/>
      <c r="J41" s="12"/>
      <c r="K41" s="266"/>
      <c r="L41" s="89"/>
      <c r="M41" s="89"/>
      <c r="N41" s="386"/>
      <c r="O41" s="364" t="str">
        <f t="shared" si="20"/>
        <v/>
      </c>
      <c r="P41" s="12"/>
      <c r="Q41" s="266"/>
      <c r="R41" s="89"/>
      <c r="S41" s="89"/>
      <c r="T41" s="386"/>
      <c r="U41" s="364" t="str">
        <f t="shared" si="21"/>
        <v/>
      </c>
      <c r="V41" s="12"/>
      <c r="W41" s="266"/>
      <c r="X41" s="89"/>
      <c r="Y41" s="89"/>
      <c r="Z41" s="386"/>
      <c r="AA41" s="364" t="str">
        <f t="shared" si="22"/>
        <v/>
      </c>
      <c r="AB41" s="12"/>
      <c r="AC41" s="12"/>
      <c r="AD41" s="356"/>
      <c r="AE41" s="310"/>
      <c r="AF41" s="222"/>
      <c r="AG41" s="222"/>
      <c r="AH41" s="233" t="str">
        <f t="shared" si="3"/>
        <v/>
      </c>
      <c r="AI41" s="311" t="str">
        <f t="shared" si="4"/>
        <v/>
      </c>
      <c r="AJ41" s="311" t="str">
        <f t="shared" si="5"/>
        <v/>
      </c>
      <c r="AK41" s="233" t="str">
        <f t="shared" si="6"/>
        <v/>
      </c>
      <c r="AL41" s="234"/>
      <c r="AM41" s="157" t="str">
        <f t="shared" si="7"/>
        <v/>
      </c>
      <c r="AN41" s="218"/>
      <c r="AO41" s="312" t="str">
        <f t="shared" si="19"/>
        <v/>
      </c>
      <c r="AP41" s="235" t="str">
        <f t="shared" si="9"/>
        <v/>
      </c>
      <c r="AQ41" s="13"/>
      <c r="AR41" s="175"/>
      <c r="AS41" s="175"/>
      <c r="AT41" s="591"/>
      <c r="AU41" s="591"/>
      <c r="AV41" s="59"/>
      <c r="AW41" s="18"/>
      <c r="AX41" s="18"/>
      <c r="AY41" s="62"/>
    </row>
    <row r="42" spans="1:51" s="14" customFormat="1" x14ac:dyDescent="0.3">
      <c r="A42" s="544"/>
      <c r="B42" s="39" t="s">
        <v>161</v>
      </c>
      <c r="C42" s="367" t="s">
        <v>162</v>
      </c>
      <c r="D42" s="385">
        <v>2.5</v>
      </c>
      <c r="E42" s="515">
        <v>1</v>
      </c>
      <c r="F42" s="516"/>
      <c r="G42" s="392">
        <v>2</v>
      </c>
      <c r="H42" s="385">
        <f>IF(E42="","",IF(E42&gt;5,0,(D42-E42*0.5)))</f>
        <v>2</v>
      </c>
      <c r="I42" s="385"/>
      <c r="J42" s="12"/>
      <c r="K42" s="560" t="s">
        <v>170</v>
      </c>
      <c r="L42" s="561"/>
      <c r="M42" s="561"/>
      <c r="N42" s="562"/>
      <c r="O42" s="308">
        <f>SUM(O35:O41)</f>
        <v>1827</v>
      </c>
      <c r="P42" s="12"/>
      <c r="Q42" s="560" t="s">
        <v>170</v>
      </c>
      <c r="R42" s="561"/>
      <c r="S42" s="561"/>
      <c r="T42" s="562"/>
      <c r="U42" s="308">
        <f>SUM(U35:U41)</f>
        <v>1827</v>
      </c>
      <c r="V42" s="12"/>
      <c r="W42" s="560" t="s">
        <v>170</v>
      </c>
      <c r="X42" s="561"/>
      <c r="Y42" s="561"/>
      <c r="Z42" s="562"/>
      <c r="AA42" s="308">
        <f>SUM(AA35:AA41)</f>
        <v>1827</v>
      </c>
      <c r="AB42" s="12"/>
      <c r="AC42" s="12"/>
      <c r="AD42" s="356"/>
      <c r="AE42" s="310"/>
      <c r="AF42" s="222"/>
      <c r="AG42" s="222"/>
      <c r="AH42" s="233" t="str">
        <f t="shared" si="3"/>
        <v/>
      </c>
      <c r="AI42" s="311" t="str">
        <f t="shared" si="4"/>
        <v/>
      </c>
      <c r="AJ42" s="311" t="str">
        <f t="shared" si="5"/>
        <v/>
      </c>
      <c r="AK42" s="233" t="str">
        <f t="shared" si="6"/>
        <v/>
      </c>
      <c r="AL42" s="234"/>
      <c r="AM42" s="157" t="str">
        <f t="shared" si="7"/>
        <v/>
      </c>
      <c r="AN42" s="218"/>
      <c r="AO42" s="312" t="str">
        <f t="shared" si="19"/>
        <v/>
      </c>
      <c r="AP42" s="235" t="str">
        <f t="shared" si="9"/>
        <v/>
      </c>
      <c r="AQ42" s="13"/>
      <c r="AR42" s="128"/>
      <c r="AS42" s="129"/>
      <c r="AT42" s="592"/>
      <c r="AU42" s="592"/>
      <c r="AV42" s="184"/>
      <c r="AW42" s="18"/>
      <c r="AX42" s="18"/>
      <c r="AY42" s="62"/>
    </row>
    <row r="43" spans="1:51" s="14" customFormat="1" ht="17.25" thickBot="1" x14ac:dyDescent="0.35">
      <c r="A43" s="545"/>
      <c r="B43" s="489" t="s">
        <v>62</v>
      </c>
      <c r="C43" s="490"/>
      <c r="D43" s="388">
        <v>5</v>
      </c>
      <c r="E43" s="489"/>
      <c r="F43" s="490"/>
      <c r="G43" s="92">
        <f>+G41+G42</f>
        <v>4</v>
      </c>
      <c r="H43" s="92">
        <f>+H41+H42</f>
        <v>4</v>
      </c>
      <c r="I43" s="7"/>
      <c r="J43" s="12"/>
      <c r="K43" s="563" t="s">
        <v>171</v>
      </c>
      <c r="L43" s="564"/>
      <c r="M43" s="564"/>
      <c r="N43" s="553"/>
      <c r="O43" s="309">
        <f>SUM(O42,O33)</f>
        <v>4384</v>
      </c>
      <c r="P43" s="12"/>
      <c r="Q43" s="563" t="s">
        <v>171</v>
      </c>
      <c r="R43" s="564"/>
      <c r="S43" s="564"/>
      <c r="T43" s="553"/>
      <c r="U43" s="309">
        <f>SUM(U42,U33)</f>
        <v>3469</v>
      </c>
      <c r="V43" s="12"/>
      <c r="W43" s="563" t="s">
        <v>171</v>
      </c>
      <c r="X43" s="564"/>
      <c r="Y43" s="564"/>
      <c r="Z43" s="553"/>
      <c r="AA43" s="309">
        <f>SUM(AA42,AA33)</f>
        <v>2373</v>
      </c>
      <c r="AB43" s="12"/>
      <c r="AC43" s="12"/>
      <c r="AD43" s="356"/>
      <c r="AE43" s="310"/>
      <c r="AF43" s="222"/>
      <c r="AG43" s="222"/>
      <c r="AH43" s="233" t="str">
        <f t="shared" si="3"/>
        <v/>
      </c>
      <c r="AI43" s="311" t="str">
        <f t="shared" si="4"/>
        <v/>
      </c>
      <c r="AJ43" s="311" t="str">
        <f t="shared" si="5"/>
        <v/>
      </c>
      <c r="AK43" s="233" t="str">
        <f t="shared" si="6"/>
        <v/>
      </c>
      <c r="AL43" s="234"/>
      <c r="AM43" s="157" t="str">
        <f t="shared" si="7"/>
        <v/>
      </c>
      <c r="AN43" s="218"/>
      <c r="AO43" s="312" t="str">
        <f t="shared" si="19"/>
        <v/>
      </c>
      <c r="AP43" s="235" t="str">
        <f t="shared" si="9"/>
        <v/>
      </c>
      <c r="AQ43" s="13"/>
      <c r="AR43" s="128"/>
      <c r="AS43" s="129"/>
      <c r="AT43" s="550"/>
      <c r="AU43" s="550"/>
      <c r="AV43" s="184"/>
      <c r="AW43" s="18"/>
      <c r="AX43" s="18"/>
      <c r="AY43" s="62"/>
    </row>
    <row r="44" spans="1:51" s="14" customFormat="1" x14ac:dyDescent="0.3">
      <c r="A44" s="543" t="s">
        <v>163</v>
      </c>
      <c r="B44" s="23" t="s">
        <v>164</v>
      </c>
      <c r="C44" s="370" t="s">
        <v>109</v>
      </c>
      <c r="D44" s="24">
        <v>3</v>
      </c>
      <c r="E44" s="513" t="s">
        <v>201</v>
      </c>
      <c r="F44" s="514"/>
      <c r="G44" s="141">
        <v>3</v>
      </c>
      <c r="H44" s="24">
        <f>IF(E44="제출",3,0)</f>
        <v>3</v>
      </c>
      <c r="I44" s="24"/>
      <c r="J44" s="12"/>
      <c r="P44" s="12"/>
      <c r="V44" s="12"/>
      <c r="W44" s="12"/>
      <c r="X44" s="12"/>
      <c r="Y44" s="12"/>
      <c r="Z44" s="12"/>
      <c r="AA44" s="12"/>
      <c r="AB44" s="12"/>
      <c r="AC44" s="12"/>
      <c r="AD44" s="356"/>
      <c r="AE44" s="310"/>
      <c r="AF44" s="222"/>
      <c r="AG44" s="222"/>
      <c r="AH44" s="233" t="str">
        <f t="shared" si="3"/>
        <v/>
      </c>
      <c r="AI44" s="311" t="str">
        <f t="shared" si="4"/>
        <v/>
      </c>
      <c r="AJ44" s="311" t="str">
        <f t="shared" si="5"/>
        <v/>
      </c>
      <c r="AK44" s="233" t="str">
        <f t="shared" si="6"/>
        <v/>
      </c>
      <c r="AL44" s="234"/>
      <c r="AM44" s="157" t="str">
        <f t="shared" si="7"/>
        <v/>
      </c>
      <c r="AN44" s="218"/>
      <c r="AO44" s="312" t="str">
        <f t="shared" si="19"/>
        <v/>
      </c>
      <c r="AP44" s="235" t="str">
        <f t="shared" si="9"/>
        <v/>
      </c>
      <c r="AQ44" s="13"/>
      <c r="AR44" s="128"/>
      <c r="AS44" s="129"/>
      <c r="AT44" s="550"/>
      <c r="AU44" s="550"/>
      <c r="AV44" s="184"/>
      <c r="AW44" s="18"/>
      <c r="AX44" s="18"/>
      <c r="AY44" s="62"/>
    </row>
    <row r="45" spans="1:51" s="14" customFormat="1" ht="17.25" thickBot="1" x14ac:dyDescent="0.35">
      <c r="A45" s="544"/>
      <c r="B45" s="39" t="s">
        <v>165</v>
      </c>
      <c r="C45" s="371" t="s">
        <v>109</v>
      </c>
      <c r="D45" s="385">
        <v>2</v>
      </c>
      <c r="E45" s="515" t="s">
        <v>277</v>
      </c>
      <c r="F45" s="516"/>
      <c r="G45" s="392">
        <v>2</v>
      </c>
      <c r="H45" s="385">
        <f>IF(E45="제출",2,0)</f>
        <v>2</v>
      </c>
      <c r="I45" s="385"/>
      <c r="J45" s="12"/>
      <c r="K45" s="350" t="s">
        <v>287</v>
      </c>
      <c r="P45" s="12"/>
      <c r="V45" s="12"/>
      <c r="W45" s="12"/>
      <c r="X45" s="12"/>
      <c r="Y45" s="12"/>
      <c r="Z45" s="12"/>
      <c r="AA45" s="12"/>
      <c r="AB45" s="12"/>
      <c r="AC45" s="12"/>
      <c r="AD45" s="356"/>
      <c r="AE45" s="310"/>
      <c r="AF45" s="222"/>
      <c r="AG45" s="222"/>
      <c r="AH45" s="233" t="str">
        <f t="shared" si="3"/>
        <v/>
      </c>
      <c r="AI45" s="311" t="str">
        <f t="shared" si="4"/>
        <v/>
      </c>
      <c r="AJ45" s="311" t="str">
        <f t="shared" si="5"/>
        <v/>
      </c>
      <c r="AK45" s="233" t="str">
        <f t="shared" si="6"/>
        <v/>
      </c>
      <c r="AL45" s="234"/>
      <c r="AM45" s="157" t="str">
        <f t="shared" si="7"/>
        <v/>
      </c>
      <c r="AN45" s="218"/>
      <c r="AO45" s="312" t="str">
        <f t="shared" si="19"/>
        <v/>
      </c>
      <c r="AP45" s="235" t="str">
        <f t="shared" si="9"/>
        <v/>
      </c>
      <c r="AQ45" s="13"/>
      <c r="AR45" s="93"/>
      <c r="AS45" s="94"/>
      <c r="AT45" s="551"/>
      <c r="AU45" s="551"/>
      <c r="AV45" s="185"/>
      <c r="AW45" s="18"/>
      <c r="AX45" s="18"/>
      <c r="AY45" s="62"/>
    </row>
    <row r="46" spans="1:51" s="14" customFormat="1" x14ac:dyDescent="0.3">
      <c r="A46" s="545"/>
      <c r="B46" s="489" t="s">
        <v>62</v>
      </c>
      <c r="C46" s="490"/>
      <c r="D46" s="388">
        <v>5</v>
      </c>
      <c r="E46" s="489"/>
      <c r="F46" s="490"/>
      <c r="G46" s="388">
        <f>+G44+G45</f>
        <v>5</v>
      </c>
      <c r="H46" s="388">
        <f>+H44+H45</f>
        <v>5</v>
      </c>
      <c r="I46" s="7"/>
      <c r="J46" s="12"/>
      <c r="K46" s="73" t="s">
        <v>288</v>
      </c>
      <c r="L46" s="403" t="s">
        <v>289</v>
      </c>
      <c r="M46" s="403" t="s">
        <v>290</v>
      </c>
      <c r="N46" s="403" t="s">
        <v>291</v>
      </c>
      <c r="O46" s="403" t="s">
        <v>292</v>
      </c>
      <c r="P46" s="556" t="s">
        <v>293</v>
      </c>
      <c r="Q46" s="556"/>
      <c r="R46" s="403" t="s">
        <v>294</v>
      </c>
      <c r="S46" s="347" t="s">
        <v>295</v>
      </c>
      <c r="V46" s="12"/>
      <c r="W46" s="12"/>
      <c r="X46" s="12"/>
      <c r="Y46" s="12"/>
      <c r="Z46" s="12"/>
      <c r="AA46" s="12"/>
      <c r="AB46" s="12"/>
      <c r="AC46" s="12"/>
      <c r="AD46" s="356"/>
      <c r="AE46" s="310"/>
      <c r="AF46" s="222"/>
      <c r="AG46" s="222"/>
      <c r="AH46" s="233" t="str">
        <f t="shared" si="3"/>
        <v/>
      </c>
      <c r="AI46" s="311" t="str">
        <f t="shared" si="4"/>
        <v/>
      </c>
      <c r="AJ46" s="311" t="str">
        <f t="shared" si="5"/>
        <v/>
      </c>
      <c r="AK46" s="233" t="str">
        <f t="shared" si="6"/>
        <v/>
      </c>
      <c r="AL46" s="234"/>
      <c r="AM46" s="157" t="str">
        <f t="shared" si="7"/>
        <v/>
      </c>
      <c r="AN46" s="218"/>
      <c r="AO46" s="312" t="str">
        <f t="shared" si="19"/>
        <v/>
      </c>
      <c r="AP46" s="235" t="str">
        <f t="shared" si="9"/>
        <v/>
      </c>
      <c r="AQ46" s="13"/>
      <c r="AR46" s="16"/>
      <c r="AS46" s="16"/>
      <c r="AT46" s="16"/>
      <c r="AU46" s="16"/>
      <c r="AV46" s="16"/>
      <c r="AW46" s="18"/>
      <c r="AX46" s="18"/>
      <c r="AY46" s="62"/>
    </row>
    <row r="47" spans="1:51" s="14" customFormat="1" x14ac:dyDescent="0.3">
      <c r="A47" s="543" t="s">
        <v>304</v>
      </c>
      <c r="B47" s="378" t="s">
        <v>166</v>
      </c>
      <c r="C47" s="376" t="s">
        <v>313</v>
      </c>
      <c r="D47" s="24">
        <v>1</v>
      </c>
      <c r="E47" s="474">
        <v>42005</v>
      </c>
      <c r="F47" s="475"/>
      <c r="G47" s="141">
        <v>1</v>
      </c>
      <c r="H47" s="24">
        <f>IF(E47="","",IF(E47&lt;($B$3-180),1,0))</f>
        <v>1</v>
      </c>
      <c r="I47" s="24"/>
      <c r="J47" s="12"/>
      <c r="K47" s="266" t="s">
        <v>217</v>
      </c>
      <c r="L47" s="386" t="s">
        <v>296</v>
      </c>
      <c r="M47" s="222">
        <v>43101</v>
      </c>
      <c r="N47" s="346">
        <f>IF(L47="","",($B$3-M47)/365)</f>
        <v>4.0027397260273974</v>
      </c>
      <c r="O47" s="36">
        <f>IF(N47="","",IF(K47="특허",(IF(N47&lt;=5,100%,IF(N47&lt;=10,80%,IF(N47&lt;=20,60%)))),(IF(N47&lt;=5,100%,IF(N47&lt;=10,80%,IF(N47&lt;=20,0))))))</f>
        <v>1</v>
      </c>
      <c r="P47" s="505" t="s">
        <v>297</v>
      </c>
      <c r="Q47" s="505"/>
      <c r="R47" s="386">
        <v>1</v>
      </c>
      <c r="S47" s="354">
        <f>IF(L47="","",2*O47/R47)</f>
        <v>2</v>
      </c>
      <c r="V47" s="12"/>
      <c r="W47" s="12"/>
      <c r="X47" s="12"/>
      <c r="Y47" s="12"/>
      <c r="Z47" s="12"/>
      <c r="AA47" s="12"/>
      <c r="AB47" s="12"/>
      <c r="AC47" s="12"/>
      <c r="AD47" s="356"/>
      <c r="AE47" s="310"/>
      <c r="AF47" s="222"/>
      <c r="AG47" s="222"/>
      <c r="AH47" s="233" t="str">
        <f t="shared" si="3"/>
        <v/>
      </c>
      <c r="AI47" s="311" t="str">
        <f t="shared" si="4"/>
        <v/>
      </c>
      <c r="AJ47" s="311" t="str">
        <f t="shared" si="5"/>
        <v/>
      </c>
      <c r="AK47" s="233" t="str">
        <f t="shared" si="6"/>
        <v/>
      </c>
      <c r="AL47" s="234"/>
      <c r="AM47" s="157" t="str">
        <f t="shared" si="7"/>
        <v/>
      </c>
      <c r="AN47" s="218"/>
      <c r="AO47" s="312" t="str">
        <f t="shared" si="19"/>
        <v/>
      </c>
      <c r="AP47" s="235" t="str">
        <f t="shared" si="9"/>
        <v/>
      </c>
      <c r="AQ47" s="13"/>
      <c r="AR47" s="76"/>
      <c r="AS47" s="16"/>
      <c r="AT47" s="16"/>
      <c r="AU47" s="16"/>
      <c r="AV47" s="16"/>
      <c r="AW47" s="18"/>
      <c r="AX47" s="18"/>
      <c r="AY47" s="62"/>
    </row>
    <row r="48" spans="1:51" s="14" customFormat="1" x14ac:dyDescent="0.3">
      <c r="A48" s="544"/>
      <c r="B48" s="389" t="s">
        <v>167</v>
      </c>
      <c r="C48" s="377" t="s">
        <v>311</v>
      </c>
      <c r="D48" s="384">
        <v>1</v>
      </c>
      <c r="E48" s="372" t="str">
        <f>E9</f>
        <v>홍길동</v>
      </c>
      <c r="F48" s="374" t="s">
        <v>207</v>
      </c>
      <c r="G48" s="391">
        <v>0.4</v>
      </c>
      <c r="H48" s="373">
        <f>IF(F48="소방기술사",1,IF(F48="소방설비기사",0.4,IF(F48="소방설비산업기사",0.3,0)))</f>
        <v>0.4</v>
      </c>
      <c r="I48" s="384"/>
      <c r="J48" s="12"/>
      <c r="K48" s="266" t="s">
        <v>217</v>
      </c>
      <c r="L48" s="386" t="s">
        <v>298</v>
      </c>
      <c r="M48" s="222">
        <v>40544</v>
      </c>
      <c r="N48" s="346">
        <f t="shared" ref="N48:N51" si="25">IF(L48="","",($B$3-M48)/365)</f>
        <v>11.008219178082191</v>
      </c>
      <c r="O48" s="36">
        <f t="shared" ref="O48:O51" si="26">IF(N48="","",IF(K48="특허",(IF(N48&lt;=5,100%,IF(N48&lt;=10,80%,IF(N48&lt;=20,60%)))),(IF(N48&lt;=5,100%,IF(N48&lt;=10,80%,IF(N48&lt;=20,0))))))</f>
        <v>0.6</v>
      </c>
      <c r="P48" s="505" t="s">
        <v>297</v>
      </c>
      <c r="Q48" s="505"/>
      <c r="R48" s="386">
        <v>2</v>
      </c>
      <c r="S48" s="354">
        <f t="shared" ref="S48:S51" si="27">IF(L48="","",2*O48/R48)</f>
        <v>0.6</v>
      </c>
      <c r="V48" s="12"/>
      <c r="W48" s="12"/>
      <c r="X48" s="12"/>
      <c r="Y48" s="12"/>
      <c r="Z48" s="12"/>
      <c r="AA48" s="12"/>
      <c r="AB48" s="12"/>
      <c r="AC48" s="12"/>
      <c r="AD48" s="305"/>
      <c r="AE48" s="386"/>
      <c r="AF48" s="386"/>
      <c r="AG48" s="386"/>
      <c r="AH48" s="233" t="str">
        <f t="shared" si="3"/>
        <v/>
      </c>
      <c r="AI48" s="311" t="str">
        <f t="shared" si="4"/>
        <v/>
      </c>
      <c r="AJ48" s="311" t="str">
        <f t="shared" si="5"/>
        <v/>
      </c>
      <c r="AK48" s="233" t="str">
        <f t="shared" si="6"/>
        <v/>
      </c>
      <c r="AL48" s="386"/>
      <c r="AM48" s="157" t="str">
        <f t="shared" si="7"/>
        <v/>
      </c>
      <c r="AN48" s="386"/>
      <c r="AO48" s="312" t="str">
        <f t="shared" si="19"/>
        <v/>
      </c>
      <c r="AP48" s="314"/>
      <c r="AQ48" s="13"/>
      <c r="AR48" s="175"/>
      <c r="AS48" s="175"/>
      <c r="AT48" s="591"/>
      <c r="AU48" s="591"/>
      <c r="AV48" s="59"/>
      <c r="AW48" s="18"/>
      <c r="AX48" s="18"/>
      <c r="AY48" s="62"/>
    </row>
    <row r="49" spans="1:51" s="14" customFormat="1" x14ac:dyDescent="0.3">
      <c r="A49" s="544"/>
      <c r="B49" s="529" t="s">
        <v>333</v>
      </c>
      <c r="C49" s="431" t="s">
        <v>334</v>
      </c>
      <c r="D49" s="469">
        <v>-5</v>
      </c>
      <c r="E49" s="476">
        <v>1</v>
      </c>
      <c r="F49" s="477"/>
      <c r="G49" s="484">
        <v>-0.2</v>
      </c>
      <c r="H49" s="469">
        <f>IF((E49+E50)/2&gt;=20,-5,IF((E49+E50)/2&gt;=15,-3,IF((E49+E50)/2&gt;=10,-2,IF((E49+E50)/2&gt;=5,-1,IF((E49+E50)/2&gt;=2,-0.5,IF((E49+E50)/2&gt;=1,-0.2,0))))))</f>
        <v>-0.2</v>
      </c>
      <c r="I49" s="279"/>
      <c r="J49" s="12"/>
      <c r="K49" s="266" t="s">
        <v>212</v>
      </c>
      <c r="L49" s="386" t="s">
        <v>296</v>
      </c>
      <c r="M49" s="89">
        <v>42736</v>
      </c>
      <c r="N49" s="346">
        <f t="shared" si="25"/>
        <v>5.0027397260273974</v>
      </c>
      <c r="O49" s="36">
        <f t="shared" si="26"/>
        <v>0.8</v>
      </c>
      <c r="P49" s="505" t="s">
        <v>297</v>
      </c>
      <c r="Q49" s="505"/>
      <c r="R49" s="386">
        <v>1</v>
      </c>
      <c r="S49" s="354">
        <f t="shared" si="27"/>
        <v>1.6</v>
      </c>
      <c r="V49" s="12"/>
      <c r="W49" s="12"/>
      <c r="X49" s="12"/>
      <c r="Y49" s="12"/>
      <c r="Z49" s="12"/>
      <c r="AA49" s="12"/>
      <c r="AB49" s="12"/>
      <c r="AC49" s="12"/>
      <c r="AD49" s="356"/>
      <c r="AE49" s="310"/>
      <c r="AF49" s="222"/>
      <c r="AG49" s="222"/>
      <c r="AH49" s="233" t="str">
        <f t="shared" si="3"/>
        <v/>
      </c>
      <c r="AI49" s="311" t="str">
        <f t="shared" si="4"/>
        <v/>
      </c>
      <c r="AJ49" s="311" t="str">
        <f t="shared" si="5"/>
        <v/>
      </c>
      <c r="AK49" s="233" t="str">
        <f t="shared" si="6"/>
        <v/>
      </c>
      <c r="AL49" s="234"/>
      <c r="AM49" s="157" t="str">
        <f t="shared" si="7"/>
        <v/>
      </c>
      <c r="AN49" s="218"/>
      <c r="AO49" s="312" t="str">
        <f t="shared" si="19"/>
        <v/>
      </c>
      <c r="AP49" s="313" t="str">
        <f t="shared" si="9"/>
        <v/>
      </c>
      <c r="AQ49" s="13"/>
      <c r="AR49" s="128"/>
      <c r="AS49" s="182"/>
      <c r="AT49" s="550"/>
      <c r="AU49" s="550"/>
      <c r="AV49" s="130"/>
      <c r="AW49" s="18"/>
      <c r="AX49" s="18"/>
      <c r="AY49" s="62"/>
    </row>
    <row r="50" spans="1:51" s="14" customFormat="1" x14ac:dyDescent="0.3">
      <c r="A50" s="544"/>
      <c r="B50" s="530"/>
      <c r="C50" s="432" t="s">
        <v>335</v>
      </c>
      <c r="D50" s="470"/>
      <c r="E50" s="531">
        <v>1</v>
      </c>
      <c r="F50" s="532"/>
      <c r="G50" s="485"/>
      <c r="H50" s="470"/>
      <c r="I50" s="283"/>
      <c r="J50" s="12"/>
      <c r="K50" s="266" t="s">
        <v>212</v>
      </c>
      <c r="L50" s="386" t="s">
        <v>296</v>
      </c>
      <c r="M50" s="89">
        <v>42736</v>
      </c>
      <c r="N50" s="346">
        <f t="shared" si="25"/>
        <v>5.0027397260273974</v>
      </c>
      <c r="O50" s="36">
        <f t="shared" si="26"/>
        <v>0.8</v>
      </c>
      <c r="P50" s="554" t="s">
        <v>314</v>
      </c>
      <c r="Q50" s="555"/>
      <c r="R50" s="386">
        <v>2</v>
      </c>
      <c r="S50" s="354">
        <f t="shared" si="27"/>
        <v>0.8</v>
      </c>
      <c r="V50" s="12"/>
      <c r="W50" s="12"/>
      <c r="X50" s="12"/>
      <c r="Y50" s="12"/>
      <c r="Z50" s="12"/>
      <c r="AA50" s="12"/>
      <c r="AB50" s="12"/>
      <c r="AC50" s="12"/>
      <c r="AD50" s="356"/>
      <c r="AE50" s="310"/>
      <c r="AF50" s="222"/>
      <c r="AG50" s="222"/>
      <c r="AH50" s="233"/>
      <c r="AI50" s="311"/>
      <c r="AJ50" s="311"/>
      <c r="AK50" s="233"/>
      <c r="AL50" s="234"/>
      <c r="AM50" s="157"/>
      <c r="AN50" s="218"/>
      <c r="AO50" s="312"/>
      <c r="AP50" s="313"/>
      <c r="AQ50" s="13"/>
      <c r="AR50" s="128"/>
      <c r="AS50" s="182"/>
      <c r="AT50" s="398"/>
      <c r="AU50" s="398"/>
      <c r="AV50" s="130"/>
      <c r="AW50" s="18"/>
      <c r="AX50" s="18"/>
      <c r="AY50" s="62"/>
    </row>
    <row r="51" spans="1:51" s="14" customFormat="1" x14ac:dyDescent="0.3">
      <c r="A51" s="545"/>
      <c r="B51" s="489" t="s">
        <v>62</v>
      </c>
      <c r="C51" s="490"/>
      <c r="D51" s="388"/>
      <c r="E51" s="489"/>
      <c r="F51" s="490"/>
      <c r="G51" s="92">
        <f>SUM(G47:G49)</f>
        <v>1.2</v>
      </c>
      <c r="H51" s="92">
        <f>SUM(H47:H49)</f>
        <v>1.2</v>
      </c>
      <c r="I51" s="7"/>
      <c r="J51" s="12"/>
      <c r="K51" s="266" t="s">
        <v>212</v>
      </c>
      <c r="L51" s="386" t="s">
        <v>298</v>
      </c>
      <c r="M51" s="89">
        <v>40544</v>
      </c>
      <c r="N51" s="346">
        <f t="shared" si="25"/>
        <v>11.008219178082191</v>
      </c>
      <c r="O51" s="36">
        <f t="shared" si="26"/>
        <v>0</v>
      </c>
      <c r="P51" s="505" t="s">
        <v>297</v>
      </c>
      <c r="Q51" s="505"/>
      <c r="R51" s="386">
        <v>1</v>
      </c>
      <c r="S51" s="354">
        <f t="shared" si="27"/>
        <v>0</v>
      </c>
      <c r="V51" s="12"/>
      <c r="W51" s="12"/>
      <c r="X51" s="12"/>
      <c r="Y51" s="12"/>
      <c r="Z51" s="12"/>
      <c r="AA51" s="12"/>
      <c r="AB51" s="12"/>
      <c r="AC51" s="12"/>
      <c r="AD51" s="356"/>
      <c r="AE51" s="310"/>
      <c r="AF51" s="222"/>
      <c r="AG51" s="222"/>
      <c r="AH51" s="233" t="str">
        <f t="shared" si="3"/>
        <v/>
      </c>
      <c r="AI51" s="311" t="str">
        <f t="shared" si="4"/>
        <v/>
      </c>
      <c r="AJ51" s="311" t="str">
        <f t="shared" si="5"/>
        <v/>
      </c>
      <c r="AK51" s="233" t="str">
        <f t="shared" si="6"/>
        <v/>
      </c>
      <c r="AL51" s="234"/>
      <c r="AM51" s="157" t="str">
        <f t="shared" si="7"/>
        <v/>
      </c>
      <c r="AN51" s="218"/>
      <c r="AO51" s="312" t="str">
        <f t="shared" si="19"/>
        <v/>
      </c>
      <c r="AP51" s="313" t="str">
        <f t="shared" si="9"/>
        <v/>
      </c>
      <c r="AQ51" s="13"/>
      <c r="AR51" s="128"/>
      <c r="AS51" s="182"/>
      <c r="AT51" s="550"/>
      <c r="AU51" s="550"/>
      <c r="AV51" s="130"/>
      <c r="AW51" s="18"/>
      <c r="AX51" s="18"/>
      <c r="AY51" s="62"/>
    </row>
    <row r="52" spans="1:51" s="14" customFormat="1" ht="17.25" thickBot="1" x14ac:dyDescent="0.35">
      <c r="A52" s="547" t="s">
        <v>168</v>
      </c>
      <c r="B52" s="547"/>
      <c r="C52" s="547"/>
      <c r="D52" s="397">
        <f>SUM(D24,D26,D33,D37,D40,D43,D46)</f>
        <v>100</v>
      </c>
      <c r="E52" s="548"/>
      <c r="F52" s="549"/>
      <c r="G52" s="100">
        <f>SUM(G51,G46,G43,G40,G37,G33,G26,G24)</f>
        <v>94.9</v>
      </c>
      <c r="H52" s="407">
        <f>SUM(H24,H26,H33,H37,H40,H43,H46,H51)</f>
        <v>93.23</v>
      </c>
      <c r="I52" s="143" t="str">
        <f>IF(H52&gt;=80,"적격","부적격")</f>
        <v>적격</v>
      </c>
      <c r="J52" s="12"/>
      <c r="K52" s="348" t="s">
        <v>299</v>
      </c>
      <c r="L52" s="349">
        <f>COUNTA(L47:L51)</f>
        <v>5</v>
      </c>
      <c r="M52" s="337"/>
      <c r="N52" s="337"/>
      <c r="O52" s="337"/>
      <c r="P52" s="552"/>
      <c r="Q52" s="553"/>
      <c r="R52" s="337"/>
      <c r="S52" s="353">
        <f>IF(SUM(S47:S51)&gt;=4,4,SUM(S47:S51))</f>
        <v>4</v>
      </c>
      <c r="V52" s="12"/>
      <c r="W52" s="12"/>
      <c r="X52" s="12"/>
      <c r="Y52" s="12"/>
      <c r="Z52" s="12"/>
      <c r="AA52" s="12"/>
      <c r="AB52" s="12"/>
      <c r="AC52" s="12"/>
      <c r="AD52" s="315" t="s">
        <v>62</v>
      </c>
      <c r="AE52" s="316"/>
      <c r="AF52" s="316"/>
      <c r="AG52" s="316"/>
      <c r="AH52" s="316"/>
      <c r="AI52" s="316"/>
      <c r="AJ52" s="316"/>
      <c r="AK52" s="316"/>
      <c r="AL52" s="316"/>
      <c r="AM52" s="317"/>
      <c r="AN52" s="318"/>
      <c r="AO52" s="319"/>
      <c r="AP52" s="320">
        <f>SUM(AP8:AP51)</f>
        <v>271073122</v>
      </c>
      <c r="AQ52" s="13"/>
      <c r="AR52" s="128"/>
      <c r="AS52" s="182"/>
      <c r="AT52" s="550"/>
      <c r="AU52" s="550"/>
      <c r="AV52" s="130"/>
      <c r="AW52" s="18"/>
      <c r="AX52" s="18"/>
      <c r="AY52" s="62"/>
    </row>
    <row r="53" spans="1:51" s="14" customFormat="1" x14ac:dyDescent="0.3">
      <c r="A53" s="101"/>
      <c r="B53" s="102"/>
      <c r="C53" s="55"/>
      <c r="D53" s="102"/>
      <c r="E53" s="102"/>
      <c r="F53" s="103"/>
      <c r="G53" s="102"/>
      <c r="H53" s="102"/>
      <c r="I53" s="102"/>
      <c r="J53" s="12"/>
      <c r="P53" s="12"/>
      <c r="Q53" s="301"/>
      <c r="R53" s="191" t="str">
        <f t="shared" ref="R53:R58" si="28">IF(S53="","",(T53-S53+1))</f>
        <v/>
      </c>
      <c r="S53" s="192"/>
      <c r="T53" s="192"/>
      <c r="U53" s="188"/>
      <c r="V53" s="12"/>
      <c r="W53" s="12"/>
      <c r="X53" s="12"/>
      <c r="Y53" s="12"/>
      <c r="Z53" s="12"/>
      <c r="AA53" s="12"/>
      <c r="AB53" s="12"/>
      <c r="AC53" s="12"/>
      <c r="AD53" s="302"/>
      <c r="AE53" s="200"/>
      <c r="AF53" s="303"/>
      <c r="AG53" s="303"/>
      <c r="AH53" s="198" t="str">
        <f t="shared" ref="AH53:AH60" si="29">IF(AE53="","",AG53-AF53)</f>
        <v/>
      </c>
      <c r="AI53" s="198"/>
      <c r="AJ53" s="198"/>
      <c r="AK53" s="198" t="str">
        <f t="shared" ref="AK53:AK60" si="30">IF(AE53="","",IF(AND(AG53&gt;$AK$5,AF53&lt;$AK$6),$AK$5-$AK$6,IF(AND(AG53&gt;$AK$5,AF53&gt;$AK$6),$AK$5-AF53,IF(AND(AG53&lt;$AK$5,AF53&lt;$AK$6),AG53-$AK$6,IF(AND(AG53&lt;$AK$5,AF53&gt;$AK$6),AG53-AF53)))))</f>
        <v/>
      </c>
      <c r="AL53" s="199"/>
      <c r="AM53" s="200" t="str">
        <f t="shared" ref="AM53:AM60" si="31">IF(AE53="","",AL53*AK53/AH53)</f>
        <v/>
      </c>
      <c r="AN53" s="201"/>
      <c r="AO53" s="201" t="str">
        <f t="shared" ref="AO53:AO60" si="32">IF(AD53="","",IF(AD53="공동주택",100%,"70"%))</f>
        <v/>
      </c>
      <c r="AP53" s="202" t="str">
        <f t="shared" si="9"/>
        <v/>
      </c>
      <c r="AQ53" s="13"/>
      <c r="AR53" s="128"/>
      <c r="AS53" s="182"/>
      <c r="AT53" s="550"/>
      <c r="AU53" s="550"/>
      <c r="AV53" s="130"/>
      <c r="AW53" s="18"/>
      <c r="AX53" s="18"/>
      <c r="AY53" s="62"/>
    </row>
    <row r="54" spans="1:51" s="14" customFormat="1" x14ac:dyDescent="0.3">
      <c r="F54" s="12" t="s">
        <v>268</v>
      </c>
      <c r="J54" s="12"/>
      <c r="K54" s="351" t="s">
        <v>302</v>
      </c>
      <c r="P54" s="12"/>
      <c r="Q54" s="301"/>
      <c r="R54" s="191" t="str">
        <f t="shared" si="28"/>
        <v/>
      </c>
      <c r="S54" s="192"/>
      <c r="T54" s="192"/>
      <c r="U54" s="188"/>
      <c r="V54" s="12"/>
      <c r="W54" s="12"/>
      <c r="X54" s="12"/>
      <c r="Y54" s="12"/>
      <c r="Z54" s="12"/>
      <c r="AA54" s="12"/>
      <c r="AB54" s="12"/>
      <c r="AC54" s="12"/>
      <c r="AD54" s="302"/>
      <c r="AE54" s="200"/>
      <c r="AF54" s="303"/>
      <c r="AG54" s="303"/>
      <c r="AH54" s="198" t="str">
        <f t="shared" si="29"/>
        <v/>
      </c>
      <c r="AI54" s="198"/>
      <c r="AJ54" s="198"/>
      <c r="AK54" s="198" t="str">
        <f t="shared" si="30"/>
        <v/>
      </c>
      <c r="AL54" s="199"/>
      <c r="AM54" s="200" t="str">
        <f t="shared" si="31"/>
        <v/>
      </c>
      <c r="AN54" s="201"/>
      <c r="AO54" s="201" t="str">
        <f t="shared" si="32"/>
        <v/>
      </c>
      <c r="AP54" s="202" t="str">
        <f t="shared" si="9"/>
        <v/>
      </c>
      <c r="AQ54" s="13"/>
      <c r="AR54" s="93"/>
      <c r="AS54" s="183"/>
      <c r="AT54" s="551"/>
      <c r="AU54" s="551"/>
      <c r="AV54" s="130"/>
      <c r="AW54" s="18"/>
      <c r="AX54" s="18"/>
      <c r="AY54" s="62"/>
    </row>
    <row r="55" spans="1:51" s="14" customFormat="1" x14ac:dyDescent="0.3">
      <c r="A55" s="131"/>
      <c r="B55" s="132"/>
      <c r="C55" s="132"/>
      <c r="F55" s="12" t="s">
        <v>269</v>
      </c>
      <c r="J55" s="12"/>
      <c r="K55" s="351" t="s">
        <v>303</v>
      </c>
      <c r="P55" s="12"/>
      <c r="Q55" s="301"/>
      <c r="R55" s="191" t="str">
        <f t="shared" si="28"/>
        <v/>
      </c>
      <c r="S55" s="192"/>
      <c r="T55" s="192"/>
      <c r="U55" s="188"/>
      <c r="V55" s="12"/>
      <c r="W55" s="12"/>
      <c r="X55" s="12"/>
      <c r="Y55" s="12"/>
      <c r="Z55" s="12"/>
      <c r="AA55" s="12"/>
      <c r="AB55" s="12"/>
      <c r="AC55" s="12"/>
      <c r="AD55" s="302"/>
      <c r="AE55" s="200"/>
      <c r="AF55" s="303"/>
      <c r="AG55" s="303"/>
      <c r="AH55" s="198" t="str">
        <f t="shared" si="29"/>
        <v/>
      </c>
      <c r="AI55" s="198"/>
      <c r="AJ55" s="198"/>
      <c r="AK55" s="198" t="str">
        <f t="shared" si="30"/>
        <v/>
      </c>
      <c r="AL55" s="199"/>
      <c r="AM55" s="200" t="str">
        <f t="shared" si="31"/>
        <v/>
      </c>
      <c r="AN55" s="201"/>
      <c r="AO55" s="201" t="str">
        <f t="shared" si="32"/>
        <v/>
      </c>
      <c r="AP55" s="202" t="str">
        <f t="shared" si="9"/>
        <v/>
      </c>
      <c r="AQ55" s="13"/>
      <c r="AW55" s="18"/>
      <c r="AX55" s="66"/>
      <c r="AY55" s="62"/>
    </row>
    <row r="56" spans="1:51" s="14" customFormat="1" x14ac:dyDescent="0.3">
      <c r="A56" s="133"/>
      <c r="B56" s="134"/>
      <c r="C56" s="135"/>
      <c r="D56" s="102"/>
      <c r="E56" s="102"/>
      <c r="F56" s="103" t="s">
        <v>270</v>
      </c>
      <c r="G56" s="102"/>
      <c r="H56" s="102"/>
      <c r="I56" s="102"/>
      <c r="J56" s="12"/>
      <c r="P56" s="12"/>
      <c r="Q56" s="301"/>
      <c r="R56" s="191" t="str">
        <f t="shared" si="28"/>
        <v/>
      </c>
      <c r="S56" s="192"/>
      <c r="T56" s="192"/>
      <c r="U56" s="188"/>
      <c r="V56" s="12"/>
      <c r="W56" s="12"/>
      <c r="X56" s="12"/>
      <c r="Y56" s="12"/>
      <c r="Z56" s="12"/>
      <c r="AA56" s="12"/>
      <c r="AB56" s="12"/>
      <c r="AC56" s="12"/>
      <c r="AD56" s="302"/>
      <c r="AE56" s="200"/>
      <c r="AF56" s="303"/>
      <c r="AG56" s="303"/>
      <c r="AH56" s="198" t="str">
        <f t="shared" si="29"/>
        <v/>
      </c>
      <c r="AI56" s="198"/>
      <c r="AJ56" s="198"/>
      <c r="AK56" s="198" t="str">
        <f t="shared" si="30"/>
        <v/>
      </c>
      <c r="AL56" s="199"/>
      <c r="AM56" s="200" t="str">
        <f t="shared" si="31"/>
        <v/>
      </c>
      <c r="AN56" s="201"/>
      <c r="AO56" s="201" t="str">
        <f t="shared" si="32"/>
        <v/>
      </c>
      <c r="AP56" s="202" t="str">
        <f t="shared" si="9"/>
        <v/>
      </c>
      <c r="AQ56" s="13"/>
      <c r="AW56" s="18"/>
      <c r="AX56" s="66"/>
      <c r="AY56" s="62"/>
    </row>
    <row r="57" spans="1:51" s="14" customFormat="1" x14ac:dyDescent="0.3">
      <c r="A57" s="133"/>
      <c r="B57" s="134"/>
      <c r="C57" s="135"/>
      <c r="D57" s="102"/>
      <c r="E57" s="102"/>
      <c r="F57" s="103" t="s">
        <v>271</v>
      </c>
      <c r="G57" s="102"/>
      <c r="H57" s="102"/>
      <c r="I57" s="102"/>
      <c r="J57" s="12"/>
      <c r="P57" s="12"/>
      <c r="Q57" s="301"/>
      <c r="R57" s="191" t="str">
        <f t="shared" si="28"/>
        <v/>
      </c>
      <c r="S57" s="192"/>
      <c r="T57" s="192"/>
      <c r="U57" s="188"/>
      <c r="V57" s="12"/>
      <c r="W57" s="12"/>
      <c r="X57" s="12"/>
      <c r="Y57" s="12"/>
      <c r="Z57" s="12"/>
      <c r="AA57" s="12"/>
      <c r="AB57" s="12"/>
      <c r="AC57" s="12"/>
      <c r="AD57" s="302"/>
      <c r="AE57" s="200"/>
      <c r="AF57" s="303"/>
      <c r="AG57" s="303"/>
      <c r="AH57" s="198" t="str">
        <f t="shared" si="29"/>
        <v/>
      </c>
      <c r="AI57" s="198"/>
      <c r="AJ57" s="198"/>
      <c r="AK57" s="198" t="str">
        <f t="shared" si="30"/>
        <v/>
      </c>
      <c r="AL57" s="199"/>
      <c r="AM57" s="200" t="str">
        <f t="shared" si="31"/>
        <v/>
      </c>
      <c r="AN57" s="201"/>
      <c r="AO57" s="201" t="str">
        <f t="shared" si="32"/>
        <v/>
      </c>
      <c r="AP57" s="202" t="str">
        <f t="shared" si="9"/>
        <v/>
      </c>
      <c r="AQ57" s="13"/>
      <c r="AW57" s="18"/>
      <c r="AX57" s="66"/>
      <c r="AY57" s="62"/>
    </row>
    <row r="58" spans="1:51" s="14" customFormat="1" x14ac:dyDescent="0.3">
      <c r="A58" s="133"/>
      <c r="B58" s="134"/>
      <c r="C58" s="135"/>
      <c r="D58" s="102"/>
      <c r="E58" s="102"/>
      <c r="F58" s="103" t="s">
        <v>272</v>
      </c>
      <c r="G58" s="102"/>
      <c r="H58" s="102"/>
      <c r="I58" s="102"/>
      <c r="J58" s="12"/>
      <c r="P58" s="12"/>
      <c r="Q58" s="301"/>
      <c r="R58" s="191" t="str">
        <f t="shared" si="28"/>
        <v/>
      </c>
      <c r="S58" s="192"/>
      <c r="T58" s="192"/>
      <c r="U58" s="188"/>
      <c r="V58" s="12"/>
      <c r="W58" s="12"/>
      <c r="X58" s="12"/>
      <c r="Y58" s="12"/>
      <c r="Z58" s="12"/>
      <c r="AA58" s="12"/>
      <c r="AB58" s="12"/>
      <c r="AC58" s="12"/>
      <c r="AD58" s="302"/>
      <c r="AE58" s="200"/>
      <c r="AF58" s="303"/>
      <c r="AG58" s="303"/>
      <c r="AH58" s="198" t="str">
        <f t="shared" si="29"/>
        <v/>
      </c>
      <c r="AI58" s="198"/>
      <c r="AJ58" s="198"/>
      <c r="AK58" s="198" t="str">
        <f t="shared" si="30"/>
        <v/>
      </c>
      <c r="AL58" s="199"/>
      <c r="AM58" s="200" t="str">
        <f t="shared" si="31"/>
        <v/>
      </c>
      <c r="AN58" s="201"/>
      <c r="AO58" s="201" t="str">
        <f t="shared" si="32"/>
        <v/>
      </c>
      <c r="AP58" s="202" t="str">
        <f t="shared" si="9"/>
        <v/>
      </c>
      <c r="AQ58" s="13"/>
      <c r="AW58" s="18"/>
      <c r="AX58" s="66"/>
      <c r="AY58" s="62"/>
    </row>
    <row r="59" spans="1:51" s="14" customFormat="1" x14ac:dyDescent="0.3">
      <c r="A59" s="133"/>
      <c r="B59" s="134"/>
      <c r="C59" s="134"/>
      <c r="D59" s="102"/>
      <c r="E59" s="102"/>
      <c r="F59" s="103"/>
      <c r="G59" s="102"/>
      <c r="H59" s="102"/>
      <c r="I59" s="102"/>
      <c r="J59" s="12"/>
      <c r="P59" s="12"/>
      <c r="Q59" s="301"/>
      <c r="R59" s="191"/>
      <c r="S59" s="192"/>
      <c r="T59" s="192"/>
      <c r="U59" s="188"/>
      <c r="V59" s="12"/>
      <c r="W59" s="12"/>
      <c r="X59" s="12"/>
      <c r="Y59" s="12"/>
      <c r="Z59" s="12"/>
      <c r="AA59" s="12"/>
      <c r="AB59" s="12"/>
      <c r="AC59" s="12"/>
      <c r="AD59" s="302"/>
      <c r="AE59" s="200"/>
      <c r="AF59" s="303"/>
      <c r="AG59" s="303"/>
      <c r="AH59" s="198" t="str">
        <f t="shared" si="29"/>
        <v/>
      </c>
      <c r="AI59" s="198"/>
      <c r="AJ59" s="198"/>
      <c r="AK59" s="198" t="str">
        <f t="shared" si="30"/>
        <v/>
      </c>
      <c r="AL59" s="199"/>
      <c r="AM59" s="200" t="str">
        <f t="shared" si="31"/>
        <v/>
      </c>
      <c r="AN59" s="201"/>
      <c r="AO59" s="201" t="str">
        <f t="shared" si="32"/>
        <v/>
      </c>
      <c r="AP59" s="202" t="str">
        <f t="shared" si="9"/>
        <v/>
      </c>
      <c r="AQ59" s="13"/>
      <c r="AW59" s="18"/>
      <c r="AX59" s="66"/>
      <c r="AY59" s="62"/>
    </row>
    <row r="60" spans="1:51" x14ac:dyDescent="0.3">
      <c r="A60" s="136"/>
      <c r="B60" s="137"/>
      <c r="C60" s="137"/>
      <c r="D60" s="15"/>
      <c r="E60" s="124"/>
      <c r="F60" s="219" t="s">
        <v>268</v>
      </c>
      <c r="G60" s="15"/>
      <c r="H60" s="15"/>
      <c r="I60" s="105"/>
      <c r="Q60" s="188"/>
      <c r="R60" s="191"/>
      <c r="S60" s="192"/>
      <c r="T60" s="192"/>
      <c r="U60" s="188"/>
      <c r="AD60" s="302"/>
      <c r="AE60" s="200"/>
      <c r="AF60" s="303"/>
      <c r="AG60" s="303"/>
      <c r="AH60" s="198" t="str">
        <f t="shared" si="29"/>
        <v/>
      </c>
      <c r="AI60" s="198"/>
      <c r="AJ60" s="198"/>
      <c r="AK60" s="198" t="str">
        <f t="shared" si="30"/>
        <v/>
      </c>
      <c r="AL60" s="199"/>
      <c r="AM60" s="200" t="str">
        <f t="shared" si="31"/>
        <v/>
      </c>
      <c r="AN60" s="201"/>
      <c r="AO60" s="201" t="str">
        <f t="shared" si="32"/>
        <v/>
      </c>
      <c r="AP60" s="202" t="str">
        <f>IF(AE60="","",INT(AM60*AN60*AO60))</f>
        <v/>
      </c>
      <c r="AR60" s="5"/>
      <c r="AS60" s="5"/>
      <c r="AT60" s="5"/>
      <c r="AU60" s="5"/>
      <c r="AV60" s="5"/>
      <c r="AW60" s="18"/>
      <c r="AX60" s="66"/>
      <c r="AY60" s="62"/>
    </row>
    <row r="61" spans="1:51" x14ac:dyDescent="0.3">
      <c r="A61" s="136"/>
      <c r="B61" s="138"/>
      <c r="C61" s="138"/>
      <c r="D61" s="15"/>
      <c r="E61" s="125"/>
      <c r="F61" s="104" t="s">
        <v>273</v>
      </c>
      <c r="G61" s="15"/>
      <c r="H61" s="15"/>
      <c r="I61" s="106"/>
      <c r="Q61" s="296"/>
      <c r="R61" s="297"/>
      <c r="S61" s="192"/>
      <c r="T61" s="192"/>
      <c r="U61" s="188"/>
      <c r="AQ61" s="4" t="s">
        <v>8</v>
      </c>
      <c r="AR61" s="5"/>
      <c r="AS61" s="5"/>
      <c r="AT61" s="5"/>
      <c r="AU61" s="5"/>
      <c r="AV61" s="5"/>
      <c r="AW61" s="18"/>
      <c r="AX61" s="66"/>
      <c r="AY61" s="62"/>
    </row>
    <row r="62" spans="1:51" x14ac:dyDescent="0.3">
      <c r="A62" s="123"/>
      <c r="B62" s="110"/>
      <c r="C62" s="110"/>
      <c r="D62" s="105"/>
      <c r="E62" s="110"/>
      <c r="F62" s="15" t="s">
        <v>274</v>
      </c>
      <c r="G62" s="105"/>
      <c r="H62" s="105"/>
      <c r="I62" s="107"/>
      <c r="K62" s="393"/>
      <c r="L62" s="79"/>
      <c r="M62" s="80"/>
      <c r="N62" s="80"/>
      <c r="O62" s="393"/>
      <c r="P62" s="393"/>
      <c r="Q62" s="393"/>
      <c r="R62" s="79"/>
      <c r="S62" s="80"/>
      <c r="T62" s="80"/>
      <c r="U62" s="393"/>
      <c r="V62" s="393"/>
      <c r="W62" s="393"/>
      <c r="X62" s="393"/>
      <c r="Y62" s="393"/>
      <c r="Z62" s="393"/>
      <c r="AA62" s="393"/>
      <c r="AB62" s="393"/>
      <c r="AC62" s="393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R62" s="63"/>
      <c r="AS62" s="63"/>
      <c r="AT62" s="64"/>
      <c r="AU62" s="65"/>
      <c r="AV62" s="18"/>
      <c r="AW62" s="18"/>
      <c r="AX62" s="66"/>
      <c r="AY62" s="62"/>
    </row>
    <row r="63" spans="1:51" x14ac:dyDescent="0.3">
      <c r="A63" s="123"/>
      <c r="B63" s="105"/>
      <c r="C63" s="102"/>
      <c r="D63" s="15"/>
      <c r="E63" s="108"/>
      <c r="F63" s="108" t="s">
        <v>275</v>
      </c>
      <c r="G63" s="15"/>
      <c r="H63" s="15"/>
      <c r="I63" s="107"/>
      <c r="K63" s="393"/>
      <c r="L63" s="79"/>
      <c r="M63" s="80"/>
      <c r="N63" s="80"/>
      <c r="O63" s="393"/>
      <c r="P63" s="393"/>
      <c r="Q63" s="393"/>
      <c r="R63" s="79"/>
      <c r="S63" s="80"/>
      <c r="T63" s="80"/>
      <c r="U63" s="393"/>
      <c r="V63" s="393"/>
      <c r="W63" s="393"/>
      <c r="X63" s="393"/>
      <c r="Y63" s="393"/>
      <c r="Z63" s="393"/>
      <c r="AA63" s="393"/>
      <c r="AB63" s="393"/>
      <c r="AC63" s="393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R63" s="63"/>
      <c r="AS63" s="63"/>
      <c r="AT63" s="64"/>
      <c r="AU63" s="65"/>
      <c r="AV63" s="18"/>
      <c r="AW63" s="18"/>
      <c r="AX63" s="66"/>
      <c r="AY63" s="62"/>
    </row>
    <row r="64" spans="1:51" x14ac:dyDescent="0.3">
      <c r="A64" s="123"/>
      <c r="B64" s="105"/>
      <c r="C64" s="102"/>
      <c r="D64" s="15"/>
      <c r="E64" s="104"/>
      <c r="F64" s="109" t="s">
        <v>276</v>
      </c>
      <c r="G64" s="15"/>
      <c r="H64" s="15"/>
      <c r="I64" s="107"/>
      <c r="K64" s="546"/>
      <c r="L64" s="396"/>
      <c r="M64" s="332"/>
      <c r="N64" s="333"/>
      <c r="O64" s="332"/>
      <c r="P64" s="104"/>
      <c r="Q64" s="104"/>
      <c r="R64" s="82"/>
      <c r="S64" s="83"/>
      <c r="T64" s="83"/>
      <c r="U64" s="15"/>
      <c r="V64" s="393"/>
      <c r="W64" s="393"/>
      <c r="X64" s="393"/>
      <c r="Y64" s="393"/>
      <c r="Z64" s="393"/>
      <c r="AA64" s="393"/>
      <c r="AB64" s="393"/>
      <c r="AC64" s="393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R64" s="63"/>
      <c r="AS64" s="63"/>
      <c r="AT64" s="64"/>
      <c r="AU64" s="65"/>
      <c r="AV64" s="18"/>
      <c r="AW64" s="18"/>
      <c r="AX64" s="66"/>
      <c r="AY64" s="62"/>
    </row>
    <row r="65" spans="1:51" x14ac:dyDescent="0.3">
      <c r="A65" s="123"/>
      <c r="B65" s="110"/>
      <c r="C65" s="110"/>
      <c r="D65" s="105"/>
      <c r="E65" s="110"/>
      <c r="F65" s="181"/>
      <c r="G65" s="105"/>
      <c r="H65" s="105"/>
      <c r="I65" s="107"/>
      <c r="K65" s="546"/>
      <c r="L65" s="393"/>
      <c r="M65" s="333"/>
      <c r="N65" s="333"/>
      <c r="O65" s="333"/>
      <c r="P65" s="104"/>
      <c r="Q65" s="334"/>
      <c r="R65" s="180"/>
      <c r="S65" s="83"/>
      <c r="T65" s="83"/>
      <c r="U65" s="15"/>
      <c r="V65" s="393"/>
      <c r="W65" s="393"/>
      <c r="X65" s="393"/>
      <c r="Y65" s="393"/>
      <c r="Z65" s="393"/>
      <c r="AA65" s="393"/>
      <c r="AB65" s="393"/>
      <c r="AC65" s="393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R65" s="63"/>
      <c r="AS65" s="63"/>
      <c r="AT65" s="64"/>
      <c r="AU65" s="65"/>
      <c r="AV65" s="18"/>
      <c r="AW65" s="18"/>
      <c r="AX65" s="66"/>
      <c r="AY65" s="62"/>
    </row>
    <row r="66" spans="1:51" x14ac:dyDescent="0.3">
      <c r="A66" s="105"/>
      <c r="B66" s="110"/>
      <c r="C66" s="102"/>
      <c r="D66" s="15"/>
      <c r="E66" s="104"/>
      <c r="F66" s="108" t="s">
        <v>306</v>
      </c>
      <c r="G66" s="15"/>
      <c r="H66" s="15"/>
      <c r="I66" s="107"/>
      <c r="K66" s="546"/>
      <c r="L66" s="393"/>
      <c r="M66" s="333"/>
      <c r="N66" s="333"/>
      <c r="O66" s="333"/>
      <c r="P66" s="104"/>
      <c r="Q66" s="104"/>
      <c r="R66" s="82"/>
      <c r="S66" s="83"/>
      <c r="T66" s="83"/>
      <c r="U66" s="15"/>
      <c r="V66" s="393"/>
      <c r="W66" s="393"/>
      <c r="X66" s="393"/>
      <c r="Y66" s="393"/>
      <c r="Z66" s="393"/>
      <c r="AA66" s="393"/>
      <c r="AB66" s="393"/>
      <c r="AC66" s="393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R66" s="63"/>
      <c r="AS66" s="63"/>
      <c r="AT66" s="64"/>
      <c r="AU66" s="65"/>
      <c r="AV66" s="18"/>
      <c r="AW66" s="18"/>
      <c r="AX66" s="66"/>
      <c r="AY66" s="62"/>
    </row>
    <row r="67" spans="1:51" x14ac:dyDescent="0.3">
      <c r="A67" s="110"/>
      <c r="B67" s="110"/>
      <c r="C67" s="111"/>
      <c r="D67" s="111"/>
      <c r="E67" s="117"/>
      <c r="F67" s="114" t="s">
        <v>307</v>
      </c>
      <c r="G67" s="111"/>
      <c r="H67" s="112"/>
      <c r="I67" s="113"/>
      <c r="K67" s="542"/>
      <c r="L67" s="393"/>
      <c r="M67" s="332"/>
      <c r="N67" s="332"/>
      <c r="O67" s="332"/>
      <c r="P67" s="332"/>
      <c r="Q67" s="104"/>
      <c r="R67" s="82"/>
      <c r="S67" s="83"/>
      <c r="T67" s="83"/>
      <c r="U67" s="15"/>
      <c r="V67" s="393"/>
      <c r="W67" s="393"/>
      <c r="X67" s="393"/>
      <c r="Y67" s="393"/>
      <c r="Z67" s="393"/>
      <c r="AA67" s="393"/>
      <c r="AB67" s="393"/>
      <c r="AC67" s="393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R67" s="63"/>
      <c r="AS67" s="63"/>
      <c r="AT67" s="64"/>
      <c r="AU67" s="65"/>
      <c r="AV67" s="18"/>
      <c r="AW67" s="18"/>
      <c r="AX67" s="66"/>
      <c r="AY67" s="62"/>
    </row>
    <row r="68" spans="1:51" x14ac:dyDescent="0.3">
      <c r="A68" s="110"/>
      <c r="B68" s="110"/>
      <c r="C68" s="114"/>
      <c r="D68" s="126"/>
      <c r="E68" s="127"/>
      <c r="F68" s="127"/>
      <c r="G68" s="114"/>
      <c r="H68" s="114"/>
      <c r="I68" s="115"/>
      <c r="K68" s="542"/>
      <c r="L68" s="393"/>
      <c r="M68" s="333"/>
      <c r="N68" s="333"/>
      <c r="O68" s="333"/>
      <c r="P68" s="104"/>
      <c r="Q68" s="333"/>
      <c r="R68" s="79"/>
      <c r="S68" s="80"/>
      <c r="T68" s="80"/>
      <c r="U68" s="393"/>
      <c r="V68" s="393"/>
      <c r="W68" s="393"/>
      <c r="X68" s="393"/>
      <c r="Y68" s="393"/>
      <c r="Z68" s="393"/>
      <c r="AA68" s="393"/>
      <c r="AB68" s="393"/>
      <c r="AC68" s="393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R68" s="63"/>
      <c r="AS68" s="63"/>
      <c r="AT68" s="64"/>
      <c r="AU68" s="65"/>
      <c r="AV68" s="18"/>
      <c r="AW68" s="18"/>
      <c r="AX68" s="66"/>
      <c r="AY68" s="62"/>
    </row>
    <row r="69" spans="1:51" x14ac:dyDescent="0.3">
      <c r="A69" s="110"/>
      <c r="B69" s="110"/>
      <c r="C69" s="114"/>
      <c r="D69" s="126"/>
      <c r="E69" s="127"/>
      <c r="F69" s="127" t="s">
        <v>308</v>
      </c>
      <c r="G69" s="114"/>
      <c r="H69" s="114"/>
      <c r="I69" s="115"/>
      <c r="K69" s="542"/>
      <c r="L69" s="393"/>
      <c r="M69" s="333"/>
      <c r="N69" s="333"/>
      <c r="O69" s="333"/>
      <c r="P69" s="104"/>
      <c r="Q69" s="333"/>
      <c r="R69" s="79"/>
      <c r="S69" s="80"/>
      <c r="T69" s="80"/>
      <c r="U69" s="393"/>
      <c r="V69" s="393"/>
      <c r="W69" s="393"/>
      <c r="X69" s="393"/>
      <c r="Y69" s="393"/>
      <c r="Z69" s="393"/>
      <c r="AA69" s="393"/>
      <c r="AB69" s="393"/>
      <c r="AC69" s="393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R69" s="63"/>
      <c r="AS69" s="63"/>
      <c r="AT69" s="64"/>
      <c r="AU69" s="65"/>
      <c r="AV69" s="18"/>
      <c r="AW69" s="18"/>
      <c r="AX69" s="66"/>
      <c r="AY69" s="62"/>
    </row>
    <row r="70" spans="1:51" x14ac:dyDescent="0.3">
      <c r="A70" s="110"/>
      <c r="B70" s="110"/>
      <c r="C70" s="111"/>
      <c r="D70" s="111"/>
      <c r="E70" s="111"/>
      <c r="F70" s="114" t="s">
        <v>309</v>
      </c>
      <c r="G70" s="111"/>
      <c r="H70" s="111"/>
      <c r="I70" s="116"/>
      <c r="K70" s="542"/>
      <c r="L70" s="79"/>
      <c r="M70" s="332"/>
      <c r="N70" s="333"/>
      <c r="O70" s="332"/>
      <c r="P70" s="104"/>
      <c r="Q70" s="333"/>
      <c r="R70" s="79"/>
      <c r="S70" s="80"/>
      <c r="T70" s="80"/>
      <c r="U70" s="393"/>
      <c r="V70" s="393"/>
      <c r="W70" s="393"/>
      <c r="X70" s="393"/>
      <c r="Y70" s="393"/>
      <c r="Z70" s="393"/>
      <c r="AA70" s="393"/>
      <c r="AB70" s="393"/>
      <c r="AC70" s="393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R70" s="63"/>
      <c r="AS70" s="63"/>
      <c r="AT70" s="64"/>
      <c r="AU70" s="65"/>
      <c r="AV70" s="18"/>
      <c r="AW70" s="18"/>
      <c r="AX70" s="66"/>
      <c r="AY70" s="62"/>
    </row>
    <row r="71" spans="1:51" x14ac:dyDescent="0.3">
      <c r="A71" s="105"/>
      <c r="B71" s="110"/>
      <c r="C71" s="117"/>
      <c r="D71" s="111"/>
      <c r="E71" s="111"/>
      <c r="F71" s="114" t="s">
        <v>310</v>
      </c>
      <c r="G71" s="118"/>
      <c r="H71" s="118"/>
      <c r="I71" s="119"/>
      <c r="J71" s="8"/>
      <c r="K71" s="542"/>
      <c r="L71" s="79"/>
      <c r="M71" s="333"/>
      <c r="N71" s="333"/>
      <c r="O71" s="333"/>
      <c r="P71" s="104"/>
      <c r="Q71" s="333"/>
      <c r="R71" s="79"/>
      <c r="S71" s="84"/>
      <c r="T71" s="84"/>
      <c r="U71" s="85"/>
      <c r="V71" s="85"/>
      <c r="W71" s="85"/>
      <c r="X71" s="85"/>
      <c r="Y71" s="85"/>
      <c r="Z71" s="85"/>
      <c r="AA71" s="85"/>
      <c r="AB71" s="85"/>
      <c r="AC71" s="85"/>
      <c r="AD71" s="63"/>
      <c r="AE71" s="63"/>
      <c r="AF71" s="63"/>
      <c r="AG71" s="63"/>
      <c r="AH71" s="63"/>
      <c r="AI71" s="63"/>
      <c r="AJ71" s="63"/>
      <c r="AK71" s="63"/>
      <c r="AL71" s="63"/>
      <c r="AM71" s="65"/>
      <c r="AN71" s="66"/>
      <c r="AO71" s="18"/>
      <c r="AP71" s="86"/>
      <c r="AR71" s="63"/>
      <c r="AS71" s="63"/>
      <c r="AT71" s="64"/>
      <c r="AU71" s="65"/>
      <c r="AV71" s="18"/>
      <c r="AW71" s="18"/>
      <c r="AX71" s="66"/>
      <c r="AY71" s="62"/>
    </row>
    <row r="72" spans="1:51" x14ac:dyDescent="0.3">
      <c r="A72" s="16"/>
      <c r="B72" s="16"/>
      <c r="C72" s="16"/>
      <c r="D72" s="16"/>
      <c r="E72" s="16"/>
      <c r="F72" s="16"/>
      <c r="G72" s="16"/>
      <c r="H72" s="16"/>
      <c r="I72" s="16"/>
      <c r="K72" s="542"/>
      <c r="L72" s="79"/>
      <c r="M72" s="333"/>
      <c r="N72" s="333"/>
      <c r="O72" s="333"/>
      <c r="P72" s="104"/>
      <c r="Q72" s="333"/>
      <c r="R72" s="79"/>
      <c r="S72" s="80"/>
      <c r="T72" s="80"/>
      <c r="U72" s="393"/>
      <c r="V72" s="393"/>
      <c r="W72" s="393"/>
      <c r="X72" s="393"/>
      <c r="Y72" s="393"/>
      <c r="Z72" s="393"/>
      <c r="AA72" s="393"/>
      <c r="AB72" s="393"/>
      <c r="AC72" s="393"/>
      <c r="AD72" s="63"/>
      <c r="AE72" s="63"/>
      <c r="AF72" s="63"/>
      <c r="AG72" s="63"/>
      <c r="AH72" s="63"/>
      <c r="AI72" s="63"/>
      <c r="AJ72" s="63"/>
      <c r="AK72" s="63"/>
      <c r="AL72" s="63"/>
      <c r="AM72" s="65"/>
      <c r="AN72" s="66"/>
      <c r="AO72" s="18"/>
      <c r="AP72" s="86"/>
      <c r="AR72" s="63"/>
      <c r="AS72" s="63"/>
      <c r="AT72" s="64"/>
      <c r="AU72" s="65"/>
      <c r="AV72" s="18"/>
      <c r="AW72" s="18"/>
      <c r="AX72" s="66"/>
      <c r="AY72" s="62"/>
    </row>
    <row r="73" spans="1:51" x14ac:dyDescent="0.3">
      <c r="A73" s="16"/>
      <c r="B73" s="16"/>
      <c r="C73" s="16"/>
      <c r="D73" s="16"/>
      <c r="E73" s="16"/>
      <c r="F73" s="16"/>
      <c r="G73" s="120"/>
      <c r="H73" s="121"/>
      <c r="I73" s="16"/>
      <c r="K73" s="542"/>
      <c r="L73" s="79"/>
      <c r="M73" s="333"/>
      <c r="N73" s="333"/>
      <c r="O73" s="333"/>
      <c r="P73" s="104"/>
      <c r="Q73" s="333"/>
      <c r="R73" s="79"/>
      <c r="S73" s="80"/>
      <c r="T73" s="80"/>
      <c r="U73" s="393"/>
      <c r="V73" s="393"/>
      <c r="W73" s="393"/>
      <c r="X73" s="393"/>
      <c r="Y73" s="393"/>
      <c r="Z73" s="393"/>
      <c r="AA73" s="393"/>
      <c r="AB73" s="393"/>
      <c r="AC73" s="393"/>
      <c r="AD73" s="63"/>
      <c r="AE73" s="63"/>
      <c r="AF73" s="63"/>
      <c r="AG73" s="63"/>
      <c r="AH73" s="63"/>
      <c r="AI73" s="63"/>
      <c r="AJ73" s="63"/>
      <c r="AK73" s="63"/>
      <c r="AL73" s="63"/>
      <c r="AM73" s="65"/>
      <c r="AN73" s="66"/>
      <c r="AO73" s="18"/>
      <c r="AP73" s="86"/>
      <c r="AR73" s="63"/>
      <c r="AS73" s="63"/>
      <c r="AT73" s="64"/>
      <c r="AU73" s="65"/>
      <c r="AV73" s="18"/>
      <c r="AW73" s="18"/>
      <c r="AX73" s="66"/>
      <c r="AY73" s="62"/>
    </row>
    <row r="74" spans="1:51" x14ac:dyDescent="0.3">
      <c r="A74" s="16"/>
      <c r="B74" s="76"/>
      <c r="C74" s="16"/>
      <c r="D74" s="16"/>
      <c r="E74" s="16"/>
      <c r="F74" s="16"/>
      <c r="G74" s="16"/>
      <c r="H74" s="16"/>
      <c r="I74" s="16"/>
      <c r="K74" s="542"/>
      <c r="L74" s="79"/>
      <c r="M74" s="333"/>
      <c r="N74" s="333"/>
      <c r="O74" s="333"/>
      <c r="P74" s="104"/>
      <c r="Q74" s="333"/>
      <c r="R74" s="79"/>
      <c r="S74" s="80"/>
      <c r="T74" s="80"/>
      <c r="U74" s="393"/>
      <c r="V74" s="393"/>
      <c r="W74" s="393"/>
      <c r="X74" s="393"/>
      <c r="Y74" s="393"/>
      <c r="Z74" s="393"/>
      <c r="AA74" s="393"/>
      <c r="AB74" s="393"/>
      <c r="AC74" s="393"/>
      <c r="AD74" s="63"/>
      <c r="AE74" s="63"/>
      <c r="AF74" s="63"/>
      <c r="AG74" s="63"/>
      <c r="AH74" s="63"/>
      <c r="AI74" s="63"/>
      <c r="AJ74" s="63"/>
      <c r="AK74" s="63"/>
      <c r="AL74" s="63"/>
      <c r="AM74" s="65"/>
      <c r="AN74" s="66"/>
      <c r="AO74" s="18"/>
      <c r="AP74" s="86"/>
      <c r="AR74" s="63"/>
      <c r="AS74" s="63"/>
      <c r="AT74" s="64"/>
      <c r="AU74" s="65"/>
      <c r="AV74" s="18"/>
      <c r="AW74" s="18"/>
      <c r="AX74" s="66"/>
      <c r="AY74" s="62"/>
    </row>
    <row r="75" spans="1:51" x14ac:dyDescent="0.3">
      <c r="A75" s="16"/>
      <c r="B75" s="122"/>
      <c r="C75" s="16"/>
      <c r="D75" s="16"/>
      <c r="E75" s="16"/>
      <c r="F75" s="16"/>
      <c r="G75" s="16"/>
      <c r="H75" s="16"/>
      <c r="I75" s="16"/>
      <c r="K75" s="542"/>
      <c r="L75" s="542"/>
      <c r="M75" s="333"/>
      <c r="N75" s="333"/>
      <c r="O75" s="333"/>
      <c r="P75" s="393"/>
      <c r="Q75" s="393"/>
      <c r="R75" s="79"/>
      <c r="S75" s="80"/>
      <c r="T75" s="80"/>
      <c r="U75" s="393"/>
      <c r="V75" s="393"/>
      <c r="W75" s="393"/>
      <c r="X75" s="393"/>
      <c r="Y75" s="393"/>
      <c r="Z75" s="393"/>
      <c r="AA75" s="393"/>
      <c r="AB75" s="393"/>
      <c r="AC75" s="393"/>
      <c r="AD75" s="63"/>
      <c r="AE75" s="63"/>
      <c r="AF75" s="63"/>
      <c r="AG75" s="63"/>
      <c r="AH75" s="63"/>
      <c r="AI75" s="63"/>
      <c r="AJ75" s="63"/>
      <c r="AK75" s="63"/>
      <c r="AL75" s="63"/>
      <c r="AM75" s="65"/>
      <c r="AN75" s="66"/>
      <c r="AO75" s="18"/>
      <c r="AP75" s="86"/>
      <c r="AR75" s="63"/>
      <c r="AS75" s="63"/>
      <c r="AT75" s="64"/>
      <c r="AU75" s="65"/>
      <c r="AV75" s="18"/>
      <c r="AW75" s="18"/>
      <c r="AX75" s="66"/>
      <c r="AY75" s="62"/>
    </row>
    <row r="76" spans="1:51" x14ac:dyDescent="0.3">
      <c r="A76" s="16"/>
      <c r="B76" s="122"/>
      <c r="C76" s="16"/>
      <c r="D76" s="16"/>
      <c r="E76" s="16"/>
      <c r="F76" s="16"/>
      <c r="G76" s="16"/>
      <c r="H76" s="16"/>
      <c r="I76" s="16"/>
      <c r="K76" s="393"/>
      <c r="L76" s="79"/>
      <c r="M76" s="80"/>
      <c r="N76" s="80"/>
      <c r="O76" s="393"/>
      <c r="P76" s="188"/>
      <c r="Q76" s="188"/>
      <c r="R76" s="191"/>
      <c r="S76" s="192"/>
      <c r="T76" s="80"/>
      <c r="U76" s="393"/>
      <c r="V76" s="393"/>
      <c r="W76" s="393"/>
      <c r="X76" s="393"/>
      <c r="Y76" s="393"/>
      <c r="Z76" s="393"/>
      <c r="AA76" s="393"/>
      <c r="AB76" s="393"/>
      <c r="AC76" s="393"/>
      <c r="AD76" s="63"/>
      <c r="AE76" s="63"/>
      <c r="AF76" s="63"/>
      <c r="AG76" s="63"/>
      <c r="AH76" s="63"/>
      <c r="AI76" s="63"/>
      <c r="AJ76" s="63"/>
      <c r="AK76" s="63"/>
      <c r="AL76" s="63"/>
      <c r="AM76" s="65"/>
      <c r="AN76" s="66"/>
      <c r="AO76" s="18"/>
      <c r="AP76" s="86"/>
      <c r="AR76" s="63"/>
      <c r="AS76" s="63"/>
      <c r="AT76" s="64"/>
      <c r="AU76" s="65"/>
      <c r="AV76" s="18"/>
      <c r="AW76" s="18"/>
      <c r="AX76" s="66"/>
      <c r="AY76" s="62"/>
    </row>
    <row r="77" spans="1:51" x14ac:dyDescent="0.3">
      <c r="K77" s="393"/>
      <c r="L77" s="79"/>
      <c r="M77" s="80"/>
      <c r="N77" s="80"/>
      <c r="O77" s="393"/>
      <c r="P77" s="188"/>
      <c r="Q77" s="188"/>
      <c r="R77" s="191"/>
      <c r="S77" s="192"/>
      <c r="T77" s="80"/>
      <c r="U77" s="393"/>
      <c r="V77" s="393"/>
      <c r="W77" s="393"/>
      <c r="X77" s="393"/>
      <c r="Y77" s="393"/>
      <c r="Z77" s="393"/>
      <c r="AA77" s="393"/>
      <c r="AB77" s="393"/>
      <c r="AC77" s="393"/>
      <c r="AD77" s="56"/>
      <c r="AE77" s="56"/>
      <c r="AF77" s="56"/>
      <c r="AG77" s="56"/>
      <c r="AH77" s="56"/>
      <c r="AI77" s="56"/>
      <c r="AJ77" s="56"/>
      <c r="AK77" s="56"/>
      <c r="AL77" s="56"/>
      <c r="AM77" s="65"/>
      <c r="AN77" s="66"/>
      <c r="AO77" s="18"/>
      <c r="AP77" s="86"/>
      <c r="AR77" s="56"/>
      <c r="AS77" s="56"/>
      <c r="AT77" s="64"/>
      <c r="AU77" s="65"/>
      <c r="AV77" s="18"/>
      <c r="AW77" s="18"/>
      <c r="AX77" s="66"/>
      <c r="AY77" s="62"/>
    </row>
    <row r="78" spans="1:51" x14ac:dyDescent="0.3">
      <c r="K78" s="5"/>
      <c r="L78" s="5"/>
      <c r="M78" s="5"/>
      <c r="N78" s="5"/>
      <c r="O78" s="5"/>
      <c r="P78" s="188"/>
      <c r="Q78" s="188"/>
      <c r="R78" s="191"/>
      <c r="S78" s="295"/>
      <c r="T78" s="84"/>
      <c r="U78" s="85"/>
      <c r="V78" s="393"/>
      <c r="W78" s="393"/>
      <c r="X78" s="393"/>
      <c r="Y78" s="393"/>
      <c r="Z78" s="393"/>
      <c r="AA78" s="393"/>
      <c r="AB78" s="393"/>
      <c r="AC78" s="393"/>
      <c r="AD78" s="81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R78" s="56"/>
      <c r="AS78" s="56"/>
      <c r="AT78" s="64"/>
      <c r="AU78" s="57"/>
      <c r="AV78" s="20"/>
      <c r="AW78" s="20"/>
      <c r="AX78" s="17"/>
      <c r="AY78" s="62"/>
    </row>
    <row r="79" spans="1:51" x14ac:dyDescent="0.3">
      <c r="K79" s="5"/>
      <c r="L79" s="5"/>
      <c r="M79" s="5"/>
      <c r="N79" s="5"/>
      <c r="O79" s="5"/>
      <c r="P79" s="188"/>
      <c r="Q79" s="296"/>
      <c r="R79" s="297"/>
      <c r="S79" s="192"/>
      <c r="T79" s="80"/>
      <c r="U79" s="393"/>
      <c r="V79" s="393"/>
      <c r="W79" s="393"/>
      <c r="X79" s="393"/>
      <c r="Y79" s="393"/>
      <c r="Z79" s="393"/>
      <c r="AA79" s="393"/>
      <c r="AB79" s="393"/>
      <c r="AC79" s="393"/>
      <c r="AD79" s="81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R79" s="56"/>
      <c r="AS79" s="56"/>
      <c r="AT79" s="64"/>
      <c r="AU79" s="57"/>
      <c r="AV79" s="20"/>
      <c r="AW79" s="20"/>
      <c r="AX79" s="17"/>
      <c r="AY79" s="62"/>
    </row>
    <row r="80" spans="1:51" x14ac:dyDescent="0.3">
      <c r="K80" s="5"/>
      <c r="L80" s="5"/>
      <c r="M80" s="5"/>
      <c r="N80" s="5"/>
      <c r="O80" s="5"/>
      <c r="P80" s="188"/>
      <c r="Q80" s="188"/>
      <c r="R80" s="191"/>
      <c r="S80" s="192"/>
      <c r="T80" s="83"/>
      <c r="U80" s="393"/>
      <c r="V80" s="393"/>
      <c r="W80" s="393"/>
      <c r="X80" s="393"/>
      <c r="Y80" s="393"/>
      <c r="Z80" s="393"/>
      <c r="AA80" s="393"/>
      <c r="AB80" s="393"/>
      <c r="AC80" s="393"/>
      <c r="AD80" s="81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R80" s="56"/>
      <c r="AS80" s="56"/>
      <c r="AT80" s="64"/>
      <c r="AU80" s="57"/>
      <c r="AV80" s="20"/>
      <c r="AW80" s="20"/>
      <c r="AX80" s="17"/>
      <c r="AY80" s="62"/>
    </row>
    <row r="81" spans="1:51" x14ac:dyDescent="0.3">
      <c r="K81" s="5"/>
      <c r="L81" s="5"/>
      <c r="M81" s="5"/>
      <c r="N81" s="5"/>
      <c r="O81" s="5"/>
      <c r="P81" s="188"/>
      <c r="Q81" s="188"/>
      <c r="R81" s="191"/>
      <c r="S81" s="192"/>
      <c r="T81" s="80"/>
      <c r="U81" s="393"/>
      <c r="V81" s="393"/>
      <c r="W81" s="393"/>
      <c r="X81" s="393"/>
      <c r="Y81" s="393"/>
      <c r="Z81" s="393"/>
      <c r="AA81" s="393"/>
      <c r="AB81" s="393"/>
      <c r="AC81" s="393"/>
      <c r="AD81" s="81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R81" s="56"/>
      <c r="AS81" s="56"/>
      <c r="AT81" s="64"/>
      <c r="AU81" s="57"/>
      <c r="AV81" s="20"/>
      <c r="AW81" s="20"/>
      <c r="AX81" s="17"/>
      <c r="AY81" s="62"/>
    </row>
    <row r="82" spans="1:51" x14ac:dyDescent="0.3">
      <c r="K82" s="5"/>
      <c r="L82" s="5"/>
      <c r="M82" s="5"/>
      <c r="N82" s="5"/>
      <c r="O82" s="5"/>
      <c r="P82" s="188"/>
      <c r="Q82" s="188"/>
      <c r="R82" s="191"/>
      <c r="S82" s="192"/>
      <c r="T82" s="80"/>
      <c r="U82" s="393"/>
      <c r="V82" s="393"/>
      <c r="W82" s="393"/>
      <c r="X82" s="393"/>
      <c r="Y82" s="393"/>
      <c r="Z82" s="393"/>
      <c r="AA82" s="393"/>
      <c r="AB82" s="393"/>
      <c r="AC82" s="393"/>
      <c r="AD82" s="81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R82" s="56"/>
      <c r="AS82" s="56"/>
      <c r="AT82" s="64"/>
      <c r="AU82" s="57"/>
      <c r="AV82" s="20"/>
      <c r="AW82" s="20"/>
      <c r="AX82" s="17"/>
      <c r="AY82" s="62"/>
    </row>
    <row r="83" spans="1:51" x14ac:dyDescent="0.3">
      <c r="K83" s="5"/>
      <c r="L83" s="5"/>
      <c r="M83" s="5"/>
      <c r="N83" s="5"/>
      <c r="O83" s="5"/>
      <c r="P83" s="188"/>
      <c r="Q83" s="188"/>
      <c r="R83" s="191"/>
      <c r="S83" s="192"/>
      <c r="T83" s="80"/>
      <c r="U83" s="393"/>
      <c r="V83" s="393"/>
      <c r="W83" s="393"/>
      <c r="X83" s="393"/>
      <c r="Y83" s="393"/>
      <c r="Z83" s="393"/>
      <c r="AA83" s="393"/>
      <c r="AB83" s="393"/>
      <c r="AC83" s="393"/>
      <c r="AD83" s="81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R83" s="56"/>
      <c r="AS83" s="56"/>
      <c r="AT83" s="64"/>
      <c r="AU83" s="57"/>
      <c r="AV83" s="20"/>
      <c r="AW83" s="20"/>
      <c r="AX83" s="17"/>
      <c r="AY83" s="62"/>
    </row>
    <row r="84" spans="1:51" s="4" customFormat="1" x14ac:dyDescent="0.3">
      <c r="A84" s="5"/>
      <c r="B84" s="5"/>
      <c r="C84" s="5"/>
      <c r="D84" s="5"/>
      <c r="E84" s="5"/>
      <c r="F84" s="5"/>
      <c r="G84" s="5"/>
      <c r="H84" s="5"/>
      <c r="I84" s="5"/>
      <c r="J84" s="9"/>
      <c r="P84" s="298"/>
      <c r="Q84" s="298"/>
      <c r="R84" s="299"/>
      <c r="S84" s="300"/>
      <c r="T84" s="293"/>
      <c r="U84" s="292"/>
      <c r="V84" s="292"/>
      <c r="W84" s="292"/>
      <c r="X84" s="292"/>
      <c r="Y84" s="292"/>
      <c r="Z84" s="292"/>
      <c r="AA84" s="292"/>
      <c r="AB84" s="292"/>
      <c r="AC84" s="292"/>
      <c r="AD84" s="294"/>
      <c r="AR84" s="56"/>
      <c r="AS84" s="56"/>
      <c r="AT84" s="64"/>
      <c r="AU84" s="57"/>
      <c r="AV84" s="20"/>
      <c r="AW84" s="20"/>
      <c r="AX84" s="17"/>
      <c r="AY84" s="62"/>
    </row>
    <row r="85" spans="1:51" s="4" customFormat="1" x14ac:dyDescent="0.3">
      <c r="A85" s="5"/>
      <c r="B85" s="5"/>
      <c r="C85" s="5"/>
      <c r="D85" s="5"/>
      <c r="E85" s="5"/>
      <c r="F85" s="5"/>
      <c r="G85" s="5"/>
      <c r="H85" s="5"/>
      <c r="I85" s="5"/>
      <c r="J85" s="9"/>
      <c r="P85" s="298"/>
      <c r="Q85" s="298"/>
      <c r="R85" s="299"/>
      <c r="S85" s="300"/>
      <c r="T85" s="293"/>
      <c r="U85" s="292"/>
      <c r="V85" s="292"/>
      <c r="W85" s="292"/>
      <c r="X85" s="292"/>
      <c r="Y85" s="292"/>
      <c r="Z85" s="292"/>
      <c r="AA85" s="292"/>
      <c r="AB85" s="292"/>
      <c r="AC85" s="292"/>
      <c r="AD85" s="294"/>
      <c r="AR85" s="56"/>
      <c r="AS85" s="56"/>
      <c r="AT85" s="64"/>
      <c r="AU85" s="57"/>
      <c r="AV85" s="20"/>
      <c r="AW85" s="20"/>
      <c r="AX85" s="17"/>
      <c r="AY85" s="62"/>
    </row>
    <row r="86" spans="1:51" x14ac:dyDescent="0.3">
      <c r="K86" s="5"/>
      <c r="L86" s="5"/>
      <c r="M86" s="5"/>
      <c r="N86" s="5"/>
      <c r="O86" s="5"/>
      <c r="P86" s="188"/>
      <c r="Q86" s="188"/>
      <c r="R86" s="191"/>
      <c r="S86" s="192"/>
      <c r="T86" s="80"/>
      <c r="U86" s="393"/>
      <c r="V86" s="393"/>
      <c r="W86" s="393"/>
      <c r="X86" s="393"/>
      <c r="Y86" s="393"/>
      <c r="Z86" s="393"/>
      <c r="AA86" s="393"/>
      <c r="AB86" s="393"/>
      <c r="AC86" s="393"/>
      <c r="AD86" s="81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R86" s="56"/>
      <c r="AS86" s="56"/>
      <c r="AT86" s="64"/>
      <c r="AU86" s="57"/>
      <c r="AV86" s="20"/>
      <c r="AW86" s="20"/>
      <c r="AX86" s="17"/>
      <c r="AY86" s="62"/>
    </row>
    <row r="87" spans="1:51" x14ac:dyDescent="0.3">
      <c r="K87" s="5"/>
      <c r="L87" s="5"/>
      <c r="M87" s="5"/>
      <c r="N87" s="5"/>
      <c r="O87" s="5"/>
      <c r="P87" s="188"/>
      <c r="Q87" s="188"/>
      <c r="R87" s="191"/>
      <c r="S87" s="192"/>
      <c r="T87" s="80"/>
      <c r="U87" s="393"/>
      <c r="V87" s="393"/>
      <c r="W87" s="393"/>
      <c r="X87" s="393"/>
      <c r="Y87" s="393"/>
      <c r="Z87" s="393"/>
      <c r="AA87" s="393"/>
      <c r="AB87" s="393"/>
      <c r="AC87" s="393"/>
      <c r="AD87" s="81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R87" s="56"/>
      <c r="AS87" s="56"/>
      <c r="AT87" s="64"/>
      <c r="AU87" s="57"/>
      <c r="AV87" s="20"/>
      <c r="AW87" s="20"/>
      <c r="AX87" s="17"/>
      <c r="AY87" s="62"/>
    </row>
    <row r="88" spans="1:51" x14ac:dyDescent="0.3">
      <c r="K88" s="5"/>
      <c r="L88" s="5"/>
      <c r="M88" s="5"/>
      <c r="N88" s="5"/>
      <c r="O88" s="5"/>
      <c r="P88" s="188"/>
      <c r="Q88" s="188"/>
      <c r="R88" s="191"/>
      <c r="S88" s="192"/>
      <c r="T88" s="80"/>
      <c r="U88" s="393"/>
      <c r="V88" s="393"/>
      <c r="W88" s="393"/>
      <c r="X88" s="393"/>
      <c r="Y88" s="393"/>
      <c r="Z88" s="393"/>
      <c r="AA88" s="393"/>
      <c r="AB88" s="393"/>
      <c r="AC88" s="393"/>
      <c r="AD88" s="81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R88" s="56"/>
      <c r="AS88" s="56"/>
      <c r="AT88" s="64"/>
      <c r="AU88" s="57"/>
      <c r="AV88" s="20"/>
      <c r="AW88" s="20"/>
      <c r="AX88" s="17"/>
      <c r="AY88" s="62"/>
    </row>
    <row r="89" spans="1:51" x14ac:dyDescent="0.3">
      <c r="K89" s="5"/>
      <c r="L89" s="5"/>
      <c r="M89" s="5"/>
      <c r="N89" s="5"/>
      <c r="O89" s="5"/>
      <c r="P89" s="188"/>
      <c r="Q89" s="188"/>
      <c r="R89" s="191"/>
      <c r="S89" s="192"/>
      <c r="T89" s="80"/>
      <c r="U89" s="393"/>
      <c r="V89" s="393"/>
      <c r="W89" s="393"/>
      <c r="X89" s="393"/>
      <c r="Y89" s="393"/>
      <c r="Z89" s="393"/>
      <c r="AA89" s="393"/>
      <c r="AB89" s="393"/>
      <c r="AC89" s="393"/>
      <c r="AD89" s="81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R89" s="56"/>
      <c r="AS89" s="56"/>
      <c r="AT89" s="64"/>
      <c r="AU89" s="57"/>
      <c r="AV89" s="20"/>
      <c r="AW89" s="20"/>
      <c r="AX89" s="17"/>
      <c r="AY89" s="62"/>
    </row>
    <row r="90" spans="1:51" x14ac:dyDescent="0.3">
      <c r="K90" s="5"/>
      <c r="L90" s="5"/>
      <c r="M90" s="5"/>
      <c r="N90" s="5"/>
      <c r="O90" s="5"/>
      <c r="P90" s="188"/>
      <c r="Q90" s="188"/>
      <c r="R90" s="191"/>
      <c r="S90" s="192"/>
      <c r="T90" s="80"/>
      <c r="U90" s="393"/>
      <c r="V90" s="393"/>
      <c r="W90" s="393"/>
      <c r="X90" s="393"/>
      <c r="Y90" s="393"/>
      <c r="Z90" s="393"/>
      <c r="AA90" s="393"/>
      <c r="AB90" s="393"/>
      <c r="AC90" s="393"/>
      <c r="AD90" s="81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R90" s="56"/>
      <c r="AS90" s="56"/>
      <c r="AT90" s="64"/>
      <c r="AU90" s="57"/>
      <c r="AV90" s="20"/>
      <c r="AW90" s="20"/>
      <c r="AX90" s="17"/>
      <c r="AY90" s="62"/>
    </row>
    <row r="91" spans="1:51" x14ac:dyDescent="0.3">
      <c r="K91" s="5"/>
      <c r="L91" s="5"/>
      <c r="M91" s="5"/>
      <c r="N91" s="5"/>
      <c r="O91" s="5"/>
      <c r="P91" s="188"/>
      <c r="Q91" s="188"/>
      <c r="R91" s="191"/>
      <c r="S91" s="192"/>
      <c r="T91" s="80"/>
      <c r="U91" s="393"/>
      <c r="V91" s="393"/>
      <c r="W91" s="393"/>
      <c r="X91" s="393"/>
      <c r="Y91" s="393"/>
      <c r="Z91" s="393"/>
      <c r="AA91" s="393"/>
      <c r="AB91" s="393"/>
      <c r="AC91" s="393"/>
      <c r="AD91" s="81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R91" s="56"/>
      <c r="AS91" s="56"/>
      <c r="AT91" s="64"/>
      <c r="AU91" s="57"/>
      <c r="AV91" s="20"/>
      <c r="AW91" s="20"/>
      <c r="AX91" s="17"/>
      <c r="AY91" s="62"/>
    </row>
    <row r="92" spans="1:51" x14ac:dyDescent="0.3">
      <c r="K92" s="5"/>
      <c r="L92" s="5"/>
      <c r="M92" s="5"/>
      <c r="N92" s="5"/>
      <c r="O92" s="5"/>
      <c r="P92" s="188"/>
      <c r="Q92" s="188"/>
      <c r="R92" s="191"/>
      <c r="S92" s="192"/>
      <c r="T92" s="80"/>
      <c r="U92" s="393"/>
      <c r="V92" s="393"/>
      <c r="W92" s="393"/>
      <c r="X92" s="393"/>
      <c r="Y92" s="393"/>
      <c r="Z92" s="393"/>
      <c r="AA92" s="393"/>
      <c r="AB92" s="393"/>
      <c r="AC92" s="393"/>
      <c r="AD92" s="81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R92" s="56"/>
      <c r="AS92" s="56"/>
      <c r="AT92" s="64"/>
      <c r="AU92" s="57"/>
      <c r="AV92" s="20"/>
      <c r="AW92" s="20"/>
      <c r="AX92" s="17"/>
      <c r="AY92" s="62"/>
    </row>
    <row r="93" spans="1:51" x14ac:dyDescent="0.3">
      <c r="K93" s="5"/>
      <c r="L93" s="5"/>
      <c r="M93" s="5"/>
      <c r="N93" s="5"/>
      <c r="O93" s="5"/>
      <c r="P93" s="188"/>
      <c r="Q93" s="188"/>
      <c r="R93" s="191"/>
      <c r="S93" s="192"/>
      <c r="T93" s="80"/>
      <c r="U93" s="393"/>
      <c r="V93" s="393"/>
      <c r="W93" s="393"/>
      <c r="X93" s="393"/>
      <c r="Y93" s="393"/>
      <c r="Z93" s="393"/>
      <c r="AA93" s="393"/>
      <c r="AB93" s="393"/>
      <c r="AC93" s="393"/>
      <c r="AD93" s="81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R93" s="56"/>
      <c r="AS93" s="56"/>
      <c r="AT93" s="57"/>
      <c r="AU93" s="57"/>
      <c r="AV93" s="18"/>
      <c r="AW93" s="18"/>
      <c r="AX93" s="17"/>
      <c r="AY93" s="62"/>
    </row>
    <row r="94" spans="1:51" x14ac:dyDescent="0.3">
      <c r="K94" s="5"/>
      <c r="L94" s="5"/>
      <c r="M94" s="5"/>
      <c r="N94" s="5"/>
      <c r="O94" s="5"/>
      <c r="P94" s="188"/>
      <c r="Q94" s="296"/>
      <c r="R94" s="297"/>
      <c r="S94" s="192"/>
      <c r="T94" s="80"/>
      <c r="U94" s="393"/>
      <c r="V94" s="393"/>
      <c r="W94" s="393"/>
      <c r="X94" s="393"/>
      <c r="Y94" s="393"/>
      <c r="Z94" s="393"/>
      <c r="AA94" s="393"/>
      <c r="AB94" s="393"/>
      <c r="AC94" s="393"/>
      <c r="AD94" s="81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R94" s="56"/>
      <c r="AS94" s="56"/>
      <c r="AT94" s="57"/>
      <c r="AU94" s="57"/>
      <c r="AV94" s="18"/>
      <c r="AW94" s="18"/>
      <c r="AX94" s="17"/>
      <c r="AY94" s="58"/>
    </row>
  </sheetData>
  <mergeCells count="115">
    <mergeCell ref="AR7:AS7"/>
    <mergeCell ref="AR3:AZ4"/>
    <mergeCell ref="A1:I1"/>
    <mergeCell ref="E3:F3"/>
    <mergeCell ref="H3:I3"/>
    <mergeCell ref="AD3:AP3"/>
    <mergeCell ref="C4:C5"/>
    <mergeCell ref="D4:D5"/>
    <mergeCell ref="E4:F5"/>
    <mergeCell ref="G4:G5"/>
    <mergeCell ref="H4:I5"/>
    <mergeCell ref="AD4:AP4"/>
    <mergeCell ref="K6:M6"/>
    <mergeCell ref="A7:B7"/>
    <mergeCell ref="E7:F7"/>
    <mergeCell ref="Q6:S6"/>
    <mergeCell ref="W6:Y6"/>
    <mergeCell ref="C13:F13"/>
    <mergeCell ref="K16:N16"/>
    <mergeCell ref="A8:A24"/>
    <mergeCell ref="C19:C20"/>
    <mergeCell ref="C21:C22"/>
    <mergeCell ref="B11:B12"/>
    <mergeCell ref="B15:B16"/>
    <mergeCell ref="B19:B22"/>
    <mergeCell ref="D19:D20"/>
    <mergeCell ref="D21:D22"/>
    <mergeCell ref="C23:F23"/>
    <mergeCell ref="B24:C24"/>
    <mergeCell ref="E24:F24"/>
    <mergeCell ref="C17:C18"/>
    <mergeCell ref="B17:B18"/>
    <mergeCell ref="D17:D18"/>
    <mergeCell ref="A34:A37"/>
    <mergeCell ref="E34:F34"/>
    <mergeCell ref="A25:A26"/>
    <mergeCell ref="E25:F25"/>
    <mergeCell ref="B26:C26"/>
    <mergeCell ref="E26:F26"/>
    <mergeCell ref="A27:A33"/>
    <mergeCell ref="E30:F30"/>
    <mergeCell ref="E31:F31"/>
    <mergeCell ref="E35:F35"/>
    <mergeCell ref="E36:F36"/>
    <mergeCell ref="B37:C37"/>
    <mergeCell ref="E37:F37"/>
    <mergeCell ref="E32:F32"/>
    <mergeCell ref="B33:C33"/>
    <mergeCell ref="E33:F33"/>
    <mergeCell ref="A38:A40"/>
    <mergeCell ref="B40:C40"/>
    <mergeCell ref="E40:F40"/>
    <mergeCell ref="A41:A43"/>
    <mergeCell ref="E41:F41"/>
    <mergeCell ref="AT41:AU41"/>
    <mergeCell ref="E42:F42"/>
    <mergeCell ref="K42:N42"/>
    <mergeCell ref="Q42:T42"/>
    <mergeCell ref="AT42:AU42"/>
    <mergeCell ref="W43:Z43"/>
    <mergeCell ref="B43:C43"/>
    <mergeCell ref="E43:F43"/>
    <mergeCell ref="K43:N43"/>
    <mergeCell ref="Q43:T43"/>
    <mergeCell ref="AT43:AU43"/>
    <mergeCell ref="B46:C46"/>
    <mergeCell ref="E46:F46"/>
    <mergeCell ref="P46:Q46"/>
    <mergeCell ref="A47:A51"/>
    <mergeCell ref="E47:F47"/>
    <mergeCell ref="P47:Q47"/>
    <mergeCell ref="P48:Q48"/>
    <mergeCell ref="B51:C51"/>
    <mergeCell ref="E51:F51"/>
    <mergeCell ref="P51:Q51"/>
    <mergeCell ref="A44:A46"/>
    <mergeCell ref="E44:F44"/>
    <mergeCell ref="E45:F45"/>
    <mergeCell ref="K75:L75"/>
    <mergeCell ref="AT51:AU51"/>
    <mergeCell ref="A52:C52"/>
    <mergeCell ref="E52:F52"/>
    <mergeCell ref="P52:Q52"/>
    <mergeCell ref="AT52:AU52"/>
    <mergeCell ref="AT53:AU53"/>
    <mergeCell ref="AT48:AU48"/>
    <mergeCell ref="B49:B50"/>
    <mergeCell ref="D49:D50"/>
    <mergeCell ref="E49:F49"/>
    <mergeCell ref="G49:G50"/>
    <mergeCell ref="H49:H50"/>
    <mergeCell ref="P49:Q49"/>
    <mergeCell ref="AT49:AU49"/>
    <mergeCell ref="E50:F50"/>
    <mergeCell ref="P50:Q50"/>
    <mergeCell ref="AT54:AU54"/>
    <mergeCell ref="K64:K66"/>
    <mergeCell ref="K67:K69"/>
    <mergeCell ref="K70:K72"/>
    <mergeCell ref="K73:K74"/>
    <mergeCell ref="I31:I32"/>
    <mergeCell ref="Q17:S17"/>
    <mergeCell ref="W17:Y17"/>
    <mergeCell ref="K34:O34"/>
    <mergeCell ref="Q34:U34"/>
    <mergeCell ref="AT44:AU44"/>
    <mergeCell ref="AT45:AU45"/>
    <mergeCell ref="Q16:T16"/>
    <mergeCell ref="K17:M17"/>
    <mergeCell ref="K19:O19"/>
    <mergeCell ref="Q19:U19"/>
    <mergeCell ref="W16:Z16"/>
    <mergeCell ref="W19:AA19"/>
    <mergeCell ref="W34:AA34"/>
    <mergeCell ref="W42:Z42"/>
  </mergeCells>
  <phoneticPr fontId="27" type="noConversion"/>
  <conditionalFormatting sqref="H9">
    <cfRule type="containsText" dxfId="2" priority="4" operator="containsText" text="부적격">
      <formula>NOT(ISERROR(SEARCH("부적격",H9)))</formula>
    </cfRule>
  </conditionalFormatting>
  <conditionalFormatting sqref="H15">
    <cfRule type="containsText" dxfId="1" priority="3" operator="containsText" text="부적격">
      <formula>NOT(ISERROR(SEARCH("부적격",H15)))</formula>
    </cfRule>
  </conditionalFormatting>
  <conditionalFormatting sqref="H16">
    <cfRule type="containsText" dxfId="0" priority="1" operator="containsText" text="부적격">
      <formula>NOT(ISERROR(SEARCH("부적격",H16)))</formula>
    </cfRule>
  </conditionalFormatting>
  <dataValidations disablePrompts="1" count="5">
    <dataValidation type="list" allowBlank="1" showInputMessage="1" showErrorMessage="1" sqref="F48" xr:uid="{00000000-0002-0000-0200-000000000000}">
      <formula1>$F$69:$F$71</formula1>
    </dataValidation>
    <dataValidation type="list" allowBlank="1" showInputMessage="1" showErrorMessage="1" sqref="E44:F45" xr:uid="{00000000-0002-0000-0200-000001000000}">
      <formula1>$F$66:$F$67</formula1>
    </dataValidation>
    <dataValidation type="list" allowBlank="1" showInputMessage="1" showErrorMessage="1" sqref="K47:K51" xr:uid="{00000000-0002-0000-0200-000002000000}">
      <formula1>$K$54:$K$55</formula1>
    </dataValidation>
    <dataValidation type="list" allowBlank="1" showInputMessage="1" showErrorMessage="1" sqref="F9 F15:F16" xr:uid="{00000000-0002-0000-0200-000003000000}">
      <formula1>$F$60:$F$64</formula1>
    </dataValidation>
    <dataValidation type="list" allowBlank="1" showInputMessage="1" showErrorMessage="1" sqref="F8 F14" xr:uid="{00000000-0002-0000-0200-000004000000}">
      <formula1>$F$54:$F$58</formula1>
    </dataValidation>
  </dataValidations>
  <pageMargins left="0.7" right="0.7" top="0.75" bottom="0.75" header="0.3" footer="0.3"/>
  <pageSetup paperSize="9" scale="1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일반공사감리</vt:lpstr>
      <vt:lpstr>상주공사감리</vt:lpstr>
      <vt:lpstr>상주공사감리(보조)</vt:lpstr>
      <vt:lpstr>상주공사감리!Print_Area</vt:lpstr>
      <vt:lpstr>'상주공사감리(보조)'!Print_Area</vt:lpstr>
      <vt:lpstr>일반공사감리!Print_Area</vt:lpstr>
    </vt:vector>
  </TitlesOfParts>
  <Company>lh-1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2016-03-30T06:06:58Z</cp:lastPrinted>
  <dcterms:created xsi:type="dcterms:W3CDTF">2012-06-07T04:50:45Z</dcterms:created>
  <dcterms:modified xsi:type="dcterms:W3CDTF">2025-04-15T06:08:48Z</dcterms:modified>
</cp:coreProperties>
</file>