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불예방 감리\산불예방 숲가꾸기 감리비 산출_ 위험성평가 실시규정(숲가꾸기)_260928042419765\"/>
    </mc:Choice>
  </mc:AlternateContent>
  <bookViews>
    <workbookView xWindow="0" yWindow="0" windowWidth="28800" windowHeight="11475" tabRatio="739" firstSheet="9" activeTab="10"/>
  </bookViews>
  <sheets>
    <sheet name="풀베기설계" sheetId="10" state="hidden" r:id="rId1"/>
    <sheet name="풀베기감리" sheetId="11" state="hidden" r:id="rId2"/>
    <sheet name="설계용역비(덩굴제거)" sheetId="12" state="hidden" r:id="rId3"/>
    <sheet name="감리용역비(덩굴제거)" sheetId="13" state="hidden" r:id="rId4"/>
    <sheet name="어린나무설계" sheetId="15" state="hidden" r:id="rId5"/>
    <sheet name="어린나무감리" sheetId="16" state="hidden" r:id="rId6"/>
    <sheet name="큰나무설계" sheetId="14" state="hidden" r:id="rId7"/>
    <sheet name="큰나무감리용역비" sheetId="1" state="hidden" r:id="rId8"/>
    <sheet name="감리용역비(임목수확)" sheetId="4" state="hidden" r:id="rId9"/>
    <sheet name="기초자료" sheetId="19" r:id="rId10"/>
    <sheet name="용역비 산출" sheetId="18" r:id="rId11"/>
    <sheet name="예정가격 평정서" sheetId="20" state="hidden" r:id="rId12"/>
    <sheet name="대상지" sheetId="2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Database" localSheetId="5">#REF!</definedName>
    <definedName name="_xlnm.Database" localSheetId="4">#REF!</definedName>
    <definedName name="_xlnm.Database" localSheetId="10">#REF!</definedName>
    <definedName name="_xlnm.Database">#REF!</definedName>
    <definedName name="_xlnm.Print_Area" localSheetId="3">'감리용역비(덩굴제거)'!$A$1:$J$34</definedName>
    <definedName name="_xlnm.Print_Area" localSheetId="9">기초자료!$A$1:$F$25</definedName>
    <definedName name="_xlnm.Print_Area" localSheetId="2">'설계용역비(덩굴제거)'!$A$1:$J$37</definedName>
    <definedName name="_xlnm.Print_Area" localSheetId="5">어린나무감리!$A$1:$J$32</definedName>
    <definedName name="_xlnm.Print_Area" localSheetId="4">어린나무설계!$A$1:$J$31</definedName>
    <definedName name="_xlnm.Print_Area" localSheetId="11">'예정가격 평정서'!$A$1:$G$25</definedName>
    <definedName name="_xlnm.Print_Area" localSheetId="10">'용역비 산출'!$A$1:$J$41</definedName>
    <definedName name="_xlnm.Print_Area" localSheetId="7">큰나무감리용역비!$A$1:$J$35</definedName>
    <definedName name="_xlnm.Print_Area" localSheetId="6">큰나무설계!$A$1:$J$37</definedName>
    <definedName name="_xlnm.Print_Area" localSheetId="1">풀베기감리!$A$1:$J$32</definedName>
    <definedName name="_xlnm.Print_Area" localSheetId="0">풀베기설계!$A$1:$J$36</definedName>
    <definedName name="_xlnm.Print_Titles" localSheetId="5">#REF!</definedName>
    <definedName name="_xlnm.Print_Titles" localSheetId="4">#REF!</definedName>
    <definedName name="_xlnm.Print_Titles" localSheetId="10">#REF!</definedName>
    <definedName name="_xlnm.Print_Titles">#REF!</definedName>
    <definedName name="_xlnm.Recorder" localSheetId="5">#REF!</definedName>
    <definedName name="_xlnm.Recorder" localSheetId="4">#REF!</definedName>
    <definedName name="_xlnm.Recorder" localSheetId="10">#REF!</definedName>
    <definedName name="_xlnm.Recorder">#REF!</definedName>
    <definedName name="ton" localSheetId="5">[1]화물차운임!#REF!</definedName>
    <definedName name="ton" localSheetId="4">[1]화물차운임!#REF!</definedName>
    <definedName name="ton" localSheetId="10">[1]화물차운임!#REF!</definedName>
    <definedName name="ton">[1]화물차운임!#REF!</definedName>
    <definedName name="U형측구" localSheetId="5">#REF!</definedName>
    <definedName name="U형측구" localSheetId="4">#REF!</definedName>
    <definedName name="U형측구" localSheetId="10">#REF!</definedName>
    <definedName name="U형측구">#REF!</definedName>
    <definedName name="공사명" localSheetId="5">#REF!</definedName>
    <definedName name="공사명" localSheetId="4">#REF!</definedName>
    <definedName name="공사명" localSheetId="10">#REF!</definedName>
    <definedName name="공사명">#REF!</definedName>
    <definedName name="구간" localSheetId="5">[1]화물차운임!#REF!</definedName>
    <definedName name="구간" localSheetId="4">[1]화물차운임!#REF!</definedName>
    <definedName name="구간" localSheetId="10">[1]화물차운임!#REF!</definedName>
    <definedName name="구간">[1]화물차운임!#REF!</definedName>
    <definedName name="기경수정" localSheetId="5">#REF!</definedName>
    <definedName name="기경수정" localSheetId="4">#REF!</definedName>
    <definedName name="기경수정" localSheetId="10">#REF!</definedName>
    <definedName name="기경수정">#REF!</definedName>
    <definedName name="나" localSheetId="5">[2]단재적표!#REF!</definedName>
    <definedName name="나" localSheetId="4">[2]단재적표!#REF!</definedName>
    <definedName name="나" localSheetId="10">[2]단재적표!#REF!</definedName>
    <definedName name="나">[2]단재적표!#REF!</definedName>
    <definedName name="변경설계내역서" localSheetId="5">#REF!</definedName>
    <definedName name="변경설계내역서" localSheetId="4">#REF!</definedName>
    <definedName name="변경설계내역서" localSheetId="10">#REF!</definedName>
    <definedName name="변경설계내역서">#REF!</definedName>
    <definedName name="비목1" localSheetId="5">#REF!</definedName>
    <definedName name="비목1" localSheetId="4">#REF!</definedName>
    <definedName name="비목1" localSheetId="10">#REF!</definedName>
    <definedName name="비목1">#REF!</definedName>
    <definedName name="비목2" localSheetId="5">#REF!</definedName>
    <definedName name="비목2" localSheetId="4">#REF!</definedName>
    <definedName name="비목2" localSheetId="10">#REF!</definedName>
    <definedName name="비목2">#REF!</definedName>
    <definedName name="비목3" localSheetId="5">#REF!</definedName>
    <definedName name="비목3" localSheetId="4">#REF!</definedName>
    <definedName name="비목3" localSheetId="10">#REF!</definedName>
    <definedName name="비목3">#REF!</definedName>
    <definedName name="비목4" localSheetId="5">#REF!</definedName>
    <definedName name="비목4" localSheetId="4">#REF!</definedName>
    <definedName name="비목4" localSheetId="10">#REF!</definedName>
    <definedName name="비목4">#REF!</definedName>
    <definedName name="사" localSheetId="5">[1]화물차운임!#REF!</definedName>
    <definedName name="사" localSheetId="4">[1]화물차운임!#REF!</definedName>
    <definedName name="사" localSheetId="10">[1]화물차운임!#REF!</definedName>
    <definedName name="사">[1]화물차운임!#REF!</definedName>
    <definedName name="산물대운반1구역" localSheetId="5">#REF!</definedName>
    <definedName name="산물대운반1구역" localSheetId="4">#REF!</definedName>
    <definedName name="산물대운반1구역" localSheetId="10">#REF!</definedName>
    <definedName name="산물대운반1구역">#REF!</definedName>
    <definedName name="산물대운반2구역" localSheetId="5">#REF!</definedName>
    <definedName name="산물대운반2구역" localSheetId="4">#REF!</definedName>
    <definedName name="산물대운반2구역" localSheetId="10">#REF!</definedName>
    <definedName name="산물대운반2구역">#REF!</definedName>
    <definedName name="산물수집" localSheetId="5">#REF!</definedName>
    <definedName name="산물수집" localSheetId="4">#REF!</definedName>
    <definedName name="산물수집" localSheetId="10">#REF!</definedName>
    <definedName name="산물수집">#REF!</definedName>
    <definedName name="수종">[3]단재적표!$B$1:$C$311</definedName>
    <definedName name="시가표담기">[4]사정표!$A$7:$C$26,[4]사정표!$F$7:$F$26,[4]사정표!$G$7:$G$26</definedName>
    <definedName name="어가" localSheetId="5">#REF!</definedName>
    <definedName name="어가" localSheetId="4">#REF!</definedName>
    <definedName name="어가" localSheetId="10">#REF!</definedName>
    <definedName name="어가">#REF!</definedName>
    <definedName name="어린" localSheetId="5">#REF!</definedName>
    <definedName name="어린" localSheetId="4">#REF!</definedName>
    <definedName name="어린" localSheetId="10">#REF!</definedName>
    <definedName name="어린">#REF!</definedName>
    <definedName name="열" localSheetId="5">[1]화물차운임!#REF!</definedName>
    <definedName name="열" localSheetId="4">[1]화물차운임!#REF!</definedName>
    <definedName name="열" localSheetId="10">[1]화물차운임!#REF!</definedName>
    <definedName name="열">[1]화물차운임!#REF!</definedName>
    <definedName name="이름">[5]단재적표!$B$1:$C$311</definedName>
    <definedName name="인" localSheetId="5">#REF!</definedName>
    <definedName name="인" localSheetId="4">#REF!</definedName>
    <definedName name="인" localSheetId="10">#REF!</definedName>
    <definedName name="인">#REF!</definedName>
    <definedName name="일위2" localSheetId="5">#REF!</definedName>
    <definedName name="일위2" localSheetId="4">#REF!</definedName>
    <definedName name="일위2" localSheetId="10">#REF!</definedName>
    <definedName name="일위2">#REF!</definedName>
    <definedName name="작지" localSheetId="5">#REF!</definedName>
    <definedName name="작지" localSheetId="4">#REF!</definedName>
    <definedName name="작지" localSheetId="10">#REF!</definedName>
    <definedName name="작지">#REF!</definedName>
    <definedName name="적용범위" localSheetId="5">[1]운반비산출!#REF!</definedName>
    <definedName name="적용범위" localSheetId="4">[1]운반비산출!#REF!</definedName>
    <definedName name="적용범위" localSheetId="10">[1]운반비산출!#REF!</definedName>
    <definedName name="적용범위">[1]운반비산출!#REF!</definedName>
    <definedName name="전석쌓기" localSheetId="5">#REF!</definedName>
    <definedName name="전석쌓기" localSheetId="4">#REF!</definedName>
    <definedName name="전석쌓기" localSheetId="10">#REF!</definedName>
    <definedName name="전석쌓기">#REF!</definedName>
    <definedName name="참" localSheetId="5">[6]단재적표!#REF!</definedName>
    <definedName name="참" localSheetId="4">[6]단재적표!#REF!</definedName>
    <definedName name="참" localSheetId="10">[6]단재적표!#REF!</definedName>
    <definedName name="참">[6]단재적표!#REF!</definedName>
    <definedName name="천" localSheetId="5">#REF!</definedName>
    <definedName name="천" localSheetId="4">#REF!</definedName>
    <definedName name="천" localSheetId="10">#REF!</definedName>
    <definedName name="천">#REF!</definedName>
    <definedName name="출장지" localSheetId="5">INDIRECT("데이타!A4:a"&amp;COUNTA(#REF!)+3)</definedName>
    <definedName name="출장지" localSheetId="4">INDIRECT("데이타!A4:a"&amp;COUNTA(#REF!)+3)</definedName>
    <definedName name="출장지" localSheetId="10">INDIRECT("데이타!A4:a"&amp;COUNTA(#REF!)+3)</definedName>
    <definedName name="출장지">INDIRECT("데이타!A4:a"&amp;COUNTA(#REF!)+3)</definedName>
    <definedName name="택" localSheetId="5">#REF!</definedName>
    <definedName name="택" localSheetId="4">#REF!</definedName>
    <definedName name="택" localSheetId="10">#REF!</definedName>
    <definedName name="택">#REF!</definedName>
    <definedName name="토공2">'[7]1'!$A$1:$O$51</definedName>
    <definedName name="호지별번호" localSheetId="5">#REF!</definedName>
    <definedName name="호지별번호" localSheetId="4">#REF!</definedName>
    <definedName name="호지별번호" localSheetId="10">#REF!</definedName>
    <definedName name="호지별번호">#REF!</definedName>
  </definedNames>
  <calcPr calcId="162913"/>
</workbook>
</file>

<file path=xl/calcChain.xml><?xml version="1.0" encoding="utf-8"?>
<calcChain xmlns="http://schemas.openxmlformats.org/spreadsheetml/2006/main">
  <c r="C14" i="20" l="1"/>
  <c r="C11" i="20"/>
  <c r="B4" i="20"/>
  <c r="J26" i="18"/>
  <c r="M8" i="18"/>
  <c r="G16" i="18" s="1"/>
  <c r="J16" i="18" s="1"/>
  <c r="T22" i="18"/>
  <c r="S22" i="18"/>
  <c r="S23" i="18" s="1"/>
  <c r="C19" i="18"/>
  <c r="C14" i="18"/>
  <c r="C13" i="18"/>
  <c r="M6" i="18"/>
  <c r="M5" i="18"/>
  <c r="G7" i="18" s="1"/>
  <c r="G8" i="18" s="1"/>
  <c r="J8" i="18" s="1"/>
  <c r="C10" i="20" l="1"/>
  <c r="Q15" i="18" l="1"/>
  <c r="C16" i="18" s="1"/>
  <c r="F6" i="2" l="1"/>
  <c r="G21" i="18" l="1"/>
  <c r="J21" i="18" s="1"/>
  <c r="F5" i="2"/>
  <c r="F4" i="2" s="1"/>
  <c r="G5" i="2"/>
  <c r="G4" i="2" s="1"/>
  <c r="H5" i="2"/>
  <c r="H4" i="2" s="1"/>
  <c r="E5" i="2"/>
  <c r="E4" i="2" s="1"/>
  <c r="M7" i="18" l="1"/>
  <c r="G15" i="18" l="1"/>
  <c r="G13" i="18"/>
  <c r="G14" i="18"/>
  <c r="J14" i="18" s="1"/>
  <c r="C24" i="18"/>
  <c r="J24" i="18" s="1"/>
  <c r="C18" i="18"/>
  <c r="H40" i="18"/>
  <c r="I19" i="18" s="1"/>
  <c r="H39" i="18"/>
  <c r="I18" i="18" s="1"/>
  <c r="J25" i="18"/>
  <c r="J27" i="18" s="1"/>
  <c r="J7" i="18"/>
  <c r="G22" i="18"/>
  <c r="C22" i="18"/>
  <c r="G10" i="18"/>
  <c r="G14" i="14"/>
  <c r="H31" i="16"/>
  <c r="H32" i="16" s="1"/>
  <c r="I11" i="16" s="1"/>
  <c r="J22" i="1"/>
  <c r="J20" i="10"/>
  <c r="J19" i="10"/>
  <c r="J17" i="16"/>
  <c r="G14" i="16"/>
  <c r="C14" i="16"/>
  <c r="C12" i="16"/>
  <c r="G15" i="16"/>
  <c r="G11" i="16"/>
  <c r="G13" i="16" s="1"/>
  <c r="G9" i="16"/>
  <c r="C15" i="16"/>
  <c r="J15" i="16" s="1"/>
  <c r="C9" i="16"/>
  <c r="C7" i="16"/>
  <c r="J7" i="16" s="1"/>
  <c r="H30" i="15"/>
  <c r="I10" i="15" s="1"/>
  <c r="C17" i="15"/>
  <c r="J17" i="15" s="1"/>
  <c r="J15" i="15"/>
  <c r="J14" i="15"/>
  <c r="C11" i="15"/>
  <c r="J11" i="15" s="1"/>
  <c r="C10" i="15"/>
  <c r="G9" i="15"/>
  <c r="C7" i="15"/>
  <c r="C22" i="14"/>
  <c r="J22" i="14" s="1"/>
  <c r="G12" i="14"/>
  <c r="G13" i="14"/>
  <c r="G11" i="14"/>
  <c r="G9" i="14"/>
  <c r="G18" i="18" l="1"/>
  <c r="J18" i="18" s="1"/>
  <c r="J13" i="18"/>
  <c r="J12" i="18" s="1"/>
  <c r="G19" i="18"/>
  <c r="J19" i="18" s="1"/>
  <c r="G20" i="18"/>
  <c r="J20" i="18"/>
  <c r="J22" i="18"/>
  <c r="J9" i="16"/>
  <c r="J13" i="16"/>
  <c r="J18" i="10"/>
  <c r="I9" i="16"/>
  <c r="I14" i="16"/>
  <c r="J14" i="16" s="1"/>
  <c r="C18" i="16"/>
  <c r="J18" i="16" s="1"/>
  <c r="J19" i="16" s="1"/>
  <c r="I12" i="16"/>
  <c r="J12" i="16" s="1"/>
  <c r="I13" i="16"/>
  <c r="G11" i="18"/>
  <c r="J11" i="18" s="1"/>
  <c r="I14" i="18"/>
  <c r="I13" i="18"/>
  <c r="J15" i="18"/>
  <c r="J10" i="18"/>
  <c r="J9" i="18" s="1"/>
  <c r="J11" i="16"/>
  <c r="J13" i="15"/>
  <c r="J10" i="15"/>
  <c r="I7" i="15"/>
  <c r="J7" i="15" s="1"/>
  <c r="J18" i="15"/>
  <c r="I9" i="15"/>
  <c r="J9" i="15" s="1"/>
  <c r="H31" i="15"/>
  <c r="H36" i="14"/>
  <c r="I13" i="14" s="1"/>
  <c r="J13" i="14" s="1"/>
  <c r="H35" i="14"/>
  <c r="I7" i="14" s="1"/>
  <c r="J7" i="14" s="1"/>
  <c r="J20" i="14"/>
  <c r="C21" i="14" s="1"/>
  <c r="J21" i="14" s="1"/>
  <c r="C20" i="14"/>
  <c r="J18" i="14"/>
  <c r="J17" i="14"/>
  <c r="J14" i="14"/>
  <c r="C14" i="14"/>
  <c r="C13" i="14"/>
  <c r="C12" i="14"/>
  <c r="C10" i="14"/>
  <c r="C7" i="14"/>
  <c r="J17" i="18" l="1"/>
  <c r="J23" i="18" s="1"/>
  <c r="I12" i="14"/>
  <c r="J12" i="14"/>
  <c r="J16" i="16"/>
  <c r="J16" i="14"/>
  <c r="J23" i="14" s="1"/>
  <c r="H37" i="14"/>
  <c r="I11" i="14"/>
  <c r="J11" i="14" s="1"/>
  <c r="J28" i="18" l="1"/>
  <c r="J29" i="18" s="1"/>
  <c r="J20" i="16"/>
  <c r="J21" i="16" s="1"/>
  <c r="J22" i="16" s="1"/>
  <c r="J12" i="15"/>
  <c r="I10" i="14"/>
  <c r="J10" i="14" s="1"/>
  <c r="I9" i="14"/>
  <c r="J9" i="14" s="1"/>
  <c r="M23" i="18" l="1"/>
  <c r="J30" i="18"/>
  <c r="E31" i="18" s="1"/>
  <c r="H23" i="16"/>
  <c r="E23" i="16"/>
  <c r="J19" i="15"/>
  <c r="J20" i="15" s="1"/>
  <c r="J21" i="15" s="1"/>
  <c r="J15" i="14"/>
  <c r="J24" i="14" s="1"/>
  <c r="J25" i="14" s="1"/>
  <c r="J26" i="14" s="1"/>
  <c r="H31" i="18" l="1"/>
  <c r="J31" i="18" s="1"/>
  <c r="J32" i="18" s="1"/>
  <c r="J33" i="18" s="1"/>
  <c r="J23" i="16"/>
  <c r="J24" i="16" s="1"/>
  <c r="J25" i="16" s="1"/>
  <c r="J26" i="16" s="1"/>
  <c r="J27" i="16" s="1"/>
  <c r="H22" i="15"/>
  <c r="E22" i="15"/>
  <c r="E27" i="14"/>
  <c r="H27" i="14"/>
  <c r="J34" i="18" l="1"/>
  <c r="J35" i="18" s="1"/>
  <c r="J22" i="15"/>
  <c r="J23" i="15" s="1"/>
  <c r="J24" i="15" s="1"/>
  <c r="J25" i="15" s="1"/>
  <c r="J26" i="15" s="1"/>
  <c r="J27" i="14"/>
  <c r="J28" i="14" s="1"/>
  <c r="J29" i="14" l="1"/>
  <c r="J30" i="14" s="1"/>
  <c r="J31" i="14" s="1"/>
  <c r="H33" i="13" l="1"/>
  <c r="H34" i="13" s="1"/>
  <c r="C20" i="13"/>
  <c r="J20" i="13" s="1"/>
  <c r="J19" i="13"/>
  <c r="G17" i="13"/>
  <c r="C17" i="13"/>
  <c r="G16" i="13"/>
  <c r="C16" i="13"/>
  <c r="G15" i="13"/>
  <c r="C15" i="13"/>
  <c r="C13" i="13"/>
  <c r="G12" i="13"/>
  <c r="C12" i="13"/>
  <c r="G9" i="13"/>
  <c r="C9" i="13"/>
  <c r="C8" i="13"/>
  <c r="J8" i="13" s="1"/>
  <c r="H36" i="12"/>
  <c r="H35" i="12"/>
  <c r="H37" i="12" s="1"/>
  <c r="C22" i="12"/>
  <c r="J22" i="12" s="1"/>
  <c r="C21" i="12"/>
  <c r="J21" i="12" s="1"/>
  <c r="J20" i="12" s="1"/>
  <c r="J19" i="12"/>
  <c r="J18" i="12"/>
  <c r="G15" i="12"/>
  <c r="C15" i="12"/>
  <c r="G14" i="12"/>
  <c r="G13" i="12"/>
  <c r="C13" i="12"/>
  <c r="G10" i="12"/>
  <c r="C10" i="12"/>
  <c r="C11" i="12" s="1"/>
  <c r="C8" i="12"/>
  <c r="J21" i="13" l="1"/>
  <c r="J17" i="12"/>
  <c r="J23" i="12" s="1"/>
  <c r="J15" i="12"/>
  <c r="I17" i="13"/>
  <c r="J17" i="13" s="1"/>
  <c r="I12" i="13"/>
  <c r="J12" i="13" s="1"/>
  <c r="I13" i="13"/>
  <c r="J13" i="13" s="1"/>
  <c r="I15" i="13"/>
  <c r="J15" i="13" s="1"/>
  <c r="I9" i="13"/>
  <c r="J9" i="13" s="1"/>
  <c r="I16" i="13"/>
  <c r="J16" i="13" s="1"/>
  <c r="I11" i="12"/>
  <c r="I14" i="12"/>
  <c r="I10" i="12"/>
  <c r="J10" i="12" s="1"/>
  <c r="I8" i="12"/>
  <c r="J8" i="12" s="1"/>
  <c r="I13" i="12"/>
  <c r="J13" i="12" s="1"/>
  <c r="J11" i="12"/>
  <c r="C14" i="12"/>
  <c r="J14" i="12" l="1"/>
  <c r="J12" i="12" s="1"/>
  <c r="J9" i="12"/>
  <c r="J14" i="13"/>
  <c r="J11" i="13"/>
  <c r="J16" i="12" l="1"/>
  <c r="J18" i="13"/>
  <c r="J24" i="12"/>
  <c r="J25" i="12" s="1"/>
  <c r="J26" i="12" s="1"/>
  <c r="J22" i="13" l="1"/>
  <c r="J23" i="13" s="1"/>
  <c r="J24" i="13" s="1"/>
  <c r="H25" i="13" s="1"/>
  <c r="H27" i="12"/>
  <c r="E27" i="12"/>
  <c r="J27" i="12" l="1"/>
  <c r="J28" i="12" s="1"/>
  <c r="J29" i="12" s="1"/>
  <c r="J30" i="12" s="1"/>
  <c r="J31" i="12" s="1"/>
  <c r="E25" i="13"/>
  <c r="J25" i="13" s="1"/>
  <c r="J26" i="13" s="1"/>
  <c r="J27" i="13" s="1"/>
  <c r="J28" i="13" s="1"/>
  <c r="J29" i="13" s="1"/>
  <c r="G31" i="11" l="1"/>
  <c r="G32" i="11" s="1"/>
  <c r="I13" i="11" s="1"/>
  <c r="E31" i="11"/>
  <c r="E32" i="11" s="1"/>
  <c r="C31" i="11"/>
  <c r="C32" i="11" s="1"/>
  <c r="I9" i="11" s="1"/>
  <c r="J16" i="11"/>
  <c r="G13" i="11"/>
  <c r="G12" i="11"/>
  <c r="J10" i="11"/>
  <c r="G9" i="11"/>
  <c r="H4" i="11"/>
  <c r="J8" i="11" s="1"/>
  <c r="C13" i="11" l="1"/>
  <c r="J13" i="11" s="1"/>
  <c r="C12" i="11"/>
  <c r="C9" i="11"/>
  <c r="J9" i="11" s="1"/>
  <c r="I12" i="11"/>
  <c r="I11" i="11"/>
  <c r="C11" i="11"/>
  <c r="C15" i="11"/>
  <c r="J15" i="11" s="1"/>
  <c r="J17" i="11" s="1"/>
  <c r="J12" i="11" l="1"/>
  <c r="J11" i="11"/>
  <c r="J14" i="11" l="1"/>
  <c r="J18" i="11" s="1"/>
  <c r="J19" i="11" s="1"/>
  <c r="J20" i="11" s="1"/>
  <c r="H21" i="11" l="1"/>
  <c r="E21" i="11"/>
  <c r="J21" i="11" l="1"/>
  <c r="J22" i="11" s="1"/>
  <c r="J23" i="11" l="1"/>
  <c r="J24" i="11" s="1"/>
  <c r="G36" i="10"/>
  <c r="I14" i="10" s="1"/>
  <c r="J17" i="10"/>
  <c r="J21" i="10" s="1"/>
  <c r="G15" i="10"/>
  <c r="J15" i="10" s="1"/>
  <c r="G14" i="10"/>
  <c r="I13" i="10"/>
  <c r="G13" i="10"/>
  <c r="C13" i="10"/>
  <c r="E34" i="10" s="1"/>
  <c r="E36" i="10" s="1"/>
  <c r="C12" i="10"/>
  <c r="G11" i="10"/>
  <c r="C11" i="10"/>
  <c r="H5" i="10"/>
  <c r="C20" i="1"/>
  <c r="C19" i="1"/>
  <c r="C18" i="1"/>
  <c r="J18" i="1" s="1"/>
  <c r="C14" i="1"/>
  <c r="C13" i="1"/>
  <c r="C9" i="1"/>
  <c r="C7" i="1"/>
  <c r="G20" i="1"/>
  <c r="G19" i="1"/>
  <c r="G18" i="1"/>
  <c r="G17" i="1"/>
  <c r="G16" i="1"/>
  <c r="G14" i="1"/>
  <c r="G13" i="1"/>
  <c r="G11" i="1"/>
  <c r="G9" i="1"/>
  <c r="G8" i="1"/>
  <c r="J13" i="1"/>
  <c r="H34" i="1"/>
  <c r="I17" i="1" s="1"/>
  <c r="J17" i="1" s="1"/>
  <c r="J20" i="1" l="1"/>
  <c r="J13" i="10"/>
  <c r="J14" i="10"/>
  <c r="I12" i="10"/>
  <c r="J12" i="10" s="1"/>
  <c r="I11" i="10"/>
  <c r="J11" i="10" s="1"/>
  <c r="C34" i="10"/>
  <c r="C36" i="10" s="1"/>
  <c r="I9" i="10" s="1"/>
  <c r="J9" i="10" s="1"/>
  <c r="I12" i="1"/>
  <c r="J12" i="1" s="1"/>
  <c r="J9" i="1"/>
  <c r="J8" i="1"/>
  <c r="J16" i="10" l="1"/>
  <c r="H35" i="1"/>
  <c r="I18" i="4"/>
  <c r="C13" i="4"/>
  <c r="I13" i="4" s="1"/>
  <c r="C8" i="4"/>
  <c r="I8" i="4" s="1"/>
  <c r="I15" i="4"/>
  <c r="I12" i="4"/>
  <c r="C11" i="4"/>
  <c r="I11" i="4" s="1"/>
  <c r="C10" i="4"/>
  <c r="I10" i="4" s="1"/>
  <c r="I7" i="4"/>
  <c r="J7" i="1"/>
  <c r="J22" i="10" l="1"/>
  <c r="I16" i="1"/>
  <c r="J16" i="1" s="1"/>
  <c r="J14" i="1"/>
  <c r="I11" i="1"/>
  <c r="J11" i="1" s="1"/>
  <c r="J19" i="1"/>
  <c r="I14" i="4"/>
  <c r="I17" i="4"/>
  <c r="J23" i="10" l="1"/>
  <c r="J24" i="10" s="1"/>
  <c r="J21" i="1"/>
  <c r="I19" i="4"/>
  <c r="E25" i="10" l="1"/>
  <c r="H25" i="10"/>
  <c r="J23" i="1"/>
  <c r="J24" i="1" s="1"/>
  <c r="I20" i="4"/>
  <c r="I21" i="4" s="1"/>
  <c r="I22" i="4" s="1"/>
  <c r="I23" i="4" s="1"/>
  <c r="I24" i="4" s="1"/>
  <c r="J25" i="1" l="1"/>
  <c r="J25" i="10"/>
  <c r="J26" i="10" s="1"/>
  <c r="E26" i="1"/>
  <c r="H26" i="1"/>
  <c r="J27" i="10" l="1"/>
  <c r="J28" i="10" s="1"/>
  <c r="J26" i="1"/>
  <c r="J27" i="1" s="1"/>
  <c r="J28" i="1" l="1"/>
  <c r="J29" i="1" s="1"/>
  <c r="J30" i="1" s="1"/>
</calcChain>
</file>

<file path=xl/sharedStrings.xml><?xml version="1.0" encoding="utf-8"?>
<sst xmlns="http://schemas.openxmlformats.org/spreadsheetml/2006/main" count="1126" uniqueCount="544">
  <si>
    <t>사업면적</t>
    <phoneticPr fontId="2" type="noConversion"/>
  </si>
  <si>
    <t>구분</t>
    <phoneticPr fontId="2" type="noConversion"/>
  </si>
  <si>
    <t>항목</t>
    <phoneticPr fontId="2" type="noConversion"/>
  </si>
  <si>
    <t>수 량</t>
    <phoneticPr fontId="2" type="noConversion"/>
  </si>
  <si>
    <t>(면적, 수량)</t>
    <phoneticPr fontId="2" type="noConversion"/>
  </si>
  <si>
    <t>단위</t>
    <phoneticPr fontId="2" type="noConversion"/>
  </si>
  <si>
    <t>ha</t>
    <phoneticPr fontId="2" type="noConversion"/>
  </si>
  <si>
    <t>품</t>
    <phoneticPr fontId="2" type="noConversion"/>
  </si>
  <si>
    <t>(인원,수량,요율)</t>
    <phoneticPr fontId="2" type="noConversion"/>
  </si>
  <si>
    <t>단   가</t>
    <phoneticPr fontId="2" type="noConversion"/>
  </si>
  <si>
    <t>(금   액)</t>
    <phoneticPr fontId="2" type="noConversion"/>
  </si>
  <si>
    <t>종류</t>
    <phoneticPr fontId="2" type="noConversion"/>
  </si>
  <si>
    <t>금  액</t>
    <phoneticPr fontId="2" type="noConversion"/>
  </si>
  <si>
    <t xml:space="preserve"> - 초급기술자</t>
    <phoneticPr fontId="2" type="noConversion"/>
  </si>
  <si>
    <t xml:space="preserve"> - 특급기술자</t>
    <phoneticPr fontId="2" type="noConversion"/>
  </si>
  <si>
    <t>소     계</t>
    <phoneticPr fontId="2" type="noConversion"/>
  </si>
  <si>
    <t>재 료 유 인 비</t>
    <phoneticPr fontId="2" type="noConversion"/>
  </si>
  <si>
    <t>재 료 비</t>
    <phoneticPr fontId="2" type="noConversion"/>
  </si>
  <si>
    <t>소     계</t>
    <phoneticPr fontId="2" type="noConversion"/>
  </si>
  <si>
    <t>직
접
인
건
비</t>
    <phoneticPr fontId="2" type="noConversion"/>
  </si>
  <si>
    <t>직
접
경
비</t>
    <phoneticPr fontId="2" type="noConversion"/>
  </si>
  <si>
    <t>제     경     비</t>
    <phoneticPr fontId="2" type="noConversion"/>
  </si>
  <si>
    <t>기     술     료</t>
    <phoneticPr fontId="2" type="noConversion"/>
  </si>
  <si>
    <t>총     원     가</t>
    <phoneticPr fontId="2" type="noConversion"/>
  </si>
  <si>
    <t>부 가 가 치 세</t>
    <phoneticPr fontId="2" type="noConversion"/>
  </si>
  <si>
    <t>합             계</t>
    <phoneticPr fontId="2" type="noConversion"/>
  </si>
  <si>
    <t>인/ha</t>
    <phoneticPr fontId="2" type="noConversion"/>
  </si>
  <si>
    <t>특급기술자</t>
    <phoneticPr fontId="2" type="noConversion"/>
  </si>
  <si>
    <t>초급기술자</t>
    <phoneticPr fontId="2" type="noConversion"/>
  </si>
  <si>
    <t>초급기술자</t>
    <phoneticPr fontId="2" type="noConversion"/>
  </si>
  <si>
    <t>특급기술자</t>
    <phoneticPr fontId="2" type="noConversion"/>
  </si>
  <si>
    <t>특급기술자</t>
    <phoneticPr fontId="2" type="noConversion"/>
  </si>
  <si>
    <t>건</t>
    <phoneticPr fontId="2" type="noConversion"/>
  </si>
  <si>
    <t>부/건</t>
    <phoneticPr fontId="2" type="noConversion"/>
  </si>
  <si>
    <t>재료유인비</t>
    <phoneticPr fontId="2" type="noConversion"/>
  </si>
  <si>
    <t>직접인건비 × 110%</t>
    <phoneticPr fontId="2" type="noConversion"/>
  </si>
  <si>
    <t>(직접인건비+제경비) × 20%</t>
    <phoneticPr fontId="2" type="noConversion"/>
  </si>
  <si>
    <t>총원가 × 10%</t>
    <phoneticPr fontId="2" type="noConversion"/>
  </si>
  <si>
    <t>사 업 비 제 계</t>
    <phoneticPr fontId="2" type="noConversion"/>
  </si>
  <si>
    <t>천원미만 절사</t>
    <phoneticPr fontId="2" type="noConversion"/>
  </si>
  <si>
    <t>□ 감리용역비 산출내역서</t>
    <phoneticPr fontId="2" type="noConversion"/>
  </si>
  <si>
    <t>설계서 검토</t>
    <phoneticPr fontId="2" type="noConversion"/>
  </si>
  <si>
    <t>건</t>
    <phoneticPr fontId="2" type="noConversion"/>
  </si>
  <si>
    <t>일/인</t>
    <phoneticPr fontId="2" type="noConversion"/>
  </si>
  <si>
    <t>현 장 지 도</t>
    <phoneticPr fontId="2" type="noConversion"/>
  </si>
  <si>
    <t>사 업 평 가</t>
    <phoneticPr fontId="2" type="noConversion"/>
  </si>
  <si>
    <t>㎥</t>
    <phoneticPr fontId="2" type="noConversion"/>
  </si>
  <si>
    <t>사 업 비 정 산</t>
    <phoneticPr fontId="2" type="noConversion"/>
  </si>
  <si>
    <t>인/건</t>
    <phoneticPr fontId="2" type="noConversion"/>
  </si>
  <si>
    <t>㎥/인/일</t>
    <phoneticPr fontId="2" type="noConversion"/>
  </si>
  <si>
    <t>감리보고서작성</t>
    <phoneticPr fontId="2" type="noConversion"/>
  </si>
  <si>
    <t>기타인건비(검척)</t>
    <phoneticPr fontId="2" type="noConversion"/>
  </si>
  <si>
    <t>직접인건비 + 직접경비 + 제경비 + 기술료+기타인건비</t>
    <phoneticPr fontId="2" type="noConversion"/>
  </si>
  <si>
    <t>고급기술자</t>
    <phoneticPr fontId="2" type="noConversion"/>
  </si>
  <si>
    <t>할인
·
증률</t>
    <phoneticPr fontId="2" type="noConversion"/>
  </si>
  <si>
    <t>* 할인 · 할증 요소</t>
    <phoneticPr fontId="2" type="noConversion"/>
  </si>
  <si>
    <t>구  분</t>
    <phoneticPr fontId="2" type="noConversion"/>
  </si>
  <si>
    <t>조사계절</t>
    <phoneticPr fontId="2" type="noConversion"/>
  </si>
  <si>
    <t>산물수집</t>
    <phoneticPr fontId="2" type="noConversion"/>
  </si>
  <si>
    <t>계</t>
    <phoneticPr fontId="2" type="noConversion"/>
  </si>
  <si>
    <t>내   용</t>
    <phoneticPr fontId="2" type="noConversion"/>
  </si>
  <si>
    <t>할인,할증</t>
    <phoneticPr fontId="2" type="noConversion"/>
  </si>
  <si>
    <t>10월~11월, 3월~3월</t>
    <phoneticPr fontId="2" type="noConversion"/>
  </si>
  <si>
    <t>12월~2월</t>
    <phoneticPr fontId="2" type="noConversion"/>
  </si>
  <si>
    <t>5월~9월</t>
    <phoneticPr fontId="2" type="noConversion"/>
  </si>
  <si>
    <t>할인 · 증률</t>
    <phoneticPr fontId="2" type="noConversion"/>
  </si>
  <si>
    <t>고급기술자</t>
    <phoneticPr fontId="2" type="noConversion"/>
  </si>
  <si>
    <t>개 소 :</t>
    <phoneticPr fontId="2" type="noConversion"/>
  </si>
  <si>
    <t>순     원     가</t>
    <phoneticPr fontId="2" type="noConversion"/>
  </si>
  <si>
    <t>손해배상 공제보험</t>
    <phoneticPr fontId="2" type="noConversion"/>
  </si>
  <si>
    <t>총     원     가</t>
    <phoneticPr fontId="2" type="noConversion"/>
  </si>
  <si>
    <t>1단계공제료</t>
    <phoneticPr fontId="2" type="noConversion"/>
  </si>
  <si>
    <t>2단계공제료</t>
    <phoneticPr fontId="2" type="noConversion"/>
  </si>
  <si>
    <t xml:space="preserve"> 순원가 + 손해배상 공제보험료</t>
  </si>
  <si>
    <t>1단계 5억원이하</t>
  </si>
  <si>
    <t>농림부분</t>
  </si>
  <si>
    <t>표준담보</t>
  </si>
  <si>
    <t xml:space="preserve">2단계 </t>
  </si>
  <si>
    <t>순원가의</t>
  </si>
  <si>
    <t>2년초과시</t>
  </si>
  <si>
    <t>사 전 교 육</t>
    <phoneticPr fontId="2" type="noConversion"/>
  </si>
  <si>
    <t>사 전 조 사</t>
    <phoneticPr fontId="2" type="noConversion"/>
  </si>
  <si>
    <t>설계서사전검토</t>
    <phoneticPr fontId="2" type="noConversion"/>
  </si>
  <si>
    <t>현 장 지 도</t>
    <phoneticPr fontId="2" type="noConversion"/>
  </si>
  <si>
    <t>예비준공검사</t>
    <phoneticPr fontId="2" type="noConversion"/>
  </si>
  <si>
    <t>건</t>
    <phoneticPr fontId="2" type="noConversion"/>
  </si>
  <si>
    <t>고급기술자</t>
    <phoneticPr fontId="2" type="noConversion"/>
  </si>
  <si>
    <t>ha</t>
    <phoneticPr fontId="2" type="noConversion"/>
  </si>
  <si>
    <t>인/ha</t>
    <phoneticPr fontId="2" type="noConversion"/>
  </si>
  <si>
    <t>초급기술자</t>
    <phoneticPr fontId="2" type="noConversion"/>
  </si>
  <si>
    <t>인/ha</t>
    <phoneticPr fontId="2" type="noConversion"/>
  </si>
  <si>
    <t>초급기술자</t>
    <phoneticPr fontId="2" type="noConversion"/>
  </si>
  <si>
    <t>재해예방 수집 감리</t>
    <phoneticPr fontId="2" type="noConversion"/>
  </si>
  <si>
    <t>산물활용 수집 감리</t>
    <phoneticPr fontId="2" type="noConversion"/>
  </si>
  <si>
    <t>일부구간 산물활용 수집 감리</t>
    <phoneticPr fontId="2" type="noConversion"/>
  </si>
  <si>
    <t>수집면적</t>
    <phoneticPr fontId="2" type="noConversion"/>
  </si>
  <si>
    <t>직접인건비 + 제경비 + 기술료</t>
    <phoneticPr fontId="2" type="noConversion"/>
  </si>
  <si>
    <t>인/건</t>
    <phoneticPr fontId="2" type="noConversion"/>
  </si>
  <si>
    <t xml:space="preserve"> - 고급기술자(수집)</t>
    <phoneticPr fontId="2" type="noConversion"/>
  </si>
  <si>
    <t xml:space="preserve"> - 초급기술자(수집)</t>
    <phoneticPr fontId="2" type="noConversion"/>
  </si>
  <si>
    <t xml:space="preserve"> - 고급기술자(미수집)</t>
    <phoneticPr fontId="2" type="noConversion"/>
  </si>
  <si>
    <t xml:space="preserve"> - 초급기술자(미수집)</t>
    <phoneticPr fontId="2" type="noConversion"/>
  </si>
  <si>
    <t>ha</t>
    <phoneticPr fontId="2" type="noConversion"/>
  </si>
  <si>
    <t>인/ha</t>
    <phoneticPr fontId="2" type="noConversion"/>
  </si>
  <si>
    <t>고급기술자</t>
    <phoneticPr fontId="2" type="noConversion"/>
  </si>
  <si>
    <t xml:space="preserve"> - 고급기술자(수집)</t>
    <phoneticPr fontId="2" type="noConversion"/>
  </si>
  <si>
    <t xml:space="preserve"> - 초급기술자(미수집)</t>
    <phoneticPr fontId="2" type="noConversion"/>
  </si>
  <si>
    <t>인/ha</t>
    <phoneticPr fontId="2" type="noConversion"/>
  </si>
  <si>
    <t>□ 숲가꾸기 감리 용역비 산출내역서(기번1)</t>
    <phoneticPr fontId="2" type="noConversion"/>
  </si>
  <si>
    <t>봉화.봉성.우곡. 6임반 2소반 외 10개소</t>
    <phoneticPr fontId="2" type="noConversion"/>
  </si>
  <si>
    <t>40.6ha</t>
    <phoneticPr fontId="2" type="noConversion"/>
  </si>
  <si>
    <t>감리보고서작성</t>
    <phoneticPr fontId="2" type="noConversion"/>
  </si>
  <si>
    <t>인/ha</t>
    <phoneticPr fontId="2" type="noConversion"/>
  </si>
  <si>
    <t>고급기술자</t>
    <phoneticPr fontId="2" type="noConversion"/>
  </si>
  <si>
    <t>재해예방 수집 감리</t>
  </si>
  <si>
    <t>풀베기 실시설계 용역비 산출서(기번1)</t>
    <phoneticPr fontId="2" type="noConversion"/>
  </si>
  <si>
    <t>o 개소: 봉화.석포.대현. 121-0-6-0 외 27</t>
    <phoneticPr fontId="2" type="noConversion"/>
  </si>
  <si>
    <t>o 시공: 기번1~3</t>
    <phoneticPr fontId="2" type="noConversion"/>
  </si>
  <si>
    <t>조림 후 경과년수</t>
    <phoneticPr fontId="2" type="noConversion"/>
  </si>
  <si>
    <t>1회풀베기</t>
    <phoneticPr fontId="2" type="noConversion"/>
  </si>
  <si>
    <t>2회풀베기</t>
    <phoneticPr fontId="2" type="noConversion"/>
  </si>
  <si>
    <t>계</t>
    <phoneticPr fontId="2" type="noConversion"/>
  </si>
  <si>
    <t>개소수</t>
    <phoneticPr fontId="2" type="noConversion"/>
  </si>
  <si>
    <t>1년차</t>
    <phoneticPr fontId="2" type="noConversion"/>
  </si>
  <si>
    <t>2년차</t>
    <phoneticPr fontId="2" type="noConversion"/>
  </si>
  <si>
    <t>3년차이상</t>
    <phoneticPr fontId="2" type="noConversion"/>
  </si>
  <si>
    <t>2,3,4년차</t>
    <phoneticPr fontId="2" type="noConversion"/>
  </si>
  <si>
    <t>시공1~3</t>
    <phoneticPr fontId="2" type="noConversion"/>
  </si>
  <si>
    <t>사업면적(ha)</t>
    <phoneticPr fontId="2" type="noConversion"/>
  </si>
  <si>
    <t>구분</t>
    <phoneticPr fontId="2" type="noConversion"/>
  </si>
  <si>
    <t>항목</t>
    <phoneticPr fontId="2" type="noConversion"/>
  </si>
  <si>
    <t>수 량
(면적, 수량)</t>
    <phoneticPr fontId="2" type="noConversion"/>
  </si>
  <si>
    <t>품
(인원,수량,요율)</t>
    <phoneticPr fontId="2" type="noConversion"/>
  </si>
  <si>
    <t>단가
(금액)</t>
    <phoneticPr fontId="2" type="noConversion"/>
  </si>
  <si>
    <t>할인
·
증률</t>
    <phoneticPr fontId="2" type="noConversion"/>
  </si>
  <si>
    <t>금액</t>
    <phoneticPr fontId="2" type="noConversion"/>
  </si>
  <si>
    <t>단위</t>
    <phoneticPr fontId="2" type="noConversion"/>
  </si>
  <si>
    <t>종류</t>
    <phoneticPr fontId="2" type="noConversion"/>
  </si>
  <si>
    <t>직
접
인
건
비</t>
    <phoneticPr fontId="2" type="noConversion"/>
  </si>
  <si>
    <t>o 사전조사 · 확인</t>
    <phoneticPr fontId="2" type="noConversion"/>
  </si>
  <si>
    <t>ha</t>
    <phoneticPr fontId="2" type="noConversion"/>
  </si>
  <si>
    <t>인/ha</t>
    <phoneticPr fontId="2" type="noConversion"/>
  </si>
  <si>
    <t>고급기술자</t>
    <phoneticPr fontId="2" type="noConversion"/>
  </si>
  <si>
    <t>o 표 준 지 조 사</t>
    <phoneticPr fontId="2" type="noConversion"/>
  </si>
  <si>
    <t xml:space="preserve"> - 고급기술자</t>
    <phoneticPr fontId="2" type="noConversion"/>
  </si>
  <si>
    <t xml:space="preserve"> - 고급기술자</t>
    <phoneticPr fontId="2" type="noConversion"/>
  </si>
  <si>
    <t xml:space="preserve"> - 초급기술자</t>
    <phoneticPr fontId="2" type="noConversion"/>
  </si>
  <si>
    <t xml:space="preserve"> - 초급기술자</t>
    <phoneticPr fontId="2" type="noConversion"/>
  </si>
  <si>
    <t>초급기술자</t>
    <phoneticPr fontId="2" type="noConversion"/>
  </si>
  <si>
    <t>o 설계도 · 서 작성(1차)</t>
    <phoneticPr fontId="2" type="noConversion"/>
  </si>
  <si>
    <t>o 설계도 · 서 작성(2차)</t>
    <phoneticPr fontId="2" type="noConversion"/>
  </si>
  <si>
    <t>o 작 업 자 교 육</t>
    <phoneticPr fontId="2" type="noConversion"/>
  </si>
  <si>
    <t>건</t>
    <phoneticPr fontId="2" type="noConversion"/>
  </si>
  <si>
    <t>인/건</t>
    <phoneticPr fontId="2" type="noConversion"/>
  </si>
  <si>
    <t>고급기술자</t>
    <phoneticPr fontId="2" type="noConversion"/>
  </si>
  <si>
    <t>소             계</t>
    <phoneticPr fontId="2" type="noConversion"/>
  </si>
  <si>
    <t>소             계</t>
    <phoneticPr fontId="2" type="noConversion"/>
  </si>
  <si>
    <t>직
접
경
비</t>
    <phoneticPr fontId="2" type="noConversion"/>
  </si>
  <si>
    <t>직
접
경
비</t>
    <phoneticPr fontId="2" type="noConversion"/>
  </si>
  <si>
    <t>o 표 준 지 조 사</t>
    <phoneticPr fontId="2" type="noConversion"/>
  </si>
  <si>
    <t>ha</t>
    <phoneticPr fontId="2" type="noConversion"/>
  </si>
  <si>
    <t>Roll/10ha</t>
    <phoneticPr fontId="2" type="noConversion"/>
  </si>
  <si>
    <t>Roll/10ha</t>
    <phoneticPr fontId="2" type="noConversion"/>
  </si>
  <si>
    <t>황색테이프</t>
    <phoneticPr fontId="2" type="noConversion"/>
  </si>
  <si>
    <t>o 재 료 유 인 비</t>
    <phoneticPr fontId="2" type="noConversion"/>
  </si>
  <si>
    <t>부/건</t>
    <phoneticPr fontId="2" type="noConversion"/>
  </si>
  <si>
    <t>재료유인비</t>
    <phoneticPr fontId="2" type="noConversion"/>
  </si>
  <si>
    <t>제        경       비</t>
    <phoneticPr fontId="2" type="noConversion"/>
  </si>
  <si>
    <t>직접인건비 × 110%</t>
    <phoneticPr fontId="2" type="noConversion"/>
  </si>
  <si>
    <t>직접인건비 × 110%</t>
    <phoneticPr fontId="2" type="noConversion"/>
  </si>
  <si>
    <t>기        술       료</t>
    <phoneticPr fontId="2" type="noConversion"/>
  </si>
  <si>
    <t>기        술       료</t>
    <phoneticPr fontId="2" type="noConversion"/>
  </si>
  <si>
    <t>(직접인건비 + 제경비) × 20%</t>
    <phoneticPr fontId="2" type="noConversion"/>
  </si>
  <si>
    <t>순       원       가</t>
    <phoneticPr fontId="2" type="noConversion"/>
  </si>
  <si>
    <t>순       원       가</t>
    <phoneticPr fontId="2" type="noConversion"/>
  </si>
  <si>
    <t xml:space="preserve">직접인건비 + 직접경비 + 제경비 + 기술료  </t>
    <phoneticPr fontId="2" type="noConversion"/>
  </si>
  <si>
    <t xml:space="preserve">직접인건비 + 직접경비 + 제경비 + 기술료  </t>
    <phoneticPr fontId="2" type="noConversion"/>
  </si>
  <si>
    <t>손해배상 공제보험</t>
    <phoneticPr fontId="2" type="noConversion"/>
  </si>
  <si>
    <t>1단계공제료</t>
    <phoneticPr fontId="2" type="noConversion"/>
  </si>
  <si>
    <t>2단계공제료</t>
    <phoneticPr fontId="2" type="noConversion"/>
  </si>
  <si>
    <t>2단계공제료</t>
    <phoneticPr fontId="2" type="noConversion"/>
  </si>
  <si>
    <t>1단계 5억원이하</t>
    <phoneticPr fontId="2" type="noConversion"/>
  </si>
  <si>
    <t>총       원       가</t>
    <phoneticPr fontId="2" type="noConversion"/>
  </si>
  <si>
    <t>총       원       가</t>
    <phoneticPr fontId="2" type="noConversion"/>
  </si>
  <si>
    <t xml:space="preserve"> 순원가 + 손해배상 공제보험료</t>
    <phoneticPr fontId="2" type="noConversion"/>
  </si>
  <si>
    <t>농림부분</t>
    <phoneticPr fontId="2" type="noConversion"/>
  </si>
  <si>
    <t>부  가  가  치  세</t>
    <phoneticPr fontId="2" type="noConversion"/>
  </si>
  <si>
    <t>총원가 × 10%</t>
    <phoneticPr fontId="2" type="noConversion"/>
  </si>
  <si>
    <t>총원가 × 10%</t>
    <phoneticPr fontId="2" type="noConversion"/>
  </si>
  <si>
    <t>표준담보</t>
    <phoneticPr fontId="2" type="noConversion"/>
  </si>
  <si>
    <t>2년초과시</t>
    <phoneticPr fontId="2" type="noConversion"/>
  </si>
  <si>
    <t>2년초과시</t>
    <phoneticPr fontId="2" type="noConversion"/>
  </si>
  <si>
    <t>합                 계</t>
    <phoneticPr fontId="2" type="noConversion"/>
  </si>
  <si>
    <t>합                 계</t>
    <phoneticPr fontId="2" type="noConversion"/>
  </si>
  <si>
    <t>천원미만 절사</t>
    <phoneticPr fontId="2" type="noConversion"/>
  </si>
  <si>
    <t>천원미만 절사</t>
    <phoneticPr fontId="2" type="noConversion"/>
  </si>
  <si>
    <t>가산요율</t>
    <phoneticPr fontId="2" type="noConversion"/>
  </si>
  <si>
    <t>가산요율</t>
    <phoneticPr fontId="2" type="noConversion"/>
  </si>
  <si>
    <t xml:space="preserve"> * 손해배상 공제보험 : 엔지니어링산업 진흥법 제31조에 따른 설계,감리 등 국가 발주 엔지니어링사업은 의무가입 적용</t>
    <phoneticPr fontId="2" type="noConversion"/>
  </si>
  <si>
    <t xml:space="preserve">  o 할인 · 할증률 산정</t>
    <phoneticPr fontId="2" type="noConversion"/>
  </si>
  <si>
    <t xml:space="preserve">2단계 </t>
    <phoneticPr fontId="2" type="noConversion"/>
  </si>
  <si>
    <t xml:space="preserve">2단계 </t>
    <phoneticPr fontId="2" type="noConversion"/>
  </si>
  <si>
    <t>할인 · 할증 요소</t>
    <phoneticPr fontId="2" type="noConversion"/>
  </si>
  <si>
    <t>할인 · 할증 요소</t>
    <phoneticPr fontId="2" type="noConversion"/>
  </si>
  <si>
    <t>단 위 작 업 (%)</t>
    <phoneticPr fontId="2" type="noConversion"/>
  </si>
  <si>
    <t>순원가의</t>
    <phoneticPr fontId="2" type="noConversion"/>
  </si>
  <si>
    <t>순원가의</t>
    <phoneticPr fontId="2" type="noConversion"/>
  </si>
  <si>
    <t>사전조사</t>
    <phoneticPr fontId="2" type="noConversion"/>
  </si>
  <si>
    <t>표준지조사</t>
    <phoneticPr fontId="2" type="noConversion"/>
  </si>
  <si>
    <t>설계도서작성</t>
    <phoneticPr fontId="2" type="noConversion"/>
  </si>
  <si>
    <t>비 고</t>
    <phoneticPr fontId="2" type="noConversion"/>
  </si>
  <si>
    <t>비 고</t>
    <phoneticPr fontId="2" type="noConversion"/>
  </si>
  <si>
    <t>조림 후 경과 년 수</t>
    <phoneticPr fontId="2" type="noConversion"/>
  </si>
  <si>
    <t>평균 할증률</t>
    <phoneticPr fontId="2" type="noConversion"/>
  </si>
  <si>
    <t>집단화정도(3~5ha)</t>
    <phoneticPr fontId="2" type="noConversion"/>
  </si>
  <si>
    <t>계</t>
    <phoneticPr fontId="2" type="noConversion"/>
  </si>
  <si>
    <t>풀베기 감리용역비 산출서(기번1)</t>
    <phoneticPr fontId="2" type="noConversion"/>
  </si>
  <si>
    <t>o 개소: 봉화.석포.대현. 121-0-6-0 외 28</t>
    <phoneticPr fontId="2" type="noConversion"/>
  </si>
  <si>
    <t>o 시공: 기번1~4</t>
    <phoneticPr fontId="2" type="noConversion"/>
  </si>
  <si>
    <t>3년 이상</t>
    <phoneticPr fontId="2" type="noConversion"/>
  </si>
  <si>
    <t>봄솔엔지니어링</t>
    <phoneticPr fontId="2" type="noConversion"/>
  </si>
  <si>
    <t>기번1</t>
    <phoneticPr fontId="2" type="noConversion"/>
  </si>
  <si>
    <t>기번2</t>
    <phoneticPr fontId="2" type="noConversion"/>
  </si>
  <si>
    <t>기번3</t>
    <phoneticPr fontId="2" type="noConversion"/>
  </si>
  <si>
    <t>o 설계서 검토</t>
    <phoneticPr fontId="2" type="noConversion"/>
  </si>
  <si>
    <t>인/ha</t>
    <phoneticPr fontId="2" type="noConversion"/>
  </si>
  <si>
    <t>기번4</t>
    <phoneticPr fontId="2" type="noConversion"/>
  </si>
  <si>
    <t>o 현장점검 및 지도</t>
    <phoneticPr fontId="2" type="noConversion"/>
  </si>
  <si>
    <t>o 예비사업완료검사</t>
    <phoneticPr fontId="2" type="noConversion"/>
  </si>
  <si>
    <t>o 감리보고서 작성</t>
    <phoneticPr fontId="2" type="noConversion"/>
  </si>
  <si>
    <t>마킹테이프</t>
    <phoneticPr fontId="2" type="noConversion"/>
  </si>
  <si>
    <t>건</t>
    <phoneticPr fontId="2" type="noConversion"/>
  </si>
  <si>
    <t>재료유인비</t>
    <phoneticPr fontId="2" type="noConversion"/>
  </si>
  <si>
    <t>제        경       비</t>
    <phoneticPr fontId="2" type="noConversion"/>
  </si>
  <si>
    <t>(직접인건비 + 제경비) × 20%</t>
    <phoneticPr fontId="2" type="noConversion"/>
  </si>
  <si>
    <t>손해배상 공제보험</t>
    <phoneticPr fontId="2" type="noConversion"/>
  </si>
  <si>
    <t>1단계공제료</t>
    <phoneticPr fontId="2" type="noConversion"/>
  </si>
  <si>
    <t>1단계 5억원이하</t>
    <phoneticPr fontId="2" type="noConversion"/>
  </si>
  <si>
    <t xml:space="preserve"> 순원가 + 손해배상 공제보험료</t>
    <phoneticPr fontId="2" type="noConversion"/>
  </si>
  <si>
    <t>농림부분</t>
    <phoneticPr fontId="2" type="noConversion"/>
  </si>
  <si>
    <t>부  가  가  치  세</t>
    <phoneticPr fontId="2" type="noConversion"/>
  </si>
  <si>
    <t>표준담보</t>
    <phoneticPr fontId="2" type="noConversion"/>
  </si>
  <si>
    <t xml:space="preserve"> * 손해배상 공제보험 : 엔지니어링산업 진흥법 제31조에 따른 설계,감리 등 국가 발주 엔지니어링사업은 의무가입 적용</t>
    <phoneticPr fontId="2" type="noConversion"/>
  </si>
  <si>
    <t xml:space="preserve">  o 할인 · 할증률 산정</t>
    <phoneticPr fontId="2" type="noConversion"/>
  </si>
  <si>
    <t>단 위 작 업 (%)</t>
    <phoneticPr fontId="2" type="noConversion"/>
  </si>
  <si>
    <t>현장점검</t>
    <phoneticPr fontId="2" type="noConversion"/>
  </si>
  <si>
    <t>완료검사</t>
    <phoneticPr fontId="2" type="noConversion"/>
  </si>
  <si>
    <t>감리보고서 작성</t>
    <phoneticPr fontId="2" type="noConversion"/>
  </si>
  <si>
    <t>집단화 정도</t>
    <phoneticPr fontId="2" type="noConversion"/>
  </si>
  <si>
    <t>평균면적이 5ha 이상</t>
    <phoneticPr fontId="2" type="noConversion"/>
  </si>
  <si>
    <t>평균면적이 3~5ha 미만</t>
    <phoneticPr fontId="2" type="noConversion"/>
  </si>
  <si>
    <t>평균면적이 3ha 미만</t>
    <phoneticPr fontId="2" type="noConversion"/>
  </si>
  <si>
    <t>평균면적이 3~5ha 미만</t>
  </si>
  <si>
    <t>□ 덩굴제거 실시설계비 산출내역서(예시)</t>
    <phoneticPr fontId="2" type="noConversion"/>
  </si>
  <si>
    <t>사업면적</t>
    <phoneticPr fontId="2" type="noConversion"/>
  </si>
  <si>
    <t>개소:</t>
    <phoneticPr fontId="2" type="noConversion"/>
  </si>
  <si>
    <t>경남 산청군 OO면 OO리 산1임</t>
    <phoneticPr fontId="2" type="noConversion"/>
  </si>
  <si>
    <t>사업 3개 기번</t>
    <phoneticPr fontId="2" type="noConversion"/>
  </si>
  <si>
    <t>본수조사</t>
    <phoneticPr fontId="2" type="noConversion"/>
  </si>
  <si>
    <t>피복도조사</t>
    <phoneticPr fontId="2" type="noConversion"/>
  </si>
  <si>
    <t>수 량</t>
    <phoneticPr fontId="2" type="noConversion"/>
  </si>
  <si>
    <t>품</t>
    <phoneticPr fontId="2" type="noConversion"/>
  </si>
  <si>
    <t>단   가</t>
    <phoneticPr fontId="2" type="noConversion"/>
  </si>
  <si>
    <t>금  액</t>
    <phoneticPr fontId="2" type="noConversion"/>
  </si>
  <si>
    <t>(면적, 수량)</t>
    <phoneticPr fontId="2" type="noConversion"/>
  </si>
  <si>
    <t>(인원,수량,요율)</t>
    <phoneticPr fontId="2" type="noConversion"/>
  </si>
  <si>
    <t>(금   액)</t>
    <phoneticPr fontId="2" type="noConversion"/>
  </si>
  <si>
    <t>조사도면작성 및
현장확인</t>
    <phoneticPr fontId="2" type="noConversion"/>
  </si>
  <si>
    <t>덩굴 본수 조사</t>
    <phoneticPr fontId="2" type="noConversion"/>
  </si>
  <si>
    <t>덩굴피복도 조사</t>
    <phoneticPr fontId="2" type="noConversion"/>
  </si>
  <si>
    <t>설계도 · 서 작성</t>
    <phoneticPr fontId="2" type="noConversion"/>
  </si>
  <si>
    <t>소     계</t>
    <phoneticPr fontId="2" type="noConversion"/>
  </si>
  <si>
    <t>재 료 유 인 비</t>
    <phoneticPr fontId="2" type="noConversion"/>
  </si>
  <si>
    <t xml:space="preserve"> - 설계도서</t>
    <phoneticPr fontId="2" type="noConversion"/>
  </si>
  <si>
    <t xml:space="preserve"> - 통합설계도</t>
    <phoneticPr fontId="2" type="noConversion"/>
  </si>
  <si>
    <t>재 료 비</t>
    <phoneticPr fontId="2" type="noConversion"/>
  </si>
  <si>
    <t>가산요율</t>
  </si>
  <si>
    <t xml:space="preserve"> - 덩굴 본수 조사</t>
    <phoneticPr fontId="2" type="noConversion"/>
  </si>
  <si>
    <t>롤/ha</t>
    <phoneticPr fontId="2" type="noConversion"/>
  </si>
  <si>
    <t>임업용 마킹테이프(황색)</t>
    <phoneticPr fontId="2" type="noConversion"/>
  </si>
  <si>
    <t xml:space="preserve"> - 덩굴 피복도 조사</t>
    <phoneticPr fontId="2" type="noConversion"/>
  </si>
  <si>
    <t>제     경     비</t>
    <phoneticPr fontId="2" type="noConversion"/>
  </si>
  <si>
    <t>기     술     료</t>
    <phoneticPr fontId="2" type="noConversion"/>
  </si>
  <si>
    <t>(직접인건비+제경비) × 20%</t>
    <phoneticPr fontId="2" type="noConversion"/>
  </si>
  <si>
    <t>순     원     가</t>
    <phoneticPr fontId="2" type="noConversion"/>
  </si>
  <si>
    <t>직접인건비 + 직접경비 + 제경비 + 기술료</t>
    <phoneticPr fontId="2" type="noConversion"/>
  </si>
  <si>
    <t>할인,할증</t>
    <phoneticPr fontId="2" type="noConversion"/>
  </si>
  <si>
    <t>부 가 가 치 세</t>
    <phoneticPr fontId="2" type="noConversion"/>
  </si>
  <si>
    <t>설계시기</t>
    <phoneticPr fontId="2" type="noConversion"/>
  </si>
  <si>
    <t>1월~5월</t>
    <phoneticPr fontId="2" type="noConversion"/>
  </si>
  <si>
    <t>합             계</t>
    <phoneticPr fontId="2" type="noConversion"/>
  </si>
  <si>
    <t>10월~12월</t>
    <phoneticPr fontId="2" type="noConversion"/>
  </si>
  <si>
    <t>사 업 비 제 계</t>
    <phoneticPr fontId="2" type="noConversion"/>
  </si>
  <si>
    <t>6월~9월</t>
    <phoneticPr fontId="2" type="noConversion"/>
  </si>
  <si>
    <t>산물수집</t>
    <phoneticPr fontId="2" type="noConversion"/>
  </si>
  <si>
    <t>o 할인 · 할증 요소</t>
    <phoneticPr fontId="2" type="noConversion"/>
  </si>
  <si>
    <t>구  분</t>
    <phoneticPr fontId="2" type="noConversion"/>
  </si>
  <si>
    <t>내   용</t>
    <phoneticPr fontId="2" type="noConversion"/>
  </si>
  <si>
    <t>실시설계시기</t>
    <phoneticPr fontId="2" type="noConversion"/>
  </si>
  <si>
    <t>6월~9월</t>
  </si>
  <si>
    <t>□ 덩굴제거 감리 용역비 산출내역서(예시)</t>
    <phoneticPr fontId="2" type="noConversion"/>
  </si>
  <si>
    <t>개 소 :</t>
    <phoneticPr fontId="2" type="noConversion"/>
  </si>
  <si>
    <t>경남 산청군 OO면 OO리 산1임</t>
  </si>
  <si>
    <t>설계서 검토</t>
    <phoneticPr fontId="2" type="noConversion"/>
  </si>
  <si>
    <t>현장점검 및 작업지도</t>
    <phoneticPr fontId="2" type="noConversion"/>
  </si>
  <si>
    <t>예비사업완료검사</t>
    <phoneticPr fontId="2" type="noConversion"/>
  </si>
  <si>
    <t xml:space="preserve"> o 표준지 설치</t>
    <phoneticPr fontId="2" type="noConversion"/>
  </si>
  <si>
    <t xml:space="preserve"> - 고급기술자(조사)</t>
    <phoneticPr fontId="2" type="noConversion"/>
  </si>
  <si>
    <t xml:space="preserve"> - 초급기술자(조사)</t>
    <phoneticPr fontId="2" type="noConversion"/>
  </si>
  <si>
    <t xml:space="preserve"> o 표준지 미설치</t>
    <phoneticPr fontId="2" type="noConversion"/>
  </si>
  <si>
    <t xml:space="preserve"> - 고급기술자(미조사)</t>
    <phoneticPr fontId="2" type="noConversion"/>
  </si>
  <si>
    <t xml:space="preserve"> - 초급기술자(미조사)</t>
    <phoneticPr fontId="2" type="noConversion"/>
  </si>
  <si>
    <t xml:space="preserve">감리보고서   </t>
    <phoneticPr fontId="2" type="noConversion"/>
  </si>
  <si>
    <t>임업용 테이프</t>
    <phoneticPr fontId="2" type="noConversion"/>
  </si>
  <si>
    <t>테이프(적색)</t>
    <phoneticPr fontId="2" type="noConversion"/>
  </si>
  <si>
    <t>감리시기</t>
    <phoneticPr fontId="2" type="noConversion"/>
  </si>
  <si>
    <t>* 할인 · 할증 요소</t>
    <phoneticPr fontId="2" type="noConversion"/>
  </si>
  <si>
    <t>□ 실시설계비 산출내역서(기번1)</t>
    <phoneticPr fontId="2" type="noConversion"/>
  </si>
  <si>
    <t>사업면적</t>
    <phoneticPr fontId="2" type="noConversion"/>
  </si>
  <si>
    <t>개 소:</t>
    <phoneticPr fontId="2" type="noConversion"/>
  </si>
  <si>
    <t>봉화.봉성.우곡.5임반 2소반 외 3개소</t>
    <phoneticPr fontId="2" type="noConversion"/>
  </si>
  <si>
    <t>사업 3개 기번</t>
    <phoneticPr fontId="2" type="noConversion"/>
  </si>
  <si>
    <t>금  액</t>
    <phoneticPr fontId="2" type="noConversion"/>
  </si>
  <si>
    <t>(금   액)</t>
    <phoneticPr fontId="2" type="noConversion"/>
  </si>
  <si>
    <t>표 준 지 조 사</t>
    <phoneticPr fontId="2" type="noConversion"/>
  </si>
  <si>
    <t xml:space="preserve"> - 고급기술자(수집)</t>
    <phoneticPr fontId="2" type="noConversion"/>
  </si>
  <si>
    <t>ha</t>
    <phoneticPr fontId="2" type="noConversion"/>
  </si>
  <si>
    <t>인/ha</t>
    <phoneticPr fontId="2" type="noConversion"/>
  </si>
  <si>
    <t>고급기술자</t>
    <phoneticPr fontId="2" type="noConversion"/>
  </si>
  <si>
    <t xml:space="preserve"> - 초급기술자(수집)</t>
    <phoneticPr fontId="2" type="noConversion"/>
  </si>
  <si>
    <t>초급기술자</t>
    <phoneticPr fontId="2" type="noConversion"/>
  </si>
  <si>
    <t>초급기술자</t>
    <phoneticPr fontId="2" type="noConversion"/>
  </si>
  <si>
    <t xml:space="preserve"> - 고급기술자(미수집)</t>
    <phoneticPr fontId="2" type="noConversion"/>
  </si>
  <si>
    <t xml:space="preserve"> - 초급기술자(미수집)</t>
    <phoneticPr fontId="2" type="noConversion"/>
  </si>
  <si>
    <t>설계도 · 서 작성(수집)</t>
    <phoneticPr fontId="2" type="noConversion"/>
  </si>
  <si>
    <t>설계도 · 서 작성(미수집)</t>
    <phoneticPr fontId="2" type="noConversion"/>
  </si>
  <si>
    <t>소     계</t>
    <phoneticPr fontId="2" type="noConversion"/>
  </si>
  <si>
    <t>직
접
경
비</t>
    <phoneticPr fontId="2" type="noConversion"/>
  </si>
  <si>
    <t>재 료 유 인 비</t>
    <phoneticPr fontId="2" type="noConversion"/>
  </si>
  <si>
    <t xml:space="preserve"> - 설계도서</t>
    <phoneticPr fontId="2" type="noConversion"/>
  </si>
  <si>
    <t>건</t>
    <phoneticPr fontId="2" type="noConversion"/>
  </si>
  <si>
    <t>부/건</t>
    <phoneticPr fontId="2" type="noConversion"/>
  </si>
  <si>
    <t>재료유인비</t>
    <phoneticPr fontId="2" type="noConversion"/>
  </si>
  <si>
    <t xml:space="preserve"> - 통합설계도</t>
    <phoneticPr fontId="2" type="noConversion"/>
  </si>
  <si>
    <t>건</t>
    <phoneticPr fontId="2" type="noConversion"/>
  </si>
  <si>
    <t>재 료 비</t>
    <phoneticPr fontId="2" type="noConversion"/>
  </si>
  <si>
    <t xml:space="preserve"> - 페 인 트</t>
    <phoneticPr fontId="2" type="noConversion"/>
  </si>
  <si>
    <t>ℓ/ha</t>
    <phoneticPr fontId="2" type="noConversion"/>
  </si>
  <si>
    <t>친환경성수성
페인트(ℓ)</t>
    <phoneticPr fontId="2" type="noConversion"/>
  </si>
  <si>
    <t xml:space="preserve"> - 잡     품</t>
    <phoneticPr fontId="2" type="noConversion"/>
  </si>
  <si>
    <t>원</t>
    <phoneticPr fontId="2" type="noConversion"/>
  </si>
  <si>
    <t>%</t>
    <phoneticPr fontId="2" type="noConversion"/>
  </si>
  <si>
    <t>제     경     비</t>
    <phoneticPr fontId="2" type="noConversion"/>
  </si>
  <si>
    <t>직접인건비 × 110%</t>
    <phoneticPr fontId="2" type="noConversion"/>
  </si>
  <si>
    <t>기     술     료</t>
    <phoneticPr fontId="2" type="noConversion"/>
  </si>
  <si>
    <t>(직접인건비+제경비) × 20%</t>
    <phoneticPr fontId="2" type="noConversion"/>
  </si>
  <si>
    <t>순     원     가</t>
    <phoneticPr fontId="2" type="noConversion"/>
  </si>
  <si>
    <t>직접인건비 + 직접경비 + 제경비 + 기술료</t>
    <phoneticPr fontId="2" type="noConversion"/>
  </si>
  <si>
    <t>할인,할증</t>
    <phoneticPr fontId="2" type="noConversion"/>
  </si>
  <si>
    <t>손해배상 공제보험</t>
    <phoneticPr fontId="2" type="noConversion"/>
  </si>
  <si>
    <t>1단계공제료</t>
    <phoneticPr fontId="2" type="noConversion"/>
  </si>
  <si>
    <t>2단계공제료</t>
    <phoneticPr fontId="2" type="noConversion"/>
  </si>
  <si>
    <t>총     원     가</t>
    <phoneticPr fontId="2" type="noConversion"/>
  </si>
  <si>
    <t>부 가 가 치 세</t>
    <phoneticPr fontId="2" type="noConversion"/>
  </si>
  <si>
    <t>총원가 × 10%</t>
    <phoneticPr fontId="2" type="noConversion"/>
  </si>
  <si>
    <t>조사계절</t>
    <phoneticPr fontId="2" type="noConversion"/>
  </si>
  <si>
    <t>10월~11월, 3월~3월</t>
    <phoneticPr fontId="2" type="noConversion"/>
  </si>
  <si>
    <t>합             계</t>
    <phoneticPr fontId="2" type="noConversion"/>
  </si>
  <si>
    <t>12월~2월</t>
    <phoneticPr fontId="2" type="noConversion"/>
  </si>
  <si>
    <t>사 업 비 제 계</t>
    <phoneticPr fontId="2" type="noConversion"/>
  </si>
  <si>
    <t>천원미만 절사</t>
    <phoneticPr fontId="2" type="noConversion"/>
  </si>
  <si>
    <t>5월~9월</t>
    <phoneticPr fontId="2" type="noConversion"/>
  </si>
  <si>
    <t>산물수집</t>
    <phoneticPr fontId="2" type="noConversion"/>
  </si>
  <si>
    <t>재해예방 수집설계</t>
    <phoneticPr fontId="2" type="noConversion"/>
  </si>
  <si>
    <t>* 할인 · 할증 요소</t>
    <phoneticPr fontId="2" type="noConversion"/>
  </si>
  <si>
    <t>산물활용 수집설계</t>
    <phoneticPr fontId="2" type="noConversion"/>
  </si>
  <si>
    <t>구  분</t>
    <phoneticPr fontId="2" type="noConversion"/>
  </si>
  <si>
    <t>내   용</t>
    <phoneticPr fontId="2" type="noConversion"/>
  </si>
  <si>
    <t>할인 · 증률</t>
    <phoneticPr fontId="2" type="noConversion"/>
  </si>
  <si>
    <t>일부구간 산물활용 수집설계</t>
    <phoneticPr fontId="2" type="noConversion"/>
  </si>
  <si>
    <t>12월~2월</t>
  </si>
  <si>
    <t>산물활용 수집설계</t>
  </si>
  <si>
    <t>계</t>
    <phoneticPr fontId="2" type="noConversion"/>
  </si>
  <si>
    <t>대상지 현황조사 및 구역 확정</t>
    <phoneticPr fontId="2" type="noConversion"/>
  </si>
  <si>
    <t xml:space="preserve"> - 마킹테이프</t>
    <phoneticPr fontId="2" type="noConversion"/>
  </si>
  <si>
    <t>롤/ha</t>
    <phoneticPr fontId="2" type="noConversion"/>
  </si>
  <si>
    <t>백색테이프</t>
    <phoneticPr fontId="2" type="noConversion"/>
  </si>
  <si>
    <t>□ 실시설계비 산출내역서(어린나무)</t>
    <phoneticPr fontId="2" type="noConversion"/>
  </si>
  <si>
    <t>조사도면 작성 및 현장 확인</t>
    <phoneticPr fontId="2" type="noConversion"/>
  </si>
  <si>
    <t>설계도 · 서 작성</t>
    <phoneticPr fontId="2" type="noConversion"/>
  </si>
  <si>
    <t>실시설계 시기</t>
    <phoneticPr fontId="2" type="noConversion"/>
  </si>
  <si>
    <t>1월~5월</t>
  </si>
  <si>
    <t>1월~5월</t>
    <phoneticPr fontId="2" type="noConversion"/>
  </si>
  <si>
    <t>10월~12월</t>
    <phoneticPr fontId="2" type="noConversion"/>
  </si>
  <si>
    <t>□ 숲가꾸기 감리 용역비 산출내역서(어린나무)</t>
    <phoneticPr fontId="2" type="noConversion"/>
  </si>
  <si>
    <t xml:space="preserve"> - 고급기술자(치수림)</t>
    <phoneticPr fontId="2" type="noConversion"/>
  </si>
  <si>
    <t xml:space="preserve"> - 초급기술자(치수림)</t>
    <phoneticPr fontId="2" type="noConversion"/>
  </si>
  <si>
    <t xml:space="preserve"> - 고급기술자(유령림)</t>
    <phoneticPr fontId="2" type="noConversion"/>
  </si>
  <si>
    <t xml:space="preserve"> - 초급기술자(유령림)</t>
    <phoneticPr fontId="2" type="noConversion"/>
  </si>
  <si>
    <t xml:space="preserve"> - 설계도서</t>
    <phoneticPr fontId="2" type="noConversion"/>
  </si>
  <si>
    <t>유인비</t>
    <phoneticPr fontId="2" type="noConversion"/>
  </si>
  <si>
    <t xml:space="preserve"> - 통합설계도</t>
    <phoneticPr fontId="2" type="noConversion"/>
  </si>
  <si>
    <t>직접경비</t>
    <phoneticPr fontId="2" type="noConversion"/>
  </si>
  <si>
    <t>보고서 유인비</t>
    <phoneticPr fontId="2" type="noConversion"/>
  </si>
  <si>
    <t>감리보고서</t>
    <phoneticPr fontId="2" type="noConversion"/>
  </si>
  <si>
    <t xml:space="preserve"> - 핵심구역</t>
    <phoneticPr fontId="2" type="noConversion"/>
  </si>
  <si>
    <t xml:space="preserve"> - 일반구역(수집)</t>
    <phoneticPr fontId="2" type="noConversion"/>
  </si>
  <si>
    <t xml:space="preserve"> - 일반구역(미수집)</t>
    <phoneticPr fontId="2" type="noConversion"/>
  </si>
  <si>
    <t>ha</t>
    <phoneticPr fontId="2" type="noConversion"/>
  </si>
  <si>
    <t>고급1,초급1</t>
    <phoneticPr fontId="2" type="noConversion"/>
  </si>
  <si>
    <t xml:space="preserve"> - 핵심구역</t>
    <phoneticPr fontId="2" type="noConversion"/>
  </si>
  <si>
    <t xml:space="preserve"> - 일반구역(수집)</t>
    <phoneticPr fontId="2" type="noConversion"/>
  </si>
  <si>
    <t xml:space="preserve"> - 일반구역(미수집)</t>
    <phoneticPr fontId="2" type="noConversion"/>
  </si>
  <si>
    <t>인/100㎥</t>
    <phoneticPr fontId="2" type="noConversion"/>
  </si>
  <si>
    <t>산물수집(핵심)</t>
    <phoneticPr fontId="2" type="noConversion"/>
  </si>
  <si>
    <t>산물수집(일반)</t>
    <phoneticPr fontId="2" type="noConversion"/>
  </si>
  <si>
    <t>* 입력방법: 노란색 셀만 입력, 할인·할증은 단추 선택</t>
    <phoneticPr fontId="2" type="noConversion"/>
  </si>
  <si>
    <t>미 수집(일반구역)</t>
    <phoneticPr fontId="2" type="noConversion"/>
  </si>
  <si>
    <t>산물활용 수집 감리(일반구역)</t>
  </si>
  <si>
    <t>산물활용 수집 감리(일반구역)</t>
    <phoneticPr fontId="2" type="noConversion"/>
  </si>
  <si>
    <t>산물활용 수집 감리(핵심구역)</t>
  </si>
  <si>
    <t>산물활용 수집 감리(핵심구역)</t>
    <phoneticPr fontId="2" type="noConversion"/>
  </si>
  <si>
    <t>직접인건비 ×110%</t>
    <phoneticPr fontId="2" type="noConversion"/>
  </si>
  <si>
    <t>고급</t>
    <phoneticPr fontId="2" type="noConversion"/>
  </si>
  <si>
    <t>초급</t>
    <phoneticPr fontId="2" type="noConversion"/>
  </si>
  <si>
    <t>경영계획구</t>
    <phoneticPr fontId="32" type="noConversion"/>
  </si>
  <si>
    <t>소재지</t>
    <phoneticPr fontId="32" type="noConversion"/>
  </si>
  <si>
    <t>임반</t>
    <phoneticPr fontId="32" type="noConversion"/>
  </si>
  <si>
    <t>소반</t>
    <phoneticPr fontId="32" type="noConversion"/>
  </si>
  <si>
    <t>소반면적(ha)</t>
    <phoneticPr fontId="32" type="noConversion"/>
  </si>
  <si>
    <t>사업면적</t>
    <phoneticPr fontId="32" type="noConversion"/>
  </si>
  <si>
    <t>계획면적(ha)</t>
    <phoneticPr fontId="32" type="noConversion"/>
  </si>
  <si>
    <t>주수종</t>
    <phoneticPr fontId="32" type="noConversion"/>
  </si>
  <si>
    <t>산림기능</t>
    <phoneticPr fontId="32" type="noConversion"/>
  </si>
  <si>
    <t>비고</t>
    <phoneticPr fontId="32" type="noConversion"/>
  </si>
  <si>
    <t>핵심</t>
    <phoneticPr fontId="32" type="noConversion"/>
  </si>
  <si>
    <t>일반</t>
    <phoneticPr fontId="32" type="noConversion"/>
  </si>
  <si>
    <t>합계</t>
    <phoneticPr fontId="32" type="noConversion"/>
  </si>
  <si>
    <t>소계</t>
    <phoneticPr fontId="32" type="noConversion"/>
  </si>
  <si>
    <t>대화</t>
    <phoneticPr fontId="32" type="noConversion"/>
  </si>
  <si>
    <t>평창, 대화, 대화</t>
    <phoneticPr fontId="32" type="noConversion"/>
  </si>
  <si>
    <t>낙엽송
강원지방소나무
기타활엽수</t>
    <phoneticPr fontId="32" type="noConversion"/>
  </si>
  <si>
    <t>주: 목재생산림</t>
    <phoneticPr fontId="32" type="noConversion"/>
  </si>
  <si>
    <t>산불예방숲가꾸기사업 감리 용역(자원 1차) 대상지</t>
    <phoneticPr fontId="32" type="noConversion"/>
  </si>
  <si>
    <t>임업용 마킹테이프</t>
    <phoneticPr fontId="2" type="noConversion"/>
  </si>
  <si>
    <t>roll/ha</t>
    <phoneticPr fontId="2" type="noConversion"/>
  </si>
  <si>
    <t>산불예방숲가꾸기</t>
    <phoneticPr fontId="2" type="noConversion"/>
  </si>
  <si>
    <t>핵심</t>
    <phoneticPr fontId="2" type="noConversion"/>
  </si>
  <si>
    <t>일반</t>
    <phoneticPr fontId="2" type="noConversion"/>
  </si>
  <si>
    <t>합계</t>
    <phoneticPr fontId="2" type="noConversion"/>
  </si>
  <si>
    <t>핵심</t>
    <phoneticPr fontId="2" type="noConversion"/>
  </si>
  <si>
    <t>일반</t>
    <phoneticPr fontId="2" type="noConversion"/>
  </si>
  <si>
    <t>산불예방</t>
    <phoneticPr fontId="2" type="noConversion"/>
  </si>
  <si>
    <t>기초 자료</t>
  </si>
  <si>
    <t xml:space="preserve"> □ 사업현황</t>
    <phoneticPr fontId="32" type="noConversion"/>
  </si>
  <si>
    <t>사업명</t>
    <phoneticPr fontId="32" type="noConversion"/>
  </si>
  <si>
    <t>사업년도</t>
    <phoneticPr fontId="32" type="noConversion"/>
  </si>
  <si>
    <t>작업종</t>
    <phoneticPr fontId="32" type="noConversion"/>
  </si>
  <si>
    <t>사업차수</t>
    <phoneticPr fontId="32" type="noConversion"/>
  </si>
  <si>
    <t>개소</t>
    <phoneticPr fontId="32" type="noConversion"/>
  </si>
  <si>
    <t>ha</t>
    <phoneticPr fontId="32" type="noConversion"/>
  </si>
  <si>
    <t>수종</t>
    <phoneticPr fontId="32" type="noConversion"/>
  </si>
  <si>
    <t>작성일</t>
    <phoneticPr fontId="32" type="noConversion"/>
  </si>
  <si>
    <t>조사자</t>
    <phoneticPr fontId="32" type="noConversion"/>
  </si>
  <si>
    <t>도급자</t>
    <phoneticPr fontId="32" type="noConversion"/>
  </si>
  <si>
    <t/>
  </si>
  <si>
    <t>작성자</t>
    <phoneticPr fontId="32" type="noConversion"/>
  </si>
  <si>
    <t>확인자</t>
    <phoneticPr fontId="32" type="noConversion"/>
  </si>
  <si>
    <t xml:space="preserve"> □ 인건비, 재료비 단가</t>
  </si>
  <si>
    <t>구  분</t>
  </si>
  <si>
    <t>단가</t>
  </si>
  <si>
    <t>규격</t>
  </si>
  <si>
    <t>비  고</t>
  </si>
  <si>
    <t>고급기술자</t>
  </si>
  <si>
    <t>원</t>
  </si>
  <si>
    <t>초급기술자</t>
  </si>
  <si>
    <t xml:space="preserve"> □ 원가계산 법정 요율 등</t>
  </si>
  <si>
    <t>적용기준</t>
  </si>
  <si>
    <t>요율</t>
  </si>
  <si>
    <t>단위</t>
  </si>
  <si>
    <t>비    고</t>
  </si>
  <si>
    <t>제경비</t>
    <phoneticPr fontId="32" type="noConversion"/>
  </si>
  <si>
    <t>직접인건비의</t>
    <phoneticPr fontId="32" type="noConversion"/>
  </si>
  <si>
    <t>%</t>
  </si>
  <si>
    <t>21년 숲가꾸기 설계,감리 및 사업시행 지침</t>
  </si>
  <si>
    <t>기술료</t>
    <phoneticPr fontId="32" type="noConversion"/>
  </si>
  <si>
    <t>(직접인건비+제경비)의</t>
    <phoneticPr fontId="32" type="noConversion"/>
  </si>
  <si>
    <t>1단계보험료</t>
    <phoneticPr fontId="32" type="noConversion"/>
  </si>
  <si>
    <t>직접인건비+직접경비+제경비+기술료</t>
    <phoneticPr fontId="32" type="noConversion"/>
  </si>
  <si>
    <t>2단계보험료</t>
    <phoneticPr fontId="32" type="noConversion"/>
  </si>
  <si>
    <t xml:space="preserve">  □ 예 산 과 목  :  1534-302-420-04(숲가꾸기 감리비)</t>
    <phoneticPr fontId="44" type="noConversion"/>
  </si>
  <si>
    <t>설계금액</t>
    <phoneticPr fontId="46" type="noConversion"/>
  </si>
  <si>
    <t>원정</t>
    <phoneticPr fontId="46" type="noConversion"/>
  </si>
  <si>
    <t>(</t>
  </si>
  <si>
    <t>)</t>
  </si>
  <si>
    <t>결 정 액</t>
    <phoneticPr fontId="46" type="noConversion"/>
  </si>
  <si>
    <t>원정</t>
    <phoneticPr fontId="2" type="noConversion"/>
  </si>
  <si>
    <t>(</t>
    <phoneticPr fontId="2" type="noConversion"/>
  </si>
  <si>
    <t>)</t>
    <phoneticPr fontId="2" type="noConversion"/>
  </si>
  <si>
    <t>위와 같이 결정함.</t>
    <phoneticPr fontId="46" type="noConversion"/>
  </si>
  <si>
    <t xml:space="preserve"> 일</t>
    <phoneticPr fontId="44" type="noConversion"/>
  </si>
  <si>
    <t xml:space="preserve"> 결정관 : 평창국유림관리소장</t>
    <phoneticPr fontId="46" type="noConversion"/>
  </si>
  <si>
    <t xml:space="preserve">  □ 사 업 장 소  :  평창군 대관령면 횡계리 71임반 13소반 외 5개소</t>
    <phoneticPr fontId="46" type="noConversion"/>
  </si>
  <si>
    <t>2026년 산불예방 숲가꾸기 감리용역</t>
    <phoneticPr fontId="32" type="noConversion"/>
  </si>
  <si>
    <t>수익솎아베기</t>
    <phoneticPr fontId="32" type="noConversion"/>
  </si>
  <si>
    <t>평창군 용평면 노동리 18임반 1소반 외 1개소</t>
    <phoneticPr fontId="2" type="noConversion"/>
  </si>
  <si>
    <t>평창군 용평면 노동리 18임반 1소반 외 1개소</t>
    <phoneticPr fontId="32" type="noConversion"/>
  </si>
  <si>
    <t>잣나무,강원지방소나무, 기타활엽수</t>
    <phoneticPr fontId="32" type="noConversion"/>
  </si>
  <si>
    <t>농림운영주사보 이준표</t>
    <phoneticPr fontId="32" type="noConversion"/>
  </si>
  <si>
    <t xml:space="preserve">2026. 9. </t>
    <phoneticPr fontId="2" type="noConversion"/>
  </si>
  <si>
    <t>25년 엔지니어링 기술부문별 단가(기타)</t>
    <phoneticPr fontId="32" type="noConversion"/>
  </si>
  <si>
    <t>중급기술자</t>
    <phoneticPr fontId="32" type="noConversion"/>
  </si>
  <si>
    <t>재료유인비</t>
  </si>
  <si>
    <t>부</t>
  </si>
  <si>
    <t>감리보고서 20,000/부○ 용역건별 2부 기본 작성, 
 필요시 부수추가 가능</t>
    <phoneticPr fontId="32" type="noConversion"/>
  </si>
  <si>
    <t>페인트</t>
  </si>
  <si>
    <t>원/ℓ</t>
  </si>
  <si>
    <t>물가정보지(2026.1)-친환경 수성2급</t>
    <phoneticPr fontId="32" type="noConversion"/>
  </si>
  <si>
    <t>테이프</t>
  </si>
  <si>
    <t>0.007Roll</t>
  </si>
  <si>
    <t>마킹테이프(1box-12개)(유비통상 견적서에 의함)</t>
  </si>
  <si>
    <t>21년 숲가꾸기 설계,감리 및 사업시행 지침</t>
    <phoneticPr fontId="32" type="noConversion"/>
  </si>
  <si>
    <t>엔지니어링공제조합</t>
    <phoneticPr fontId="32" type="noConversion"/>
  </si>
  <si>
    <t>감 리 용 역 비 산 출 서</t>
    <phoneticPr fontId="40" type="noConversion"/>
  </si>
  <si>
    <t>18임반 1소반</t>
    <phoneticPr fontId="2" type="noConversion"/>
  </si>
  <si>
    <t>19임반 2소반</t>
    <phoneticPr fontId="2" type="noConversion"/>
  </si>
  <si>
    <t xml:space="preserve"> - 생산재 검척</t>
    <phoneticPr fontId="2" type="noConversion"/>
  </si>
  <si>
    <t>실시설계서 사전검토</t>
    <phoneticPr fontId="2" type="noConversion"/>
  </si>
  <si>
    <t xml:space="preserve"> - 사전검토(핵심)</t>
    <phoneticPr fontId="2" type="noConversion"/>
  </si>
  <si>
    <t xml:space="preserve"> - 사전검토(일반)</t>
    <phoneticPr fontId="2" type="noConversion"/>
  </si>
  <si>
    <t>금  액(원)</t>
    <phoneticPr fontId="2" type="noConversion"/>
  </si>
  <si>
    <t>현장안전관리(상주)</t>
    <phoneticPr fontId="2" type="noConversion"/>
  </si>
  <si>
    <t>인/일</t>
    <phoneticPr fontId="2" type="noConversion"/>
  </si>
  <si>
    <t>중급</t>
    <phoneticPr fontId="2" type="noConversion"/>
  </si>
  <si>
    <t>중급1</t>
    <phoneticPr fontId="2" type="noConversion"/>
  </si>
  <si>
    <t>황색테이프</t>
    <phoneticPr fontId="2" type="noConversion"/>
  </si>
  <si>
    <t>예 정 가 격 결 정 서</t>
    <phoneticPr fontId="44" type="noConversion"/>
  </si>
  <si>
    <t xml:space="preserve">  □ 용   역   명  :  2026년 산불예방 숲가꾸기 감리용역</t>
    <phoneticPr fontId="46" type="noConversion"/>
  </si>
  <si>
    <t xml:space="preserve">  □ 면         적  :  14.6 ha</t>
    <phoneticPr fontId="46" type="noConversion"/>
  </si>
  <si>
    <t xml:space="preserve">  □ 용 역 기 간  :  착수일로부터 41일</t>
    <phoneticPr fontId="46" type="noConversion"/>
  </si>
  <si>
    <t>2026년</t>
    <phoneticPr fontId="44" type="noConversion"/>
  </si>
  <si>
    <t>9월</t>
    <phoneticPr fontId="44" type="noConversion"/>
  </si>
  <si>
    <t xml:space="preserve">          기술서기관    이명규</t>
    <phoneticPr fontId="44" type="noConversion"/>
  </si>
  <si>
    <t>임업주사 이정환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</si>
</sst>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6" formatCode="&quot;₩&quot;#,##0;[Red]\-&quot;₩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_-* #,##0_-;\-* #,##0_-;_-* &quot;-&quot;?_-;_-@_-"/>
    <numFmt numFmtId="178" formatCode="0.000%"/>
    <numFmt numFmtId="179" formatCode="0.0_ "/>
    <numFmt numFmtId="180" formatCode="0.00_ "/>
    <numFmt numFmtId="181" formatCode="_(&quot;$&quot;* #,##0_);_(&quot;$&quot;* \(#,##0\);_(&quot;$&quot;* &quot;-&quot;??_);_(@_)"/>
    <numFmt numFmtId="182" formatCode="&quot;$&quot;#,##0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&quot;₩&quot;\$#,##0_);&quot;₩&quot;\(&quot;₩&quot;\$#,##0&quot;₩&quot;\)"/>
    <numFmt numFmtId="188" formatCode="_-* #,##0.00\ _B_F_-;\-* #,##0.00\ _B_F_-;_-* &quot;-&quot;??\ _B_F_-;_-@_-"/>
    <numFmt numFmtId="189" formatCode="#,##0.00_);[Red]\(#,##0.00\)"/>
    <numFmt numFmtId="190" formatCode="_-* #,##0.0_-;\-* #,##0.0_-;_-* &quot;-&quot;_-;_-@_-"/>
    <numFmt numFmtId="191" formatCode="_-* #,##0.00_-;\-* #,##0.00_-;_-* &quot;-&quot;_-;_-@_-"/>
    <numFmt numFmtId="192" formatCode="0.00_);[Red]\(0.00\)"/>
    <numFmt numFmtId="193" formatCode="_-* #,##0.00_-;\-* #,##0.00_-;_-* \-_-;_-@_-"/>
    <numFmt numFmtId="194" formatCode="_-* #,##0_-;\-* #,##0_-;_-* \-_-;_-@_-"/>
    <numFmt numFmtId="195" formatCode="0&quot;%&quot;"/>
    <numFmt numFmtId="196" formatCode="0.000_ "/>
    <numFmt numFmtId="197" formatCode="\ ##.#0\ \ &quot;ha&quot;"/>
    <numFmt numFmtId="198" formatCode="[DBNum4][$-412]General"/>
    <numFmt numFmtId="199" formatCode="_-&quot;₩&quot;* #,##0_-;&quot;₩&quot;\!\-&quot;₩&quot;* #,##0_-;_-&quot;₩&quot;* &quot;-&quot;_-;_-@_-"/>
    <numFmt numFmtId="200" formatCode="&quot;₩&quot;#,##0;[Red]&quot;₩&quot;\!\-&quot;₩&quot;#,##0"/>
    <numFmt numFmtId="201" formatCode="_-* #,##0_-;\-* #,##0_-;_-* &quot;-&quot;??_-;_-@_-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HY중고딕"/>
      <family val="1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1"/>
      <name val="돋움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22"/>
      <name val="굴림"/>
      <family val="3"/>
      <charset val="129"/>
    </font>
    <font>
      <b/>
      <sz val="18"/>
      <name val="굴림"/>
      <family val="3"/>
      <charset val="129"/>
    </font>
    <font>
      <b/>
      <sz val="14"/>
      <name val="굴림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sz val="14"/>
      <name val="굴림"/>
      <family val="3"/>
      <charset val="129"/>
    </font>
    <font>
      <sz val="11"/>
      <name val="돋움"/>
      <family val="3"/>
    </font>
    <font>
      <b/>
      <sz val="20"/>
      <name val="HY견고딕"/>
      <family val="1"/>
      <charset val="129"/>
    </font>
    <font>
      <sz val="8"/>
      <name val="돋움"/>
      <family val="3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4"/>
      <name val="돋움"/>
      <family val="3"/>
    </font>
    <font>
      <u/>
      <sz val="14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8"/>
      <name val="굴림"/>
      <family val="3"/>
      <charset val="129"/>
    </font>
    <font>
      <b/>
      <i/>
      <sz val="18"/>
      <name val="문체부 궁체 흘림체"/>
      <family val="1"/>
      <charset val="129"/>
    </font>
    <font>
      <sz val="11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CF5DB"/>
        <bgColor indexed="64"/>
      </patternFill>
    </fill>
  </fills>
  <borders count="13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3" borderId="36" applyNumberFormat="0" applyAlignment="0" applyProtection="0">
      <alignment vertical="center"/>
    </xf>
    <xf numFmtId="0" fontId="12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6" fillId="0" borderId="0"/>
    <xf numFmtId="0" fontId="13" fillId="0" borderId="0"/>
    <xf numFmtId="0" fontId="17" fillId="0" borderId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38" fontId="18" fillId="5" borderId="0" applyNumberFormat="0" applyBorder="0" applyAlignment="0" applyProtection="0"/>
    <xf numFmtId="0" fontId="19" fillId="0" borderId="0">
      <alignment horizontal="left"/>
    </xf>
    <xf numFmtId="0" fontId="20" fillId="0" borderId="67" applyNumberFormat="0" applyAlignment="0" applyProtection="0">
      <alignment horizontal="left" vertical="center"/>
    </xf>
    <xf numFmtId="0" fontId="20" fillId="0" borderId="14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0" fontId="18" fillId="5" borderId="4" applyNumberFormat="0" applyBorder="0" applyAlignment="0" applyProtection="0"/>
    <xf numFmtId="0" fontId="22" fillId="0" borderId="68"/>
    <xf numFmtId="188" fontId="15" fillId="0" borderId="0"/>
    <xf numFmtId="0" fontId="13" fillId="0" borderId="0"/>
    <xf numFmtId="189" fontId="15" fillId="0" borderId="0">
      <alignment vertical="center"/>
    </xf>
    <xf numFmtId="10" fontId="13" fillId="0" borderId="0" applyFont="0" applyFill="0" applyBorder="0" applyAlignment="0" applyProtection="0"/>
    <xf numFmtId="0" fontId="22" fillId="0" borderId="0"/>
    <xf numFmtId="0" fontId="13" fillId="0" borderId="69" applyNumberFormat="0" applyFont="0" applyFill="0" applyAlignment="0" applyProtection="0"/>
    <xf numFmtId="0" fontId="23" fillId="0" borderId="65">
      <alignment vertical="center"/>
    </xf>
    <xf numFmtId="0" fontId="11" fillId="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/>
    <xf numFmtId="0" fontId="24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5" fillId="0" borderId="0"/>
    <xf numFmtId="0" fontId="26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184" fontId="12" fillId="0" borderId="0" applyFont="0" applyFill="0" applyBorder="0" applyAlignment="0" applyProtection="0"/>
    <xf numFmtId="0" fontId="13" fillId="0" borderId="0"/>
    <xf numFmtId="183" fontId="1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9" fontId="15" fillId="0" borderId="0" applyFont="0" applyFill="0" applyBorder="0" applyAlignment="0" applyProtection="0">
      <alignment vertical="center"/>
    </xf>
    <xf numFmtId="0" fontId="15" fillId="0" borderId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/>
    <xf numFmtId="0" fontId="30" fillId="0" borderId="0"/>
    <xf numFmtId="0" fontId="42" fillId="0" borderId="0"/>
    <xf numFmtId="0" fontId="42" fillId="0" borderId="0">
      <alignment vertical="center"/>
    </xf>
    <xf numFmtId="199" fontId="15" fillId="0" borderId="0" applyFont="0" applyFill="0" applyBorder="0" applyAlignment="0" applyProtection="0"/>
  </cellStyleXfs>
  <cellXfs count="521"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177" fontId="0" fillId="0" borderId="5" xfId="0" applyNumberFormat="1" applyBorder="1">
      <alignment vertical="center"/>
    </xf>
    <xf numFmtId="3" fontId="0" fillId="0" borderId="4" xfId="0" applyNumberFormat="1" applyBorder="1">
      <alignment vertical="center"/>
    </xf>
    <xf numFmtId="41" fontId="0" fillId="0" borderId="5" xfId="1" applyFont="1" applyBorder="1">
      <alignment vertical="center"/>
    </xf>
    <xf numFmtId="41" fontId="0" fillId="0" borderId="8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4" xfId="1" applyFont="1" applyBorder="1">
      <alignment vertical="center"/>
    </xf>
    <xf numFmtId="177" fontId="0" fillId="0" borderId="15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>
      <alignment vertical="center"/>
    </xf>
    <xf numFmtId="177" fontId="0" fillId="0" borderId="19" xfId="0" applyNumberFormat="1" applyBorder="1">
      <alignment vertical="center"/>
    </xf>
    <xf numFmtId="0" fontId="3" fillId="0" borderId="18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10" fontId="0" fillId="0" borderId="0" xfId="0" applyNumberFormat="1">
      <alignment vertical="center"/>
    </xf>
    <xf numFmtId="178" fontId="0" fillId="0" borderId="0" xfId="0" applyNumberFormat="1">
      <alignment vertical="center"/>
    </xf>
    <xf numFmtId="41" fontId="0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>
      <alignment vertical="center"/>
    </xf>
    <xf numFmtId="9" fontId="0" fillId="0" borderId="0" xfId="0" applyNumberFormat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26" xfId="0" applyFont="1" applyBorder="1">
      <alignment vertical="center"/>
    </xf>
    <xf numFmtId="177" fontId="0" fillId="0" borderId="34" xfId="0" applyNumberFormat="1" applyBorder="1">
      <alignment vertical="center"/>
    </xf>
    <xf numFmtId="176" fontId="0" fillId="0" borderId="27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1" fontId="0" fillId="0" borderId="27" xfId="1" applyFont="1" applyBorder="1">
      <alignment vertical="center"/>
    </xf>
    <xf numFmtId="177" fontId="0" fillId="0" borderId="35" xfId="0" applyNumberFormat="1" applyBorder="1">
      <alignment vertical="center"/>
    </xf>
    <xf numFmtId="176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1" fontId="0" fillId="0" borderId="26" xfId="1" applyFont="1" applyBorder="1">
      <alignment vertical="center"/>
    </xf>
    <xf numFmtId="9" fontId="0" fillId="0" borderId="26" xfId="0" applyNumberFormat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27" xfId="0" applyFont="1" applyBorder="1" applyAlignment="1">
      <alignment vertical="center" shrinkToFit="1"/>
    </xf>
    <xf numFmtId="0" fontId="3" fillId="0" borderId="18" xfId="0" applyFont="1" applyBorder="1" applyAlignment="1">
      <alignment horizontal="left" vertical="center" shrinkToFit="1"/>
    </xf>
    <xf numFmtId="0" fontId="3" fillId="0" borderId="18" xfId="0" applyFont="1" applyBorder="1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8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49" xfId="0" applyBorder="1" applyAlignment="1">
      <alignment horizontal="left" vertical="center"/>
    </xf>
    <xf numFmtId="0" fontId="0" fillId="0" borderId="49" xfId="0" applyBorder="1" applyAlignment="1">
      <alignment vertical="center" shrinkToFit="1"/>
    </xf>
    <xf numFmtId="0" fontId="0" fillId="0" borderId="49" xfId="0" applyBorder="1" applyAlignment="1">
      <alignment horizontal="center" vertical="center" shrinkToFit="1"/>
    </xf>
    <xf numFmtId="41" fontId="0" fillId="0" borderId="49" xfId="1" applyFont="1" applyBorder="1" applyAlignment="1">
      <alignment vertical="center" shrinkToFit="1"/>
    </xf>
    <xf numFmtId="9" fontId="0" fillId="0" borderId="49" xfId="0" applyNumberFormat="1" applyBorder="1" applyAlignment="1">
      <alignment vertical="center" shrinkToFit="1"/>
    </xf>
    <xf numFmtId="41" fontId="0" fillId="0" borderId="50" xfId="1" applyFont="1" applyBorder="1" applyAlignment="1">
      <alignment vertical="center" shrinkToFit="1"/>
    </xf>
    <xf numFmtId="0" fontId="0" fillId="0" borderId="52" xfId="0" applyBorder="1" applyAlignment="1">
      <alignment horizontal="left" vertical="center"/>
    </xf>
    <xf numFmtId="0" fontId="0" fillId="0" borderId="52" xfId="0" applyBorder="1" applyAlignment="1">
      <alignment vertical="center" shrinkToFit="1"/>
    </xf>
    <xf numFmtId="0" fontId="0" fillId="0" borderId="52" xfId="0" applyBorder="1" applyAlignment="1">
      <alignment horizontal="center" vertical="center" shrinkToFit="1"/>
    </xf>
    <xf numFmtId="41" fontId="0" fillId="0" borderId="52" xfId="1" applyFont="1" applyBorder="1" applyAlignment="1">
      <alignment vertical="center" shrinkToFit="1"/>
    </xf>
    <xf numFmtId="41" fontId="0" fillId="0" borderId="53" xfId="1" applyFont="1" applyBorder="1" applyAlignment="1">
      <alignment vertical="center" shrinkToFit="1"/>
    </xf>
    <xf numFmtId="0" fontId="0" fillId="0" borderId="52" xfId="0" applyBorder="1">
      <alignment vertical="center"/>
    </xf>
    <xf numFmtId="9" fontId="0" fillId="0" borderId="52" xfId="0" applyNumberFormat="1" applyBorder="1" applyAlignment="1">
      <alignment vertical="center" shrinkToFit="1"/>
    </xf>
    <xf numFmtId="2" fontId="0" fillId="0" borderId="52" xfId="0" applyNumberFormat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vertical="center" shrinkToFit="1"/>
    </xf>
    <xf numFmtId="41" fontId="0" fillId="0" borderId="56" xfId="1" applyFont="1" applyBorder="1" applyAlignment="1">
      <alignment vertical="center" shrinkToFit="1"/>
    </xf>
    <xf numFmtId="0" fontId="0" fillId="0" borderId="58" xfId="0" applyBorder="1" applyAlignment="1">
      <alignment horizontal="left" vertical="center"/>
    </xf>
    <xf numFmtId="0" fontId="0" fillId="0" borderId="58" xfId="0" applyBorder="1" applyAlignment="1">
      <alignment vertical="center" shrinkToFit="1"/>
    </xf>
    <xf numFmtId="0" fontId="0" fillId="0" borderId="58" xfId="0" applyBorder="1" applyAlignment="1">
      <alignment horizontal="center" vertical="center" shrinkToFit="1"/>
    </xf>
    <xf numFmtId="41" fontId="0" fillId="0" borderId="58" xfId="1" applyFont="1" applyBorder="1" applyAlignment="1">
      <alignment vertical="center" shrinkToFit="1"/>
    </xf>
    <xf numFmtId="41" fontId="0" fillId="0" borderId="59" xfId="1" applyFont="1" applyBorder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41" fontId="0" fillId="0" borderId="5" xfId="1" applyFont="1" applyBorder="1" applyAlignment="1">
      <alignment vertical="center" shrinkToFit="1"/>
    </xf>
    <xf numFmtId="0" fontId="0" fillId="0" borderId="16" xfId="0" applyBorder="1" applyAlignment="1">
      <alignment horizontal="center" vertical="center"/>
    </xf>
    <xf numFmtId="41" fontId="0" fillId="0" borderId="4" xfId="1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41" fontId="3" fillId="0" borderId="8" xfId="1" applyFont="1" applyBorder="1" applyAlignment="1">
      <alignment vertical="center" shrinkToFit="1"/>
    </xf>
    <xf numFmtId="0" fontId="1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9" fontId="0" fillId="0" borderId="26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49" xfId="0" applyBorder="1">
      <alignment vertical="center"/>
    </xf>
    <xf numFmtId="0" fontId="0" fillId="0" borderId="49" xfId="0" applyBorder="1" applyAlignment="1">
      <alignment horizontal="center" vertical="center"/>
    </xf>
    <xf numFmtId="41" fontId="0" fillId="0" borderId="49" xfId="1" applyFont="1" applyBorder="1">
      <alignment vertical="center"/>
    </xf>
    <xf numFmtId="9" fontId="0" fillId="0" borderId="49" xfId="0" applyNumberFormat="1" applyBorder="1">
      <alignment vertical="center"/>
    </xf>
    <xf numFmtId="41" fontId="0" fillId="0" borderId="50" xfId="1" applyFont="1" applyBorder="1">
      <alignment vertical="center"/>
    </xf>
    <xf numFmtId="0" fontId="0" fillId="0" borderId="52" xfId="0" applyBorder="1" applyAlignment="1">
      <alignment horizontal="center" vertical="center"/>
    </xf>
    <xf numFmtId="41" fontId="0" fillId="0" borderId="52" xfId="1" applyFont="1" applyBorder="1">
      <alignment vertical="center"/>
    </xf>
    <xf numFmtId="9" fontId="0" fillId="0" borderId="52" xfId="0" applyNumberFormat="1" applyBorder="1">
      <alignment vertical="center"/>
    </xf>
    <xf numFmtId="41" fontId="0" fillId="0" borderId="53" xfId="1" applyFont="1" applyBorder="1">
      <alignment vertical="center"/>
    </xf>
    <xf numFmtId="0" fontId="0" fillId="0" borderId="55" xfId="0" applyBorder="1">
      <alignment vertical="center"/>
    </xf>
    <xf numFmtId="41" fontId="0" fillId="0" borderId="56" xfId="1" applyFont="1" applyBorder="1">
      <alignment vertical="center"/>
    </xf>
    <xf numFmtId="0" fontId="0" fillId="0" borderId="58" xfId="0" applyBorder="1">
      <alignment vertical="center"/>
    </xf>
    <xf numFmtId="0" fontId="0" fillId="0" borderId="58" xfId="0" applyBorder="1" applyAlignment="1">
      <alignment horizontal="center" vertical="center"/>
    </xf>
    <xf numFmtId="41" fontId="0" fillId="0" borderId="58" xfId="1" applyFont="1" applyBorder="1">
      <alignment vertical="center"/>
    </xf>
    <xf numFmtId="41" fontId="0" fillId="0" borderId="59" xfId="1" applyFont="1" applyBorder="1">
      <alignment vertical="center"/>
    </xf>
    <xf numFmtId="0" fontId="0" fillId="0" borderId="4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4" xfId="1" applyFont="1" applyBorder="1" applyAlignment="1">
      <alignment vertical="center"/>
    </xf>
    <xf numFmtId="0" fontId="3" fillId="0" borderId="7" xfId="0" applyFont="1" applyBorder="1">
      <alignment vertical="center"/>
    </xf>
    <xf numFmtId="41" fontId="3" fillId="0" borderId="8" xfId="1" applyFont="1" applyBorder="1">
      <alignment vertical="center"/>
    </xf>
    <xf numFmtId="0" fontId="3" fillId="0" borderId="43" xfId="0" applyFont="1" applyBorder="1">
      <alignment vertical="center"/>
    </xf>
    <xf numFmtId="0" fontId="3" fillId="0" borderId="24" xfId="0" applyFont="1" applyBorder="1" applyAlignment="1">
      <alignment horizontal="right" vertical="center"/>
    </xf>
    <xf numFmtId="0" fontId="3" fillId="0" borderId="65" xfId="0" applyFont="1" applyBorder="1">
      <alignment vertical="center"/>
    </xf>
    <xf numFmtId="179" fontId="3" fillId="2" borderId="65" xfId="0" applyNumberFormat="1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66" xfId="0" applyFont="1" applyBorder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26" xfId="0" applyFont="1" applyBorder="1" applyAlignment="1">
      <alignment vertical="center" shrinkToFit="1"/>
    </xf>
    <xf numFmtId="180" fontId="0" fillId="0" borderId="27" xfId="0" applyNumberFormat="1" applyBorder="1" applyAlignment="1">
      <alignment horizontal="center" vertical="center"/>
    </xf>
    <xf numFmtId="180" fontId="0" fillId="0" borderId="18" xfId="0" applyNumberFormat="1" applyBorder="1" applyAlignment="1">
      <alignment horizontal="center" vertical="center"/>
    </xf>
    <xf numFmtId="0" fontId="3" fillId="0" borderId="4" xfId="0" applyFont="1" applyBorder="1" applyAlignment="1">
      <alignment vertical="center" shrinkToFi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9" fontId="0" fillId="0" borderId="0" xfId="0" applyNumberFormat="1">
      <alignment vertical="center"/>
    </xf>
    <xf numFmtId="0" fontId="3" fillId="0" borderId="70" xfId="0" applyFont="1" applyBorder="1">
      <alignment vertical="center"/>
    </xf>
    <xf numFmtId="176" fontId="0" fillId="0" borderId="70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41" fontId="0" fillId="0" borderId="70" xfId="1" applyFont="1" applyBorder="1">
      <alignment vertical="center"/>
    </xf>
    <xf numFmtId="9" fontId="0" fillId="0" borderId="71" xfId="0" applyNumberFormat="1" applyBorder="1" applyAlignment="1">
      <alignment horizontal="center" vertical="center"/>
    </xf>
    <xf numFmtId="177" fontId="0" fillId="0" borderId="72" xfId="0" applyNumberFormat="1" applyBorder="1">
      <alignment vertical="center"/>
    </xf>
    <xf numFmtId="0" fontId="3" fillId="0" borderId="76" xfId="0" applyFont="1" applyBorder="1">
      <alignment vertical="center"/>
    </xf>
    <xf numFmtId="176" fontId="0" fillId="0" borderId="76" xfId="0" applyNumberFormat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41" fontId="0" fillId="0" borderId="76" xfId="1" applyFont="1" applyBorder="1">
      <alignment vertical="center"/>
    </xf>
    <xf numFmtId="9" fontId="0" fillId="0" borderId="76" xfId="0" applyNumberFormat="1" applyBorder="1" applyAlignment="1">
      <alignment horizontal="center" vertical="center"/>
    </xf>
    <xf numFmtId="177" fontId="0" fillId="0" borderId="77" xfId="0" applyNumberFormat="1" applyBorder="1">
      <alignment vertical="center"/>
    </xf>
    <xf numFmtId="0" fontId="3" fillId="0" borderId="27" xfId="0" applyFont="1" applyBorder="1">
      <alignment vertical="center"/>
    </xf>
    <xf numFmtId="0" fontId="3" fillId="0" borderId="78" xfId="0" applyFont="1" applyBorder="1" applyAlignment="1">
      <alignment horizontal="left" vertical="center"/>
    </xf>
    <xf numFmtId="176" fontId="0" fillId="0" borderId="78" xfId="0" applyNumberForma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41" fontId="0" fillId="0" borderId="78" xfId="1" applyFont="1" applyBorder="1" applyAlignment="1">
      <alignment horizontal="center" vertical="center"/>
    </xf>
    <xf numFmtId="9" fontId="0" fillId="0" borderId="78" xfId="0" applyNumberFormat="1" applyBorder="1" applyAlignment="1">
      <alignment horizontal="center" vertical="center"/>
    </xf>
    <xf numFmtId="177" fontId="0" fillId="0" borderId="79" xfId="0" applyNumberFormat="1" applyBorder="1">
      <alignment vertical="center"/>
    </xf>
    <xf numFmtId="0" fontId="3" fillId="0" borderId="27" xfId="0" applyFont="1" applyBorder="1" applyAlignment="1">
      <alignment horizontal="left" vertical="center"/>
    </xf>
    <xf numFmtId="41" fontId="0" fillId="0" borderId="27" xfId="1" applyFon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3" fontId="0" fillId="0" borderId="14" xfId="0" applyNumberFormat="1" applyBorder="1">
      <alignment vertical="center"/>
    </xf>
    <xf numFmtId="190" fontId="0" fillId="0" borderId="4" xfId="1" applyNumberFormat="1" applyFont="1" applyBorder="1" applyAlignment="1">
      <alignment vertical="center" shrinkToFit="1"/>
    </xf>
    <xf numFmtId="9" fontId="0" fillId="0" borderId="80" xfId="0" applyNumberFormat="1" applyBorder="1" applyAlignment="1">
      <alignment horizontal="center" vertical="center"/>
    </xf>
    <xf numFmtId="0" fontId="0" fillId="0" borderId="8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27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0" fontId="33" fillId="0" borderId="88" xfId="0" applyNumberFormat="1" applyFont="1" applyBorder="1" applyAlignment="1">
      <alignment horizontal="center" vertical="center"/>
    </xf>
    <xf numFmtId="0" fontId="33" fillId="7" borderId="89" xfId="0" applyNumberFormat="1" applyFont="1" applyFill="1" applyBorder="1" applyAlignment="1">
      <alignment horizontal="center" vertical="center"/>
    </xf>
    <xf numFmtId="176" fontId="33" fillId="7" borderId="89" xfId="0" applyNumberFormat="1" applyFont="1" applyFill="1" applyBorder="1" applyAlignment="1">
      <alignment horizontal="center" vertical="center"/>
    </xf>
    <xf numFmtId="176" fontId="0" fillId="0" borderId="18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41" fontId="0" fillId="0" borderId="18" xfId="1" applyFont="1" applyFill="1" applyBorder="1">
      <alignment vertical="center"/>
    </xf>
    <xf numFmtId="9" fontId="0" fillId="0" borderId="24" xfId="0" applyNumberFormat="1" applyFill="1" applyBorder="1" applyAlignment="1">
      <alignment horizontal="center" vertical="center"/>
    </xf>
    <xf numFmtId="177" fontId="0" fillId="0" borderId="19" xfId="0" applyNumberFormat="1" applyFill="1" applyBorder="1">
      <alignment vertical="center"/>
    </xf>
    <xf numFmtId="0" fontId="0" fillId="0" borderId="4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177" fontId="0" fillId="0" borderId="5" xfId="0" applyNumberFormat="1" applyFill="1" applyBorder="1">
      <alignment vertical="center"/>
    </xf>
    <xf numFmtId="176" fontId="0" fillId="0" borderId="4" xfId="0" applyNumberFormat="1" applyFill="1" applyBorder="1" applyAlignment="1">
      <alignment horizontal="center" vertical="center"/>
    </xf>
    <xf numFmtId="9" fontId="0" fillId="0" borderId="13" xfId="0" applyNumberFormat="1" applyFill="1" applyBorder="1" applyAlignment="1">
      <alignment horizontal="center" vertical="center"/>
    </xf>
    <xf numFmtId="9" fontId="0" fillId="0" borderId="86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41" fontId="0" fillId="0" borderId="26" xfId="1" applyFont="1" applyFill="1" applyBorder="1">
      <alignment vertical="center"/>
    </xf>
    <xf numFmtId="9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41" fontId="0" fillId="0" borderId="27" xfId="1" applyFont="1" applyFill="1" applyBorder="1">
      <alignment vertical="center"/>
    </xf>
    <xf numFmtId="9" fontId="0" fillId="0" borderId="27" xfId="0" applyNumberFormat="1" applyFill="1" applyBorder="1" applyAlignment="1">
      <alignment horizontal="center" vertical="center"/>
    </xf>
    <xf numFmtId="177" fontId="0" fillId="0" borderId="35" xfId="0" applyNumberFormat="1" applyFill="1" applyBorder="1">
      <alignment vertical="center"/>
    </xf>
    <xf numFmtId="41" fontId="0" fillId="0" borderId="18" xfId="1" applyFont="1" applyFill="1" applyBorder="1" applyAlignment="1">
      <alignment horizontal="center" vertical="center"/>
    </xf>
    <xf numFmtId="9" fontId="0" fillId="0" borderId="18" xfId="0" applyNumberFormat="1" applyFill="1" applyBorder="1" applyAlignment="1">
      <alignment horizontal="center" vertical="center"/>
    </xf>
    <xf numFmtId="191" fontId="0" fillId="0" borderId="18" xfId="1" applyNumberFormat="1" applyFont="1" applyFill="1" applyBorder="1" applyAlignment="1">
      <alignment horizontal="center" vertical="center"/>
    </xf>
    <xf numFmtId="9" fontId="0" fillId="0" borderId="80" xfId="0" applyNumberFormat="1" applyFill="1" applyBorder="1" applyAlignment="1">
      <alignment horizontal="center" vertical="center"/>
    </xf>
    <xf numFmtId="3" fontId="0" fillId="0" borderId="4" xfId="0" applyNumberFormat="1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9" fontId="0" fillId="0" borderId="5" xfId="0" applyNumberFormat="1" applyFill="1" applyBorder="1" applyAlignment="1">
      <alignment horizontal="center" vertical="center"/>
    </xf>
    <xf numFmtId="9" fontId="0" fillId="0" borderId="8" xfId="0" applyNumberFormat="1" applyFill="1" applyBorder="1" applyAlignment="1">
      <alignment horizontal="center" vertical="center"/>
    </xf>
    <xf numFmtId="0" fontId="33" fillId="0" borderId="18" xfId="0" applyNumberFormat="1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/>
    </xf>
    <xf numFmtId="176" fontId="33" fillId="0" borderId="2" xfId="0" applyNumberFormat="1" applyFont="1" applyFill="1" applyBorder="1" applyAlignment="1">
      <alignment horizontal="center" vertical="center"/>
    </xf>
    <xf numFmtId="176" fontId="33" fillId="0" borderId="18" xfId="0" applyNumberFormat="1" applyFont="1" applyFill="1" applyBorder="1" applyAlignment="1">
      <alignment horizontal="center" vertical="center"/>
    </xf>
    <xf numFmtId="0" fontId="33" fillId="0" borderId="18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4" fillId="0" borderId="0" xfId="0" applyFont="1">
      <alignment vertical="center"/>
    </xf>
    <xf numFmtId="0" fontId="35" fillId="8" borderId="4" xfId="0" applyFont="1" applyFill="1" applyBorder="1">
      <alignment vertical="center"/>
    </xf>
    <xf numFmtId="0" fontId="25" fillId="0" borderId="4" xfId="0" applyFont="1" applyBorder="1">
      <alignment vertical="center"/>
    </xf>
    <xf numFmtId="41" fontId="3" fillId="0" borderId="0" xfId="1" applyFont="1">
      <alignment vertical="center"/>
    </xf>
    <xf numFmtId="0" fontId="37" fillId="0" borderId="92" xfId="64" applyFont="1" applyBorder="1" applyAlignment="1">
      <alignment horizontal="left" vertical="center"/>
    </xf>
    <xf numFmtId="0" fontId="37" fillId="0" borderId="0" xfId="64" applyFont="1" applyBorder="1" applyAlignment="1">
      <alignment horizontal="left" vertical="center"/>
    </xf>
    <xf numFmtId="0" fontId="37" fillId="0" borderId="93" xfId="64" applyFont="1" applyBorder="1" applyAlignment="1">
      <alignment horizontal="left" vertical="center"/>
    </xf>
    <xf numFmtId="0" fontId="39" fillId="0" borderId="97" xfId="64" applyFont="1" applyBorder="1" applyAlignment="1">
      <alignment horizontal="center" vertical="center"/>
    </xf>
    <xf numFmtId="0" fontId="39" fillId="0" borderId="99" xfId="64" applyFont="1" applyBorder="1" applyAlignment="1">
      <alignment horizontal="center" vertical="center"/>
    </xf>
    <xf numFmtId="0" fontId="39" fillId="0" borderId="101" xfId="64" applyFont="1" applyBorder="1" applyAlignment="1">
      <alignment horizontal="center" vertical="center"/>
    </xf>
    <xf numFmtId="0" fontId="39" fillId="0" borderId="103" xfId="64" applyFont="1" applyBorder="1" applyAlignment="1">
      <alignment horizontal="center" vertical="center"/>
    </xf>
    <xf numFmtId="192" fontId="39" fillId="9" borderId="107" xfId="64" applyNumberFormat="1" applyFont="1" applyFill="1" applyBorder="1" applyAlignment="1">
      <alignment vertical="center"/>
    </xf>
    <xf numFmtId="0" fontId="39" fillId="9" borderId="108" xfId="64" applyNumberFormat="1" applyFont="1" applyFill="1" applyBorder="1" applyAlignment="1">
      <alignment vertical="center"/>
    </xf>
    <xf numFmtId="0" fontId="39" fillId="0" borderId="109" xfId="64" applyFont="1" applyBorder="1" applyAlignment="1">
      <alignment horizontal="center" vertical="center"/>
    </xf>
    <xf numFmtId="0" fontId="39" fillId="0" borderId="111" xfId="64" applyFont="1" applyBorder="1" applyAlignment="1">
      <alignment horizontal="center" vertical="center"/>
    </xf>
    <xf numFmtId="0" fontId="41" fillId="0" borderId="92" xfId="64" applyFont="1" applyBorder="1">
      <alignment vertical="center"/>
    </xf>
    <xf numFmtId="0" fontId="41" fillId="0" borderId="0" xfId="64" applyFont="1" applyBorder="1">
      <alignment vertical="center"/>
    </xf>
    <xf numFmtId="0" fontId="41" fillId="0" borderId="93" xfId="64" applyFont="1" applyBorder="1">
      <alignment vertical="center"/>
    </xf>
    <xf numFmtId="49" fontId="39" fillId="0" borderId="113" xfId="64" applyNumberFormat="1" applyFont="1" applyFill="1" applyBorder="1" applyAlignment="1">
      <alignment horizontal="center" vertical="center"/>
    </xf>
    <xf numFmtId="193" fontId="39" fillId="0" borderId="114" xfId="56" applyNumberFormat="1" applyFont="1" applyFill="1" applyBorder="1" applyAlignment="1" applyProtection="1">
      <alignment horizontal="center" vertical="center"/>
    </xf>
    <xf numFmtId="0" fontId="39" fillId="0" borderId="114" xfId="64" applyFont="1" applyBorder="1" applyAlignment="1">
      <alignment horizontal="center" vertical="center"/>
    </xf>
    <xf numFmtId="0" fontId="39" fillId="0" borderId="117" xfId="64" applyNumberFormat="1" applyFont="1" applyBorder="1" applyAlignment="1">
      <alignment horizontal="center" vertical="center"/>
    </xf>
    <xf numFmtId="194" fontId="39" fillId="10" borderId="118" xfId="56" applyNumberFormat="1" applyFont="1" applyFill="1" applyBorder="1" applyAlignment="1" applyProtection="1">
      <alignment horizontal="right" vertical="center"/>
    </xf>
    <xf numFmtId="0" fontId="39" fillId="0" borderId="118" xfId="64" applyFont="1" applyBorder="1" applyAlignment="1">
      <alignment horizontal="center" vertical="center"/>
    </xf>
    <xf numFmtId="0" fontId="39" fillId="0" borderId="123" xfId="64" applyFont="1" applyBorder="1" applyAlignment="1">
      <alignment horizontal="center" vertical="center"/>
    </xf>
    <xf numFmtId="0" fontId="39" fillId="0" borderId="124" xfId="64" applyFont="1" applyBorder="1" applyAlignment="1">
      <alignment horizontal="center" vertical="center"/>
    </xf>
    <xf numFmtId="195" fontId="39" fillId="10" borderId="124" xfId="56" applyNumberFormat="1" applyFont="1" applyFill="1" applyBorder="1" applyAlignment="1" applyProtection="1">
      <alignment horizontal="center" vertical="center"/>
    </xf>
    <xf numFmtId="196" fontId="39" fillId="10" borderId="124" xfId="56" applyNumberFormat="1" applyFont="1" applyFill="1" applyBorder="1" applyAlignment="1" applyProtection="1">
      <alignment horizontal="center" vertical="center"/>
    </xf>
    <xf numFmtId="0" fontId="39" fillId="0" borderId="126" xfId="64" applyFont="1" applyBorder="1" applyAlignment="1">
      <alignment horizontal="center" vertical="center"/>
    </xf>
    <xf numFmtId="0" fontId="39" fillId="0" borderId="127" xfId="64" applyFont="1" applyBorder="1" applyAlignment="1">
      <alignment horizontal="center" vertical="center"/>
    </xf>
    <xf numFmtId="180" fontId="39" fillId="10" borderId="127" xfId="56" applyNumberFormat="1" applyFont="1" applyFill="1" applyBorder="1" applyAlignment="1" applyProtection="1">
      <alignment horizontal="center" vertical="center"/>
    </xf>
    <xf numFmtId="0" fontId="45" fillId="5" borderId="92" xfId="67" applyFont="1" applyFill="1" applyBorder="1" applyAlignment="1" applyProtection="1">
      <alignment horizontal="center" vertical="center"/>
    </xf>
    <xf numFmtId="0" fontId="45" fillId="5" borderId="0" xfId="67" applyFont="1" applyFill="1" applyBorder="1" applyAlignment="1" applyProtection="1">
      <alignment horizontal="center" vertical="center"/>
    </xf>
    <xf numFmtId="0" fontId="45" fillId="5" borderId="93" xfId="67" applyFont="1" applyFill="1" applyBorder="1" applyAlignment="1" applyProtection="1">
      <alignment horizontal="center" vertical="center"/>
    </xf>
    <xf numFmtId="0" fontId="41" fillId="5" borderId="0" xfId="67" applyFont="1" applyFill="1" applyBorder="1" applyAlignment="1" applyProtection="1">
      <alignment horizontal="left" vertical="center"/>
    </xf>
    <xf numFmtId="0" fontId="38" fillId="5" borderId="0" xfId="67" applyFont="1" applyFill="1" applyBorder="1" applyAlignment="1" applyProtection="1">
      <alignment vertical="center"/>
    </xf>
    <xf numFmtId="0" fontId="39" fillId="5" borderId="92" xfId="67" applyFont="1" applyFill="1" applyBorder="1" applyAlignment="1" applyProtection="1">
      <alignment horizontal="left" vertical="center"/>
    </xf>
    <xf numFmtId="0" fontId="42" fillId="5" borderId="0" xfId="68" applyFill="1" applyBorder="1" applyProtection="1">
      <alignment vertical="center"/>
    </xf>
    <xf numFmtId="0" fontId="42" fillId="5" borderId="93" xfId="68" applyFill="1" applyBorder="1" applyProtection="1">
      <alignment vertical="center"/>
    </xf>
    <xf numFmtId="0" fontId="39" fillId="5" borderId="92" xfId="67" applyFont="1" applyFill="1" applyBorder="1" applyAlignment="1" applyProtection="1">
      <alignment vertical="center"/>
    </xf>
    <xf numFmtId="0" fontId="39" fillId="5" borderId="0" xfId="67" applyFont="1" applyFill="1" applyBorder="1" applyAlignment="1" applyProtection="1">
      <alignment vertical="center"/>
    </xf>
    <xf numFmtId="0" fontId="39" fillId="5" borderId="93" xfId="67" applyFont="1" applyFill="1" applyBorder="1" applyAlignment="1" applyProtection="1">
      <alignment vertical="center"/>
    </xf>
    <xf numFmtId="0" fontId="48" fillId="5" borderId="92" xfId="67" applyFont="1" applyFill="1" applyBorder="1" applyAlignment="1" applyProtection="1">
      <alignment horizontal="center" vertical="center"/>
    </xf>
    <xf numFmtId="0" fontId="38" fillId="5" borderId="38" xfId="67" applyFont="1" applyFill="1" applyBorder="1" applyAlignment="1" applyProtection="1">
      <alignment horizontal="center" vertical="center"/>
    </xf>
    <xf numFmtId="0" fontId="38" fillId="5" borderId="91" xfId="67" applyFont="1" applyFill="1" applyBorder="1" applyAlignment="1" applyProtection="1">
      <alignment horizontal="left" vertical="center"/>
    </xf>
    <xf numFmtId="0" fontId="48" fillId="5" borderId="93" xfId="67" applyFont="1" applyFill="1" applyBorder="1" applyAlignment="1" applyProtection="1">
      <alignment horizontal="center" vertical="center"/>
    </xf>
    <xf numFmtId="0" fontId="41" fillId="5" borderId="92" xfId="67" applyFont="1" applyFill="1" applyBorder="1" applyAlignment="1" applyProtection="1">
      <alignment vertical="center"/>
    </xf>
    <xf numFmtId="0" fontId="41" fillId="5" borderId="130" xfId="67" applyFont="1" applyFill="1" applyBorder="1" applyAlignment="1" applyProtection="1">
      <alignment horizontal="right" vertical="center"/>
    </xf>
    <xf numFmtId="0" fontId="38" fillId="5" borderId="131" xfId="67" applyFont="1" applyFill="1" applyBorder="1" applyAlignment="1" applyProtection="1">
      <alignment vertical="center"/>
    </xf>
    <xf numFmtId="0" fontId="41" fillId="5" borderId="93" xfId="67" applyFont="1" applyFill="1" applyBorder="1" applyAlignment="1" applyProtection="1">
      <alignment vertical="center"/>
    </xf>
    <xf numFmtId="0" fontId="41" fillId="5" borderId="0" xfId="67" applyFont="1" applyFill="1" applyBorder="1" applyAlignment="1" applyProtection="1">
      <alignment vertical="center"/>
    </xf>
    <xf numFmtId="0" fontId="38" fillId="5" borderId="132" xfId="67" applyFont="1" applyFill="1" applyBorder="1" applyAlignment="1" applyProtection="1">
      <alignment horizontal="center" vertical="center"/>
    </xf>
    <xf numFmtId="0" fontId="38" fillId="5" borderId="134" xfId="67" applyFont="1" applyFill="1" applyBorder="1" applyAlignment="1" applyProtection="1">
      <alignment horizontal="left" vertical="center"/>
    </xf>
    <xf numFmtId="0" fontId="38" fillId="5" borderId="135" xfId="67" applyFont="1" applyFill="1" applyBorder="1" applyAlignment="1" applyProtection="1">
      <alignment horizontal="right" vertical="center"/>
    </xf>
    <xf numFmtId="0" fontId="38" fillId="5" borderId="137" xfId="67" applyFont="1" applyFill="1" applyBorder="1" applyAlignment="1" applyProtection="1">
      <alignment horizontal="left" vertical="center"/>
    </xf>
    <xf numFmtId="0" fontId="41" fillId="5" borderId="0" xfId="67" applyFont="1" applyFill="1" applyBorder="1" applyAlignment="1" applyProtection="1">
      <alignment horizontal="right" vertical="center"/>
    </xf>
    <xf numFmtId="6" fontId="49" fillId="5" borderId="0" xfId="67" applyNumberFormat="1" applyFont="1" applyFill="1" applyBorder="1" applyAlignment="1" applyProtection="1">
      <alignment horizontal="center" vertical="center"/>
    </xf>
    <xf numFmtId="0" fontId="49" fillId="5" borderId="0" xfId="67" applyFont="1" applyFill="1" applyBorder="1" applyAlignment="1" applyProtection="1">
      <alignment horizontal="center" vertical="center"/>
    </xf>
    <xf numFmtId="0" fontId="45" fillId="5" borderId="0" xfId="67" applyFont="1" applyFill="1" applyBorder="1" applyAlignment="1" applyProtection="1">
      <alignment vertical="center"/>
    </xf>
    <xf numFmtId="0" fontId="45" fillId="5" borderId="93" xfId="67" applyFont="1" applyFill="1" applyBorder="1" applyAlignment="1" applyProtection="1">
      <alignment vertical="center"/>
    </xf>
    <xf numFmtId="0" fontId="50" fillId="5" borderId="92" xfId="67" applyFont="1" applyFill="1" applyBorder="1" applyAlignment="1" applyProtection="1">
      <alignment horizontal="right" vertical="center"/>
    </xf>
    <xf numFmtId="0" fontId="50" fillId="5" borderId="0" xfId="67" applyFont="1" applyFill="1" applyBorder="1" applyAlignment="1" applyProtection="1">
      <alignment horizontal="right" vertical="center"/>
    </xf>
    <xf numFmtId="0" fontId="45" fillId="5" borderId="92" xfId="67" applyFont="1" applyFill="1" applyBorder="1" applyAlignment="1" applyProtection="1">
      <alignment vertical="center"/>
    </xf>
    <xf numFmtId="0" fontId="38" fillId="5" borderId="0" xfId="67" applyFont="1" applyFill="1" applyBorder="1" applyAlignment="1" applyProtection="1">
      <alignment horizontal="centerContinuous" vertical="center"/>
    </xf>
    <xf numFmtId="0" fontId="45" fillId="5" borderId="0" xfId="67" applyFont="1" applyFill="1" applyBorder="1" applyAlignment="1" applyProtection="1">
      <alignment horizontal="centerContinuous" vertical="center"/>
    </xf>
    <xf numFmtId="0" fontId="41" fillId="5" borderId="0" xfId="67" applyFont="1" applyFill="1" applyBorder="1" applyAlignment="1" applyProtection="1">
      <alignment horizontal="center" vertical="center"/>
    </xf>
    <xf numFmtId="0" fontId="41" fillId="5" borderId="93" xfId="67" applyFont="1" applyFill="1" applyBorder="1" applyAlignment="1" applyProtection="1">
      <alignment horizontal="center" vertical="center"/>
    </xf>
    <xf numFmtId="0" fontId="38" fillId="12" borderId="0" xfId="67" applyFont="1" applyFill="1" applyBorder="1" applyAlignment="1" applyProtection="1">
      <alignment horizontal="right" vertical="center"/>
    </xf>
    <xf numFmtId="0" fontId="38" fillId="12" borderId="0" xfId="67" applyFont="1" applyFill="1" applyBorder="1" applyAlignment="1" applyProtection="1">
      <alignment horizontal="center" vertical="center"/>
      <protection locked="0"/>
    </xf>
    <xf numFmtId="0" fontId="38" fillId="12" borderId="0" xfId="67" applyFont="1" applyFill="1" applyBorder="1" applyAlignment="1" applyProtection="1">
      <alignment vertical="center"/>
      <protection locked="0"/>
    </xf>
    <xf numFmtId="0" fontId="45" fillId="5" borderId="0" xfId="67" applyFont="1" applyFill="1" applyBorder="1" applyAlignment="1" applyProtection="1">
      <alignment horizontal="left" vertical="center"/>
    </xf>
    <xf numFmtId="0" fontId="39" fillId="5" borderId="92" xfId="67" applyFont="1" applyFill="1" applyBorder="1" applyAlignment="1" applyProtection="1">
      <alignment horizontal="center" vertical="center"/>
    </xf>
    <xf numFmtId="0" fontId="49" fillId="5" borderId="0" xfId="67" applyFont="1" applyFill="1" applyBorder="1" applyAlignment="1" applyProtection="1">
      <alignment horizontal="right" vertical="center"/>
    </xf>
    <xf numFmtId="0" fontId="49" fillId="5" borderId="0" xfId="67" applyFont="1" applyFill="1" applyBorder="1" applyAlignment="1" applyProtection="1">
      <alignment horizontal="left" vertical="center"/>
    </xf>
    <xf numFmtId="0" fontId="51" fillId="5" borderId="92" xfId="67" applyFont="1" applyFill="1" applyBorder="1" applyAlignment="1" applyProtection="1">
      <alignment horizontal="left" vertical="center" wrapText="1"/>
    </xf>
    <xf numFmtId="0" fontId="51" fillId="5" borderId="0" xfId="67" applyFont="1" applyFill="1" applyBorder="1" applyAlignment="1" applyProtection="1">
      <alignment vertical="center"/>
    </xf>
    <xf numFmtId="0" fontId="52" fillId="5" borderId="0" xfId="67" applyFont="1" applyFill="1" applyBorder="1" applyAlignment="1" applyProtection="1">
      <alignment horizontal="center" vertical="center"/>
    </xf>
    <xf numFmtId="0" fontId="52" fillId="5" borderId="93" xfId="67" applyFont="1" applyFill="1" applyBorder="1" applyAlignment="1" applyProtection="1">
      <alignment horizontal="center" vertical="center"/>
    </xf>
    <xf numFmtId="0" fontId="51" fillId="5" borderId="130" xfId="67" applyFont="1" applyFill="1" applyBorder="1" applyAlignment="1" applyProtection="1">
      <alignment horizontal="left" vertical="center"/>
    </xf>
    <xf numFmtId="0" fontId="51" fillId="5" borderId="68" xfId="67" applyFont="1" applyFill="1" applyBorder="1" applyAlignment="1" applyProtection="1">
      <alignment horizontal="left" vertical="center"/>
    </xf>
    <xf numFmtId="0" fontId="51" fillId="5" borderId="131" xfId="67" applyFont="1" applyFill="1" applyBorder="1" applyAlignment="1" applyProtection="1">
      <alignment horizontal="left" vertical="center"/>
    </xf>
    <xf numFmtId="0" fontId="38" fillId="5" borderId="92" xfId="67" applyFont="1" applyFill="1" applyBorder="1" applyAlignment="1" applyProtection="1">
      <alignment vertical="center"/>
    </xf>
    <xf numFmtId="0" fontId="42" fillId="5" borderId="0" xfId="68" applyFill="1" applyBorder="1" applyAlignment="1" applyProtection="1">
      <alignment vertical="center"/>
    </xf>
    <xf numFmtId="0" fontId="38" fillId="5" borderId="0" xfId="67" applyNumberFormat="1" applyFont="1" applyFill="1" applyBorder="1" applyAlignment="1" applyProtection="1">
      <alignment vertical="center" shrinkToFit="1"/>
    </xf>
    <xf numFmtId="0" fontId="38" fillId="5" borderId="93" xfId="67" applyNumberFormat="1" applyFont="1" applyFill="1" applyBorder="1" applyAlignment="1" applyProtection="1">
      <alignment vertical="center" shrinkToFit="1"/>
    </xf>
    <xf numFmtId="0" fontId="38" fillId="5" borderId="93" xfId="67" applyFont="1" applyFill="1" applyBorder="1" applyAlignment="1" applyProtection="1">
      <alignment vertical="center"/>
    </xf>
    <xf numFmtId="43" fontId="0" fillId="0" borderId="0" xfId="0" applyNumberFormat="1">
      <alignment vertical="center"/>
    </xf>
    <xf numFmtId="0" fontId="0" fillId="0" borderId="4" xfId="0" applyFill="1" applyBorder="1" applyAlignment="1">
      <alignment horizontal="center" vertical="center"/>
    </xf>
    <xf numFmtId="0" fontId="39" fillId="0" borderId="124" xfId="64" applyFont="1" applyBorder="1" applyAlignment="1">
      <alignment horizontal="center" vertical="center"/>
    </xf>
    <xf numFmtId="41" fontId="39" fillId="10" borderId="118" xfId="56" applyFont="1" applyFill="1" applyBorder="1" applyAlignment="1" applyProtection="1">
      <alignment horizontal="right" vertical="center"/>
    </xf>
    <xf numFmtId="41" fontId="39" fillId="10" borderId="107" xfId="56" applyFont="1" applyFill="1" applyBorder="1" applyAlignment="1" applyProtection="1">
      <alignment horizontal="right" vertical="center"/>
    </xf>
    <xf numFmtId="0" fontId="39" fillId="0" borderId="101" xfId="64" applyNumberFormat="1" applyFont="1" applyBorder="1" applyAlignment="1">
      <alignment horizontal="center" vertical="center"/>
    </xf>
    <xf numFmtId="0" fontId="39" fillId="0" borderId="107" xfId="64" applyFont="1" applyBorder="1" applyAlignment="1">
      <alignment horizontal="center" vertical="center"/>
    </xf>
    <xf numFmtId="177" fontId="3" fillId="13" borderId="19" xfId="0" applyNumberFormat="1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9" xfId="0" applyFont="1" applyFill="1" applyBorder="1" applyAlignment="1">
      <alignment horizontal="right" vertical="center"/>
    </xf>
    <xf numFmtId="177" fontId="3" fillId="13" borderId="34" xfId="0" applyNumberFormat="1" applyFont="1" applyFill="1" applyBorder="1">
      <alignment vertical="center"/>
    </xf>
    <xf numFmtId="177" fontId="3" fillId="13" borderId="5" xfId="0" applyNumberFormat="1" applyFont="1" applyFill="1" applyBorder="1">
      <alignment vertical="center"/>
    </xf>
    <xf numFmtId="0" fontId="3" fillId="14" borderId="4" xfId="0" applyFont="1" applyFill="1" applyBorder="1" applyAlignment="1">
      <alignment horizontal="center" vertical="center"/>
    </xf>
    <xf numFmtId="176" fontId="0" fillId="14" borderId="13" xfId="0" applyNumberFormat="1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41" fontId="0" fillId="14" borderId="14" xfId="1" applyFont="1" applyFill="1" applyBorder="1">
      <alignment vertical="center"/>
    </xf>
    <xf numFmtId="0" fontId="0" fillId="14" borderId="16" xfId="0" applyFill="1" applyBorder="1" applyAlignment="1">
      <alignment horizontal="center" vertical="center"/>
    </xf>
    <xf numFmtId="9" fontId="0" fillId="14" borderId="4" xfId="0" applyNumberFormat="1" applyFill="1" applyBorder="1" applyAlignment="1">
      <alignment horizontal="center" vertical="center"/>
    </xf>
    <xf numFmtId="177" fontId="3" fillId="14" borderId="5" xfId="0" applyNumberFormat="1" applyFont="1" applyFill="1" applyBorder="1">
      <alignment vertical="center"/>
    </xf>
    <xf numFmtId="0" fontId="0" fillId="14" borderId="13" xfId="0" applyFill="1" applyBorder="1" applyAlignment="1">
      <alignment horizontal="center" vertical="center"/>
    </xf>
    <xf numFmtId="3" fontId="0" fillId="14" borderId="14" xfId="0" applyNumberFormat="1" applyFill="1" applyBorder="1">
      <alignment vertical="center"/>
    </xf>
    <xf numFmtId="0" fontId="0" fillId="14" borderId="4" xfId="0" applyFill="1" applyBorder="1" applyAlignment="1">
      <alignment horizontal="center" vertical="center"/>
    </xf>
    <xf numFmtId="0" fontId="3" fillId="14" borderId="25" xfId="0" applyFont="1" applyFill="1" applyBorder="1" applyAlignment="1">
      <alignment horizontal="center" vertical="center"/>
    </xf>
    <xf numFmtId="41" fontId="3" fillId="14" borderId="8" xfId="0" applyNumberFormat="1" applyFont="1" applyFill="1" applyBorder="1">
      <alignment vertical="center"/>
    </xf>
    <xf numFmtId="0" fontId="53" fillId="0" borderId="27" xfId="0" applyFont="1" applyBorder="1" applyAlignment="1">
      <alignment vertical="center" shrinkToFit="1"/>
    </xf>
    <xf numFmtId="0" fontId="53" fillId="0" borderId="18" xfId="0" applyFont="1" applyBorder="1" applyAlignment="1">
      <alignment horizontal="left" vertical="center" shrinkToFit="1"/>
    </xf>
    <xf numFmtId="0" fontId="53" fillId="0" borderId="18" xfId="0" applyFont="1" applyBorder="1" applyAlignment="1">
      <alignment vertical="center" shrinkToFit="1"/>
    </xf>
    <xf numFmtId="201" fontId="0" fillId="0" borderId="5" xfId="1" applyNumberFormat="1" applyFont="1" applyBorder="1">
      <alignment vertical="center"/>
    </xf>
    <xf numFmtId="176" fontId="3" fillId="0" borderId="27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41" fontId="3" fillId="0" borderId="27" xfId="1" applyFont="1" applyFill="1" applyBorder="1" applyAlignment="1">
      <alignment horizontal="center" vertical="center"/>
    </xf>
    <xf numFmtId="9" fontId="3" fillId="0" borderId="27" xfId="0" applyNumberFormat="1" applyFont="1" applyFill="1" applyBorder="1" applyAlignment="1">
      <alignment horizontal="center" vertical="center"/>
    </xf>
    <xf numFmtId="177" fontId="3" fillId="15" borderId="35" xfId="0" applyNumberFormat="1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shrinkToFit="1"/>
    </xf>
    <xf numFmtId="0" fontId="0" fillId="0" borderId="84" xfId="0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41" fontId="0" fillId="0" borderId="4" xfId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9" fontId="0" fillId="0" borderId="26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9" fontId="0" fillId="0" borderId="62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176" fontId="0" fillId="0" borderId="73" xfId="0" applyNumberFormat="1" applyBorder="1" applyAlignment="1">
      <alignment horizontal="center" vertical="center"/>
    </xf>
    <xf numFmtId="176" fontId="0" fillId="0" borderId="74" xfId="0" applyNumberFormat="1" applyBorder="1" applyAlignment="1">
      <alignment horizontal="center" vertical="center"/>
    </xf>
    <xf numFmtId="176" fontId="0" fillId="0" borderId="75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9" fillId="11" borderId="124" xfId="64" applyFont="1" applyFill="1" applyBorder="1" applyAlignment="1">
      <alignment horizontal="left" vertical="center"/>
    </xf>
    <xf numFmtId="0" fontId="39" fillId="11" borderId="125" xfId="64" applyFont="1" applyFill="1" applyBorder="1" applyAlignment="1">
      <alignment horizontal="left" vertical="center"/>
    </xf>
    <xf numFmtId="0" fontId="38" fillId="0" borderId="94" xfId="64" applyFont="1" applyBorder="1" applyAlignment="1">
      <alignment horizontal="left" vertical="center"/>
    </xf>
    <xf numFmtId="0" fontId="38" fillId="0" borderId="95" xfId="64" applyFont="1" applyBorder="1" applyAlignment="1">
      <alignment horizontal="left" vertical="center"/>
    </xf>
    <xf numFmtId="0" fontId="38" fillId="0" borderId="96" xfId="64" applyFont="1" applyBorder="1" applyAlignment="1">
      <alignment horizontal="left" vertical="center"/>
    </xf>
    <xf numFmtId="193" fontId="39" fillId="0" borderId="115" xfId="56" applyNumberFormat="1" applyFont="1" applyFill="1" applyBorder="1" applyAlignment="1" applyProtection="1">
      <alignment horizontal="center" vertical="center"/>
    </xf>
    <xf numFmtId="193" fontId="39" fillId="0" borderId="116" xfId="56" applyNumberFormat="1" applyFont="1" applyFill="1" applyBorder="1" applyAlignment="1" applyProtection="1">
      <alignment horizontal="center" vertical="center"/>
    </xf>
    <xf numFmtId="41" fontId="39" fillId="10" borderId="98" xfId="56" applyFont="1" applyFill="1" applyBorder="1" applyAlignment="1" applyProtection="1">
      <alignment horizontal="left" vertical="center" wrapText="1"/>
    </xf>
    <xf numFmtId="41" fontId="39" fillId="10" borderId="100" xfId="56" applyFont="1" applyFill="1" applyBorder="1" applyAlignment="1" applyProtection="1">
      <alignment horizontal="left" vertical="center" wrapText="1"/>
    </xf>
    <xf numFmtId="41" fontId="39" fillId="10" borderId="102" xfId="56" applyFont="1" applyFill="1" applyBorder="1" applyAlignment="1" applyProtection="1">
      <alignment horizontal="left" vertical="center" wrapText="1"/>
    </xf>
    <xf numFmtId="41" fontId="39" fillId="10" borderId="104" xfId="56" applyFont="1" applyFill="1" applyBorder="1" applyAlignment="1" applyProtection="1">
      <alignment horizontal="left" vertical="center" wrapText="1"/>
    </xf>
    <xf numFmtId="0" fontId="38" fillId="0" borderId="120" xfId="64" applyFont="1" applyBorder="1" applyAlignment="1">
      <alignment horizontal="left" vertical="center"/>
    </xf>
    <xf numFmtId="0" fontId="38" fillId="0" borderId="121" xfId="64" applyFont="1" applyBorder="1" applyAlignment="1">
      <alignment horizontal="left" vertical="center"/>
    </xf>
    <xf numFmtId="0" fontId="38" fillId="0" borderId="122" xfId="64" applyFont="1" applyBorder="1" applyAlignment="1">
      <alignment horizontal="left" vertical="center"/>
    </xf>
    <xf numFmtId="0" fontId="39" fillId="0" borderId="124" xfId="64" applyFont="1" applyBorder="1" applyAlignment="1">
      <alignment horizontal="center" vertical="center"/>
    </xf>
    <xf numFmtId="0" fontId="39" fillId="0" borderId="125" xfId="64" applyFont="1" applyBorder="1" applyAlignment="1">
      <alignment horizontal="center" vertical="center"/>
    </xf>
    <xf numFmtId="41" fontId="39" fillId="10" borderId="105" xfId="56" applyFont="1" applyFill="1" applyBorder="1" applyAlignment="1" applyProtection="1">
      <alignment horizontal="left" vertical="center" wrapText="1"/>
    </xf>
    <xf numFmtId="41" fontId="39" fillId="10" borderId="119" xfId="56" applyFont="1" applyFill="1" applyBorder="1" applyAlignment="1" applyProtection="1">
      <alignment horizontal="left" vertical="center" wrapText="1"/>
    </xf>
    <xf numFmtId="41" fontId="39" fillId="10" borderId="108" xfId="56" applyFont="1" applyFill="1" applyBorder="1" applyAlignment="1" applyProtection="1">
      <alignment horizontal="left" vertical="center" wrapText="1"/>
    </xf>
    <xf numFmtId="0" fontId="39" fillId="9" borderId="102" xfId="64" applyFont="1" applyFill="1" applyBorder="1" applyAlignment="1">
      <alignment horizontal="left" vertical="center"/>
    </xf>
    <xf numFmtId="0" fontId="39" fillId="9" borderId="110" xfId="64" applyFont="1" applyFill="1" applyBorder="1" applyAlignment="1">
      <alignment horizontal="left" vertical="center"/>
    </xf>
    <xf numFmtId="0" fontId="39" fillId="9" borderId="112" xfId="64" applyFont="1" applyFill="1" applyBorder="1" applyAlignment="1">
      <alignment horizontal="left" vertical="center"/>
    </xf>
    <xf numFmtId="0" fontId="36" fillId="0" borderId="38" xfId="65" applyFont="1" applyBorder="1" applyAlignment="1">
      <alignment horizontal="center" vertical="center"/>
    </xf>
    <xf numFmtId="0" fontId="36" fillId="0" borderId="90" xfId="65" applyFont="1" applyBorder="1" applyAlignment="1">
      <alignment horizontal="center" vertical="center"/>
    </xf>
    <xf numFmtId="0" fontId="36" fillId="0" borderId="91" xfId="65" applyFont="1" applyBorder="1" applyAlignment="1">
      <alignment horizontal="center" vertical="center"/>
    </xf>
    <xf numFmtId="0" fontId="39" fillId="9" borderId="98" xfId="64" applyFont="1" applyFill="1" applyBorder="1" applyAlignment="1">
      <alignment horizontal="left" vertical="center" wrapText="1" shrinkToFit="1"/>
    </xf>
    <xf numFmtId="0" fontId="39" fillId="9" borderId="98" xfId="64" applyFont="1" applyFill="1" applyBorder="1" applyAlignment="1">
      <alignment horizontal="left" vertical="center"/>
    </xf>
    <xf numFmtId="0" fontId="39" fillId="9" borderId="100" xfId="64" applyFont="1" applyFill="1" applyBorder="1" applyAlignment="1">
      <alignment horizontal="left" vertical="center"/>
    </xf>
    <xf numFmtId="0" fontId="39" fillId="9" borderId="102" xfId="64" applyFont="1" applyFill="1" applyBorder="1" applyAlignment="1">
      <alignment horizontal="left" vertical="center" wrapText="1" shrinkToFit="1"/>
    </xf>
    <xf numFmtId="0" fontId="39" fillId="9" borderId="104" xfId="64" applyFont="1" applyFill="1" applyBorder="1" applyAlignment="1">
      <alignment horizontal="left" vertical="center"/>
    </xf>
    <xf numFmtId="0" fontId="39" fillId="9" borderId="105" xfId="64" applyFont="1" applyFill="1" applyBorder="1" applyAlignment="1">
      <alignment horizontal="left" vertical="center" wrapText="1" shrinkToFit="1"/>
    </xf>
    <xf numFmtId="0" fontId="39" fillId="9" borderId="106" xfId="64" applyFont="1" applyFill="1" applyBorder="1" applyAlignment="1">
      <alignment horizontal="left" vertical="center" wrapText="1" shrinkToFit="1"/>
    </xf>
    <xf numFmtId="0" fontId="39" fillId="9" borderId="102" xfId="64" applyFont="1" applyFill="1" applyBorder="1" applyAlignment="1">
      <alignment horizontal="left" vertical="center" shrinkToFit="1"/>
    </xf>
    <xf numFmtId="14" fontId="39" fillId="9" borderId="102" xfId="64" applyNumberFormat="1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6" fillId="0" borderId="0" xfId="65" applyFont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4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43" fillId="2" borderId="128" xfId="67" applyFont="1" applyFill="1" applyBorder="1" applyAlignment="1" applyProtection="1">
      <alignment horizontal="center" vertical="center"/>
    </xf>
    <xf numFmtId="0" fontId="43" fillId="2" borderId="67" xfId="67" applyFont="1" applyFill="1" applyBorder="1" applyAlignment="1" applyProtection="1">
      <alignment horizontal="center" vertical="center"/>
    </xf>
    <xf numFmtId="0" fontId="43" fillId="2" borderId="129" xfId="67" applyFont="1" applyFill="1" applyBorder="1" applyAlignment="1" applyProtection="1">
      <alignment horizontal="center" vertical="center"/>
    </xf>
    <xf numFmtId="0" fontId="38" fillId="5" borderId="92" xfId="67" applyFont="1" applyFill="1" applyBorder="1" applyAlignment="1" applyProtection="1">
      <alignment horizontal="left" vertical="center"/>
    </xf>
    <xf numFmtId="0" fontId="42" fillId="5" borderId="0" xfId="68" applyFill="1" applyBorder="1" applyProtection="1">
      <alignment vertical="center"/>
    </xf>
    <xf numFmtId="197" fontId="38" fillId="5" borderId="0" xfId="67" applyNumberFormat="1" applyFont="1" applyFill="1" applyBorder="1" applyAlignment="1" applyProtection="1">
      <alignment horizontal="left" vertical="center"/>
    </xf>
    <xf numFmtId="197" fontId="38" fillId="5" borderId="93" xfId="67" applyNumberFormat="1" applyFont="1" applyFill="1" applyBorder="1" applyAlignment="1" applyProtection="1">
      <alignment horizontal="left" vertical="center"/>
    </xf>
    <xf numFmtId="0" fontId="50" fillId="5" borderId="92" xfId="67" applyFont="1" applyFill="1" applyBorder="1" applyAlignment="1" applyProtection="1">
      <alignment horizontal="right" vertical="center"/>
    </xf>
    <xf numFmtId="0" fontId="50" fillId="0" borderId="0" xfId="67" applyFont="1" applyFill="1" applyBorder="1" applyAlignment="1" applyProtection="1">
      <alignment vertical="center"/>
    </xf>
    <xf numFmtId="0" fontId="47" fillId="5" borderId="0" xfId="68" applyFont="1" applyFill="1" applyBorder="1" applyProtection="1">
      <alignment vertical="center"/>
    </xf>
    <xf numFmtId="0" fontId="47" fillId="5" borderId="93" xfId="68" applyFont="1" applyFill="1" applyBorder="1" applyProtection="1">
      <alignment vertical="center"/>
    </xf>
    <xf numFmtId="198" fontId="38" fillId="5" borderId="90" xfId="67" applyNumberFormat="1" applyFont="1" applyFill="1" applyBorder="1" applyAlignment="1" applyProtection="1">
      <alignment horizontal="right" vertical="center" shrinkToFit="1"/>
    </xf>
    <xf numFmtId="200" fontId="49" fillId="5" borderId="68" xfId="69" applyNumberFormat="1" applyFont="1" applyFill="1" applyBorder="1" applyAlignment="1" applyProtection="1">
      <alignment horizontal="right" vertical="center"/>
    </xf>
    <xf numFmtId="198" fontId="50" fillId="12" borderId="133" xfId="67" applyNumberFormat="1" applyFont="1" applyFill="1" applyBorder="1" applyAlignment="1" applyProtection="1">
      <alignment horizontal="center" vertical="center"/>
    </xf>
    <xf numFmtId="200" fontId="50" fillId="12" borderId="136" xfId="67" applyNumberFormat="1" applyFont="1" applyFill="1" applyBorder="1" applyAlignment="1" applyProtection="1">
      <alignment horizontal="center" vertical="center"/>
    </xf>
    <xf numFmtId="0" fontId="31" fillId="6" borderId="65" xfId="0" applyNumberFormat="1" applyFont="1" applyFill="1" applyBorder="1" applyAlignment="1">
      <alignment horizontal="center" vertical="center"/>
    </xf>
    <xf numFmtId="0" fontId="33" fillId="0" borderId="26" xfId="0" applyNumberFormat="1" applyFont="1" applyBorder="1" applyAlignment="1">
      <alignment horizontal="center" vertical="center"/>
    </xf>
    <xf numFmtId="0" fontId="33" fillId="0" borderId="88" xfId="0" applyNumberFormat="1" applyFont="1" applyBorder="1" applyAlignment="1">
      <alignment horizontal="center" vertical="center"/>
    </xf>
    <xf numFmtId="0" fontId="33" fillId="0" borderId="25" xfId="0" applyNumberFormat="1" applyFont="1" applyBorder="1" applyAlignment="1">
      <alignment horizontal="center" vertical="center"/>
    </xf>
    <xf numFmtId="0" fontId="33" fillId="0" borderId="87" xfId="0" applyNumberFormat="1" applyFont="1" applyBorder="1" applyAlignment="1">
      <alignment horizontal="center" vertical="center"/>
    </xf>
  </cellXfs>
  <cellStyles count="70">
    <cellStyle name="?" xfId="2"/>
    <cellStyle name="??&amp;O?&amp;H?_x0008__x000f__x0007_?_x0007__x0001__x0001_" xfId="3"/>
    <cellStyle name="?W?_laroux" xfId="4"/>
    <cellStyle name="’E‰Y [0.00]_laroux" xfId="5"/>
    <cellStyle name="’E‰Y_laroux" xfId="6"/>
    <cellStyle name="111" xfId="7"/>
    <cellStyle name="AeE­ [0]_PERSONAL" xfId="8"/>
    <cellStyle name="AeE­_PERSONAL" xfId="9"/>
    <cellStyle name="ALIGNMENT" xfId="10"/>
    <cellStyle name="C￥AØ_PERSONAL" xfId="11"/>
    <cellStyle name="category" xfId="12"/>
    <cellStyle name="Comma [0]_ SG&amp;A Bridge " xfId="13"/>
    <cellStyle name="Comma_ SG&amp;A Bridge " xfId="14"/>
    <cellStyle name="Comma0" xfId="15"/>
    <cellStyle name="Currency [0]_ SG&amp;A Bridge " xfId="16"/>
    <cellStyle name="Currency_ SG&amp;A Bridge " xfId="17"/>
    <cellStyle name="Currency0" xfId="18"/>
    <cellStyle name="Date" xfId="19"/>
    <cellStyle name="Fixed" xfId="20"/>
    <cellStyle name="Grey" xfId="21"/>
    <cellStyle name="HEADER" xfId="22"/>
    <cellStyle name="Header1" xfId="23"/>
    <cellStyle name="Header2" xfId="24"/>
    <cellStyle name="Heading 1" xfId="25"/>
    <cellStyle name="Heading 2" xfId="26"/>
    <cellStyle name="Input [yellow]" xfId="27"/>
    <cellStyle name="Model" xfId="28"/>
    <cellStyle name="Normal - Style1" xfId="29"/>
    <cellStyle name="Normal_ SG&amp;A Bridge " xfId="30"/>
    <cellStyle name="oh" xfId="31"/>
    <cellStyle name="Percent [2]" xfId="32"/>
    <cellStyle name="subhead" xfId="33"/>
    <cellStyle name="Total" xfId="34"/>
    <cellStyle name="네모제목" xfId="35"/>
    <cellStyle name="㼿" xfId="36"/>
    <cellStyle name="㼿 2" xfId="37"/>
    <cellStyle name="㼿?" xfId="38"/>
    <cellStyle name="㼿? 2" xfId="39"/>
    <cellStyle name="㼿㼿" xfId="40"/>
    <cellStyle name="㼿㼿 2" xfId="41"/>
    <cellStyle name="㼿㼿?" xfId="42"/>
    <cellStyle name="㼿㼿? 2" xfId="43"/>
    <cellStyle name="㼿㼿㼿" xfId="44"/>
    <cellStyle name="㼿㼿㼿 2" xfId="45"/>
    <cellStyle name="㼿㼿㼿㼿" xfId="46"/>
    <cellStyle name="㼿㼿㼿㼿㼿" xfId="47"/>
    <cellStyle name="㼿㼿㼿㼿㼿?" xfId="48"/>
    <cellStyle name="㼿㼿㼿㼿㼿㼿" xfId="49"/>
    <cellStyle name="㼿㼿㼿㼿㼿㼿㼿?" xfId="50"/>
    <cellStyle name="㼿㼿㼿㼿㼿㼿㼿㼿?" xfId="51"/>
    <cellStyle name="㼿㼿㼿㼿㼿㼿㼿㼿㼿" xfId="52"/>
    <cellStyle name="뒤에 오는 하이퍼링크_BOOK1" xfId="53"/>
    <cellStyle name="백분율 2" xfId="54"/>
    <cellStyle name="凤준" xfId="55"/>
    <cellStyle name="쉼표 [0]" xfId="1" builtinId="6"/>
    <cellStyle name="쉼표 [0] 2" xfId="56"/>
    <cellStyle name="쉼표 [0] 3" xfId="57"/>
    <cellStyle name="스타일 1" xfId="58"/>
    <cellStyle name="줿" xfId="59"/>
    <cellStyle name="줿㼿㼿㼿" xfId="60"/>
    <cellStyle name="줿㼿㼿㼿㼿?" xfId="61"/>
    <cellStyle name="콤마 [0]_0.상암내역총괄" xfId="62"/>
    <cellStyle name="콤마_0.상암내역총괄" xfId="63"/>
    <cellStyle name="통화 [0]_2000년 덩굴류 작업계획" xfId="69"/>
    <cellStyle name="표준" xfId="0" builtinId="0"/>
    <cellStyle name="표준 2" xfId="64"/>
    <cellStyle name="표준 3" xfId="65"/>
    <cellStyle name="표준 4" xfId="66"/>
    <cellStyle name="표준_(치료)숲가꾸기단가산출서(덕거132-가) 2" xfId="68"/>
    <cellStyle name="표준_원가산출 2" xfId="67"/>
  </cellStyles>
  <dxfs count="0"/>
  <tableStyles count="0" defaultTableStyle="TableStyleMedium2" defaultPivotStyle="PivotStyleLight16"/>
  <colors>
    <mruColors>
      <color rgb="FFECF5DB"/>
      <color rgb="FFFF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Local%20Settings/Temp/ENALATEMP/&#45824;&#44552;&#49324;&#51221;&#45824;&#49688;&#49696;&#485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2009&#45380;&#46020;/&#49714;&#44032;&#44984;&#44592;%20&#49324;&#50629;&#49436;&#47448;/2009&#45380;%20&#44592;&#44228;&#54868;%20&#47784;&#45944;&#49714;(&#48268;&#52292;,&#51312;&#47548;&#50696;&#51221;&#51648;%2021-&#51088;,&#50500;)/&#54364;&#51456;&#51648;&#51665;&#44060;%20&#48143;%20&#50896;&#44032;&#44228;&#49328;/&#50696;&#51221;&#44032;&#44201;&#44208;&#51221;&#49436;(21-&#50500;&#50808;%202)-&#45824;&#49345;&#51648;%20&#51312;&#49324;%20&#49884;&#51216;%20&#50896;&#44032;&#44228;&#49328;&#49436;&#5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0500;&#49436;&#50836;/&#48148;&#53461;%20&#54868;&#47732;/&#51649;&#50689;&#48268;&#52292;/&#49444;&#44228;/&#49324;&#50629;&#44228;&#54925;/&#54364;&#51456;&#51648;%20&#51312;&#49324;/&#49688;&#51061;&#44036;&#48268;%20&#51204;&#52404;%20&#51116;&#51201;&#51312;&#49436;(219-&#47560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51076;&#49328;&#47932;&#47588;&#44033;(&#50896;&#47785;,&#51077;&#47785;)/&#51077;&#47785;&#47588;&#44033;/&#48537;&#51076;%202.%20&#45824;&#44552;&#49324;&#51221;(&#45453;&#44221;&#51648;%20&#51648;&#51109;&#47785;)%20&#51648;&#53440;&#54252;&#546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&#48148;&#53461;%20&#54868;&#47732;/&#44608;&#48124;&#49440;/&#49324;&#50629;&#44228;&#54925;/&#54364;&#51456;&#51648;%20&#51312;&#49324;/&#49688;&#51061;&#44036;&#48268;%20&#51204;&#52404;%20&#51116;&#51201;&#51312;&#49436;(219-&#4756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428;&#49692;&#47564;/AppData/Local/Microsoft/Windows/INetCache/IE/K3DXGMV6/&#50629;&#47924;(&#50689;&#51452;%20&#51088;&#50896;)/&#50689;&#51452;&#51088;&#50896;&#51312;&#49457;/2016&#45380;/&#54413;&#49444;&#54644;&#47785;&#44288;&#47144;/&#54413;&#54644;&#54588;&#54644;&#47785;%20&#51221;&#47532;/&#51221;&#47532;&#49324;&#50629;(&#44592;&#48264;3)/&#51312;&#49324;&#44208;&#44284;/&#48537;&#51076;2_&#50896;&#44032;&#44228;&#49328;%20&#48143;%20&#45800;&#44032;&#49328;&#52636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종별재적표"/>
      <sheetName val="시가"/>
      <sheetName val="기본자료"/>
      <sheetName val="기본자료_인쇄용"/>
      <sheetName val="철도거리산출"/>
      <sheetName val="운반비산출"/>
      <sheetName val="적용시장산출"/>
      <sheetName val="평균시가"/>
      <sheetName val="사정표"/>
      <sheetName val="KJW_LIS"/>
      <sheetName val="공정"/>
      <sheetName val="선별이정표"/>
      <sheetName val="화물차운임"/>
      <sheetName val="공시목"/>
      <sheetName val="평균단가"/>
      <sheetName val="평정서"/>
      <sheetName val="초기화면"/>
      <sheetName val="처리중"/>
      <sheetName val="설명"/>
      <sheetName val="사정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21-아"/>
      <sheetName val="21-자"/>
      <sheetName val="22-마 "/>
      <sheetName val="22-바"/>
      <sheetName val="1.기초 자료"/>
      <sheetName val="벌채(벌목조재,지타,산지집재)"/>
      <sheetName val="ha당 조림예정지 단가산출서"/>
      <sheetName val="8.설계내역서"/>
      <sheetName val="9.작업기간산출기준"/>
      <sheetName val="11.원가계산서"/>
      <sheetName val="12.평정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 제거이용가능목)219-마"/>
      <sheetName val="재적조서 제거이용가능목)220-나"/>
    </sheetNames>
    <sheetDataSet>
      <sheetData sheetId="0" refreshError="1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종별재적표"/>
      <sheetName val="시가"/>
      <sheetName val="기본자료"/>
      <sheetName val="철도노선거리"/>
      <sheetName val="운반비산출"/>
      <sheetName val="적용시장산출"/>
      <sheetName val="평균시가"/>
      <sheetName val="사정표"/>
      <sheetName val="공시목"/>
      <sheetName val="평균단가"/>
      <sheetName val="평정서"/>
      <sheetName val="철도거리"/>
      <sheetName val="철도노선"/>
      <sheetName val="화물"/>
      <sheetName val="집재공정"/>
      <sheetName val="벌목공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7">
          <cell r="A7" t="str">
            <v>낙엽송입목</v>
          </cell>
          <cell r="F7" t="str">
            <v>원주</v>
          </cell>
          <cell r="G7">
            <v>121321</v>
          </cell>
        </row>
        <row r="8">
          <cell r="A8" t="str">
            <v>낙엽송입목</v>
          </cell>
          <cell r="F8" t="str">
            <v>평창</v>
          </cell>
          <cell r="G8">
            <v>119526</v>
          </cell>
        </row>
        <row r="9">
          <cell r="A9" t="str">
            <v>리기다입목</v>
          </cell>
          <cell r="F9" t="str">
            <v>홍천</v>
          </cell>
          <cell r="G9">
            <v>60000</v>
          </cell>
        </row>
        <row r="10">
          <cell r="A10" t="str">
            <v>잣나무입목</v>
          </cell>
          <cell r="F10" t="str">
            <v>횡성</v>
          </cell>
          <cell r="G10">
            <v>109979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 제거이용가능목)219-마"/>
      <sheetName val="재적조서 제거이용가능목)220-나"/>
    </sheetNames>
    <sheetDataSet>
      <sheetData sheetId="0" refreshError="1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집재공정"/>
      <sheetName val="벌목공정"/>
      <sheetName val="표준지조사(당초)"/>
      <sheetName val="벌채1"/>
      <sheetName val="원가계산서"/>
      <sheetName val="설계내역서"/>
      <sheetName val="단가산출(벌채)"/>
      <sheetName val="단가산출(산물수집)"/>
      <sheetName val="단가산출(조림)"/>
      <sheetName val="운재로시설"/>
      <sheetName val="작업기간산출기준"/>
      <sheetName val="단가산출(임내정리)"/>
      <sheetName val="기초 자료"/>
      <sheetName val="기초금액결정서"/>
      <sheetName val="단가산출(단목정리)"/>
      <sheetName val="단가산출(벌채수집_13-0-4-0)"/>
      <sheetName val="단가산출(벌채수집_58-0-2-0)"/>
      <sheetName val="단가산출(수집_104-0-5-1)"/>
      <sheetName val="단가산출(지존)"/>
      <sheetName val="운재로단산"/>
      <sheetName val="운재로산출근거"/>
      <sheetName val="조사집계(13-0-4-0)"/>
      <sheetName val="조사야장집계표(13-0-4-0)"/>
      <sheetName val="조사집계(58-0-2-0)"/>
      <sheetName val="조사야장집계표(58-0-2-0)"/>
      <sheetName val="조사집계(59-0-2-0)"/>
      <sheetName val="조사야장집계표(59-0-2-0)"/>
      <sheetName val="조사야장집계표(104-0-5-1)(벌채)"/>
      <sheetName val="조사야장집계표(104-0-5-1)(단목정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단재적표"/>
      <sheetName val="반응조"/>
      <sheetName val="토공사"/>
      <sheetName val="기본자료"/>
      <sheetName val="봉룡천"/>
      <sheetName val="noyim"/>
      <sheetName val="unitpric"/>
      <sheetName val="부대공Ⅱ"/>
      <sheetName val="(C)원내역"/>
      <sheetName val="사방댐(2002 부여)"/>
      <sheetName val="기초일위"/>
      <sheetName val="예가평정서표지"/>
      <sheetName val="환경기계공정표 (3)"/>
      <sheetName val="설계기준"/>
      <sheetName val="내역1"/>
      <sheetName val="설계요소"/>
      <sheetName val="99노임단가"/>
      <sheetName val="수량집계"/>
      <sheetName val="바닥막이1.5"/>
      <sheetName val="계약서"/>
      <sheetName val="일위대가표"/>
      <sheetName val="전기"/>
      <sheetName val="설계예산서"/>
      <sheetName val="200"/>
      <sheetName val="부대단위수량"/>
      <sheetName val="조명시설"/>
      <sheetName val="건축내역"/>
      <sheetName val="교통표지판수량집계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BreakPreview" topLeftCell="A10" zoomScaleNormal="100" zoomScaleSheetLayoutView="100" workbookViewId="0">
      <selection activeCell="C15" sqref="C15"/>
    </sheetView>
  </sheetViews>
  <sheetFormatPr defaultRowHeight="16.5"/>
  <cols>
    <col min="1" max="1" width="4.5" style="42" customWidth="1"/>
    <col min="2" max="2" width="20.125" style="42" bestFit="1" customWidth="1"/>
    <col min="3" max="3" width="6.375" style="42" customWidth="1"/>
    <col min="4" max="4" width="5.25" style="42" customWidth="1"/>
    <col min="5" max="5" width="6.5" style="42" customWidth="1"/>
    <col min="6" max="6" width="9" style="42"/>
    <col min="7" max="7" width="10.375" style="42" customWidth="1"/>
    <col min="8" max="8" width="10.25" style="42" customWidth="1"/>
    <col min="9" max="9" width="5.375" style="42" customWidth="1"/>
    <col min="10" max="10" width="12.75" style="42" customWidth="1"/>
    <col min="11" max="16384" width="9" style="42"/>
  </cols>
  <sheetData>
    <row r="1" spans="1:11" ht="31.5">
      <c r="A1" s="357" t="s">
        <v>115</v>
      </c>
      <c r="B1" s="358"/>
      <c r="C1" s="358"/>
      <c r="D1" s="358"/>
      <c r="E1" s="358"/>
      <c r="F1" s="358"/>
      <c r="G1" s="358"/>
      <c r="H1" s="358"/>
      <c r="I1" s="358"/>
      <c r="J1" s="358"/>
    </row>
    <row r="2" spans="1:11" ht="17.25" thickBot="1">
      <c r="A2" s="42" t="s">
        <v>116</v>
      </c>
      <c r="F2" s="42" t="s">
        <v>117</v>
      </c>
    </row>
    <row r="3" spans="1:11" ht="21.75" customHeight="1">
      <c r="A3" s="359" t="s">
        <v>118</v>
      </c>
      <c r="B3" s="360"/>
      <c r="C3" s="363" t="s">
        <v>119</v>
      </c>
      <c r="D3" s="364"/>
      <c r="E3" s="364"/>
      <c r="F3" s="365"/>
      <c r="G3" s="75" t="s">
        <v>120</v>
      </c>
      <c r="H3" s="366" t="s">
        <v>121</v>
      </c>
      <c r="J3" s="368" t="s">
        <v>122</v>
      </c>
    </row>
    <row r="4" spans="1:11" ht="21.75" customHeight="1">
      <c r="A4" s="361"/>
      <c r="B4" s="362"/>
      <c r="C4" s="370" t="s">
        <v>123</v>
      </c>
      <c r="D4" s="371"/>
      <c r="E4" s="76" t="s">
        <v>124</v>
      </c>
      <c r="F4" s="76" t="s">
        <v>125</v>
      </c>
      <c r="G4" s="77" t="s">
        <v>126</v>
      </c>
      <c r="H4" s="367"/>
      <c r="J4" s="369"/>
      <c r="K4" s="42" t="s">
        <v>127</v>
      </c>
    </row>
    <row r="5" spans="1:11" ht="21.75" customHeight="1" thickBot="1">
      <c r="A5" s="377" t="s">
        <v>128</v>
      </c>
      <c r="B5" s="378"/>
      <c r="C5" s="379">
        <v>0</v>
      </c>
      <c r="D5" s="379"/>
      <c r="E5" s="79">
        <v>50</v>
      </c>
      <c r="F5" s="79">
        <v>50</v>
      </c>
      <c r="G5" s="79">
        <v>0</v>
      </c>
      <c r="H5" s="80">
        <f>SUM(C5:G5)</f>
        <v>100</v>
      </c>
      <c r="J5" s="81">
        <v>28</v>
      </c>
    </row>
    <row r="6" spans="1:11" ht="9.75" customHeight="1" thickBot="1">
      <c r="A6" s="82"/>
      <c r="B6" s="82"/>
      <c r="C6" s="82"/>
      <c r="D6" s="82"/>
      <c r="E6" s="82"/>
      <c r="F6" s="82"/>
    </row>
    <row r="7" spans="1:11" ht="33" customHeight="1">
      <c r="A7" s="380" t="s">
        <v>129</v>
      </c>
      <c r="B7" s="382" t="s">
        <v>130</v>
      </c>
      <c r="C7" s="384" t="s">
        <v>131</v>
      </c>
      <c r="D7" s="382"/>
      <c r="E7" s="384" t="s">
        <v>132</v>
      </c>
      <c r="F7" s="382"/>
      <c r="G7" s="384" t="s">
        <v>133</v>
      </c>
      <c r="H7" s="382"/>
      <c r="I7" s="388" t="s">
        <v>134</v>
      </c>
      <c r="J7" s="389" t="s">
        <v>135</v>
      </c>
    </row>
    <row r="8" spans="1:11" ht="19.5" customHeight="1" thickBot="1">
      <c r="A8" s="381"/>
      <c r="B8" s="383"/>
      <c r="C8" s="83"/>
      <c r="D8" s="84" t="s">
        <v>136</v>
      </c>
      <c r="E8" s="83"/>
      <c r="F8" s="84" t="s">
        <v>136</v>
      </c>
      <c r="G8" s="83"/>
      <c r="H8" s="85" t="s">
        <v>137</v>
      </c>
      <c r="I8" s="383"/>
      <c r="J8" s="390"/>
    </row>
    <row r="9" spans="1:11" ht="22.5" customHeight="1" thickTop="1">
      <c r="A9" s="391" t="s">
        <v>138</v>
      </c>
      <c r="B9" s="86" t="s">
        <v>139</v>
      </c>
      <c r="C9" s="87">
        <v>0</v>
      </c>
      <c r="D9" s="88" t="s">
        <v>140</v>
      </c>
      <c r="E9" s="87">
        <v>0.05</v>
      </c>
      <c r="F9" s="88" t="s">
        <v>141</v>
      </c>
      <c r="G9" s="89">
        <v>232210</v>
      </c>
      <c r="H9" s="88" t="s">
        <v>142</v>
      </c>
      <c r="I9" s="90">
        <f>C36</f>
        <v>0.08</v>
      </c>
      <c r="J9" s="91">
        <f>INT((C9*E9*G9)+(C9*E9*G9*I9))</f>
        <v>0</v>
      </c>
    </row>
    <row r="10" spans="1:11" ht="22.5" customHeight="1">
      <c r="A10" s="373"/>
      <c r="B10" s="92" t="s">
        <v>143</v>
      </c>
      <c r="C10" s="93"/>
      <c r="D10" s="94"/>
      <c r="E10" s="93"/>
      <c r="F10" s="94"/>
      <c r="G10" s="95"/>
      <c r="H10" s="94"/>
      <c r="I10" s="93"/>
      <c r="J10" s="96"/>
    </row>
    <row r="11" spans="1:11" ht="22.5" customHeight="1">
      <c r="A11" s="373"/>
      <c r="B11" s="97" t="s">
        <v>145</v>
      </c>
      <c r="C11" s="93">
        <f>SUM(C5:F5)</f>
        <v>100</v>
      </c>
      <c r="D11" s="94" t="s">
        <v>140</v>
      </c>
      <c r="E11" s="93">
        <v>0.04</v>
      </c>
      <c r="F11" s="94" t="s">
        <v>141</v>
      </c>
      <c r="G11" s="95">
        <f>G9</f>
        <v>232210</v>
      </c>
      <c r="H11" s="94" t="s">
        <v>142</v>
      </c>
      <c r="I11" s="98">
        <f>E36</f>
        <v>0.13</v>
      </c>
      <c r="J11" s="96">
        <f>INT((C11*E11*G11)+(C11*E11*G11*I11))</f>
        <v>1049589</v>
      </c>
    </row>
    <row r="12" spans="1:11" ht="22.5" customHeight="1">
      <c r="A12" s="373"/>
      <c r="B12" s="97" t="s">
        <v>147</v>
      </c>
      <c r="C12" s="93">
        <f>SUM(C5:F5)</f>
        <v>100</v>
      </c>
      <c r="D12" s="94" t="s">
        <v>140</v>
      </c>
      <c r="E12" s="93">
        <v>0.04</v>
      </c>
      <c r="F12" s="94" t="s">
        <v>141</v>
      </c>
      <c r="G12" s="95">
        <v>164798</v>
      </c>
      <c r="H12" s="94" t="s">
        <v>148</v>
      </c>
      <c r="I12" s="98">
        <f>E36</f>
        <v>0.13</v>
      </c>
      <c r="J12" s="96">
        <f>INT((C12*E12*G12)+(C12*E12*G12*I12))</f>
        <v>744886</v>
      </c>
    </row>
    <row r="13" spans="1:11" ht="22.5" customHeight="1">
      <c r="A13" s="373"/>
      <c r="B13" s="92" t="s">
        <v>149</v>
      </c>
      <c r="C13" s="93">
        <f>SUM(C5:F5)</f>
        <v>100</v>
      </c>
      <c r="D13" s="94" t="s">
        <v>140</v>
      </c>
      <c r="E13" s="93">
        <v>0.05</v>
      </c>
      <c r="F13" s="94" t="s">
        <v>141</v>
      </c>
      <c r="G13" s="95">
        <f>G9</f>
        <v>232210</v>
      </c>
      <c r="H13" s="94" t="s">
        <v>142</v>
      </c>
      <c r="I13" s="98">
        <f>G36</f>
        <v>0.05</v>
      </c>
      <c r="J13" s="96">
        <f t="shared" ref="J13:J14" si="0">INT((C13*E13*G13)+(C13*E13*G13*I13))</f>
        <v>1219102</v>
      </c>
    </row>
    <row r="14" spans="1:11" ht="22.5" customHeight="1">
      <c r="A14" s="373"/>
      <c r="B14" s="92" t="s">
        <v>150</v>
      </c>
      <c r="C14" s="93">
        <v>0</v>
      </c>
      <c r="D14" s="94" t="s">
        <v>140</v>
      </c>
      <c r="E14" s="93">
        <v>0.05</v>
      </c>
      <c r="F14" s="94" t="s">
        <v>141</v>
      </c>
      <c r="G14" s="95">
        <f>G9</f>
        <v>232210</v>
      </c>
      <c r="H14" s="94" t="s">
        <v>142</v>
      </c>
      <c r="I14" s="98">
        <f>G36</f>
        <v>0.05</v>
      </c>
      <c r="J14" s="96">
        <f t="shared" si="0"/>
        <v>0</v>
      </c>
    </row>
    <row r="15" spans="1:11" ht="22.5" customHeight="1">
      <c r="A15" s="373"/>
      <c r="B15" s="92" t="s">
        <v>151</v>
      </c>
      <c r="C15" s="93">
        <v>1</v>
      </c>
      <c r="D15" s="94" t="s">
        <v>152</v>
      </c>
      <c r="E15" s="99">
        <v>1</v>
      </c>
      <c r="F15" s="94" t="s">
        <v>153</v>
      </c>
      <c r="G15" s="95">
        <f>G9</f>
        <v>232210</v>
      </c>
      <c r="H15" s="94" t="s">
        <v>154</v>
      </c>
      <c r="I15" s="93"/>
      <c r="J15" s="96">
        <f>INT(C15*E15*G15)</f>
        <v>232210</v>
      </c>
    </row>
    <row r="16" spans="1:11" ht="22.5" customHeight="1">
      <c r="A16" s="375"/>
      <c r="B16" s="100" t="s">
        <v>156</v>
      </c>
      <c r="C16" s="376"/>
      <c r="D16" s="376"/>
      <c r="E16" s="376"/>
      <c r="F16" s="376"/>
      <c r="G16" s="376"/>
      <c r="H16" s="376"/>
      <c r="I16" s="101"/>
      <c r="J16" s="102">
        <f>SUM(J9:J15)</f>
        <v>3245787</v>
      </c>
    </row>
    <row r="17" spans="1:13" ht="22.5" customHeight="1">
      <c r="A17" s="372" t="s">
        <v>158</v>
      </c>
      <c r="B17" s="103" t="s">
        <v>159</v>
      </c>
      <c r="C17" s="104">
        <v>100</v>
      </c>
      <c r="D17" s="105" t="s">
        <v>160</v>
      </c>
      <c r="E17" s="104">
        <v>0.13</v>
      </c>
      <c r="F17" s="105" t="s">
        <v>162</v>
      </c>
      <c r="G17" s="106">
        <v>5000</v>
      </c>
      <c r="H17" s="105" t="s">
        <v>163</v>
      </c>
      <c r="I17" s="104"/>
      <c r="J17" s="107">
        <f>INT(C17*E17*G17/10)</f>
        <v>6500</v>
      </c>
    </row>
    <row r="18" spans="1:13" ht="22.5" customHeight="1">
      <c r="A18" s="373"/>
      <c r="B18" s="92" t="s">
        <v>164</v>
      </c>
      <c r="C18" s="385"/>
      <c r="D18" s="386"/>
      <c r="E18" s="386"/>
      <c r="F18" s="386"/>
      <c r="G18" s="386"/>
      <c r="H18" s="387"/>
      <c r="I18" s="93"/>
      <c r="J18" s="96">
        <f>SUM(J19:J20)</f>
        <v>350000</v>
      </c>
    </row>
    <row r="19" spans="1:13" ht="22.5" customHeight="1">
      <c r="A19" s="374"/>
      <c r="B19" s="192" t="s">
        <v>399</v>
      </c>
      <c r="C19" s="93">
        <v>2</v>
      </c>
      <c r="D19" s="94" t="s">
        <v>32</v>
      </c>
      <c r="E19" s="93">
        <v>5</v>
      </c>
      <c r="F19" s="94" t="s">
        <v>33</v>
      </c>
      <c r="G19" s="95">
        <v>30000</v>
      </c>
      <c r="H19" s="94" t="s">
        <v>400</v>
      </c>
      <c r="I19" s="93"/>
      <c r="J19" s="96">
        <f>INT(C19*E19*G19)</f>
        <v>300000</v>
      </c>
    </row>
    <row r="20" spans="1:13" ht="22.5" customHeight="1">
      <c r="A20" s="374"/>
      <c r="B20" s="192" t="s">
        <v>401</v>
      </c>
      <c r="C20" s="93">
        <v>1</v>
      </c>
      <c r="D20" s="94" t="s">
        <v>32</v>
      </c>
      <c r="E20" s="93">
        <v>5</v>
      </c>
      <c r="F20" s="94" t="s">
        <v>33</v>
      </c>
      <c r="G20" s="95">
        <v>10000</v>
      </c>
      <c r="H20" s="94" t="s">
        <v>400</v>
      </c>
      <c r="I20" s="93"/>
      <c r="J20" s="96">
        <f>INT(C20*E20*G20)</f>
        <v>50000</v>
      </c>
    </row>
    <row r="21" spans="1:13" ht="22.5" customHeight="1">
      <c r="A21" s="375"/>
      <c r="B21" s="100" t="s">
        <v>156</v>
      </c>
      <c r="C21" s="376"/>
      <c r="D21" s="376"/>
      <c r="E21" s="376"/>
      <c r="F21" s="376"/>
      <c r="G21" s="376"/>
      <c r="H21" s="376"/>
      <c r="I21" s="101"/>
      <c r="J21" s="102">
        <f>SUM(J17:J18)</f>
        <v>356500</v>
      </c>
    </row>
    <row r="22" spans="1:13" ht="22.5" customHeight="1">
      <c r="A22" s="392" t="s">
        <v>167</v>
      </c>
      <c r="B22" s="393"/>
      <c r="C22" s="394" t="s">
        <v>169</v>
      </c>
      <c r="D22" s="394"/>
      <c r="E22" s="394"/>
      <c r="F22" s="394"/>
      <c r="G22" s="394"/>
      <c r="H22" s="394"/>
      <c r="I22" s="109"/>
      <c r="J22" s="110">
        <f>INT(J16*110%)</f>
        <v>3570365</v>
      </c>
    </row>
    <row r="23" spans="1:13" ht="22.5" customHeight="1">
      <c r="A23" s="392" t="s">
        <v>171</v>
      </c>
      <c r="B23" s="393"/>
      <c r="C23" s="394" t="s">
        <v>172</v>
      </c>
      <c r="D23" s="394"/>
      <c r="E23" s="394"/>
      <c r="F23" s="394"/>
      <c r="G23" s="394"/>
      <c r="H23" s="394"/>
      <c r="I23" s="109"/>
      <c r="J23" s="110">
        <f>INT((J16+J22)*20%)</f>
        <v>1363230</v>
      </c>
    </row>
    <row r="24" spans="1:13" ht="22.5" customHeight="1">
      <c r="A24" s="395" t="s">
        <v>174</v>
      </c>
      <c r="B24" s="396"/>
      <c r="C24" s="370" t="s">
        <v>176</v>
      </c>
      <c r="D24" s="397"/>
      <c r="E24" s="397"/>
      <c r="F24" s="397"/>
      <c r="G24" s="397"/>
      <c r="H24" s="371"/>
      <c r="I24" s="109"/>
      <c r="J24" s="110">
        <f>SUM(J16,J21,J22:J23)</f>
        <v>8535882</v>
      </c>
    </row>
    <row r="25" spans="1:13" ht="22.5" customHeight="1">
      <c r="A25" s="392" t="s">
        <v>177</v>
      </c>
      <c r="B25" s="393"/>
      <c r="C25" s="394" t="s">
        <v>178</v>
      </c>
      <c r="D25" s="394"/>
      <c r="E25" s="398">
        <f>INT(J24*M26)</f>
        <v>69652</v>
      </c>
      <c r="F25" s="398"/>
      <c r="G25" s="109" t="s">
        <v>180</v>
      </c>
      <c r="H25" s="112">
        <f>INT(J24*M32)</f>
        <v>13657</v>
      </c>
      <c r="I25" s="109"/>
      <c r="J25" s="110">
        <f>ROUNDDOWN(SUM(E25,H25),-1)</f>
        <v>83300</v>
      </c>
      <c r="L25" s="42" t="s">
        <v>181</v>
      </c>
    </row>
    <row r="26" spans="1:13" ht="22.5" customHeight="1">
      <c r="A26" s="392" t="s">
        <v>183</v>
      </c>
      <c r="B26" s="393"/>
      <c r="C26" s="394" t="s">
        <v>184</v>
      </c>
      <c r="D26" s="394"/>
      <c r="E26" s="394"/>
      <c r="F26" s="394"/>
      <c r="G26" s="394"/>
      <c r="H26" s="394"/>
      <c r="I26" s="109"/>
      <c r="J26" s="110">
        <f>SUM(J24:J25)</f>
        <v>8619182</v>
      </c>
      <c r="L26" s="42" t="s">
        <v>185</v>
      </c>
      <c r="M26" s="44">
        <v>8.1600000000000006E-3</v>
      </c>
    </row>
    <row r="27" spans="1:13" ht="22.5" customHeight="1">
      <c r="A27" s="392" t="s">
        <v>186</v>
      </c>
      <c r="B27" s="393"/>
      <c r="C27" s="394" t="s">
        <v>188</v>
      </c>
      <c r="D27" s="394"/>
      <c r="E27" s="394"/>
      <c r="F27" s="394"/>
      <c r="G27" s="394"/>
      <c r="H27" s="394"/>
      <c r="I27" s="109"/>
      <c r="J27" s="110">
        <f>INT(J26*10%)</f>
        <v>861918</v>
      </c>
      <c r="L27" s="42" t="s">
        <v>189</v>
      </c>
      <c r="M27" s="42" t="s">
        <v>191</v>
      </c>
    </row>
    <row r="28" spans="1:13" ht="22.5" customHeight="1" thickBot="1">
      <c r="A28" s="399" t="s">
        <v>193</v>
      </c>
      <c r="B28" s="400"/>
      <c r="C28" s="401" t="s">
        <v>195</v>
      </c>
      <c r="D28" s="401"/>
      <c r="E28" s="401"/>
      <c r="F28" s="401"/>
      <c r="G28" s="401"/>
      <c r="H28" s="401"/>
      <c r="I28" s="113"/>
      <c r="J28" s="114">
        <f>ROUNDDOWN(SUM(J26:J27),-3)</f>
        <v>9481000</v>
      </c>
      <c r="L28" s="42" t="s">
        <v>197</v>
      </c>
      <c r="M28" s="44">
        <v>1.31E-3</v>
      </c>
    </row>
    <row r="29" spans="1:13" ht="21" customHeight="1">
      <c r="A29" s="115" t="s">
        <v>198</v>
      </c>
      <c r="B29" s="116"/>
      <c r="C29" s="116"/>
      <c r="D29" s="116"/>
      <c r="E29" s="116"/>
      <c r="F29" s="116"/>
      <c r="G29" s="116"/>
      <c r="H29" s="116"/>
      <c r="I29" s="117"/>
      <c r="J29" s="118"/>
      <c r="M29" s="44"/>
    </row>
    <row r="30" spans="1:13" ht="9" customHeight="1"/>
    <row r="31" spans="1:13" ht="21.75" customHeight="1" thickBot="1">
      <c r="A31" s="42" t="s">
        <v>199</v>
      </c>
      <c r="C31" s="402"/>
      <c r="D31" s="402"/>
      <c r="E31" s="402"/>
      <c r="F31" s="402"/>
      <c r="G31" s="402"/>
      <c r="H31" s="402"/>
      <c r="I31" s="402"/>
      <c r="L31" s="42" t="s">
        <v>201</v>
      </c>
    </row>
    <row r="32" spans="1:13" ht="18.75" customHeight="1">
      <c r="A32" s="380" t="s">
        <v>203</v>
      </c>
      <c r="B32" s="382"/>
      <c r="C32" s="382" t="s">
        <v>204</v>
      </c>
      <c r="D32" s="382"/>
      <c r="E32" s="382"/>
      <c r="F32" s="382"/>
      <c r="G32" s="382"/>
      <c r="H32" s="382"/>
      <c r="I32" s="382"/>
      <c r="J32" s="389"/>
      <c r="L32" s="42" t="s">
        <v>206</v>
      </c>
      <c r="M32" s="43">
        <v>1.6000000000000001E-3</v>
      </c>
    </row>
    <row r="33" spans="1:10" ht="18.75" customHeight="1" thickBot="1">
      <c r="A33" s="381"/>
      <c r="B33" s="383"/>
      <c r="C33" s="383" t="s">
        <v>207</v>
      </c>
      <c r="D33" s="383"/>
      <c r="E33" s="383" t="s">
        <v>208</v>
      </c>
      <c r="F33" s="383"/>
      <c r="G33" s="383" t="s">
        <v>209</v>
      </c>
      <c r="H33" s="383"/>
      <c r="I33" s="383" t="s">
        <v>211</v>
      </c>
      <c r="J33" s="390"/>
    </row>
    <row r="34" spans="1:10" ht="18.75" customHeight="1" thickTop="1">
      <c r="A34" s="407" t="s">
        <v>212</v>
      </c>
      <c r="B34" s="408"/>
      <c r="C34" s="409">
        <f>ROUND(((E5*5%)+(F5*10%))/C13,2)</f>
        <v>0.08</v>
      </c>
      <c r="D34" s="409"/>
      <c r="E34" s="409">
        <f>ROUND(((E5*5%)+(F5*10%))/C13,2)</f>
        <v>0.08</v>
      </c>
      <c r="F34" s="409"/>
      <c r="G34" s="409"/>
      <c r="H34" s="409"/>
      <c r="I34" s="408" t="s">
        <v>213</v>
      </c>
      <c r="J34" s="367"/>
    </row>
    <row r="35" spans="1:10" ht="18.75" customHeight="1" thickBot="1">
      <c r="A35" s="403" t="s">
        <v>214</v>
      </c>
      <c r="B35" s="404"/>
      <c r="C35" s="405"/>
      <c r="D35" s="405"/>
      <c r="E35" s="405">
        <v>0.05</v>
      </c>
      <c r="F35" s="405"/>
      <c r="G35" s="405">
        <v>0.05</v>
      </c>
      <c r="H35" s="405"/>
      <c r="I35" s="404"/>
      <c r="J35" s="406"/>
    </row>
    <row r="36" spans="1:10" ht="18.75" customHeight="1" thickTop="1" thickBot="1">
      <c r="A36" s="410" t="s">
        <v>215</v>
      </c>
      <c r="B36" s="411"/>
      <c r="C36" s="412">
        <f>SUM(C34:D35)</f>
        <v>0.08</v>
      </c>
      <c r="D36" s="412"/>
      <c r="E36" s="412">
        <f t="shared" ref="E36" si="1">SUM(E34:F35)</f>
        <v>0.13</v>
      </c>
      <c r="F36" s="412"/>
      <c r="G36" s="412">
        <f t="shared" ref="G36" si="2">SUM(G34:H35)</f>
        <v>0.05</v>
      </c>
      <c r="H36" s="412"/>
      <c r="I36" s="411"/>
      <c r="J36" s="413"/>
    </row>
  </sheetData>
  <mergeCells count="57">
    <mergeCell ref="A36:B36"/>
    <mergeCell ref="C36:D36"/>
    <mergeCell ref="E36:F36"/>
    <mergeCell ref="G36:H36"/>
    <mergeCell ref="I36:J36"/>
    <mergeCell ref="A34:B34"/>
    <mergeCell ref="C34:D34"/>
    <mergeCell ref="E34:F34"/>
    <mergeCell ref="G34:H34"/>
    <mergeCell ref="I34:J34"/>
    <mergeCell ref="A35:B35"/>
    <mergeCell ref="C35:D35"/>
    <mergeCell ref="E35:F35"/>
    <mergeCell ref="G35:H35"/>
    <mergeCell ref="I35:J35"/>
    <mergeCell ref="C26:H26"/>
    <mergeCell ref="A28:B28"/>
    <mergeCell ref="C28:H28"/>
    <mergeCell ref="C31:I31"/>
    <mergeCell ref="A32:B33"/>
    <mergeCell ref="C32:J32"/>
    <mergeCell ref="C33:D33"/>
    <mergeCell ref="E33:F33"/>
    <mergeCell ref="G33:H33"/>
    <mergeCell ref="I33:J33"/>
    <mergeCell ref="I7:I8"/>
    <mergeCell ref="J7:J8"/>
    <mergeCell ref="A9:A16"/>
    <mergeCell ref="C16:H16"/>
    <mergeCell ref="A27:B27"/>
    <mergeCell ref="C27:H27"/>
    <mergeCell ref="A22:B22"/>
    <mergeCell ref="C22:H22"/>
    <mergeCell ref="A23:B23"/>
    <mergeCell ref="C23:H23"/>
    <mergeCell ref="A24:B24"/>
    <mergeCell ref="C24:H24"/>
    <mergeCell ref="A25:B25"/>
    <mergeCell ref="C25:D25"/>
    <mergeCell ref="E25:F25"/>
    <mergeCell ref="A26:B26"/>
    <mergeCell ref="A17:A21"/>
    <mergeCell ref="C21:H21"/>
    <mergeCell ref="A5:B5"/>
    <mergeCell ref="C5:D5"/>
    <mergeCell ref="A7:A8"/>
    <mergeCell ref="B7:B8"/>
    <mergeCell ref="C7:D7"/>
    <mergeCell ref="E7:F7"/>
    <mergeCell ref="G7:H7"/>
    <mergeCell ref="C18:H18"/>
    <mergeCell ref="A1:J1"/>
    <mergeCell ref="A3:B4"/>
    <mergeCell ref="C3:F3"/>
    <mergeCell ref="H3:H4"/>
    <mergeCell ref="J3:J4"/>
    <mergeCell ref="C4:D4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view="pageBreakPreview" zoomScaleNormal="100" zoomScaleSheetLayoutView="100" workbookViewId="0">
      <selection activeCell="I18" sqref="I18"/>
    </sheetView>
  </sheetViews>
  <sheetFormatPr defaultRowHeight="16.5"/>
  <cols>
    <col min="1" max="1" width="4.5" style="42" customWidth="1"/>
    <col min="2" max="2" width="20.375" style="42" customWidth="1"/>
    <col min="3" max="3" width="6.375" style="42" customWidth="1"/>
    <col min="4" max="4" width="5.25" style="42" customWidth="1"/>
    <col min="5" max="5" width="6.125" style="42" customWidth="1"/>
    <col min="6" max="6" width="9" style="42"/>
    <col min="7" max="7" width="9.875" style="42" customWidth="1"/>
    <col min="8" max="8" width="10.75" style="42" customWidth="1"/>
    <col min="9" max="9" width="5.375" style="42" customWidth="1"/>
    <col min="10" max="10" width="12.75" style="42" customWidth="1"/>
    <col min="11" max="16384" width="9" style="42"/>
  </cols>
  <sheetData>
    <row r="1" spans="1:12" ht="31.5">
      <c r="A1" s="357" t="s">
        <v>216</v>
      </c>
      <c r="B1" s="358"/>
      <c r="C1" s="358"/>
      <c r="D1" s="358"/>
      <c r="E1" s="358"/>
      <c r="F1" s="358"/>
      <c r="G1" s="358"/>
      <c r="H1" s="358"/>
      <c r="I1" s="358"/>
      <c r="J1" s="358"/>
    </row>
    <row r="2" spans="1:12" ht="17.25" thickBot="1">
      <c r="A2" s="42" t="s">
        <v>217</v>
      </c>
      <c r="F2" s="42" t="s">
        <v>218</v>
      </c>
    </row>
    <row r="3" spans="1:12" ht="26.25" customHeight="1">
      <c r="A3" s="380" t="s">
        <v>118</v>
      </c>
      <c r="B3" s="382"/>
      <c r="C3" s="382" t="s">
        <v>123</v>
      </c>
      <c r="D3" s="382"/>
      <c r="E3" s="382" t="s">
        <v>124</v>
      </c>
      <c r="F3" s="382"/>
      <c r="G3" s="75" t="s">
        <v>219</v>
      </c>
      <c r="H3" s="122" t="s">
        <v>121</v>
      </c>
      <c r="J3" s="123" t="s">
        <v>122</v>
      </c>
      <c r="K3" s="124" t="s">
        <v>220</v>
      </c>
    </row>
    <row r="4" spans="1:12" ht="26.25" customHeight="1" thickBot="1">
      <c r="A4" s="377" t="s">
        <v>128</v>
      </c>
      <c r="B4" s="378"/>
      <c r="C4" s="378">
        <v>0</v>
      </c>
      <c r="D4" s="378"/>
      <c r="E4" s="378">
        <v>100</v>
      </c>
      <c r="F4" s="378"/>
      <c r="G4" s="68">
        <v>0</v>
      </c>
      <c r="H4" s="80">
        <f>SUM(C4:G4)</f>
        <v>100</v>
      </c>
      <c r="J4" s="81">
        <v>29</v>
      </c>
      <c r="K4" s="42" t="s">
        <v>221</v>
      </c>
      <c r="L4" s="42">
        <v>84.2</v>
      </c>
    </row>
    <row r="5" spans="1:12" ht="9.75" customHeight="1" thickBot="1">
      <c r="A5" s="82"/>
      <c r="B5" s="82"/>
      <c r="C5" s="82"/>
      <c r="D5" s="82"/>
      <c r="E5" s="82"/>
      <c r="F5" s="82"/>
    </row>
    <row r="6" spans="1:12" ht="33" customHeight="1">
      <c r="A6" s="380" t="s">
        <v>129</v>
      </c>
      <c r="B6" s="382" t="s">
        <v>130</v>
      </c>
      <c r="C6" s="384" t="s">
        <v>131</v>
      </c>
      <c r="D6" s="382"/>
      <c r="E6" s="384" t="s">
        <v>132</v>
      </c>
      <c r="F6" s="382"/>
      <c r="G6" s="384" t="s">
        <v>133</v>
      </c>
      <c r="H6" s="382"/>
      <c r="I6" s="388" t="s">
        <v>134</v>
      </c>
      <c r="J6" s="389" t="s">
        <v>135</v>
      </c>
      <c r="K6" s="42" t="s">
        <v>222</v>
      </c>
      <c r="L6" s="42">
        <v>71.599999999999994</v>
      </c>
    </row>
    <row r="7" spans="1:12" ht="19.5" customHeight="1" thickBot="1">
      <c r="A7" s="381"/>
      <c r="B7" s="383"/>
      <c r="C7" s="83"/>
      <c r="D7" s="84" t="s">
        <v>136</v>
      </c>
      <c r="E7" s="83"/>
      <c r="F7" s="84" t="s">
        <v>136</v>
      </c>
      <c r="G7" s="83"/>
      <c r="H7" s="85" t="s">
        <v>137</v>
      </c>
      <c r="I7" s="383"/>
      <c r="J7" s="390"/>
      <c r="K7" s="42" t="s">
        <v>223</v>
      </c>
      <c r="L7" s="42">
        <v>66.8</v>
      </c>
    </row>
    <row r="8" spans="1:12" ht="22.5" customHeight="1" thickTop="1">
      <c r="A8" s="391" t="s">
        <v>138</v>
      </c>
      <c r="B8" s="86" t="s">
        <v>224</v>
      </c>
      <c r="C8" s="125">
        <v>0</v>
      </c>
      <c r="D8" s="126" t="s">
        <v>87</v>
      </c>
      <c r="E8" s="125">
        <v>0.01</v>
      </c>
      <c r="F8" s="126" t="s">
        <v>225</v>
      </c>
      <c r="G8" s="127">
        <v>232210</v>
      </c>
      <c r="H8" s="126" t="s">
        <v>86</v>
      </c>
      <c r="I8" s="128"/>
      <c r="J8" s="129">
        <f>INT((C8*E8*G8)+(C8*E8*G8*I8))</f>
        <v>0</v>
      </c>
      <c r="K8" s="42" t="s">
        <v>226</v>
      </c>
      <c r="L8" s="42">
        <v>20.5</v>
      </c>
    </row>
    <row r="9" spans="1:12" ht="22.5" customHeight="1">
      <c r="A9" s="373"/>
      <c r="B9" s="92" t="s">
        <v>227</v>
      </c>
      <c r="C9" s="97">
        <f>H4</f>
        <v>100</v>
      </c>
      <c r="D9" s="130" t="s">
        <v>87</v>
      </c>
      <c r="E9" s="97">
        <v>0.03</v>
      </c>
      <c r="F9" s="130" t="s">
        <v>225</v>
      </c>
      <c r="G9" s="131">
        <f>G8</f>
        <v>232210</v>
      </c>
      <c r="H9" s="130" t="s">
        <v>86</v>
      </c>
      <c r="I9" s="132">
        <f>C32</f>
        <v>0.05</v>
      </c>
      <c r="J9" s="133">
        <f>INT((C9*E9*G9)+(C9*E9*G9*I9))</f>
        <v>731461</v>
      </c>
    </row>
    <row r="10" spans="1:12" ht="22.5" customHeight="1">
      <c r="A10" s="373"/>
      <c r="B10" s="97" t="s">
        <v>228</v>
      </c>
      <c r="C10" s="97"/>
      <c r="D10" s="130"/>
      <c r="E10" s="97"/>
      <c r="F10" s="130"/>
      <c r="G10" s="131"/>
      <c r="H10" s="130"/>
      <c r="I10" s="132"/>
      <c r="J10" s="133">
        <f>INT((C10*E10*G10)+(C10*E10*G10*I10))</f>
        <v>0</v>
      </c>
    </row>
    <row r="11" spans="1:12" ht="22.5" customHeight="1">
      <c r="A11" s="373"/>
      <c r="B11" s="97" t="s">
        <v>144</v>
      </c>
      <c r="C11" s="97">
        <f>H4</f>
        <v>100</v>
      </c>
      <c r="D11" s="130" t="s">
        <v>87</v>
      </c>
      <c r="E11" s="97">
        <v>2.5000000000000001E-2</v>
      </c>
      <c r="F11" s="130" t="s">
        <v>225</v>
      </c>
      <c r="G11" s="131">
        <v>164798</v>
      </c>
      <c r="H11" s="130" t="s">
        <v>91</v>
      </c>
      <c r="I11" s="132">
        <f>E32</f>
        <v>0.05</v>
      </c>
      <c r="J11" s="133">
        <f t="shared" ref="J11:J13" si="0">INT((C11*E11*G11)+(C11*E11*G11*I11))</f>
        <v>432594</v>
      </c>
    </row>
    <row r="12" spans="1:12" ht="22.5" customHeight="1">
      <c r="A12" s="373"/>
      <c r="B12" s="92" t="s">
        <v>146</v>
      </c>
      <c r="C12" s="97">
        <f>H4</f>
        <v>100</v>
      </c>
      <c r="D12" s="130" t="s">
        <v>87</v>
      </c>
      <c r="E12" s="97">
        <v>2.5000000000000001E-2</v>
      </c>
      <c r="F12" s="130" t="s">
        <v>225</v>
      </c>
      <c r="G12" s="131">
        <f>G8</f>
        <v>232210</v>
      </c>
      <c r="H12" s="130" t="s">
        <v>86</v>
      </c>
      <c r="I12" s="132">
        <f>E32</f>
        <v>0.05</v>
      </c>
      <c r="J12" s="133">
        <f t="shared" si="0"/>
        <v>609551</v>
      </c>
    </row>
    <row r="13" spans="1:12" ht="22.5" customHeight="1">
      <c r="A13" s="373"/>
      <c r="B13" s="92" t="s">
        <v>229</v>
      </c>
      <c r="C13" s="97">
        <f>H4</f>
        <v>100</v>
      </c>
      <c r="D13" s="130" t="s">
        <v>87</v>
      </c>
      <c r="E13" s="97">
        <v>0.05</v>
      </c>
      <c r="F13" s="130" t="s">
        <v>225</v>
      </c>
      <c r="G13" s="131">
        <f>G8</f>
        <v>232210</v>
      </c>
      <c r="H13" s="130" t="s">
        <v>86</v>
      </c>
      <c r="I13" s="132">
        <f>G32</f>
        <v>0.05</v>
      </c>
      <c r="J13" s="133">
        <f t="shared" si="0"/>
        <v>1219102</v>
      </c>
    </row>
    <row r="14" spans="1:12" ht="22.5" customHeight="1">
      <c r="A14" s="375"/>
      <c r="B14" s="100" t="s">
        <v>155</v>
      </c>
      <c r="C14" s="414"/>
      <c r="D14" s="414"/>
      <c r="E14" s="414"/>
      <c r="F14" s="414"/>
      <c r="G14" s="414"/>
      <c r="H14" s="414"/>
      <c r="I14" s="134"/>
      <c r="J14" s="135">
        <f>SUM(J8:J13)</f>
        <v>2992708</v>
      </c>
    </row>
    <row r="15" spans="1:12" ht="22.5" customHeight="1">
      <c r="A15" s="372" t="s">
        <v>157</v>
      </c>
      <c r="B15" s="103" t="s">
        <v>228</v>
      </c>
      <c r="C15" s="136">
        <f>H4</f>
        <v>100</v>
      </c>
      <c r="D15" s="137" t="s">
        <v>87</v>
      </c>
      <c r="E15" s="136">
        <v>0.13</v>
      </c>
      <c r="F15" s="137" t="s">
        <v>161</v>
      </c>
      <c r="G15" s="138">
        <v>5000</v>
      </c>
      <c r="H15" s="137" t="s">
        <v>230</v>
      </c>
      <c r="I15" s="136"/>
      <c r="J15" s="139">
        <f>INT(C15*E15*G15/10)</f>
        <v>6500</v>
      </c>
    </row>
    <row r="16" spans="1:12" ht="22.5" customHeight="1">
      <c r="A16" s="373"/>
      <c r="B16" s="92" t="s">
        <v>229</v>
      </c>
      <c r="C16" s="97">
        <v>1</v>
      </c>
      <c r="D16" s="130" t="s">
        <v>231</v>
      </c>
      <c r="E16" s="97">
        <v>2</v>
      </c>
      <c r="F16" s="130" t="s">
        <v>165</v>
      </c>
      <c r="G16" s="131">
        <v>20000</v>
      </c>
      <c r="H16" s="130" t="s">
        <v>232</v>
      </c>
      <c r="I16" s="97"/>
      <c r="J16" s="133">
        <f>INT(C16*E16*G16)</f>
        <v>40000</v>
      </c>
    </row>
    <row r="17" spans="1:13" ht="22.5" customHeight="1">
      <c r="A17" s="375"/>
      <c r="B17" s="100" t="s">
        <v>155</v>
      </c>
      <c r="C17" s="414"/>
      <c r="D17" s="414"/>
      <c r="E17" s="414"/>
      <c r="F17" s="414"/>
      <c r="G17" s="414"/>
      <c r="H17" s="414"/>
      <c r="I17" s="134"/>
      <c r="J17" s="135">
        <f>SUM(J15:J16)</f>
        <v>46500</v>
      </c>
    </row>
    <row r="18" spans="1:13" ht="22.5" customHeight="1">
      <c r="A18" s="392" t="s">
        <v>233</v>
      </c>
      <c r="B18" s="393"/>
      <c r="C18" s="393" t="s">
        <v>168</v>
      </c>
      <c r="D18" s="393"/>
      <c r="E18" s="393"/>
      <c r="F18" s="393"/>
      <c r="G18" s="393"/>
      <c r="H18" s="393"/>
      <c r="I18" s="140"/>
      <c r="J18" s="6">
        <f>INT(J14*110%)</f>
        <v>3291978</v>
      </c>
    </row>
    <row r="19" spans="1:13" ht="22.5" customHeight="1">
      <c r="A19" s="392" t="s">
        <v>170</v>
      </c>
      <c r="B19" s="393"/>
      <c r="C19" s="393" t="s">
        <v>234</v>
      </c>
      <c r="D19" s="393"/>
      <c r="E19" s="393"/>
      <c r="F19" s="393"/>
      <c r="G19" s="393"/>
      <c r="H19" s="393"/>
      <c r="I19" s="140"/>
      <c r="J19" s="6">
        <f>INT((J14+J18)*20%)</f>
        <v>1256937</v>
      </c>
    </row>
    <row r="20" spans="1:13" ht="22.5" customHeight="1">
      <c r="A20" s="395" t="s">
        <v>173</v>
      </c>
      <c r="B20" s="396"/>
      <c r="C20" s="415" t="s">
        <v>175</v>
      </c>
      <c r="D20" s="416"/>
      <c r="E20" s="416"/>
      <c r="F20" s="416"/>
      <c r="G20" s="416"/>
      <c r="H20" s="396"/>
      <c r="I20" s="140"/>
      <c r="J20" s="6">
        <f>SUM(J14,J17,J18:J19)</f>
        <v>7588123</v>
      </c>
    </row>
    <row r="21" spans="1:13" ht="22.5" customHeight="1">
      <c r="A21" s="392" t="s">
        <v>235</v>
      </c>
      <c r="B21" s="393"/>
      <c r="C21" s="393" t="s">
        <v>236</v>
      </c>
      <c r="D21" s="393"/>
      <c r="E21" s="417">
        <f>INT(J20*M22)</f>
        <v>63209</v>
      </c>
      <c r="F21" s="417"/>
      <c r="G21" s="109" t="s">
        <v>179</v>
      </c>
      <c r="H21" s="144">
        <f>INT(J20*M28)</f>
        <v>12140</v>
      </c>
      <c r="I21" s="140"/>
      <c r="J21" s="6">
        <f>ROUNDDOWN(SUM(E21,H21),-1)</f>
        <v>75340</v>
      </c>
      <c r="L21" s="42" t="s">
        <v>237</v>
      </c>
    </row>
    <row r="22" spans="1:13" ht="22.5" customHeight="1">
      <c r="A22" s="392" t="s">
        <v>182</v>
      </c>
      <c r="B22" s="393"/>
      <c r="C22" s="393" t="s">
        <v>238</v>
      </c>
      <c r="D22" s="393"/>
      <c r="E22" s="393"/>
      <c r="F22" s="393"/>
      <c r="G22" s="393"/>
      <c r="H22" s="393"/>
      <c r="I22" s="140"/>
      <c r="J22" s="6">
        <f>SUM(J20:J21)</f>
        <v>7663463</v>
      </c>
      <c r="L22" s="42" t="s">
        <v>239</v>
      </c>
      <c r="M22" s="44">
        <v>8.3300000000000006E-3</v>
      </c>
    </row>
    <row r="23" spans="1:13" ht="22.5" customHeight="1">
      <c r="A23" s="392" t="s">
        <v>240</v>
      </c>
      <c r="B23" s="393"/>
      <c r="C23" s="393" t="s">
        <v>187</v>
      </c>
      <c r="D23" s="393"/>
      <c r="E23" s="393"/>
      <c r="F23" s="393"/>
      <c r="G23" s="393"/>
      <c r="H23" s="393"/>
      <c r="I23" s="140"/>
      <c r="J23" s="6">
        <f>INT(J22*10%)</f>
        <v>766346</v>
      </c>
      <c r="L23" s="42" t="s">
        <v>241</v>
      </c>
      <c r="M23" s="42" t="s">
        <v>190</v>
      </c>
    </row>
    <row r="24" spans="1:13" ht="22.5" customHeight="1" thickBot="1">
      <c r="A24" s="399" t="s">
        <v>192</v>
      </c>
      <c r="B24" s="400"/>
      <c r="C24" s="400" t="s">
        <v>194</v>
      </c>
      <c r="D24" s="400"/>
      <c r="E24" s="400"/>
      <c r="F24" s="400"/>
      <c r="G24" s="400"/>
      <c r="H24" s="400"/>
      <c r="I24" s="145"/>
      <c r="J24" s="146">
        <f>ROUNDDOWN(SUM(J22:J23),-3)</f>
        <v>8429000</v>
      </c>
      <c r="L24" s="42" t="s">
        <v>196</v>
      </c>
      <c r="M24" s="44">
        <v>1.31E-3</v>
      </c>
    </row>
    <row r="25" spans="1:13" ht="21" customHeight="1">
      <c r="A25" s="115" t="s">
        <v>242</v>
      </c>
      <c r="B25" s="116"/>
      <c r="C25" s="116"/>
      <c r="D25" s="116"/>
      <c r="E25" s="116"/>
      <c r="F25" s="116"/>
      <c r="G25" s="116"/>
      <c r="H25" s="116"/>
      <c r="I25" s="117"/>
      <c r="J25" s="118"/>
      <c r="M25" s="44"/>
    </row>
    <row r="27" spans="1:13" ht="21.75" customHeight="1" thickBot="1">
      <c r="A27" s="42" t="s">
        <v>243</v>
      </c>
      <c r="C27" s="402"/>
      <c r="D27" s="402"/>
      <c r="E27" s="402"/>
      <c r="F27" s="402"/>
      <c r="G27" s="402"/>
      <c r="H27" s="402"/>
      <c r="I27" s="402"/>
      <c r="L27" s="42" t="s">
        <v>200</v>
      </c>
    </row>
    <row r="28" spans="1:13" ht="24" customHeight="1">
      <c r="A28" s="380" t="s">
        <v>202</v>
      </c>
      <c r="B28" s="382"/>
      <c r="C28" s="382" t="s">
        <v>244</v>
      </c>
      <c r="D28" s="382"/>
      <c r="E28" s="382"/>
      <c r="F28" s="382"/>
      <c r="G28" s="382"/>
      <c r="H28" s="382"/>
      <c r="I28" s="382"/>
      <c r="J28" s="389"/>
      <c r="L28" s="42" t="s">
        <v>205</v>
      </c>
      <c r="M28" s="43">
        <v>1.6000000000000001E-3</v>
      </c>
    </row>
    <row r="29" spans="1:13" ht="24" customHeight="1" thickBot="1">
      <c r="A29" s="381"/>
      <c r="B29" s="383"/>
      <c r="C29" s="383" t="s">
        <v>245</v>
      </c>
      <c r="D29" s="383"/>
      <c r="E29" s="383" t="s">
        <v>246</v>
      </c>
      <c r="F29" s="383"/>
      <c r="G29" s="383" t="s">
        <v>247</v>
      </c>
      <c r="H29" s="383"/>
      <c r="I29" s="383" t="s">
        <v>210</v>
      </c>
      <c r="J29" s="390"/>
    </row>
    <row r="30" spans="1:13" ht="24" customHeight="1" thickTop="1">
      <c r="A30" s="407" t="s">
        <v>248</v>
      </c>
      <c r="B30" s="408"/>
      <c r="C30" s="409"/>
      <c r="D30" s="409"/>
      <c r="E30" s="409"/>
      <c r="F30" s="409"/>
      <c r="G30" s="409"/>
      <c r="H30" s="409"/>
      <c r="I30" s="408"/>
      <c r="J30" s="367"/>
      <c r="L30" s="42" t="s">
        <v>249</v>
      </c>
    </row>
    <row r="31" spans="1:13" ht="24" customHeight="1" thickBot="1">
      <c r="A31" s="403" t="s">
        <v>252</v>
      </c>
      <c r="B31" s="404"/>
      <c r="C31" s="405">
        <f>IF(A31="평균면적이 5ha 이상",0%,IF(A31="평균면적이 3~5ha 미만",5%,10%))</f>
        <v>0.05</v>
      </c>
      <c r="D31" s="405"/>
      <c r="E31" s="405">
        <f>IF(A31="평균면적이 5ha 이상",0%,IF(A31="평균면적이 3~5ha 미만",5%,10%))</f>
        <v>0.05</v>
      </c>
      <c r="F31" s="405"/>
      <c r="G31" s="405">
        <f>IF(A31="평균면적이 5ha 이상",0%,IF(A31="평균면적이 3~5ha 미만",5%,10%))</f>
        <v>0.05</v>
      </c>
      <c r="H31" s="405"/>
      <c r="I31" s="404"/>
      <c r="J31" s="406"/>
      <c r="L31" s="42" t="s">
        <v>250</v>
      </c>
    </row>
    <row r="32" spans="1:13" ht="24" customHeight="1" thickTop="1" thickBot="1">
      <c r="A32" s="410" t="s">
        <v>121</v>
      </c>
      <c r="B32" s="411"/>
      <c r="C32" s="412">
        <f>SUM(C30:D31)</f>
        <v>0.05</v>
      </c>
      <c r="D32" s="412"/>
      <c r="E32" s="412">
        <f t="shared" ref="E32" si="1">SUM(E30:F31)</f>
        <v>0.05</v>
      </c>
      <c r="F32" s="412"/>
      <c r="G32" s="412">
        <f t="shared" ref="G32" si="2">SUM(G30:H31)</f>
        <v>0.05</v>
      </c>
      <c r="H32" s="412"/>
      <c r="I32" s="411"/>
      <c r="J32" s="413"/>
      <c r="L32" s="42" t="s">
        <v>251</v>
      </c>
    </row>
  </sheetData>
  <mergeCells count="55">
    <mergeCell ref="A32:B32"/>
    <mergeCell ref="C32:D32"/>
    <mergeCell ref="E32:F32"/>
    <mergeCell ref="G32:H32"/>
    <mergeCell ref="I32:J32"/>
    <mergeCell ref="A30:B30"/>
    <mergeCell ref="C30:D30"/>
    <mergeCell ref="E30:F30"/>
    <mergeCell ref="G30:H30"/>
    <mergeCell ref="I30:J30"/>
    <mergeCell ref="A31:B31"/>
    <mergeCell ref="C31:D31"/>
    <mergeCell ref="E31:F31"/>
    <mergeCell ref="G31:H31"/>
    <mergeCell ref="I31:J31"/>
    <mergeCell ref="C27:I27"/>
    <mergeCell ref="A28:B29"/>
    <mergeCell ref="C28:J28"/>
    <mergeCell ref="C29:D29"/>
    <mergeCell ref="E29:F29"/>
    <mergeCell ref="G29:H29"/>
    <mergeCell ref="I29:J29"/>
    <mergeCell ref="A22:B22"/>
    <mergeCell ref="C22:H22"/>
    <mergeCell ref="A23:B23"/>
    <mergeCell ref="C23:H23"/>
    <mergeCell ref="A24:B24"/>
    <mergeCell ref="C24:H24"/>
    <mergeCell ref="A19:B19"/>
    <mergeCell ref="C19:H19"/>
    <mergeCell ref="A20:B20"/>
    <mergeCell ref="C20:H20"/>
    <mergeCell ref="A21:B21"/>
    <mergeCell ref="C21:D21"/>
    <mergeCell ref="E21:F21"/>
    <mergeCell ref="J6:J7"/>
    <mergeCell ref="A8:A14"/>
    <mergeCell ref="C14:H14"/>
    <mergeCell ref="A15:A17"/>
    <mergeCell ref="C17:H17"/>
    <mergeCell ref="I6:I7"/>
    <mergeCell ref="A18:B18"/>
    <mergeCell ref="C18:H18"/>
    <mergeCell ref="A6:A7"/>
    <mergeCell ref="B6:B7"/>
    <mergeCell ref="C6:D6"/>
    <mergeCell ref="E6:F6"/>
    <mergeCell ref="G6:H6"/>
    <mergeCell ref="A1:J1"/>
    <mergeCell ref="A3:B3"/>
    <mergeCell ref="C3:D3"/>
    <mergeCell ref="E3:F3"/>
    <mergeCell ref="A4:B4"/>
    <mergeCell ref="C4:D4"/>
    <mergeCell ref="E4:F4"/>
  </mergeCells>
  <phoneticPr fontId="2" type="noConversion"/>
  <dataValidations count="1">
    <dataValidation type="list" allowBlank="1" showInputMessage="1" showErrorMessage="1" sqref="A31:B31">
      <formula1>$L$30:$L$32</formula1>
    </dataValidation>
  </dataValidations>
  <pageMargins left="0.39370078740157483" right="0.39370078740157483" top="0.74803149606299213" bottom="0.74803149606299213" header="0.31496062992125984" footer="0.31496062992125984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view="pageBreakPreview" zoomScaleNormal="100" zoomScaleSheetLayoutView="100" workbookViewId="0">
      <selection activeCell="C20" sqref="C20"/>
    </sheetView>
  </sheetViews>
  <sheetFormatPr defaultRowHeight="16.5"/>
  <cols>
    <col min="1" max="1" width="5" style="42" customWidth="1"/>
    <col min="2" max="2" width="18.5" style="42" customWidth="1"/>
    <col min="3" max="3" width="7.875" style="42" customWidth="1"/>
    <col min="4" max="4" width="4" style="42" customWidth="1"/>
    <col min="5" max="5" width="6" style="42" customWidth="1"/>
    <col min="6" max="6" width="6.375" style="42" customWidth="1"/>
    <col min="7" max="7" width="10.125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418" t="s">
        <v>253</v>
      </c>
      <c r="B1" s="418"/>
      <c r="C1" s="418"/>
      <c r="D1" s="418"/>
      <c r="E1" s="418"/>
      <c r="F1" s="418"/>
      <c r="G1" s="418"/>
      <c r="H1" s="418"/>
      <c r="I1" s="418"/>
      <c r="J1" s="418"/>
    </row>
    <row r="2" spans="1:13" ht="6.75" customHeight="1" thickBot="1"/>
    <row r="3" spans="1:13" ht="21" customHeight="1">
      <c r="A3" s="419" t="s">
        <v>254</v>
      </c>
      <c r="B3" s="420"/>
      <c r="C3" s="421">
        <v>100</v>
      </c>
      <c r="D3" s="422"/>
      <c r="E3" s="22" t="s">
        <v>87</v>
      </c>
      <c r="F3" s="39" t="s">
        <v>255</v>
      </c>
      <c r="G3" s="423" t="s">
        <v>256</v>
      </c>
      <c r="H3" s="423"/>
      <c r="I3" s="423"/>
      <c r="J3" s="424"/>
      <c r="K3" s="42" t="s">
        <v>257</v>
      </c>
    </row>
    <row r="4" spans="1:13" ht="21" customHeight="1">
      <c r="A4" s="425" t="s">
        <v>258</v>
      </c>
      <c r="B4" s="426"/>
      <c r="C4" s="427">
        <v>50</v>
      </c>
      <c r="D4" s="428"/>
      <c r="E4" s="147" t="s">
        <v>87</v>
      </c>
      <c r="F4" s="148"/>
      <c r="G4" s="149" t="s">
        <v>259</v>
      </c>
      <c r="H4" s="150">
        <v>50</v>
      </c>
      <c r="I4" s="151" t="s">
        <v>87</v>
      </c>
      <c r="J4" s="152"/>
    </row>
    <row r="5" spans="1:13" ht="21" customHeight="1">
      <c r="A5" s="434" t="s">
        <v>129</v>
      </c>
      <c r="B5" s="432" t="s">
        <v>130</v>
      </c>
      <c r="C5" s="432" t="s">
        <v>260</v>
      </c>
      <c r="D5" s="432"/>
      <c r="E5" s="432" t="s">
        <v>261</v>
      </c>
      <c r="F5" s="432"/>
      <c r="G5" s="432" t="s">
        <v>262</v>
      </c>
      <c r="H5" s="432"/>
      <c r="I5" s="437" t="s">
        <v>134</v>
      </c>
      <c r="J5" s="429" t="s">
        <v>263</v>
      </c>
    </row>
    <row r="6" spans="1:13" ht="21" customHeight="1">
      <c r="A6" s="434"/>
      <c r="B6" s="432"/>
      <c r="C6" s="431" t="s">
        <v>264</v>
      </c>
      <c r="D6" s="431"/>
      <c r="E6" s="431" t="s">
        <v>265</v>
      </c>
      <c r="F6" s="431"/>
      <c r="G6" s="432" t="s">
        <v>266</v>
      </c>
      <c r="H6" s="432"/>
      <c r="I6" s="438"/>
      <c r="J6" s="429"/>
    </row>
    <row r="7" spans="1:13" ht="21" customHeight="1" thickBot="1">
      <c r="A7" s="435"/>
      <c r="B7" s="436"/>
      <c r="C7" s="26"/>
      <c r="D7" s="71" t="s">
        <v>136</v>
      </c>
      <c r="E7" s="71"/>
      <c r="F7" s="71" t="s">
        <v>136</v>
      </c>
      <c r="G7" s="71"/>
      <c r="H7" s="71" t="s">
        <v>137</v>
      </c>
      <c r="I7" s="439"/>
      <c r="J7" s="430"/>
    </row>
    <row r="8" spans="1:13" ht="33.75" customHeight="1" thickTop="1">
      <c r="A8" s="433" t="s">
        <v>138</v>
      </c>
      <c r="B8" s="153" t="s">
        <v>267</v>
      </c>
      <c r="C8" s="15">
        <f>C3</f>
        <v>100</v>
      </c>
      <c r="D8" s="47" t="s">
        <v>87</v>
      </c>
      <c r="E8" s="47">
        <v>0.02</v>
      </c>
      <c r="F8" s="47" t="s">
        <v>225</v>
      </c>
      <c r="G8" s="17">
        <v>232210</v>
      </c>
      <c r="H8" s="47" t="s">
        <v>86</v>
      </c>
      <c r="I8" s="37">
        <f>H37</f>
        <v>0.1</v>
      </c>
      <c r="J8" s="18">
        <f>INT((C8*E8*G8)+(C8*E8*G8*I8))</f>
        <v>510862</v>
      </c>
    </row>
    <row r="9" spans="1:13" ht="21" customHeight="1">
      <c r="A9" s="434"/>
      <c r="B9" s="154" t="s">
        <v>268</v>
      </c>
      <c r="C9" s="58"/>
      <c r="D9" s="58"/>
      <c r="E9" s="58"/>
      <c r="F9" s="58"/>
      <c r="G9" s="59"/>
      <c r="H9" s="58"/>
      <c r="I9" s="58"/>
      <c r="J9" s="52">
        <f>SUM(J10:J11)</f>
        <v>1965189</v>
      </c>
    </row>
    <row r="10" spans="1:13" ht="21" customHeight="1">
      <c r="A10" s="434"/>
      <c r="B10" s="65" t="s">
        <v>144</v>
      </c>
      <c r="C10" s="53">
        <f>C4</f>
        <v>50</v>
      </c>
      <c r="D10" s="54" t="s">
        <v>87</v>
      </c>
      <c r="E10" s="155">
        <v>0.09</v>
      </c>
      <c r="F10" s="54" t="s">
        <v>225</v>
      </c>
      <c r="G10" s="55">
        <f>G8</f>
        <v>232210</v>
      </c>
      <c r="H10" s="54" t="s">
        <v>86</v>
      </c>
      <c r="I10" s="61">
        <f>H37</f>
        <v>0.1</v>
      </c>
      <c r="J10" s="56">
        <f>INT((C10*E10*G10)+(C10*E10*G10*I10))</f>
        <v>1149439</v>
      </c>
    </row>
    <row r="11" spans="1:13" ht="21" customHeight="1">
      <c r="A11" s="434"/>
      <c r="B11" s="67" t="s">
        <v>146</v>
      </c>
      <c r="C11" s="15">
        <f>C10</f>
        <v>50</v>
      </c>
      <c r="D11" s="47" t="s">
        <v>87</v>
      </c>
      <c r="E11" s="156">
        <v>0.09</v>
      </c>
      <c r="F11" s="47" t="s">
        <v>225</v>
      </c>
      <c r="G11" s="17">
        <v>164798</v>
      </c>
      <c r="H11" s="47" t="s">
        <v>91</v>
      </c>
      <c r="I11" s="63">
        <f>H37</f>
        <v>0.1</v>
      </c>
      <c r="J11" s="18">
        <f t="shared" ref="J11" si="0">INT((C11*E11*G11)+(C11*E11*G11*I11))</f>
        <v>815750</v>
      </c>
    </row>
    <row r="12" spans="1:13" ht="21" customHeight="1">
      <c r="A12" s="434"/>
      <c r="B12" s="154" t="s">
        <v>269</v>
      </c>
      <c r="C12" s="57"/>
      <c r="D12" s="58"/>
      <c r="E12" s="58"/>
      <c r="F12" s="58"/>
      <c r="G12" s="59"/>
      <c r="H12" s="58"/>
      <c r="I12" s="60"/>
      <c r="J12" s="52">
        <f>SUM(J13:J14)</f>
        <v>1091771</v>
      </c>
    </row>
    <row r="13" spans="1:13" ht="21" customHeight="1">
      <c r="A13" s="434"/>
      <c r="B13" s="65" t="s">
        <v>144</v>
      </c>
      <c r="C13" s="53">
        <f>H4</f>
        <v>50</v>
      </c>
      <c r="D13" s="54" t="s">
        <v>87</v>
      </c>
      <c r="E13" s="54">
        <v>0.05</v>
      </c>
      <c r="F13" s="54" t="s">
        <v>225</v>
      </c>
      <c r="G13" s="55">
        <f>G8</f>
        <v>232210</v>
      </c>
      <c r="H13" s="54" t="s">
        <v>86</v>
      </c>
      <c r="I13" s="61">
        <f>H37</f>
        <v>0.1</v>
      </c>
      <c r="J13" s="56">
        <f>INT((C13*E13*G13)+(C13*E13*G13*I13))</f>
        <v>638577</v>
      </c>
    </row>
    <row r="14" spans="1:13" ht="21" customHeight="1">
      <c r="A14" s="434"/>
      <c r="B14" s="67" t="s">
        <v>146</v>
      </c>
      <c r="C14" s="15">
        <f>C13</f>
        <v>50</v>
      </c>
      <c r="D14" s="47" t="s">
        <v>87</v>
      </c>
      <c r="E14" s="47">
        <v>0.05</v>
      </c>
      <c r="F14" s="47" t="s">
        <v>225</v>
      </c>
      <c r="G14" s="17">
        <f>G11</f>
        <v>164798</v>
      </c>
      <c r="H14" s="47" t="s">
        <v>91</v>
      </c>
      <c r="I14" s="63">
        <f>H37</f>
        <v>0.1</v>
      </c>
      <c r="J14" s="18">
        <f t="shared" ref="J14" si="1">INT((C14*E14*G14)+(C14*E14*G14*I14))</f>
        <v>453194</v>
      </c>
    </row>
    <row r="15" spans="1:13" ht="21" customHeight="1">
      <c r="A15" s="434"/>
      <c r="B15" s="157" t="s">
        <v>270</v>
      </c>
      <c r="C15" s="1">
        <f>C3</f>
        <v>100</v>
      </c>
      <c r="D15" s="69" t="s">
        <v>87</v>
      </c>
      <c r="E15" s="69">
        <v>0.05</v>
      </c>
      <c r="F15" s="69" t="s">
        <v>225</v>
      </c>
      <c r="G15" s="3">
        <f>G8</f>
        <v>232210</v>
      </c>
      <c r="H15" s="69" t="s">
        <v>86</v>
      </c>
      <c r="I15" s="38"/>
      <c r="J15" s="18">
        <f>INT((C15*E15*G15)+(C15*E15*G15*I15))</f>
        <v>1161050</v>
      </c>
      <c r="L15" s="42" t="s">
        <v>74</v>
      </c>
    </row>
    <row r="16" spans="1:13" ht="21" customHeight="1">
      <c r="A16" s="434"/>
      <c r="B16" s="70" t="s">
        <v>271</v>
      </c>
      <c r="C16" s="415"/>
      <c r="D16" s="416"/>
      <c r="E16" s="416"/>
      <c r="F16" s="416"/>
      <c r="G16" s="416"/>
      <c r="H16" s="396"/>
      <c r="I16" s="9"/>
      <c r="J16" s="4">
        <f>SUM(J8,J9,J12,J15)</f>
        <v>4728872</v>
      </c>
      <c r="L16" s="42" t="s">
        <v>75</v>
      </c>
      <c r="M16" s="44">
        <v>8.1600000000000006E-3</v>
      </c>
    </row>
    <row r="17" spans="1:13" ht="21" customHeight="1">
      <c r="A17" s="440" t="s">
        <v>157</v>
      </c>
      <c r="B17" s="20" t="s">
        <v>272</v>
      </c>
      <c r="C17" s="415"/>
      <c r="D17" s="416"/>
      <c r="E17" s="416"/>
      <c r="F17" s="416"/>
      <c r="G17" s="416"/>
      <c r="H17" s="396"/>
      <c r="I17" s="8"/>
      <c r="J17" s="4">
        <f>SUM(J18:J19)</f>
        <v>800000</v>
      </c>
      <c r="L17" s="42" t="s">
        <v>76</v>
      </c>
      <c r="M17" s="42" t="s">
        <v>79</v>
      </c>
    </row>
    <row r="18" spans="1:13" ht="21" customHeight="1">
      <c r="A18" s="440"/>
      <c r="B18" s="20" t="s">
        <v>273</v>
      </c>
      <c r="C18" s="69">
        <v>5</v>
      </c>
      <c r="D18" s="69" t="s">
        <v>231</v>
      </c>
      <c r="E18" s="69">
        <v>5</v>
      </c>
      <c r="F18" s="69" t="s">
        <v>165</v>
      </c>
      <c r="G18" s="5">
        <v>30000</v>
      </c>
      <c r="H18" s="69" t="s">
        <v>232</v>
      </c>
      <c r="I18" s="69"/>
      <c r="J18" s="4">
        <f>INT(C18*E18*G18)</f>
        <v>750000</v>
      </c>
    </row>
    <row r="19" spans="1:13" ht="21" customHeight="1">
      <c r="A19" s="440"/>
      <c r="B19" s="20" t="s">
        <v>274</v>
      </c>
      <c r="C19" s="69">
        <v>1</v>
      </c>
      <c r="D19" s="69" t="s">
        <v>231</v>
      </c>
      <c r="E19" s="69">
        <v>5</v>
      </c>
      <c r="F19" s="69" t="s">
        <v>165</v>
      </c>
      <c r="G19" s="5">
        <v>10000</v>
      </c>
      <c r="H19" s="69" t="s">
        <v>232</v>
      </c>
      <c r="I19" s="69"/>
      <c r="J19" s="4">
        <f>INT(C19*E19*G19)</f>
        <v>50000</v>
      </c>
    </row>
    <row r="20" spans="1:13" ht="21" customHeight="1">
      <c r="A20" s="434"/>
      <c r="B20" s="20" t="s">
        <v>275</v>
      </c>
      <c r="C20" s="12"/>
      <c r="D20" s="13"/>
      <c r="E20" s="13"/>
      <c r="F20" s="13"/>
      <c r="G20" s="13"/>
      <c r="H20" s="13"/>
      <c r="I20" s="140"/>
      <c r="J20" s="4">
        <f>SUM(J21:J22)</f>
        <v>10000</v>
      </c>
      <c r="L20" s="42" t="s">
        <v>276</v>
      </c>
      <c r="M20" s="44">
        <v>1.31E-3</v>
      </c>
    </row>
    <row r="21" spans="1:13" ht="21" customHeight="1">
      <c r="A21" s="434"/>
      <c r="B21" s="20" t="s">
        <v>277</v>
      </c>
      <c r="C21" s="1">
        <f>C4</f>
        <v>50</v>
      </c>
      <c r="D21" s="69" t="s">
        <v>87</v>
      </c>
      <c r="E21" s="69">
        <v>0.03</v>
      </c>
      <c r="F21" s="69" t="s">
        <v>278</v>
      </c>
      <c r="G21" s="3">
        <v>4000</v>
      </c>
      <c r="H21" s="441" t="s">
        <v>279</v>
      </c>
      <c r="I21" s="158"/>
      <c r="J21" s="4">
        <f>INT(C21*E21*G21)</f>
        <v>6000</v>
      </c>
      <c r="M21" s="44"/>
    </row>
    <row r="22" spans="1:13" ht="21" customHeight="1">
      <c r="A22" s="434"/>
      <c r="B22" s="20" t="s">
        <v>280</v>
      </c>
      <c r="C22" s="1">
        <f>H4</f>
        <v>50</v>
      </c>
      <c r="D22" s="69" t="s">
        <v>87</v>
      </c>
      <c r="E22" s="69">
        <v>0.02</v>
      </c>
      <c r="F22" s="69" t="s">
        <v>278</v>
      </c>
      <c r="G22" s="3">
        <v>4000</v>
      </c>
      <c r="H22" s="393"/>
      <c r="I22" s="8"/>
      <c r="J22" s="4">
        <f>INT(C22*E22*G22)</f>
        <v>4000</v>
      </c>
    </row>
    <row r="23" spans="1:13" ht="21" customHeight="1">
      <c r="A23" s="434"/>
      <c r="B23" s="70" t="s">
        <v>271</v>
      </c>
      <c r="C23" s="393"/>
      <c r="D23" s="393"/>
      <c r="E23" s="393"/>
      <c r="F23" s="393"/>
      <c r="G23" s="393"/>
      <c r="H23" s="393"/>
      <c r="I23" s="8"/>
      <c r="J23" s="4">
        <f>SUM(J17,J20)</f>
        <v>810000</v>
      </c>
      <c r="L23" s="42" t="s">
        <v>77</v>
      </c>
    </row>
    <row r="24" spans="1:13" ht="21" customHeight="1">
      <c r="A24" s="434" t="s">
        <v>281</v>
      </c>
      <c r="B24" s="432"/>
      <c r="C24" s="393" t="s">
        <v>168</v>
      </c>
      <c r="D24" s="393"/>
      <c r="E24" s="393"/>
      <c r="F24" s="393"/>
      <c r="G24" s="393"/>
      <c r="H24" s="393"/>
      <c r="I24" s="8"/>
      <c r="J24" s="6">
        <f>INT(J16*1.1)</f>
        <v>5201759</v>
      </c>
      <c r="L24" s="42" t="s">
        <v>78</v>
      </c>
      <c r="M24" s="43">
        <v>1.6000000000000001E-3</v>
      </c>
    </row>
    <row r="25" spans="1:13" ht="21" customHeight="1">
      <c r="A25" s="434" t="s">
        <v>282</v>
      </c>
      <c r="B25" s="432"/>
      <c r="C25" s="393" t="s">
        <v>283</v>
      </c>
      <c r="D25" s="393"/>
      <c r="E25" s="393"/>
      <c r="F25" s="393"/>
      <c r="G25" s="393"/>
      <c r="H25" s="393"/>
      <c r="I25" s="8"/>
      <c r="J25" s="6">
        <f>INT((J16+J24)*0.2)</f>
        <v>1986126</v>
      </c>
    </row>
    <row r="26" spans="1:13" ht="21" customHeight="1">
      <c r="A26" s="434" t="s">
        <v>284</v>
      </c>
      <c r="B26" s="432"/>
      <c r="C26" s="393" t="s">
        <v>285</v>
      </c>
      <c r="D26" s="393"/>
      <c r="E26" s="393"/>
      <c r="F26" s="393"/>
      <c r="G26" s="393"/>
      <c r="H26" s="393"/>
      <c r="I26" s="8"/>
      <c r="J26" s="6">
        <f>SUM(J16,J23,J24,J25)</f>
        <v>12726757</v>
      </c>
      <c r="L26" s="42" t="s">
        <v>286</v>
      </c>
    </row>
    <row r="27" spans="1:13" ht="21" customHeight="1">
      <c r="A27" s="425" t="s">
        <v>235</v>
      </c>
      <c r="B27" s="426"/>
      <c r="C27" s="442" t="s">
        <v>236</v>
      </c>
      <c r="D27" s="443"/>
      <c r="E27" s="444">
        <f>INT(J26*M16)</f>
        <v>103850</v>
      </c>
      <c r="F27" s="445"/>
      <c r="G27" s="40" t="s">
        <v>179</v>
      </c>
      <c r="H27" s="45">
        <f>INT(J26*M24)</f>
        <v>20362</v>
      </c>
      <c r="I27" s="8"/>
      <c r="J27" s="6">
        <f>SUM(E27,H27)</f>
        <v>124212</v>
      </c>
    </row>
    <row r="28" spans="1:13" ht="21" customHeight="1">
      <c r="A28" s="425" t="s">
        <v>70</v>
      </c>
      <c r="B28" s="426"/>
      <c r="C28" s="393" t="s">
        <v>73</v>
      </c>
      <c r="D28" s="393"/>
      <c r="E28" s="393"/>
      <c r="F28" s="393"/>
      <c r="G28" s="393"/>
      <c r="H28" s="393"/>
      <c r="I28" s="8"/>
      <c r="J28" s="6">
        <f>SUM(J26:J27)</f>
        <v>12850969</v>
      </c>
    </row>
    <row r="29" spans="1:13" ht="21" customHeight="1">
      <c r="A29" s="434" t="s">
        <v>287</v>
      </c>
      <c r="B29" s="432"/>
      <c r="C29" s="393" t="s">
        <v>187</v>
      </c>
      <c r="D29" s="393"/>
      <c r="E29" s="393"/>
      <c r="F29" s="393"/>
      <c r="G29" s="393"/>
      <c r="H29" s="393"/>
      <c r="I29" s="8"/>
      <c r="J29" s="6">
        <f>INT(J28*0.1)</f>
        <v>1285096</v>
      </c>
      <c r="L29" s="42" t="s">
        <v>288</v>
      </c>
      <c r="M29" s="42" t="s">
        <v>289</v>
      </c>
    </row>
    <row r="30" spans="1:13" ht="21" customHeight="1">
      <c r="A30" s="434" t="s">
        <v>290</v>
      </c>
      <c r="B30" s="432"/>
      <c r="C30" s="393"/>
      <c r="D30" s="393"/>
      <c r="E30" s="393"/>
      <c r="F30" s="393"/>
      <c r="G30" s="393"/>
      <c r="H30" s="393"/>
      <c r="I30" s="8"/>
      <c r="J30" s="6">
        <f>SUM(J28:J29)</f>
        <v>14136065</v>
      </c>
      <c r="M30" s="42" t="s">
        <v>291</v>
      </c>
    </row>
    <row r="31" spans="1:13" ht="21" customHeight="1" thickBot="1">
      <c r="A31" s="399" t="s">
        <v>292</v>
      </c>
      <c r="B31" s="400"/>
      <c r="C31" s="378" t="s">
        <v>194</v>
      </c>
      <c r="D31" s="378"/>
      <c r="E31" s="378"/>
      <c r="F31" s="378"/>
      <c r="G31" s="378"/>
      <c r="H31" s="378"/>
      <c r="I31" s="30"/>
      <c r="J31" s="7">
        <f>ROUNDDOWN(J30,-3)</f>
        <v>14136000</v>
      </c>
      <c r="M31" s="42" t="s">
        <v>293</v>
      </c>
    </row>
    <row r="32" spans="1:13" ht="6.75" customHeight="1">
      <c r="L32" s="42" t="s">
        <v>294</v>
      </c>
    </row>
    <row r="33" spans="1:10" ht="17.25" thickBot="1">
      <c r="A33" s="42" t="s">
        <v>295</v>
      </c>
    </row>
    <row r="34" spans="1:10" ht="17.25" thickBot="1">
      <c r="B34" s="33" t="s">
        <v>296</v>
      </c>
      <c r="C34" s="446" t="s">
        <v>297</v>
      </c>
      <c r="D34" s="446"/>
      <c r="E34" s="446"/>
      <c r="F34" s="446"/>
      <c r="G34" s="446"/>
      <c r="H34" s="34" t="s">
        <v>65</v>
      </c>
    </row>
    <row r="35" spans="1:10" ht="17.25" thickTop="1">
      <c r="B35" s="159" t="s">
        <v>298</v>
      </c>
      <c r="C35" s="408" t="s">
        <v>299</v>
      </c>
      <c r="D35" s="408"/>
      <c r="E35" s="408"/>
      <c r="F35" s="408"/>
      <c r="G35" s="408"/>
      <c r="H35" s="160">
        <f>IF(C35=M29,0%,IF(C35=M30,5%,10%))</f>
        <v>0.1</v>
      </c>
    </row>
    <row r="36" spans="1:10">
      <c r="B36" s="31"/>
      <c r="C36" s="393"/>
      <c r="D36" s="393"/>
      <c r="E36" s="393"/>
      <c r="F36" s="393"/>
      <c r="G36" s="393"/>
      <c r="H36" s="35">
        <f>IF(C36=N32,0,IF(C36=M33,20%,J36*20%))</f>
        <v>0</v>
      </c>
      <c r="J36" s="161"/>
    </row>
    <row r="37" spans="1:10" ht="17.25" thickBot="1">
      <c r="B37" s="32" t="s">
        <v>121</v>
      </c>
      <c r="C37" s="378"/>
      <c r="D37" s="378"/>
      <c r="E37" s="378"/>
      <c r="F37" s="378"/>
      <c r="G37" s="378"/>
      <c r="H37" s="36">
        <f>SUM(H35:H36)</f>
        <v>0.1</v>
      </c>
    </row>
  </sheetData>
  <mergeCells count="43">
    <mergeCell ref="C37:G37"/>
    <mergeCell ref="A28:B28"/>
    <mergeCell ref="C28:H28"/>
    <mergeCell ref="A29:B29"/>
    <mergeCell ref="C29:H29"/>
    <mergeCell ref="A30:B30"/>
    <mergeCell ref="C30:H30"/>
    <mergeCell ref="A31:B31"/>
    <mergeCell ref="C31:H31"/>
    <mergeCell ref="C34:G34"/>
    <mergeCell ref="C35:G35"/>
    <mergeCell ref="C36:G36"/>
    <mergeCell ref="A25:B25"/>
    <mergeCell ref="C25:H25"/>
    <mergeCell ref="A26:B26"/>
    <mergeCell ref="C26:H26"/>
    <mergeCell ref="A27:B27"/>
    <mergeCell ref="C27:D27"/>
    <mergeCell ref="E27:F27"/>
    <mergeCell ref="A17:A23"/>
    <mergeCell ref="C17:H17"/>
    <mergeCell ref="H21:H22"/>
    <mergeCell ref="C23:H23"/>
    <mergeCell ref="A24:B24"/>
    <mergeCell ref="C24:H24"/>
    <mergeCell ref="J5:J7"/>
    <mergeCell ref="C6:D6"/>
    <mergeCell ref="E6:F6"/>
    <mergeCell ref="G6:H6"/>
    <mergeCell ref="A8:A16"/>
    <mergeCell ref="C16:H16"/>
    <mergeCell ref="A5:A7"/>
    <mergeCell ref="B5:B7"/>
    <mergeCell ref="C5:D5"/>
    <mergeCell ref="E5:F5"/>
    <mergeCell ref="G5:H5"/>
    <mergeCell ref="I5:I7"/>
    <mergeCell ref="A1:J1"/>
    <mergeCell ref="A3:B3"/>
    <mergeCell ref="C3:D3"/>
    <mergeCell ref="G3:J3"/>
    <mergeCell ref="A4:B4"/>
    <mergeCell ref="C4:D4"/>
  </mergeCells>
  <phoneticPr fontId="2" type="noConversion"/>
  <dataValidations count="2">
    <dataValidation type="list" allowBlank="1" showInputMessage="1" showErrorMessage="1" sqref="C36:G36">
      <formula1>$M$32:$M$34</formula1>
    </dataValidation>
    <dataValidation type="list" allowBlank="1" showInputMessage="1" showErrorMessage="1" sqref="C35:G35">
      <formula1>$M$29:$M$31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view="pageBreakPreview" zoomScaleNormal="100" zoomScaleSheetLayoutView="100" workbookViewId="0">
      <selection activeCell="A19" sqref="A19:J21"/>
    </sheetView>
  </sheetViews>
  <sheetFormatPr defaultRowHeight="16.5"/>
  <cols>
    <col min="1" max="1" width="5" style="42" customWidth="1"/>
    <col min="2" max="2" width="19.375" style="42" customWidth="1"/>
    <col min="3" max="3" width="6.25" style="42" customWidth="1"/>
    <col min="4" max="4" width="4" style="42" customWidth="1"/>
    <col min="5" max="5" width="6" style="42" customWidth="1"/>
    <col min="6" max="6" width="7.625" style="42" customWidth="1"/>
    <col min="7" max="7" width="10.375" style="42" customWidth="1"/>
    <col min="8" max="8" width="10.87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418" t="s">
        <v>300</v>
      </c>
      <c r="B1" s="418"/>
      <c r="C1" s="418"/>
      <c r="D1" s="418"/>
      <c r="E1" s="418"/>
      <c r="F1" s="418"/>
      <c r="G1" s="418"/>
      <c r="H1" s="418"/>
      <c r="I1" s="418"/>
      <c r="J1" s="418"/>
    </row>
    <row r="2" spans="1:13" ht="17.25" thickBot="1"/>
    <row r="3" spans="1:13" ht="22.5" customHeight="1">
      <c r="A3" s="419" t="s">
        <v>254</v>
      </c>
      <c r="B3" s="420"/>
      <c r="C3" s="421">
        <v>100</v>
      </c>
      <c r="D3" s="422"/>
      <c r="E3" s="22" t="s">
        <v>87</v>
      </c>
      <c r="F3" s="39" t="s">
        <v>301</v>
      </c>
      <c r="G3" s="423" t="s">
        <v>302</v>
      </c>
      <c r="H3" s="423"/>
      <c r="I3" s="423"/>
      <c r="J3" s="424"/>
    </row>
    <row r="4" spans="1:13" ht="22.5" customHeight="1">
      <c r="A4" s="425" t="s">
        <v>258</v>
      </c>
      <c r="B4" s="426"/>
      <c r="C4" s="427">
        <v>50</v>
      </c>
      <c r="D4" s="428"/>
      <c r="E4" s="147" t="s">
        <v>87</v>
      </c>
      <c r="F4" s="148"/>
      <c r="G4" s="149" t="s">
        <v>259</v>
      </c>
      <c r="H4" s="150">
        <v>50</v>
      </c>
      <c r="I4" s="151" t="s">
        <v>87</v>
      </c>
      <c r="J4" s="152"/>
    </row>
    <row r="5" spans="1:13" ht="22.5" customHeight="1">
      <c r="A5" s="434" t="s">
        <v>129</v>
      </c>
      <c r="B5" s="432" t="s">
        <v>130</v>
      </c>
      <c r="C5" s="432" t="s">
        <v>260</v>
      </c>
      <c r="D5" s="432"/>
      <c r="E5" s="432" t="s">
        <v>261</v>
      </c>
      <c r="F5" s="432"/>
      <c r="G5" s="432" t="s">
        <v>262</v>
      </c>
      <c r="H5" s="432"/>
      <c r="I5" s="437" t="s">
        <v>134</v>
      </c>
      <c r="J5" s="429" t="s">
        <v>263</v>
      </c>
    </row>
    <row r="6" spans="1:13" ht="22.5" customHeight="1">
      <c r="A6" s="434"/>
      <c r="B6" s="432"/>
      <c r="C6" s="431" t="s">
        <v>264</v>
      </c>
      <c r="D6" s="431"/>
      <c r="E6" s="431" t="s">
        <v>265</v>
      </c>
      <c r="F6" s="431"/>
      <c r="G6" s="432" t="s">
        <v>266</v>
      </c>
      <c r="H6" s="432"/>
      <c r="I6" s="438"/>
      <c r="J6" s="429"/>
    </row>
    <row r="7" spans="1:13" ht="22.5" customHeight="1" thickBot="1">
      <c r="A7" s="435"/>
      <c r="B7" s="436"/>
      <c r="C7" s="26"/>
      <c r="D7" s="71" t="s">
        <v>136</v>
      </c>
      <c r="E7" s="71"/>
      <c r="F7" s="71" t="s">
        <v>136</v>
      </c>
      <c r="G7" s="71"/>
      <c r="H7" s="71" t="s">
        <v>137</v>
      </c>
      <c r="I7" s="439"/>
      <c r="J7" s="430"/>
    </row>
    <row r="8" spans="1:13" ht="22.5" customHeight="1" thickTop="1">
      <c r="A8" s="447" t="s">
        <v>138</v>
      </c>
      <c r="B8" s="162" t="s">
        <v>303</v>
      </c>
      <c r="C8" s="163">
        <f>C3</f>
        <v>100</v>
      </c>
      <c r="D8" s="164" t="s">
        <v>87</v>
      </c>
      <c r="E8" s="164">
        <v>0.02</v>
      </c>
      <c r="F8" s="164" t="s">
        <v>225</v>
      </c>
      <c r="G8" s="165">
        <v>232210</v>
      </c>
      <c r="H8" s="164" t="s">
        <v>86</v>
      </c>
      <c r="I8" s="166"/>
      <c r="J8" s="167">
        <f>INT((C8*E8*G8)+(C8*E8*G8*I8))</f>
        <v>464420</v>
      </c>
    </row>
    <row r="9" spans="1:13" ht="22.5" customHeight="1">
      <c r="A9" s="448"/>
      <c r="B9" s="20" t="s">
        <v>304</v>
      </c>
      <c r="C9" s="1">
        <f>C3</f>
        <v>100</v>
      </c>
      <c r="D9" s="69" t="s">
        <v>87</v>
      </c>
      <c r="E9" s="69">
        <v>0.03</v>
      </c>
      <c r="F9" s="69" t="s">
        <v>225</v>
      </c>
      <c r="G9" s="3">
        <f>G8</f>
        <v>232210</v>
      </c>
      <c r="H9" s="69" t="s">
        <v>86</v>
      </c>
      <c r="I9" s="38">
        <f>H33</f>
        <v>0.1</v>
      </c>
      <c r="J9" s="18">
        <f>INT((C9*E9*G9)+(C9*E9*G9*I9))</f>
        <v>766293</v>
      </c>
    </row>
    <row r="10" spans="1:13" ht="22.5" customHeight="1">
      <c r="A10" s="448"/>
      <c r="B10" s="51" t="s">
        <v>305</v>
      </c>
      <c r="C10" s="449"/>
      <c r="D10" s="450"/>
      <c r="E10" s="450"/>
      <c r="F10" s="450"/>
      <c r="G10" s="450"/>
      <c r="H10" s="451"/>
      <c r="I10" s="60"/>
      <c r="J10" s="52"/>
    </row>
    <row r="11" spans="1:13" ht="22.5" customHeight="1">
      <c r="A11" s="448"/>
      <c r="B11" s="168" t="s">
        <v>306</v>
      </c>
      <c r="C11" s="169"/>
      <c r="D11" s="170"/>
      <c r="E11" s="170"/>
      <c r="F11" s="170"/>
      <c r="G11" s="171"/>
      <c r="H11" s="170"/>
      <c r="I11" s="172"/>
      <c r="J11" s="173">
        <f>SUM(J12:J13)</f>
        <v>1528480</v>
      </c>
    </row>
    <row r="12" spans="1:13" ht="22.5" customHeight="1">
      <c r="A12" s="448"/>
      <c r="B12" s="174" t="s">
        <v>307</v>
      </c>
      <c r="C12" s="53">
        <f>C4</f>
        <v>50</v>
      </c>
      <c r="D12" s="54" t="s">
        <v>87</v>
      </c>
      <c r="E12" s="54">
        <v>7.0000000000000007E-2</v>
      </c>
      <c r="F12" s="54" t="s">
        <v>225</v>
      </c>
      <c r="G12" s="55">
        <f>G8</f>
        <v>232210</v>
      </c>
      <c r="H12" s="54" t="s">
        <v>86</v>
      </c>
      <c r="I12" s="61">
        <f>H34</f>
        <v>0.1</v>
      </c>
      <c r="J12" s="56">
        <f>INT((C12*E12*G12)+(C12*E12*G12*I12))</f>
        <v>894008</v>
      </c>
      <c r="L12" s="42" t="s">
        <v>74</v>
      </c>
    </row>
    <row r="13" spans="1:13" ht="22.5" customHeight="1">
      <c r="A13" s="448"/>
      <c r="B13" s="175" t="s">
        <v>308</v>
      </c>
      <c r="C13" s="176">
        <f>C4</f>
        <v>50</v>
      </c>
      <c r="D13" s="177" t="s">
        <v>87</v>
      </c>
      <c r="E13" s="177">
        <v>7.0000000000000007E-2</v>
      </c>
      <c r="F13" s="177" t="s">
        <v>225</v>
      </c>
      <c r="G13" s="178">
        <v>164798</v>
      </c>
      <c r="H13" s="177" t="s">
        <v>91</v>
      </c>
      <c r="I13" s="179">
        <f>H34</f>
        <v>0.1</v>
      </c>
      <c r="J13" s="180">
        <f>INT((C13*E13*G13)+(C13*E13*G13*I13))</f>
        <v>634472</v>
      </c>
      <c r="L13" s="42" t="s">
        <v>75</v>
      </c>
      <c r="M13" s="44">
        <v>8.3300000000000006E-3</v>
      </c>
    </row>
    <row r="14" spans="1:13" ht="22.5" customHeight="1">
      <c r="A14" s="448"/>
      <c r="B14" s="181" t="s">
        <v>309</v>
      </c>
      <c r="C14" s="53"/>
      <c r="D14" s="54"/>
      <c r="E14" s="54"/>
      <c r="F14" s="54"/>
      <c r="G14" s="182"/>
      <c r="H14" s="54"/>
      <c r="I14" s="61"/>
      <c r="J14" s="56">
        <f>SUM(J15:J16)</f>
        <v>545885</v>
      </c>
      <c r="M14" s="44"/>
    </row>
    <row r="15" spans="1:13" ht="22.5" customHeight="1">
      <c r="A15" s="448"/>
      <c r="B15" s="174" t="s">
        <v>310</v>
      </c>
      <c r="C15" s="53">
        <f>H4</f>
        <v>50</v>
      </c>
      <c r="D15" s="54" t="s">
        <v>87</v>
      </c>
      <c r="E15" s="54">
        <v>2.5000000000000001E-2</v>
      </c>
      <c r="F15" s="54" t="s">
        <v>225</v>
      </c>
      <c r="G15" s="55">
        <f>G8</f>
        <v>232210</v>
      </c>
      <c r="H15" s="54" t="s">
        <v>86</v>
      </c>
      <c r="I15" s="61">
        <f>H33</f>
        <v>0.1</v>
      </c>
      <c r="J15" s="56">
        <f>INT((C15*E15*G15)+(C15*E15*G15*I15))</f>
        <v>319288</v>
      </c>
      <c r="M15" s="44"/>
    </row>
    <row r="16" spans="1:13" ht="22.5" customHeight="1">
      <c r="A16" s="448"/>
      <c r="B16" s="181" t="s">
        <v>311</v>
      </c>
      <c r="C16" s="53">
        <f>H4</f>
        <v>50</v>
      </c>
      <c r="D16" s="54" t="s">
        <v>87</v>
      </c>
      <c r="E16" s="54">
        <v>2.5000000000000001E-2</v>
      </c>
      <c r="F16" s="54" t="s">
        <v>225</v>
      </c>
      <c r="G16" s="182">
        <f>G13</f>
        <v>164798</v>
      </c>
      <c r="H16" s="54" t="s">
        <v>91</v>
      </c>
      <c r="I16" s="61">
        <f>H33</f>
        <v>0.1</v>
      </c>
      <c r="J16" s="56">
        <f>INT((C16*E16*G16)+(C16*E16*G16*I16))</f>
        <v>226597</v>
      </c>
      <c r="M16" s="44"/>
    </row>
    <row r="17" spans="1:13" ht="22.5" customHeight="1">
      <c r="A17" s="448"/>
      <c r="B17" s="20" t="s">
        <v>247</v>
      </c>
      <c r="C17" s="1">
        <f>C3</f>
        <v>100</v>
      </c>
      <c r="D17" s="69" t="s">
        <v>87</v>
      </c>
      <c r="E17" s="69">
        <v>0.05</v>
      </c>
      <c r="F17" s="69" t="s">
        <v>225</v>
      </c>
      <c r="G17" s="5">
        <f>G8</f>
        <v>232210</v>
      </c>
      <c r="H17" s="69" t="s">
        <v>86</v>
      </c>
      <c r="I17" s="183">
        <f>H34</f>
        <v>0.1</v>
      </c>
      <c r="J17" s="4">
        <f>INT((C17*E17*G17)+(C17*E17*G17*I17))</f>
        <v>1277155</v>
      </c>
    </row>
    <row r="18" spans="1:13" ht="22.5" customHeight="1">
      <c r="A18" s="433"/>
      <c r="B18" s="184" t="s">
        <v>271</v>
      </c>
      <c r="C18" s="452"/>
      <c r="D18" s="453"/>
      <c r="E18" s="453"/>
      <c r="F18" s="453"/>
      <c r="G18" s="453"/>
      <c r="H18" s="454"/>
      <c r="I18" s="63"/>
      <c r="J18" s="18">
        <f>SUM(J8:J9,J11,J14,J17)</f>
        <v>4582233</v>
      </c>
    </row>
    <row r="19" spans="1:13" ht="22.5" customHeight="1">
      <c r="A19" s="455" t="s">
        <v>157</v>
      </c>
      <c r="B19" s="20" t="s">
        <v>312</v>
      </c>
      <c r="C19" s="69">
        <v>1</v>
      </c>
      <c r="D19" s="69" t="s">
        <v>231</v>
      </c>
      <c r="E19" s="69">
        <v>2</v>
      </c>
      <c r="F19" s="69" t="s">
        <v>165</v>
      </c>
      <c r="G19" s="5">
        <v>20000</v>
      </c>
      <c r="H19" s="69" t="s">
        <v>232</v>
      </c>
      <c r="I19" s="69"/>
      <c r="J19" s="4">
        <f>INT(C19*E19*G19)</f>
        <v>40000</v>
      </c>
    </row>
    <row r="20" spans="1:13" ht="22.5" customHeight="1">
      <c r="A20" s="448"/>
      <c r="B20" s="185" t="s">
        <v>313</v>
      </c>
      <c r="C20" s="1">
        <f>C4</f>
        <v>50</v>
      </c>
      <c r="D20" s="69" t="s">
        <v>87</v>
      </c>
      <c r="E20" s="69">
        <v>0.02</v>
      </c>
      <c r="F20" s="69" t="s">
        <v>278</v>
      </c>
      <c r="G20" s="3">
        <v>4000</v>
      </c>
      <c r="H20" s="54" t="s">
        <v>314</v>
      </c>
      <c r="I20" s="61"/>
      <c r="J20" s="56">
        <f>INT((C20*E20*G20)+(C20*E20*G20*I20))</f>
        <v>4000</v>
      </c>
    </row>
    <row r="21" spans="1:13" ht="22.5" customHeight="1">
      <c r="A21" s="433"/>
      <c r="B21" s="70" t="s">
        <v>271</v>
      </c>
      <c r="C21" s="393"/>
      <c r="D21" s="393"/>
      <c r="E21" s="393"/>
      <c r="F21" s="393"/>
      <c r="G21" s="393"/>
      <c r="H21" s="393"/>
      <c r="I21" s="8"/>
      <c r="J21" s="4">
        <f>SUM(J19:J20)</f>
        <v>44000</v>
      </c>
      <c r="L21" s="42" t="s">
        <v>77</v>
      </c>
    </row>
    <row r="22" spans="1:13" ht="22.5" customHeight="1">
      <c r="A22" s="434" t="s">
        <v>281</v>
      </c>
      <c r="B22" s="432"/>
      <c r="C22" s="393" t="s">
        <v>168</v>
      </c>
      <c r="D22" s="393"/>
      <c r="E22" s="393"/>
      <c r="F22" s="393"/>
      <c r="G22" s="393"/>
      <c r="H22" s="393"/>
      <c r="I22" s="8"/>
      <c r="J22" s="6">
        <f>INT(J18*110%)</f>
        <v>5040456</v>
      </c>
      <c r="L22" s="42" t="s">
        <v>78</v>
      </c>
      <c r="M22" s="43">
        <v>1.6000000000000001E-3</v>
      </c>
    </row>
    <row r="23" spans="1:13" ht="22.5" customHeight="1">
      <c r="A23" s="434" t="s">
        <v>282</v>
      </c>
      <c r="B23" s="432"/>
      <c r="C23" s="393" t="s">
        <v>283</v>
      </c>
      <c r="D23" s="393"/>
      <c r="E23" s="393"/>
      <c r="F23" s="393"/>
      <c r="G23" s="393"/>
      <c r="H23" s="393"/>
      <c r="I23" s="8"/>
      <c r="J23" s="6">
        <f>INT((J18+J22)*0.2)</f>
        <v>1924537</v>
      </c>
    </row>
    <row r="24" spans="1:13" ht="22.5" customHeight="1">
      <c r="A24" s="434" t="s">
        <v>284</v>
      </c>
      <c r="B24" s="432"/>
      <c r="C24" s="393" t="s">
        <v>285</v>
      </c>
      <c r="D24" s="393"/>
      <c r="E24" s="393"/>
      <c r="F24" s="393"/>
      <c r="G24" s="393"/>
      <c r="H24" s="393"/>
      <c r="I24" s="8"/>
      <c r="J24" s="6">
        <f>SUM(J18,J21:J23)</f>
        <v>11591226</v>
      </c>
      <c r="L24" s="42" t="s">
        <v>286</v>
      </c>
    </row>
    <row r="25" spans="1:13" ht="22.5" customHeight="1">
      <c r="A25" s="425" t="s">
        <v>235</v>
      </c>
      <c r="B25" s="426"/>
      <c r="C25" s="442" t="s">
        <v>236</v>
      </c>
      <c r="D25" s="443"/>
      <c r="E25" s="444">
        <f>INT(J24*M13)</f>
        <v>96554</v>
      </c>
      <c r="F25" s="445"/>
      <c r="G25" s="40" t="s">
        <v>179</v>
      </c>
      <c r="H25" s="45">
        <f>INT(J24*M22)</f>
        <v>18545</v>
      </c>
      <c r="I25" s="8"/>
      <c r="J25" s="6">
        <f>SUM(E25,H25)</f>
        <v>115099</v>
      </c>
    </row>
    <row r="26" spans="1:13" ht="22.5" customHeight="1">
      <c r="A26" s="425" t="s">
        <v>70</v>
      </c>
      <c r="B26" s="426"/>
      <c r="C26" s="393" t="s">
        <v>73</v>
      </c>
      <c r="D26" s="393"/>
      <c r="E26" s="393"/>
      <c r="F26" s="393"/>
      <c r="G26" s="393"/>
      <c r="H26" s="393"/>
      <c r="I26" s="8"/>
      <c r="J26" s="6">
        <f>SUM(J24:J25)</f>
        <v>11706325</v>
      </c>
    </row>
    <row r="27" spans="1:13" ht="22.5" customHeight="1">
      <c r="A27" s="434" t="s">
        <v>287</v>
      </c>
      <c r="B27" s="432"/>
      <c r="C27" s="393" t="s">
        <v>187</v>
      </c>
      <c r="D27" s="393"/>
      <c r="E27" s="393"/>
      <c r="F27" s="393"/>
      <c r="G27" s="393"/>
      <c r="H27" s="393"/>
      <c r="I27" s="8"/>
      <c r="J27" s="6">
        <f>INT(J26*0.1)</f>
        <v>1170632</v>
      </c>
    </row>
    <row r="28" spans="1:13" ht="22.5" customHeight="1">
      <c r="A28" s="434" t="s">
        <v>290</v>
      </c>
      <c r="B28" s="432"/>
      <c r="C28" s="393"/>
      <c r="D28" s="393"/>
      <c r="E28" s="393"/>
      <c r="F28" s="393"/>
      <c r="G28" s="393"/>
      <c r="H28" s="393"/>
      <c r="I28" s="8"/>
      <c r="J28" s="6">
        <f>SUM(J26:J27)</f>
        <v>12876957</v>
      </c>
    </row>
    <row r="29" spans="1:13" ht="22.5" customHeight="1" thickBot="1">
      <c r="A29" s="399" t="s">
        <v>292</v>
      </c>
      <c r="B29" s="400"/>
      <c r="C29" s="378" t="s">
        <v>194</v>
      </c>
      <c r="D29" s="378"/>
      <c r="E29" s="378"/>
      <c r="F29" s="378"/>
      <c r="G29" s="378"/>
      <c r="H29" s="378"/>
      <c r="I29" s="30"/>
      <c r="J29" s="7">
        <f>ROUNDDOWN(J28,-3)</f>
        <v>12876000</v>
      </c>
    </row>
    <row r="30" spans="1:13">
      <c r="L30" s="42" t="s">
        <v>315</v>
      </c>
      <c r="M30" s="42" t="s">
        <v>289</v>
      </c>
    </row>
    <row r="31" spans="1:13" ht="17.25" thickBot="1">
      <c r="A31" s="42" t="s">
        <v>316</v>
      </c>
      <c r="M31" s="42" t="s">
        <v>291</v>
      </c>
    </row>
    <row r="32" spans="1:13" ht="17.25" thickBot="1">
      <c r="B32" s="33" t="s">
        <v>296</v>
      </c>
      <c r="C32" s="446" t="s">
        <v>297</v>
      </c>
      <c r="D32" s="446"/>
      <c r="E32" s="446"/>
      <c r="F32" s="446"/>
      <c r="G32" s="446"/>
      <c r="H32" s="34" t="s">
        <v>65</v>
      </c>
      <c r="J32" s="48"/>
      <c r="M32" s="42" t="s">
        <v>293</v>
      </c>
    </row>
    <row r="33" spans="2:10" ht="17.25" thickTop="1">
      <c r="B33" s="31" t="s">
        <v>315</v>
      </c>
      <c r="C33" s="393" t="s">
        <v>299</v>
      </c>
      <c r="D33" s="393"/>
      <c r="E33" s="393"/>
      <c r="F33" s="393"/>
      <c r="G33" s="393"/>
      <c r="H33" s="35">
        <f>IF(C33=M30,0%,IF(C33=M31,5%,10%))</f>
        <v>0.1</v>
      </c>
      <c r="J33" s="49"/>
    </row>
    <row r="34" spans="2:10" ht="17.25" thickBot="1">
      <c r="B34" s="32" t="s">
        <v>121</v>
      </c>
      <c r="C34" s="378"/>
      <c r="D34" s="378"/>
      <c r="E34" s="378"/>
      <c r="F34" s="378"/>
      <c r="G34" s="378"/>
      <c r="H34" s="36">
        <f>SUM(H33:H33)</f>
        <v>0.1</v>
      </c>
    </row>
  </sheetData>
  <mergeCells count="41">
    <mergeCell ref="C32:G32"/>
    <mergeCell ref="C33:G33"/>
    <mergeCell ref="C34:G34"/>
    <mergeCell ref="A27:B27"/>
    <mergeCell ref="C27:H27"/>
    <mergeCell ref="A28:B28"/>
    <mergeCell ref="C28:H28"/>
    <mergeCell ref="A29:B29"/>
    <mergeCell ref="C29:H29"/>
    <mergeCell ref="A26:B26"/>
    <mergeCell ref="C26:H26"/>
    <mergeCell ref="A19:A21"/>
    <mergeCell ref="C21:H21"/>
    <mergeCell ref="A22:B22"/>
    <mergeCell ref="C22:H22"/>
    <mergeCell ref="A23:B23"/>
    <mergeCell ref="C23:H23"/>
    <mergeCell ref="A24:B24"/>
    <mergeCell ref="C24:H24"/>
    <mergeCell ref="A25:B25"/>
    <mergeCell ref="C25:D25"/>
    <mergeCell ref="E25:F25"/>
    <mergeCell ref="J5:J7"/>
    <mergeCell ref="C6:D6"/>
    <mergeCell ref="E6:F6"/>
    <mergeCell ref="G6:H6"/>
    <mergeCell ref="A8:A18"/>
    <mergeCell ref="C10:H10"/>
    <mergeCell ref="C18:H18"/>
    <mergeCell ref="A5:A7"/>
    <mergeCell ref="B5:B7"/>
    <mergeCell ref="C5:D5"/>
    <mergeCell ref="E5:F5"/>
    <mergeCell ref="G5:H5"/>
    <mergeCell ref="I5:I7"/>
    <mergeCell ref="A1:J1"/>
    <mergeCell ref="A3:B3"/>
    <mergeCell ref="C3:D3"/>
    <mergeCell ref="G3:J3"/>
    <mergeCell ref="A4:B4"/>
    <mergeCell ref="C4:D4"/>
  </mergeCells>
  <phoneticPr fontId="2" type="noConversion"/>
  <dataValidations count="1">
    <dataValidation type="list" allowBlank="1" showInputMessage="1" showErrorMessage="1" sqref="C33:G33">
      <formula1>$M$30:$M$32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view="pageBreakPreview" zoomScaleNormal="100" zoomScaleSheetLayoutView="100" workbookViewId="0">
      <selection activeCell="G17" sqref="G17"/>
    </sheetView>
  </sheetViews>
  <sheetFormatPr defaultRowHeight="16.5"/>
  <cols>
    <col min="1" max="1" width="5" style="42" customWidth="1"/>
    <col min="2" max="2" width="18.5" style="42" customWidth="1"/>
    <col min="3" max="3" width="7.875" style="42" customWidth="1"/>
    <col min="4" max="4" width="4" style="42" customWidth="1"/>
    <col min="5" max="5" width="6" style="42" customWidth="1"/>
    <col min="6" max="6" width="6.375" style="42" customWidth="1"/>
    <col min="7" max="7" width="10.125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418" t="s">
        <v>387</v>
      </c>
      <c r="B1" s="418"/>
      <c r="C1" s="418"/>
      <c r="D1" s="418"/>
      <c r="E1" s="418"/>
      <c r="F1" s="418"/>
      <c r="G1" s="418"/>
      <c r="H1" s="418"/>
      <c r="I1" s="418"/>
      <c r="J1" s="418"/>
    </row>
    <row r="2" spans="1:13" ht="6.75" customHeight="1" thickBot="1"/>
    <row r="3" spans="1:13" ht="22.5" customHeight="1">
      <c r="A3" s="419" t="s">
        <v>318</v>
      </c>
      <c r="B3" s="420"/>
      <c r="C3" s="421">
        <v>100</v>
      </c>
      <c r="D3" s="422"/>
      <c r="E3" s="22" t="s">
        <v>140</v>
      </c>
      <c r="F3" s="39" t="s">
        <v>319</v>
      </c>
      <c r="G3" s="24" t="s">
        <v>320</v>
      </c>
      <c r="H3" s="24"/>
      <c r="I3" s="24"/>
      <c r="J3" s="25"/>
      <c r="K3" s="42" t="s">
        <v>321</v>
      </c>
    </row>
    <row r="4" spans="1:13" ht="20.25" customHeight="1">
      <c r="A4" s="434" t="s">
        <v>1</v>
      </c>
      <c r="B4" s="432" t="s">
        <v>130</v>
      </c>
      <c r="C4" s="432" t="s">
        <v>3</v>
      </c>
      <c r="D4" s="432"/>
      <c r="E4" s="432" t="s">
        <v>7</v>
      </c>
      <c r="F4" s="432"/>
      <c r="G4" s="432" t="s">
        <v>262</v>
      </c>
      <c r="H4" s="432"/>
      <c r="I4" s="437" t="s">
        <v>134</v>
      </c>
      <c r="J4" s="429" t="s">
        <v>322</v>
      </c>
    </row>
    <row r="5" spans="1:13" ht="20.25" customHeight="1">
      <c r="A5" s="434"/>
      <c r="B5" s="432"/>
      <c r="C5" s="431" t="s">
        <v>264</v>
      </c>
      <c r="D5" s="431"/>
      <c r="E5" s="431" t="s">
        <v>265</v>
      </c>
      <c r="F5" s="431"/>
      <c r="G5" s="432" t="s">
        <v>323</v>
      </c>
      <c r="H5" s="432"/>
      <c r="I5" s="438"/>
      <c r="J5" s="429"/>
    </row>
    <row r="6" spans="1:13" ht="20.25" customHeight="1" thickBot="1">
      <c r="A6" s="435"/>
      <c r="B6" s="436"/>
      <c r="C6" s="26"/>
      <c r="D6" s="74" t="s">
        <v>136</v>
      </c>
      <c r="E6" s="74"/>
      <c r="F6" s="74" t="s">
        <v>136</v>
      </c>
      <c r="G6" s="74"/>
      <c r="H6" s="74" t="s">
        <v>11</v>
      </c>
      <c r="I6" s="439"/>
      <c r="J6" s="430"/>
    </row>
    <row r="7" spans="1:13" ht="33.75" thickTop="1">
      <c r="A7" s="433" t="s">
        <v>138</v>
      </c>
      <c r="B7" s="153" t="s">
        <v>388</v>
      </c>
      <c r="C7" s="15">
        <f>C3</f>
        <v>100</v>
      </c>
      <c r="D7" s="119" t="s">
        <v>140</v>
      </c>
      <c r="E7" s="119">
        <v>0.02</v>
      </c>
      <c r="F7" s="119" t="s">
        <v>107</v>
      </c>
      <c r="G7" s="17">
        <v>232210</v>
      </c>
      <c r="H7" s="119" t="s">
        <v>66</v>
      </c>
      <c r="I7" s="37">
        <f>H30</f>
        <v>0</v>
      </c>
      <c r="J7" s="18">
        <f>INT((C7*E7*G7)+(C7*E7*G7*I7))</f>
        <v>464420</v>
      </c>
    </row>
    <row r="8" spans="1:13" ht="22.5" customHeight="1">
      <c r="A8" s="434"/>
      <c r="B8" s="20" t="s">
        <v>324</v>
      </c>
      <c r="C8" s="141"/>
      <c r="D8" s="142"/>
      <c r="E8" s="142"/>
      <c r="F8" s="142"/>
      <c r="G8" s="10"/>
      <c r="H8" s="142"/>
      <c r="I8" s="142"/>
      <c r="J8" s="18"/>
    </row>
    <row r="9" spans="1:13" ht="22.5" customHeight="1">
      <c r="A9" s="434"/>
      <c r="B9" s="157" t="s">
        <v>144</v>
      </c>
      <c r="C9" s="1">
        <v>100</v>
      </c>
      <c r="D9" s="72" t="s">
        <v>326</v>
      </c>
      <c r="E9" s="72">
        <v>0.05</v>
      </c>
      <c r="F9" s="72" t="s">
        <v>327</v>
      </c>
      <c r="G9" s="3">
        <f>G7</f>
        <v>232210</v>
      </c>
      <c r="H9" s="72" t="s">
        <v>328</v>
      </c>
      <c r="I9" s="38">
        <f>H30</f>
        <v>0</v>
      </c>
      <c r="J9" s="18">
        <f>INT((C9*E9*G9)+(C9*E9*G9*I9))</f>
        <v>1161050</v>
      </c>
    </row>
    <row r="10" spans="1:13" ht="22.5" customHeight="1">
      <c r="A10" s="434"/>
      <c r="B10" s="157" t="s">
        <v>146</v>
      </c>
      <c r="C10" s="1">
        <f>C9</f>
        <v>100</v>
      </c>
      <c r="D10" s="72" t="s">
        <v>326</v>
      </c>
      <c r="E10" s="72">
        <v>0.05</v>
      </c>
      <c r="F10" s="72" t="s">
        <v>327</v>
      </c>
      <c r="G10" s="3">
        <v>164798</v>
      </c>
      <c r="H10" s="72" t="s">
        <v>331</v>
      </c>
      <c r="I10" s="38">
        <f>H30</f>
        <v>0</v>
      </c>
      <c r="J10" s="18">
        <f t="shared" ref="J10" si="0">INT((C10*E10*G10)+(C10*E10*G10*I10))</f>
        <v>823990</v>
      </c>
    </row>
    <row r="11" spans="1:13" ht="22.5" customHeight="1">
      <c r="A11" s="434"/>
      <c r="B11" s="157" t="s">
        <v>389</v>
      </c>
      <c r="C11" s="1">
        <f>C9</f>
        <v>100</v>
      </c>
      <c r="D11" s="72" t="s">
        <v>326</v>
      </c>
      <c r="E11" s="72">
        <v>0.05</v>
      </c>
      <c r="F11" s="72" t="s">
        <v>327</v>
      </c>
      <c r="G11" s="3">
        <v>213462</v>
      </c>
      <c r="H11" s="72" t="s">
        <v>328</v>
      </c>
      <c r="I11" s="38">
        <v>0</v>
      </c>
      <c r="J11" s="18">
        <f>INT((C11*E11*G11)+(C11*E11*G11*I11))</f>
        <v>1067310</v>
      </c>
    </row>
    <row r="12" spans="1:13" ht="22.5" customHeight="1">
      <c r="A12" s="434"/>
      <c r="B12" s="73" t="s">
        <v>336</v>
      </c>
      <c r="C12" s="12"/>
      <c r="D12" s="142"/>
      <c r="E12" s="13"/>
      <c r="F12" s="142"/>
      <c r="G12" s="13"/>
      <c r="H12" s="111"/>
      <c r="I12" s="142"/>
      <c r="J12" s="4">
        <f>SUM(J7:J11)</f>
        <v>3516770</v>
      </c>
      <c r="L12" s="42" t="s">
        <v>75</v>
      </c>
      <c r="M12" s="44">
        <v>8.1600000000000006E-3</v>
      </c>
    </row>
    <row r="13" spans="1:13" ht="22.5" customHeight="1">
      <c r="A13" s="440" t="s">
        <v>337</v>
      </c>
      <c r="B13" s="20" t="s">
        <v>338</v>
      </c>
      <c r="C13" s="141"/>
      <c r="D13" s="142"/>
      <c r="E13" s="142"/>
      <c r="F13" s="142"/>
      <c r="G13" s="189"/>
      <c r="H13" s="111"/>
      <c r="I13" s="141"/>
      <c r="J13" s="4">
        <f>SUM(J14:J15)</f>
        <v>150000</v>
      </c>
      <c r="L13" s="42" t="s">
        <v>76</v>
      </c>
      <c r="M13" s="42" t="s">
        <v>79</v>
      </c>
    </row>
    <row r="14" spans="1:13" ht="22.5" customHeight="1">
      <c r="A14" s="440"/>
      <c r="B14" s="20" t="s">
        <v>339</v>
      </c>
      <c r="C14" s="72">
        <v>1</v>
      </c>
      <c r="D14" s="72" t="s">
        <v>340</v>
      </c>
      <c r="E14" s="72">
        <v>5</v>
      </c>
      <c r="F14" s="72" t="s">
        <v>341</v>
      </c>
      <c r="G14" s="5">
        <v>30000</v>
      </c>
      <c r="H14" s="72" t="s">
        <v>342</v>
      </c>
      <c r="I14" s="72"/>
      <c r="J14" s="4">
        <f>INT(C14*E14*G14)</f>
        <v>150000</v>
      </c>
    </row>
    <row r="15" spans="1:13" ht="22.5" customHeight="1">
      <c r="A15" s="440"/>
      <c r="B15" s="20" t="s">
        <v>343</v>
      </c>
      <c r="C15" s="72"/>
      <c r="D15" s="72" t="s">
        <v>344</v>
      </c>
      <c r="E15" s="72"/>
      <c r="F15" s="72" t="s">
        <v>341</v>
      </c>
      <c r="G15" s="5">
        <v>10000</v>
      </c>
      <c r="H15" s="72" t="s">
        <v>342</v>
      </c>
      <c r="I15" s="72"/>
      <c r="J15" s="4">
        <f>INT(C15*E15*G15)</f>
        <v>0</v>
      </c>
    </row>
    <row r="16" spans="1:13" ht="22.5" customHeight="1">
      <c r="A16" s="434"/>
      <c r="B16" s="20" t="s">
        <v>345</v>
      </c>
      <c r="C16" s="12"/>
      <c r="D16" s="13"/>
      <c r="E16" s="13"/>
      <c r="F16" s="13"/>
      <c r="G16" s="13"/>
      <c r="H16" s="13"/>
      <c r="I16" s="13"/>
      <c r="J16" s="11"/>
      <c r="L16" s="42" t="s">
        <v>276</v>
      </c>
      <c r="M16" s="44">
        <v>1.31E-3</v>
      </c>
    </row>
    <row r="17" spans="1:13" ht="22.5" customHeight="1">
      <c r="A17" s="434"/>
      <c r="B17" s="20" t="s">
        <v>384</v>
      </c>
      <c r="C17" s="190">
        <f>C3</f>
        <v>100</v>
      </c>
      <c r="D17" s="72" t="s">
        <v>140</v>
      </c>
      <c r="E17" s="72">
        <v>1.2999999999999999E-2</v>
      </c>
      <c r="F17" s="72" t="s">
        <v>385</v>
      </c>
      <c r="G17" s="3">
        <v>5000</v>
      </c>
      <c r="H17" s="72" t="s">
        <v>386</v>
      </c>
      <c r="I17" s="141"/>
      <c r="J17" s="4">
        <f>C17*E17*G17</f>
        <v>6500</v>
      </c>
    </row>
    <row r="18" spans="1:13" ht="22.5" customHeight="1">
      <c r="A18" s="434"/>
      <c r="B18" s="73" t="s">
        <v>336</v>
      </c>
      <c r="C18" s="393"/>
      <c r="D18" s="393"/>
      <c r="E18" s="393"/>
      <c r="F18" s="393"/>
      <c r="G18" s="393"/>
      <c r="H18" s="393"/>
      <c r="I18" s="141"/>
      <c r="J18" s="4">
        <f>SUM(J13,J17:J17)</f>
        <v>156500</v>
      </c>
      <c r="L18" s="42" t="s">
        <v>77</v>
      </c>
    </row>
    <row r="19" spans="1:13" ht="22.5" customHeight="1">
      <c r="A19" s="434" t="s">
        <v>352</v>
      </c>
      <c r="B19" s="432"/>
      <c r="C19" s="393" t="s">
        <v>353</v>
      </c>
      <c r="D19" s="393"/>
      <c r="E19" s="393"/>
      <c r="F19" s="393"/>
      <c r="G19" s="393"/>
      <c r="H19" s="393"/>
      <c r="I19" s="141"/>
      <c r="J19" s="6">
        <f>INT(J12*1.1)</f>
        <v>3868447</v>
      </c>
      <c r="L19" s="42" t="s">
        <v>78</v>
      </c>
      <c r="M19" s="43">
        <v>1.6000000000000001E-3</v>
      </c>
    </row>
    <row r="20" spans="1:13" ht="22.5" customHeight="1">
      <c r="A20" s="434" t="s">
        <v>354</v>
      </c>
      <c r="B20" s="432"/>
      <c r="C20" s="393" t="s">
        <v>355</v>
      </c>
      <c r="D20" s="393"/>
      <c r="E20" s="393"/>
      <c r="F20" s="393"/>
      <c r="G20" s="393"/>
      <c r="H20" s="393"/>
      <c r="I20" s="141"/>
      <c r="J20" s="6">
        <f>INT((J12+J19)*0.2)</f>
        <v>1477043</v>
      </c>
    </row>
    <row r="21" spans="1:13" ht="22.5" customHeight="1">
      <c r="A21" s="434" t="s">
        <v>356</v>
      </c>
      <c r="B21" s="432"/>
      <c r="C21" s="393" t="s">
        <v>357</v>
      </c>
      <c r="D21" s="393"/>
      <c r="E21" s="393"/>
      <c r="F21" s="393"/>
      <c r="G21" s="393"/>
      <c r="H21" s="393"/>
      <c r="I21" s="141"/>
      <c r="J21" s="6">
        <f>SUM(J12,J18,J19,J20)</f>
        <v>9018760</v>
      </c>
      <c r="L21" s="42" t="s">
        <v>358</v>
      </c>
    </row>
    <row r="22" spans="1:13" ht="22.5" customHeight="1">
      <c r="A22" s="425" t="s">
        <v>359</v>
      </c>
      <c r="B22" s="426"/>
      <c r="C22" s="442" t="s">
        <v>360</v>
      </c>
      <c r="D22" s="443"/>
      <c r="E22" s="444">
        <f>INT(J21*M12)</f>
        <v>73593</v>
      </c>
      <c r="F22" s="445"/>
      <c r="G22" s="40" t="s">
        <v>361</v>
      </c>
      <c r="H22" s="143">
        <f>INT(J21*M19)</f>
        <v>14430</v>
      </c>
      <c r="I22" s="141"/>
      <c r="J22" s="6">
        <f>SUM(E22,H22)</f>
        <v>88023</v>
      </c>
    </row>
    <row r="23" spans="1:13" ht="22.5" customHeight="1">
      <c r="A23" s="425" t="s">
        <v>362</v>
      </c>
      <c r="B23" s="426"/>
      <c r="C23" s="393" t="s">
        <v>73</v>
      </c>
      <c r="D23" s="393"/>
      <c r="E23" s="393"/>
      <c r="F23" s="393"/>
      <c r="G23" s="393"/>
      <c r="H23" s="393"/>
      <c r="I23" s="141"/>
      <c r="J23" s="6">
        <f>SUM(J21:J22)</f>
        <v>9106783</v>
      </c>
    </row>
    <row r="24" spans="1:13" ht="22.5" customHeight="1">
      <c r="A24" s="434" t="s">
        <v>363</v>
      </c>
      <c r="B24" s="432"/>
      <c r="C24" s="393" t="s">
        <v>364</v>
      </c>
      <c r="D24" s="393"/>
      <c r="E24" s="393"/>
      <c r="F24" s="393"/>
      <c r="G24" s="393"/>
      <c r="H24" s="393"/>
      <c r="I24" s="141"/>
      <c r="J24" s="6">
        <f>INT(J23*0.1)</f>
        <v>910678</v>
      </c>
      <c r="L24" s="42" t="s">
        <v>288</v>
      </c>
      <c r="M24" s="42" t="s">
        <v>392</v>
      </c>
    </row>
    <row r="25" spans="1:13" ht="22.5" customHeight="1">
      <c r="A25" s="434" t="s">
        <v>367</v>
      </c>
      <c r="B25" s="432"/>
      <c r="C25" s="393"/>
      <c r="D25" s="393"/>
      <c r="E25" s="393"/>
      <c r="F25" s="393"/>
      <c r="G25" s="393"/>
      <c r="H25" s="393"/>
      <c r="I25" s="141"/>
      <c r="J25" s="6">
        <f>SUM(J23:J24)</f>
        <v>10017461</v>
      </c>
      <c r="M25" s="42" t="s">
        <v>393</v>
      </c>
    </row>
    <row r="26" spans="1:13" ht="22.5" customHeight="1" thickBot="1">
      <c r="A26" s="399" t="s">
        <v>369</v>
      </c>
      <c r="B26" s="400"/>
      <c r="C26" s="378" t="s">
        <v>370</v>
      </c>
      <c r="D26" s="378"/>
      <c r="E26" s="378"/>
      <c r="F26" s="378"/>
      <c r="G26" s="378"/>
      <c r="H26" s="378"/>
      <c r="I26" s="30"/>
      <c r="J26" s="7">
        <f>ROUNDDOWN(J25,-3)</f>
        <v>10017000</v>
      </c>
      <c r="M26" s="42" t="s">
        <v>293</v>
      </c>
    </row>
    <row r="27" spans="1:13" ht="6.75" customHeight="1">
      <c r="L27" s="42" t="s">
        <v>372</v>
      </c>
      <c r="M27" s="42" t="s">
        <v>373</v>
      </c>
    </row>
    <row r="28" spans="1:13" ht="17.25" thickBot="1">
      <c r="A28" s="42" t="s">
        <v>374</v>
      </c>
      <c r="M28" s="42" t="s">
        <v>375</v>
      </c>
    </row>
    <row r="29" spans="1:13" ht="17.25" thickBot="1">
      <c r="B29" s="33" t="s">
        <v>376</v>
      </c>
      <c r="C29" s="446" t="s">
        <v>377</v>
      </c>
      <c r="D29" s="446"/>
      <c r="E29" s="446"/>
      <c r="F29" s="446"/>
      <c r="G29" s="446"/>
      <c r="H29" s="34" t="s">
        <v>378</v>
      </c>
      <c r="M29" s="42" t="s">
        <v>379</v>
      </c>
    </row>
    <row r="30" spans="1:13" ht="17.25" thickTop="1">
      <c r="B30" s="159" t="s">
        <v>390</v>
      </c>
      <c r="C30" s="408" t="s">
        <v>391</v>
      </c>
      <c r="D30" s="408"/>
      <c r="E30" s="408"/>
      <c r="F30" s="408"/>
      <c r="G30" s="408"/>
      <c r="H30" s="160">
        <f>IF(C30=M24,0%,IF(C30=M25,5%,10%))</f>
        <v>0</v>
      </c>
    </row>
    <row r="31" spans="1:13" ht="17.25" thickBot="1">
      <c r="B31" s="78" t="s">
        <v>382</v>
      </c>
      <c r="C31" s="378"/>
      <c r="D31" s="378"/>
      <c r="E31" s="378"/>
      <c r="F31" s="378"/>
      <c r="G31" s="378"/>
      <c r="H31" s="36">
        <f>SUM(H30:H30)</f>
        <v>0</v>
      </c>
    </row>
  </sheetData>
  <mergeCells count="36"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  <mergeCell ref="A7:A12"/>
    <mergeCell ref="A13:A18"/>
    <mergeCell ref="C18:H18"/>
    <mergeCell ref="A24:B24"/>
    <mergeCell ref="C24:H24"/>
    <mergeCell ref="A19:B19"/>
    <mergeCell ref="C19:H19"/>
    <mergeCell ref="A20:B20"/>
    <mergeCell ref="C20:H20"/>
    <mergeCell ref="A21:B21"/>
    <mergeCell ref="C21:H21"/>
    <mergeCell ref="A22:B22"/>
    <mergeCell ref="C22:D22"/>
    <mergeCell ref="E22:F22"/>
    <mergeCell ref="A23:B23"/>
    <mergeCell ref="C23:H23"/>
    <mergeCell ref="C31:G31"/>
    <mergeCell ref="A25:B25"/>
    <mergeCell ref="C25:H25"/>
    <mergeCell ref="A26:B26"/>
    <mergeCell ref="C26:H26"/>
    <mergeCell ref="C29:G29"/>
    <mergeCell ref="C30:G30"/>
  </mergeCells>
  <phoneticPr fontId="2" type="noConversion"/>
  <dataValidations count="1">
    <dataValidation type="list" allowBlank="1" showInputMessage="1" showErrorMessage="1" sqref="C30:G30">
      <formula1>$M$24:$M$26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view="pageBreakPreview" zoomScaleNormal="100" zoomScaleSheetLayoutView="100" workbookViewId="0">
      <selection activeCell="L18" sqref="L18"/>
    </sheetView>
  </sheetViews>
  <sheetFormatPr defaultRowHeight="16.5"/>
  <cols>
    <col min="1" max="1" width="4.625" style="42" customWidth="1"/>
    <col min="2" max="2" width="18.125" style="42" customWidth="1"/>
    <col min="3" max="3" width="7" style="42" customWidth="1"/>
    <col min="4" max="4" width="4" style="42" customWidth="1"/>
    <col min="5" max="5" width="6" style="42" customWidth="1"/>
    <col min="6" max="6" width="7.625" style="42" customWidth="1"/>
    <col min="7" max="7" width="10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418" t="s">
        <v>394</v>
      </c>
      <c r="B1" s="418"/>
      <c r="C1" s="418"/>
      <c r="D1" s="418"/>
      <c r="E1" s="418"/>
      <c r="F1" s="418"/>
      <c r="G1" s="418"/>
      <c r="H1" s="418"/>
      <c r="I1" s="418"/>
      <c r="J1" s="418"/>
    </row>
    <row r="2" spans="1:13" ht="17.25" thickBot="1"/>
    <row r="3" spans="1:13" ht="22.5" customHeight="1">
      <c r="A3" s="419" t="s">
        <v>0</v>
      </c>
      <c r="B3" s="420"/>
      <c r="C3" s="421">
        <v>100</v>
      </c>
      <c r="D3" s="422"/>
      <c r="E3" s="22" t="s">
        <v>6</v>
      </c>
      <c r="F3" s="39" t="s">
        <v>67</v>
      </c>
      <c r="G3" s="24" t="s">
        <v>109</v>
      </c>
      <c r="H3" s="24"/>
      <c r="I3" s="24"/>
      <c r="J3" s="25"/>
    </row>
    <row r="4" spans="1:13" ht="22.5" customHeight="1">
      <c r="A4" s="434" t="s">
        <v>1</v>
      </c>
      <c r="B4" s="432" t="s">
        <v>2</v>
      </c>
      <c r="C4" s="432" t="s">
        <v>3</v>
      </c>
      <c r="D4" s="432"/>
      <c r="E4" s="432" t="s">
        <v>7</v>
      </c>
      <c r="F4" s="432"/>
      <c r="G4" s="432" t="s">
        <v>9</v>
      </c>
      <c r="H4" s="432"/>
      <c r="I4" s="437" t="s">
        <v>54</v>
      </c>
      <c r="J4" s="429" t="s">
        <v>12</v>
      </c>
    </row>
    <row r="5" spans="1:13" ht="22.5" customHeight="1">
      <c r="A5" s="434"/>
      <c r="B5" s="432"/>
      <c r="C5" s="431" t="s">
        <v>4</v>
      </c>
      <c r="D5" s="431"/>
      <c r="E5" s="431" t="s">
        <v>8</v>
      </c>
      <c r="F5" s="431"/>
      <c r="G5" s="432" t="s">
        <v>10</v>
      </c>
      <c r="H5" s="432"/>
      <c r="I5" s="438"/>
      <c r="J5" s="429"/>
    </row>
    <row r="6" spans="1:13" ht="22.5" customHeight="1" thickBot="1">
      <c r="A6" s="435"/>
      <c r="B6" s="436"/>
      <c r="C6" s="26"/>
      <c r="D6" s="74" t="s">
        <v>5</v>
      </c>
      <c r="E6" s="74"/>
      <c r="F6" s="74" t="s">
        <v>5</v>
      </c>
      <c r="G6" s="74"/>
      <c r="H6" s="74" t="s">
        <v>11</v>
      </c>
      <c r="I6" s="439"/>
      <c r="J6" s="430"/>
      <c r="K6" s="64"/>
    </row>
    <row r="7" spans="1:13" ht="22.5" customHeight="1" thickTop="1">
      <c r="A7" s="448" t="s">
        <v>138</v>
      </c>
      <c r="B7" s="20" t="s">
        <v>82</v>
      </c>
      <c r="C7" s="1">
        <f>C3</f>
        <v>100</v>
      </c>
      <c r="D7" s="72" t="s">
        <v>6</v>
      </c>
      <c r="E7" s="72">
        <v>0.02</v>
      </c>
      <c r="F7" s="72" t="s">
        <v>26</v>
      </c>
      <c r="G7" s="3">
        <v>232210</v>
      </c>
      <c r="H7" s="72" t="s">
        <v>66</v>
      </c>
      <c r="I7" s="38"/>
      <c r="J7" s="18">
        <f>INT((C7*E7*G7)+(C7*E7*G7*I7))</f>
        <v>464420</v>
      </c>
    </row>
    <row r="8" spans="1:13" ht="22.5" customHeight="1">
      <c r="A8" s="448"/>
      <c r="B8" s="51" t="s">
        <v>83</v>
      </c>
      <c r="C8" s="57"/>
      <c r="D8" s="120"/>
      <c r="E8" s="120"/>
      <c r="F8" s="120"/>
      <c r="G8" s="59"/>
      <c r="H8" s="120"/>
      <c r="I8" s="121"/>
      <c r="J8" s="52"/>
    </row>
    <row r="9" spans="1:13" ht="22.5" customHeight="1">
      <c r="A9" s="448"/>
      <c r="B9" s="65" t="s">
        <v>144</v>
      </c>
      <c r="C9" s="53">
        <f>C3</f>
        <v>100</v>
      </c>
      <c r="D9" s="54" t="s">
        <v>102</v>
      </c>
      <c r="E9" s="54">
        <v>0.03</v>
      </c>
      <c r="F9" s="54" t="s">
        <v>103</v>
      </c>
      <c r="G9" s="55">
        <f>G7</f>
        <v>232210</v>
      </c>
      <c r="H9" s="54" t="s">
        <v>104</v>
      </c>
      <c r="I9" s="61">
        <f>H32</f>
        <v>0.1</v>
      </c>
      <c r="J9" s="56">
        <f t="shared" ref="J9" si="0">INT((C9*E9*G9)+(C9*E9*G9*I9))</f>
        <v>766293</v>
      </c>
    </row>
    <row r="10" spans="1:13" ht="22.5" customHeight="1">
      <c r="A10" s="448"/>
      <c r="B10" s="51" t="s">
        <v>305</v>
      </c>
      <c r="C10" s="120"/>
      <c r="D10" s="120"/>
      <c r="E10" s="120"/>
      <c r="F10" s="120"/>
      <c r="G10" s="59"/>
      <c r="H10" s="120"/>
      <c r="I10" s="120"/>
      <c r="J10" s="52"/>
      <c r="L10" s="42" t="s">
        <v>76</v>
      </c>
      <c r="M10" s="42" t="s">
        <v>79</v>
      </c>
    </row>
    <row r="11" spans="1:13" ht="22.5" customHeight="1">
      <c r="A11" s="448"/>
      <c r="B11" s="65" t="s">
        <v>395</v>
      </c>
      <c r="C11" s="53">
        <v>50</v>
      </c>
      <c r="D11" s="54" t="s">
        <v>102</v>
      </c>
      <c r="E11" s="54">
        <v>2.5000000000000001E-2</v>
      </c>
      <c r="F11" s="54" t="s">
        <v>107</v>
      </c>
      <c r="G11" s="55">
        <f>G7</f>
        <v>232210</v>
      </c>
      <c r="H11" s="54" t="s">
        <v>104</v>
      </c>
      <c r="I11" s="61">
        <f>H32</f>
        <v>0.1</v>
      </c>
      <c r="J11" s="56">
        <f t="shared" ref="J11:J14" si="1">INT((C11*E11*G11)+(C11*E11*G11*I11))</f>
        <v>319288</v>
      </c>
    </row>
    <row r="12" spans="1:13" ht="22.5" customHeight="1">
      <c r="A12" s="448"/>
      <c r="B12" s="65" t="s">
        <v>396</v>
      </c>
      <c r="C12" s="53">
        <f>C11</f>
        <v>50</v>
      </c>
      <c r="D12" s="54" t="s">
        <v>87</v>
      </c>
      <c r="E12" s="54">
        <v>2.5000000000000001E-2</v>
      </c>
      <c r="F12" s="54" t="s">
        <v>90</v>
      </c>
      <c r="G12" s="55">
        <v>164798</v>
      </c>
      <c r="H12" s="54" t="s">
        <v>91</v>
      </c>
      <c r="I12" s="61">
        <f>H32</f>
        <v>0.1</v>
      </c>
      <c r="J12" s="56">
        <f t="shared" si="1"/>
        <v>226597</v>
      </c>
    </row>
    <row r="13" spans="1:13" ht="22.5" customHeight="1">
      <c r="A13" s="448"/>
      <c r="B13" s="65" t="s">
        <v>397</v>
      </c>
      <c r="C13" s="53">
        <v>50</v>
      </c>
      <c r="D13" s="54" t="s">
        <v>140</v>
      </c>
      <c r="E13" s="54">
        <v>0.04</v>
      </c>
      <c r="F13" s="54" t="s">
        <v>90</v>
      </c>
      <c r="G13" s="55">
        <f>G11</f>
        <v>232210</v>
      </c>
      <c r="H13" s="54" t="s">
        <v>66</v>
      </c>
      <c r="I13" s="191">
        <f>H32</f>
        <v>0.1</v>
      </c>
      <c r="J13" s="56">
        <f t="shared" si="1"/>
        <v>510862</v>
      </c>
    </row>
    <row r="14" spans="1:13" ht="22.5" customHeight="1">
      <c r="A14" s="448"/>
      <c r="B14" s="67" t="s">
        <v>398</v>
      </c>
      <c r="C14" s="15">
        <f>C13</f>
        <v>50</v>
      </c>
      <c r="D14" s="119" t="s">
        <v>140</v>
      </c>
      <c r="E14" s="119">
        <v>0.04</v>
      </c>
      <c r="F14" s="119" t="s">
        <v>107</v>
      </c>
      <c r="G14" s="17">
        <f>G12</f>
        <v>164798</v>
      </c>
      <c r="H14" s="119" t="s">
        <v>330</v>
      </c>
      <c r="I14" s="37">
        <f>H32</f>
        <v>0.1</v>
      </c>
      <c r="J14" s="18">
        <f t="shared" si="1"/>
        <v>362555</v>
      </c>
    </row>
    <row r="15" spans="1:13" ht="22.5" customHeight="1">
      <c r="A15" s="448"/>
      <c r="B15" s="67" t="s">
        <v>111</v>
      </c>
      <c r="C15" s="15">
        <f>C3</f>
        <v>100</v>
      </c>
      <c r="D15" s="119" t="s">
        <v>87</v>
      </c>
      <c r="E15" s="119">
        <v>0.05</v>
      </c>
      <c r="F15" s="119" t="s">
        <v>107</v>
      </c>
      <c r="G15" s="17">
        <f>G7</f>
        <v>232210</v>
      </c>
      <c r="H15" s="119" t="s">
        <v>66</v>
      </c>
      <c r="I15" s="37"/>
      <c r="J15" s="4">
        <f>C15*E15*G15</f>
        <v>1161050</v>
      </c>
    </row>
    <row r="16" spans="1:13" ht="22.5" customHeight="1">
      <c r="A16" s="433"/>
      <c r="B16" s="73" t="s">
        <v>18</v>
      </c>
      <c r="C16" s="393"/>
      <c r="D16" s="393"/>
      <c r="E16" s="393"/>
      <c r="F16" s="393"/>
      <c r="G16" s="393"/>
      <c r="H16" s="393"/>
      <c r="I16" s="141"/>
      <c r="J16" s="4">
        <f>SUM(J7:J15)</f>
        <v>3811065</v>
      </c>
      <c r="L16" s="42" t="s">
        <v>77</v>
      </c>
      <c r="M16" s="44">
        <v>8.3300000000000006E-3</v>
      </c>
    </row>
    <row r="17" spans="1:13" ht="22.5" customHeight="1">
      <c r="A17" s="455" t="s">
        <v>157</v>
      </c>
      <c r="B17" s="20" t="s">
        <v>312</v>
      </c>
      <c r="C17" s="72">
        <v>1</v>
      </c>
      <c r="D17" s="72" t="s">
        <v>32</v>
      </c>
      <c r="E17" s="72">
        <v>2</v>
      </c>
      <c r="F17" s="72" t="s">
        <v>165</v>
      </c>
      <c r="G17" s="5">
        <v>20000</v>
      </c>
      <c r="H17" s="72" t="s">
        <v>166</v>
      </c>
      <c r="I17" s="72"/>
      <c r="J17" s="4">
        <f>INT(C17*E17*G17)</f>
        <v>40000</v>
      </c>
    </row>
    <row r="18" spans="1:13" ht="22.5" customHeight="1">
      <c r="A18" s="448"/>
      <c r="B18" s="185" t="s">
        <v>313</v>
      </c>
      <c r="C18" s="1">
        <f>C7</f>
        <v>100</v>
      </c>
      <c r="D18" s="72" t="s">
        <v>87</v>
      </c>
      <c r="E18" s="72">
        <v>7.0000000000000001E-3</v>
      </c>
      <c r="F18" s="72" t="s">
        <v>278</v>
      </c>
      <c r="G18" s="3">
        <v>4000</v>
      </c>
      <c r="H18" s="54" t="s">
        <v>314</v>
      </c>
      <c r="I18" s="61"/>
      <c r="J18" s="56">
        <f>INT((C18*E18*G18)+(C18*E18*G18*I18))</f>
        <v>2800</v>
      </c>
    </row>
    <row r="19" spans="1:13" ht="22.5" customHeight="1">
      <c r="A19" s="433"/>
      <c r="B19" s="73" t="s">
        <v>271</v>
      </c>
      <c r="C19" s="393"/>
      <c r="D19" s="393"/>
      <c r="E19" s="393"/>
      <c r="F19" s="393"/>
      <c r="G19" s="393"/>
      <c r="H19" s="393"/>
      <c r="I19" s="141"/>
      <c r="J19" s="4">
        <f>SUM(J17:J18)</f>
        <v>42800</v>
      </c>
    </row>
    <row r="20" spans="1:13" ht="22.5" customHeight="1">
      <c r="A20" s="434" t="s">
        <v>21</v>
      </c>
      <c r="B20" s="432"/>
      <c r="C20" s="393" t="s">
        <v>35</v>
      </c>
      <c r="D20" s="393"/>
      <c r="E20" s="393"/>
      <c r="F20" s="393"/>
      <c r="G20" s="393"/>
      <c r="H20" s="393"/>
      <c r="I20" s="141"/>
      <c r="J20" s="6">
        <f>INT(J16*1.1)</f>
        <v>4192171</v>
      </c>
      <c r="L20" s="42" t="s">
        <v>78</v>
      </c>
      <c r="M20" s="43">
        <v>1.6000000000000001E-3</v>
      </c>
    </row>
    <row r="21" spans="1:13" ht="22.5" customHeight="1">
      <c r="A21" s="434" t="s">
        <v>22</v>
      </c>
      <c r="B21" s="432"/>
      <c r="C21" s="393" t="s">
        <v>36</v>
      </c>
      <c r="D21" s="393"/>
      <c r="E21" s="393"/>
      <c r="F21" s="393"/>
      <c r="G21" s="393"/>
      <c r="H21" s="393"/>
      <c r="I21" s="141"/>
      <c r="J21" s="6">
        <f>INT((J16+J20)*0.2)</f>
        <v>1600647</v>
      </c>
    </row>
    <row r="22" spans="1:13" ht="22.5" customHeight="1">
      <c r="A22" s="434" t="s">
        <v>68</v>
      </c>
      <c r="B22" s="432"/>
      <c r="C22" s="393" t="s">
        <v>96</v>
      </c>
      <c r="D22" s="393"/>
      <c r="E22" s="393"/>
      <c r="F22" s="393"/>
      <c r="G22" s="393"/>
      <c r="H22" s="393"/>
      <c r="I22" s="141"/>
      <c r="J22" s="6">
        <f>SUM(J16,J19:J21)</f>
        <v>9646683</v>
      </c>
      <c r="L22" s="42" t="s">
        <v>61</v>
      </c>
    </row>
    <row r="23" spans="1:13" ht="22.5" customHeight="1">
      <c r="A23" s="425" t="s">
        <v>69</v>
      </c>
      <c r="B23" s="426"/>
      <c r="C23" s="442" t="s">
        <v>71</v>
      </c>
      <c r="D23" s="443"/>
      <c r="E23" s="444">
        <f>INT(J22*M16)</f>
        <v>80356</v>
      </c>
      <c r="F23" s="445"/>
      <c r="G23" s="40" t="s">
        <v>72</v>
      </c>
      <c r="H23" s="143">
        <f>INT(J22*M20)</f>
        <v>15434</v>
      </c>
      <c r="I23" s="141"/>
      <c r="J23" s="6">
        <f>SUM(E23,H23)</f>
        <v>95790</v>
      </c>
    </row>
    <row r="24" spans="1:13" ht="22.5" customHeight="1">
      <c r="A24" s="425" t="s">
        <v>70</v>
      </c>
      <c r="B24" s="426"/>
      <c r="C24" s="393" t="s">
        <v>73</v>
      </c>
      <c r="D24" s="393"/>
      <c r="E24" s="393"/>
      <c r="F24" s="393"/>
      <c r="G24" s="393"/>
      <c r="H24" s="393"/>
      <c r="I24" s="141"/>
      <c r="J24" s="6">
        <f>SUM(J22:J23)</f>
        <v>9742473</v>
      </c>
    </row>
    <row r="25" spans="1:13" ht="22.5" customHeight="1">
      <c r="A25" s="434" t="s">
        <v>24</v>
      </c>
      <c r="B25" s="432"/>
      <c r="C25" s="393" t="s">
        <v>37</v>
      </c>
      <c r="D25" s="393"/>
      <c r="E25" s="393"/>
      <c r="F25" s="393"/>
      <c r="G25" s="393"/>
      <c r="H25" s="393"/>
      <c r="I25" s="141"/>
      <c r="J25" s="6">
        <f>INT(J24*0.1)</f>
        <v>974247</v>
      </c>
      <c r="L25" s="42" t="s">
        <v>57</v>
      </c>
      <c r="M25" s="42" t="s">
        <v>62</v>
      </c>
    </row>
    <row r="26" spans="1:13" ht="22.5" customHeight="1">
      <c r="A26" s="434" t="s">
        <v>25</v>
      </c>
      <c r="B26" s="432"/>
      <c r="C26" s="393"/>
      <c r="D26" s="393"/>
      <c r="E26" s="393"/>
      <c r="F26" s="393"/>
      <c r="G26" s="393"/>
      <c r="H26" s="393"/>
      <c r="I26" s="141"/>
      <c r="J26" s="6">
        <f>SUM(J24:J25)</f>
        <v>10716720</v>
      </c>
      <c r="M26" s="42" t="s">
        <v>63</v>
      </c>
    </row>
    <row r="27" spans="1:13" ht="22.5" customHeight="1" thickBot="1">
      <c r="A27" s="399" t="s">
        <v>38</v>
      </c>
      <c r="B27" s="400"/>
      <c r="C27" s="378" t="s">
        <v>39</v>
      </c>
      <c r="D27" s="378"/>
      <c r="E27" s="378"/>
      <c r="F27" s="378"/>
      <c r="G27" s="378"/>
      <c r="H27" s="378"/>
      <c r="I27" s="30"/>
      <c r="J27" s="7">
        <f>ROUNDDOWN(J26,-3)</f>
        <v>10716000</v>
      </c>
      <c r="M27" s="42" t="s">
        <v>64</v>
      </c>
    </row>
    <row r="28" spans="1:13">
      <c r="L28" s="42" t="s">
        <v>315</v>
      </c>
      <c r="M28" s="42" t="s">
        <v>289</v>
      </c>
    </row>
    <row r="29" spans="1:13" ht="17.25" thickBot="1">
      <c r="A29" s="42" t="s">
        <v>55</v>
      </c>
      <c r="M29" s="42" t="s">
        <v>291</v>
      </c>
    </row>
    <row r="30" spans="1:13" ht="17.25" thickBot="1">
      <c r="B30" s="33" t="s">
        <v>56</v>
      </c>
      <c r="C30" s="446" t="s">
        <v>60</v>
      </c>
      <c r="D30" s="446"/>
      <c r="E30" s="446"/>
      <c r="F30" s="446"/>
      <c r="G30" s="446"/>
      <c r="H30" s="34" t="s">
        <v>65</v>
      </c>
      <c r="J30" s="48"/>
      <c r="M30" s="42" t="s">
        <v>293</v>
      </c>
    </row>
    <row r="31" spans="1:13" ht="17.25" thickTop="1">
      <c r="B31" s="186" t="s">
        <v>315</v>
      </c>
      <c r="C31" s="393" t="s">
        <v>299</v>
      </c>
      <c r="D31" s="393"/>
      <c r="E31" s="393"/>
      <c r="F31" s="393"/>
      <c r="G31" s="393"/>
      <c r="H31" s="35">
        <f>IF(C31=M28,0,IF(C31=M29,5%,10%))</f>
        <v>0.1</v>
      </c>
      <c r="J31" s="49"/>
    </row>
    <row r="32" spans="1:13" ht="17.25" thickBot="1">
      <c r="B32" s="78" t="s">
        <v>59</v>
      </c>
      <c r="C32" s="378"/>
      <c r="D32" s="378"/>
      <c r="E32" s="378"/>
      <c r="F32" s="378"/>
      <c r="G32" s="378"/>
      <c r="H32" s="36">
        <f>SUM(H31:H31)</f>
        <v>0.1</v>
      </c>
    </row>
  </sheetData>
  <mergeCells count="37"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  <mergeCell ref="A7:A16"/>
    <mergeCell ref="C16:H16"/>
    <mergeCell ref="A26:B26"/>
    <mergeCell ref="C26:H26"/>
    <mergeCell ref="A21:B21"/>
    <mergeCell ref="C21:H21"/>
    <mergeCell ref="A22:B22"/>
    <mergeCell ref="C22:H22"/>
    <mergeCell ref="A23:B23"/>
    <mergeCell ref="C23:D23"/>
    <mergeCell ref="E23:F23"/>
    <mergeCell ref="A17:A19"/>
    <mergeCell ref="C19:H19"/>
    <mergeCell ref="A24:B24"/>
    <mergeCell ref="C24:H24"/>
    <mergeCell ref="A25:B25"/>
    <mergeCell ref="C30:G30"/>
    <mergeCell ref="C31:G31"/>
    <mergeCell ref="C32:G32"/>
    <mergeCell ref="C25:H25"/>
    <mergeCell ref="A20:B20"/>
    <mergeCell ref="C20:H20"/>
    <mergeCell ref="A27:B27"/>
    <mergeCell ref="C27:H27"/>
  </mergeCells>
  <phoneticPr fontId="2" type="noConversion"/>
  <dataValidations count="1">
    <dataValidation type="list" allowBlank="1" showInputMessage="1" showErrorMessage="1" sqref="C31:G31">
      <formula1>$M$28:$M$30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view="pageBreakPreview" zoomScaleNormal="100" zoomScaleSheetLayoutView="100" workbookViewId="0">
      <selection activeCell="C23" sqref="C23:H23"/>
    </sheetView>
  </sheetViews>
  <sheetFormatPr defaultRowHeight="16.5"/>
  <cols>
    <col min="1" max="1" width="5" style="42" customWidth="1"/>
    <col min="2" max="2" width="18.5" style="42" customWidth="1"/>
    <col min="3" max="3" width="7.875" style="42" customWidth="1"/>
    <col min="4" max="4" width="4" style="42" customWidth="1"/>
    <col min="5" max="5" width="6" style="42" customWidth="1"/>
    <col min="6" max="6" width="6.375" style="42" customWidth="1"/>
    <col min="7" max="7" width="10.125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418" t="s">
        <v>317</v>
      </c>
      <c r="B1" s="418"/>
      <c r="C1" s="418"/>
      <c r="D1" s="418"/>
      <c r="E1" s="418"/>
      <c r="F1" s="418"/>
      <c r="G1" s="418"/>
      <c r="H1" s="418"/>
      <c r="I1" s="418"/>
      <c r="J1" s="418"/>
    </row>
    <row r="2" spans="1:13" ht="6.75" customHeight="1" thickBot="1"/>
    <row r="3" spans="1:13" ht="22.5" customHeight="1">
      <c r="A3" s="419" t="s">
        <v>318</v>
      </c>
      <c r="B3" s="420"/>
      <c r="C3" s="421">
        <v>100</v>
      </c>
      <c r="D3" s="422"/>
      <c r="E3" s="22" t="s">
        <v>140</v>
      </c>
      <c r="F3" s="39" t="s">
        <v>319</v>
      </c>
      <c r="G3" s="24" t="s">
        <v>320</v>
      </c>
      <c r="H3" s="24"/>
      <c r="I3" s="24"/>
      <c r="J3" s="25"/>
      <c r="K3" s="42" t="s">
        <v>321</v>
      </c>
    </row>
    <row r="4" spans="1:13" ht="20.25" customHeight="1">
      <c r="A4" s="434" t="s">
        <v>1</v>
      </c>
      <c r="B4" s="432" t="s">
        <v>130</v>
      </c>
      <c r="C4" s="432" t="s">
        <v>3</v>
      </c>
      <c r="D4" s="432"/>
      <c r="E4" s="432" t="s">
        <v>7</v>
      </c>
      <c r="F4" s="432"/>
      <c r="G4" s="432" t="s">
        <v>262</v>
      </c>
      <c r="H4" s="432"/>
      <c r="I4" s="437" t="s">
        <v>134</v>
      </c>
      <c r="J4" s="429" t="s">
        <v>322</v>
      </c>
    </row>
    <row r="5" spans="1:13" ht="20.25" customHeight="1">
      <c r="A5" s="434"/>
      <c r="B5" s="432"/>
      <c r="C5" s="431" t="s">
        <v>264</v>
      </c>
      <c r="D5" s="431"/>
      <c r="E5" s="431" t="s">
        <v>265</v>
      </c>
      <c r="F5" s="431"/>
      <c r="G5" s="432" t="s">
        <v>323</v>
      </c>
      <c r="H5" s="432"/>
      <c r="I5" s="438"/>
      <c r="J5" s="429"/>
    </row>
    <row r="6" spans="1:13" ht="20.25" customHeight="1" thickBot="1">
      <c r="A6" s="435"/>
      <c r="B6" s="436"/>
      <c r="C6" s="26"/>
      <c r="D6" s="74" t="s">
        <v>136</v>
      </c>
      <c r="E6" s="74"/>
      <c r="F6" s="74" t="s">
        <v>136</v>
      </c>
      <c r="G6" s="74"/>
      <c r="H6" s="74" t="s">
        <v>11</v>
      </c>
      <c r="I6" s="439"/>
      <c r="J6" s="430"/>
    </row>
    <row r="7" spans="1:13" ht="33.75" thickTop="1">
      <c r="A7" s="433" t="s">
        <v>138</v>
      </c>
      <c r="B7" s="153" t="s">
        <v>383</v>
      </c>
      <c r="C7" s="15">
        <f>C3</f>
        <v>100</v>
      </c>
      <c r="D7" s="119" t="s">
        <v>140</v>
      </c>
      <c r="E7" s="119">
        <v>0.05</v>
      </c>
      <c r="F7" s="119" t="s">
        <v>107</v>
      </c>
      <c r="G7" s="17">
        <v>232210</v>
      </c>
      <c r="H7" s="119" t="s">
        <v>66</v>
      </c>
      <c r="I7" s="37">
        <f>H35</f>
        <v>0</v>
      </c>
      <c r="J7" s="18">
        <f>INT((C7*E7*G7)+(C7*E7*G7*I7))</f>
        <v>1161050</v>
      </c>
    </row>
    <row r="8" spans="1:13" ht="22.5" customHeight="1">
      <c r="A8" s="434"/>
      <c r="B8" s="20" t="s">
        <v>324</v>
      </c>
      <c r="C8" s="141"/>
      <c r="D8" s="142"/>
      <c r="E8" s="142"/>
      <c r="F8" s="142"/>
      <c r="G8" s="10"/>
      <c r="H8" s="142"/>
      <c r="I8" s="142"/>
      <c r="J8" s="18"/>
    </row>
    <row r="9" spans="1:13" ht="22.5" customHeight="1">
      <c r="A9" s="434"/>
      <c r="B9" s="157" t="s">
        <v>325</v>
      </c>
      <c r="C9" s="1">
        <v>0</v>
      </c>
      <c r="D9" s="72" t="s">
        <v>326</v>
      </c>
      <c r="E9" s="72">
        <v>0.05</v>
      </c>
      <c r="F9" s="72" t="s">
        <v>327</v>
      </c>
      <c r="G9" s="3">
        <f>G7</f>
        <v>232210</v>
      </c>
      <c r="H9" s="72" t="s">
        <v>328</v>
      </c>
      <c r="I9" s="38">
        <f>H37</f>
        <v>0.2</v>
      </c>
      <c r="J9" s="18">
        <f>INT((C9*E9*G9)+(C9*E9*G9*I9))</f>
        <v>0</v>
      </c>
    </row>
    <row r="10" spans="1:13" ht="22.5" customHeight="1">
      <c r="A10" s="434"/>
      <c r="B10" s="157" t="s">
        <v>329</v>
      </c>
      <c r="C10" s="1">
        <f>C9</f>
        <v>0</v>
      </c>
      <c r="D10" s="72" t="s">
        <v>326</v>
      </c>
      <c r="E10" s="72">
        <v>0.05</v>
      </c>
      <c r="F10" s="72" t="s">
        <v>327</v>
      </c>
      <c r="G10" s="3">
        <v>164798</v>
      </c>
      <c r="H10" s="72" t="s">
        <v>331</v>
      </c>
      <c r="I10" s="38">
        <f>H37</f>
        <v>0.2</v>
      </c>
      <c r="J10" s="18">
        <f t="shared" ref="J10" si="0">INT((C10*E10*G10)+(C10*E10*G10*I10))</f>
        <v>0</v>
      </c>
    </row>
    <row r="11" spans="1:13" ht="22.5" customHeight="1">
      <c r="A11" s="434"/>
      <c r="B11" s="157" t="s">
        <v>332</v>
      </c>
      <c r="C11" s="1">
        <v>100</v>
      </c>
      <c r="D11" s="72" t="s">
        <v>326</v>
      </c>
      <c r="E11" s="72">
        <v>0.05</v>
      </c>
      <c r="F11" s="72" t="s">
        <v>327</v>
      </c>
      <c r="G11" s="3">
        <f>G7</f>
        <v>232210</v>
      </c>
      <c r="H11" s="72" t="s">
        <v>328</v>
      </c>
      <c r="I11" s="38">
        <f>H35</f>
        <v>0</v>
      </c>
      <c r="J11" s="18">
        <f>INT((C11*E11*G11)+(C11*E11*G11*I11))</f>
        <v>1161050</v>
      </c>
    </row>
    <row r="12" spans="1:13" ht="22.5" customHeight="1">
      <c r="A12" s="434"/>
      <c r="B12" s="157" t="s">
        <v>333</v>
      </c>
      <c r="C12" s="1">
        <f>C11</f>
        <v>100</v>
      </c>
      <c r="D12" s="72" t="s">
        <v>326</v>
      </c>
      <c r="E12" s="72">
        <v>0.05</v>
      </c>
      <c r="F12" s="72" t="s">
        <v>327</v>
      </c>
      <c r="G12" s="3">
        <f>G10</f>
        <v>164798</v>
      </c>
      <c r="H12" s="72" t="s">
        <v>331</v>
      </c>
      <c r="I12" s="38">
        <f>H35</f>
        <v>0</v>
      </c>
      <c r="J12" s="18">
        <f t="shared" ref="J12" si="1">INT((C12*E12*G12)+(C12*E12*G12*I12))</f>
        <v>823990</v>
      </c>
    </row>
    <row r="13" spans="1:13" ht="22.5" customHeight="1">
      <c r="A13" s="434"/>
      <c r="B13" s="157" t="s">
        <v>334</v>
      </c>
      <c r="C13" s="1">
        <f>C9</f>
        <v>0</v>
      </c>
      <c r="D13" s="72" t="s">
        <v>326</v>
      </c>
      <c r="E13" s="72">
        <v>0.05</v>
      </c>
      <c r="F13" s="72" t="s">
        <v>327</v>
      </c>
      <c r="G13" s="3">
        <f>G7</f>
        <v>232210</v>
      </c>
      <c r="H13" s="72" t="s">
        <v>328</v>
      </c>
      <c r="I13" s="38">
        <f>H36</f>
        <v>0.2</v>
      </c>
      <c r="J13" s="18">
        <f>INT((C13*E13*G13)+(C13*E13*G13*I13))</f>
        <v>0</v>
      </c>
      <c r="L13" s="42" t="s">
        <v>74</v>
      </c>
    </row>
    <row r="14" spans="1:13" ht="22.5" customHeight="1">
      <c r="A14" s="434"/>
      <c r="B14" s="157" t="s">
        <v>335</v>
      </c>
      <c r="C14" s="1">
        <f>C11</f>
        <v>100</v>
      </c>
      <c r="D14" s="72" t="s">
        <v>326</v>
      </c>
      <c r="E14" s="72">
        <v>0.05</v>
      </c>
      <c r="F14" s="72" t="s">
        <v>327</v>
      </c>
      <c r="G14" s="3">
        <f>G7</f>
        <v>232210</v>
      </c>
      <c r="H14" s="72" t="s">
        <v>328</v>
      </c>
      <c r="I14" s="38">
        <v>0</v>
      </c>
      <c r="J14" s="18">
        <f>INT((C14*E14*G14)+(C14*E14*G14*I14))</f>
        <v>1161050</v>
      </c>
    </row>
    <row r="15" spans="1:13" ht="22.5" customHeight="1">
      <c r="A15" s="434"/>
      <c r="B15" s="73" t="s">
        <v>336</v>
      </c>
      <c r="C15" s="12"/>
      <c r="D15" s="142"/>
      <c r="E15" s="13"/>
      <c r="F15" s="142"/>
      <c r="G15" s="13"/>
      <c r="H15" s="111"/>
      <c r="I15" s="142"/>
      <c r="J15" s="4">
        <f>SUM(J7:J14)</f>
        <v>4307140</v>
      </c>
      <c r="L15" s="42" t="s">
        <v>75</v>
      </c>
      <c r="M15" s="44">
        <v>8.1600000000000006E-3</v>
      </c>
    </row>
    <row r="16" spans="1:13" ht="22.5" customHeight="1">
      <c r="A16" s="440" t="s">
        <v>337</v>
      </c>
      <c r="B16" s="20" t="s">
        <v>338</v>
      </c>
      <c r="C16" s="141"/>
      <c r="D16" s="142"/>
      <c r="E16" s="142"/>
      <c r="F16" s="142"/>
      <c r="G16" s="189"/>
      <c r="H16" s="111"/>
      <c r="I16" s="141"/>
      <c r="J16" s="4">
        <f>SUM(J17:J18)</f>
        <v>150000</v>
      </c>
      <c r="L16" s="42" t="s">
        <v>76</v>
      </c>
      <c r="M16" s="42" t="s">
        <v>79</v>
      </c>
    </row>
    <row r="17" spans="1:13" ht="22.5" customHeight="1">
      <c r="A17" s="440"/>
      <c r="B17" s="20" t="s">
        <v>339</v>
      </c>
      <c r="C17" s="72">
        <v>1</v>
      </c>
      <c r="D17" s="72" t="s">
        <v>340</v>
      </c>
      <c r="E17" s="72">
        <v>5</v>
      </c>
      <c r="F17" s="72" t="s">
        <v>341</v>
      </c>
      <c r="G17" s="5">
        <v>30000</v>
      </c>
      <c r="H17" s="72" t="s">
        <v>342</v>
      </c>
      <c r="I17" s="72"/>
      <c r="J17" s="4">
        <f>INT(C17*E17*G17)</f>
        <v>150000</v>
      </c>
    </row>
    <row r="18" spans="1:13" ht="22.5" customHeight="1">
      <c r="A18" s="440"/>
      <c r="B18" s="20" t="s">
        <v>343</v>
      </c>
      <c r="C18" s="72"/>
      <c r="D18" s="72" t="s">
        <v>344</v>
      </c>
      <c r="E18" s="72"/>
      <c r="F18" s="72" t="s">
        <v>341</v>
      </c>
      <c r="G18" s="5">
        <v>10000</v>
      </c>
      <c r="H18" s="72" t="s">
        <v>342</v>
      </c>
      <c r="I18" s="72"/>
      <c r="J18" s="4">
        <f>INT(C18*E18*G18)</f>
        <v>0</v>
      </c>
    </row>
    <row r="19" spans="1:13" ht="22.5" customHeight="1">
      <c r="A19" s="434"/>
      <c r="B19" s="20" t="s">
        <v>345</v>
      </c>
      <c r="C19" s="12"/>
      <c r="D19" s="13"/>
      <c r="E19" s="13"/>
      <c r="F19" s="13"/>
      <c r="G19" s="13"/>
      <c r="H19" s="13"/>
      <c r="I19" s="13"/>
      <c r="J19" s="11"/>
      <c r="L19" s="42" t="s">
        <v>276</v>
      </c>
      <c r="M19" s="44">
        <v>1.31E-3</v>
      </c>
    </row>
    <row r="20" spans="1:13" ht="22.5" customHeight="1">
      <c r="A20" s="434"/>
      <c r="B20" s="20" t="s">
        <v>346</v>
      </c>
      <c r="C20" s="1">
        <f>C3</f>
        <v>100</v>
      </c>
      <c r="D20" s="72" t="s">
        <v>326</v>
      </c>
      <c r="E20" s="140">
        <v>0.1</v>
      </c>
      <c r="F20" s="72" t="s">
        <v>347</v>
      </c>
      <c r="G20" s="3">
        <v>7300</v>
      </c>
      <c r="H20" s="441" t="s">
        <v>348</v>
      </c>
      <c r="I20" s="158"/>
      <c r="J20" s="4">
        <f>INT(C20*E20*G20)</f>
        <v>73000</v>
      </c>
      <c r="M20" s="44"/>
    </row>
    <row r="21" spans="1:13" ht="22.5" customHeight="1">
      <c r="A21" s="434"/>
      <c r="B21" s="20" t="s">
        <v>349</v>
      </c>
      <c r="C21" s="112">
        <f>J20</f>
        <v>73000</v>
      </c>
      <c r="D21" s="72" t="s">
        <v>350</v>
      </c>
      <c r="E21" s="72">
        <v>10</v>
      </c>
      <c r="F21" s="72" t="s">
        <v>351</v>
      </c>
      <c r="G21" s="3"/>
      <c r="H21" s="393"/>
      <c r="I21" s="141"/>
      <c r="J21" s="4">
        <f>INT(C21*E21%)</f>
        <v>7300</v>
      </c>
    </row>
    <row r="22" spans="1:13" ht="22.5" customHeight="1">
      <c r="A22" s="434"/>
      <c r="B22" s="20" t="s">
        <v>384</v>
      </c>
      <c r="C22" s="190">
        <f>C3</f>
        <v>100</v>
      </c>
      <c r="D22" s="72" t="s">
        <v>140</v>
      </c>
      <c r="E22" s="72">
        <v>0.23</v>
      </c>
      <c r="F22" s="72" t="s">
        <v>385</v>
      </c>
      <c r="G22" s="3">
        <v>5000</v>
      </c>
      <c r="H22" s="72" t="s">
        <v>386</v>
      </c>
      <c r="I22" s="141"/>
      <c r="J22" s="4">
        <f>C22*E22*G22</f>
        <v>115000</v>
      </c>
    </row>
    <row r="23" spans="1:13" ht="22.5" customHeight="1">
      <c r="A23" s="434"/>
      <c r="B23" s="73" t="s">
        <v>336</v>
      </c>
      <c r="C23" s="393"/>
      <c r="D23" s="393"/>
      <c r="E23" s="393"/>
      <c r="F23" s="393"/>
      <c r="G23" s="393"/>
      <c r="H23" s="393"/>
      <c r="I23" s="141"/>
      <c r="J23" s="4">
        <f>SUM(J16,J20:J22)</f>
        <v>345300</v>
      </c>
      <c r="L23" s="42" t="s">
        <v>77</v>
      </c>
    </row>
    <row r="24" spans="1:13" ht="22.5" customHeight="1">
      <c r="A24" s="434" t="s">
        <v>352</v>
      </c>
      <c r="B24" s="432"/>
      <c r="C24" s="393" t="s">
        <v>353</v>
      </c>
      <c r="D24" s="393"/>
      <c r="E24" s="393"/>
      <c r="F24" s="393"/>
      <c r="G24" s="393"/>
      <c r="H24" s="393"/>
      <c r="I24" s="141"/>
      <c r="J24" s="6">
        <f>INT(J15*1.1)</f>
        <v>4737854</v>
      </c>
      <c r="L24" s="42" t="s">
        <v>78</v>
      </c>
      <c r="M24" s="43">
        <v>1.6000000000000001E-3</v>
      </c>
    </row>
    <row r="25" spans="1:13" ht="22.5" customHeight="1">
      <c r="A25" s="434" t="s">
        <v>354</v>
      </c>
      <c r="B25" s="432"/>
      <c r="C25" s="393" t="s">
        <v>355</v>
      </c>
      <c r="D25" s="393"/>
      <c r="E25" s="393"/>
      <c r="F25" s="393"/>
      <c r="G25" s="393"/>
      <c r="H25" s="393"/>
      <c r="I25" s="141"/>
      <c r="J25" s="6">
        <f>INT((J15+J24)*0.2)</f>
        <v>1808998</v>
      </c>
    </row>
    <row r="26" spans="1:13" ht="22.5" customHeight="1">
      <c r="A26" s="434" t="s">
        <v>356</v>
      </c>
      <c r="B26" s="432"/>
      <c r="C26" s="393" t="s">
        <v>357</v>
      </c>
      <c r="D26" s="393"/>
      <c r="E26" s="393"/>
      <c r="F26" s="393"/>
      <c r="G26" s="393"/>
      <c r="H26" s="393"/>
      <c r="I26" s="141"/>
      <c r="J26" s="6">
        <f>SUM(J15,J23,J24,J25)</f>
        <v>11199292</v>
      </c>
      <c r="L26" s="42" t="s">
        <v>358</v>
      </c>
    </row>
    <row r="27" spans="1:13" ht="22.5" customHeight="1">
      <c r="A27" s="425" t="s">
        <v>359</v>
      </c>
      <c r="B27" s="426"/>
      <c r="C27" s="442" t="s">
        <v>360</v>
      </c>
      <c r="D27" s="443"/>
      <c r="E27" s="444">
        <f>INT(J26*M15)</f>
        <v>91386</v>
      </c>
      <c r="F27" s="445"/>
      <c r="G27" s="40" t="s">
        <v>361</v>
      </c>
      <c r="H27" s="143">
        <f>INT(J26*M24)</f>
        <v>17918</v>
      </c>
      <c r="I27" s="141"/>
      <c r="J27" s="6">
        <f>SUM(E27,H27)</f>
        <v>109304</v>
      </c>
    </row>
    <row r="28" spans="1:13" ht="22.5" customHeight="1">
      <c r="A28" s="425" t="s">
        <v>362</v>
      </c>
      <c r="B28" s="426"/>
      <c r="C28" s="393" t="s">
        <v>73</v>
      </c>
      <c r="D28" s="393"/>
      <c r="E28" s="393"/>
      <c r="F28" s="393"/>
      <c r="G28" s="393"/>
      <c r="H28" s="393"/>
      <c r="I28" s="141"/>
      <c r="J28" s="6">
        <f>SUM(J26:J27)</f>
        <v>11308596</v>
      </c>
    </row>
    <row r="29" spans="1:13" ht="22.5" customHeight="1">
      <c r="A29" s="434" t="s">
        <v>363</v>
      </c>
      <c r="B29" s="432"/>
      <c r="C29" s="393" t="s">
        <v>364</v>
      </c>
      <c r="D29" s="393"/>
      <c r="E29" s="393"/>
      <c r="F29" s="393"/>
      <c r="G29" s="393"/>
      <c r="H29" s="393"/>
      <c r="I29" s="141"/>
      <c r="J29" s="6">
        <f>INT(J28*0.1)</f>
        <v>1130859</v>
      </c>
      <c r="L29" s="42" t="s">
        <v>365</v>
      </c>
      <c r="M29" s="42" t="s">
        <v>366</v>
      </c>
    </row>
    <row r="30" spans="1:13" ht="22.5" customHeight="1">
      <c r="A30" s="434" t="s">
        <v>367</v>
      </c>
      <c r="B30" s="432"/>
      <c r="C30" s="393"/>
      <c r="D30" s="393"/>
      <c r="E30" s="393"/>
      <c r="F30" s="393"/>
      <c r="G30" s="393"/>
      <c r="H30" s="393"/>
      <c r="I30" s="141"/>
      <c r="J30" s="6">
        <f>SUM(J28:J29)</f>
        <v>12439455</v>
      </c>
      <c r="M30" s="42" t="s">
        <v>368</v>
      </c>
    </row>
    <row r="31" spans="1:13" ht="22.5" customHeight="1" thickBot="1">
      <c r="A31" s="399" t="s">
        <v>369</v>
      </c>
      <c r="B31" s="400"/>
      <c r="C31" s="378" t="s">
        <v>370</v>
      </c>
      <c r="D31" s="378"/>
      <c r="E31" s="378"/>
      <c r="F31" s="378"/>
      <c r="G31" s="378"/>
      <c r="H31" s="378"/>
      <c r="I31" s="30"/>
      <c r="J31" s="7">
        <f>ROUNDDOWN(J30,-3)</f>
        <v>12439000</v>
      </c>
      <c r="M31" s="42" t="s">
        <v>371</v>
      </c>
    </row>
    <row r="32" spans="1:13" ht="6.75" customHeight="1">
      <c r="L32" s="42" t="s">
        <v>372</v>
      </c>
      <c r="M32" s="42" t="s">
        <v>373</v>
      </c>
    </row>
    <row r="33" spans="1:13" ht="17.25" thickBot="1">
      <c r="A33" s="42" t="s">
        <v>374</v>
      </c>
      <c r="M33" s="42" t="s">
        <v>375</v>
      </c>
    </row>
    <row r="34" spans="1:13" ht="17.25" thickBot="1">
      <c r="B34" s="33" t="s">
        <v>376</v>
      </c>
      <c r="C34" s="446" t="s">
        <v>377</v>
      </c>
      <c r="D34" s="446"/>
      <c r="E34" s="446"/>
      <c r="F34" s="446"/>
      <c r="G34" s="446"/>
      <c r="H34" s="34" t="s">
        <v>378</v>
      </c>
      <c r="M34" s="42" t="s">
        <v>379</v>
      </c>
    </row>
    <row r="35" spans="1:13" ht="17.25" thickTop="1">
      <c r="B35" s="159" t="s">
        <v>365</v>
      </c>
      <c r="C35" s="408" t="s">
        <v>380</v>
      </c>
      <c r="D35" s="408"/>
      <c r="E35" s="408"/>
      <c r="F35" s="408"/>
      <c r="G35" s="408"/>
      <c r="H35" s="160">
        <f>IF(C35=M29,-5%,IF(C35=M30,0,5%))</f>
        <v>0</v>
      </c>
    </row>
    <row r="36" spans="1:13">
      <c r="B36" s="108" t="s">
        <v>372</v>
      </c>
      <c r="C36" s="393" t="s">
        <v>381</v>
      </c>
      <c r="D36" s="393"/>
      <c r="E36" s="393"/>
      <c r="F36" s="393"/>
      <c r="G36" s="393"/>
      <c r="H36" s="35">
        <f>IF(C36=N32,0,IF(C36=M33,20%,J36*20%))</f>
        <v>0.2</v>
      </c>
      <c r="J36" s="161"/>
    </row>
    <row r="37" spans="1:13" ht="17.25" thickBot="1">
      <c r="B37" s="78" t="s">
        <v>382</v>
      </c>
      <c r="C37" s="378"/>
      <c r="D37" s="378"/>
      <c r="E37" s="378"/>
      <c r="F37" s="378"/>
      <c r="G37" s="378"/>
      <c r="H37" s="36">
        <f>SUM(H35:H36)</f>
        <v>0.2</v>
      </c>
    </row>
  </sheetData>
  <mergeCells count="38"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  <mergeCell ref="A7:A15"/>
    <mergeCell ref="A16:A23"/>
    <mergeCell ref="H20:H21"/>
    <mergeCell ref="C23:H23"/>
    <mergeCell ref="A29:B29"/>
    <mergeCell ref="C29:H29"/>
    <mergeCell ref="A24:B24"/>
    <mergeCell ref="C24:H24"/>
    <mergeCell ref="A25:B25"/>
    <mergeCell ref="C25:H25"/>
    <mergeCell ref="A26:B26"/>
    <mergeCell ref="C26:H26"/>
    <mergeCell ref="A27:B27"/>
    <mergeCell ref="C27:D27"/>
    <mergeCell ref="E27:F27"/>
    <mergeCell ref="A28:B28"/>
    <mergeCell ref="C28:H28"/>
    <mergeCell ref="C36:G36"/>
    <mergeCell ref="C37:G37"/>
    <mergeCell ref="A30:B30"/>
    <mergeCell ref="C30:H30"/>
    <mergeCell ref="A31:B31"/>
    <mergeCell ref="C31:H31"/>
    <mergeCell ref="C34:G34"/>
    <mergeCell ref="C35:G35"/>
  </mergeCells>
  <phoneticPr fontId="2" type="noConversion"/>
  <dataValidations count="2">
    <dataValidation type="list" allowBlank="1" showInputMessage="1" showErrorMessage="1" sqref="C36:G36">
      <formula1>$M$32:$M$34</formula1>
    </dataValidation>
    <dataValidation type="list" allowBlank="1" showInputMessage="1" showErrorMessage="1" sqref="C35:G35">
      <formula1>$M$29:$M$31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view="pageBreakPreview" zoomScaleNormal="100" zoomScaleSheetLayoutView="100" workbookViewId="0">
      <selection activeCell="C4" sqref="C4:D4"/>
    </sheetView>
  </sheetViews>
  <sheetFormatPr defaultRowHeight="16.5"/>
  <cols>
    <col min="1" max="1" width="4.625" customWidth="1"/>
    <col min="2" max="2" width="18.125" customWidth="1"/>
    <col min="3" max="3" width="7" customWidth="1"/>
    <col min="4" max="4" width="4" customWidth="1"/>
    <col min="5" max="5" width="6" customWidth="1"/>
    <col min="6" max="6" width="7.625" customWidth="1"/>
    <col min="7" max="7" width="10" customWidth="1"/>
    <col min="8" max="8" width="12.25" customWidth="1"/>
    <col min="9" max="9" width="5.75" customWidth="1"/>
    <col min="10" max="10" width="11.375" customWidth="1"/>
  </cols>
  <sheetData>
    <row r="1" spans="1:13" ht="29.25" customHeight="1">
      <c r="A1" s="418" t="s">
        <v>108</v>
      </c>
      <c r="B1" s="418"/>
      <c r="C1" s="418"/>
      <c r="D1" s="418"/>
      <c r="E1" s="418"/>
      <c r="F1" s="418"/>
      <c r="G1" s="418"/>
      <c r="H1" s="418"/>
      <c r="I1" s="418"/>
      <c r="J1" s="418"/>
    </row>
    <row r="2" spans="1:13" ht="17.25" thickBot="1"/>
    <row r="3" spans="1:13" ht="22.5" customHeight="1">
      <c r="A3" s="419" t="s">
        <v>0</v>
      </c>
      <c r="B3" s="420"/>
      <c r="C3" s="421">
        <v>200</v>
      </c>
      <c r="D3" s="422"/>
      <c r="E3" s="22" t="s">
        <v>6</v>
      </c>
      <c r="F3" s="39" t="s">
        <v>67</v>
      </c>
      <c r="G3" s="24" t="s">
        <v>109</v>
      </c>
      <c r="H3" s="24"/>
      <c r="I3" s="24"/>
      <c r="J3" s="25"/>
      <c r="K3" s="42"/>
      <c r="L3" s="42"/>
      <c r="M3" s="42"/>
    </row>
    <row r="4" spans="1:13" ht="22.5" customHeight="1">
      <c r="A4" s="434" t="s">
        <v>1</v>
      </c>
      <c r="B4" s="432" t="s">
        <v>2</v>
      </c>
      <c r="C4" s="432" t="s">
        <v>3</v>
      </c>
      <c r="D4" s="432"/>
      <c r="E4" s="432" t="s">
        <v>7</v>
      </c>
      <c r="F4" s="432"/>
      <c r="G4" s="432" t="s">
        <v>9</v>
      </c>
      <c r="H4" s="432"/>
      <c r="I4" s="437" t="s">
        <v>54</v>
      </c>
      <c r="J4" s="429" t="s">
        <v>12</v>
      </c>
      <c r="K4" s="42"/>
      <c r="L4" s="42"/>
      <c r="M4" s="42"/>
    </row>
    <row r="5" spans="1:13" ht="22.5" customHeight="1">
      <c r="A5" s="434"/>
      <c r="B5" s="432"/>
      <c r="C5" s="431" t="s">
        <v>4</v>
      </c>
      <c r="D5" s="431"/>
      <c r="E5" s="431" t="s">
        <v>8</v>
      </c>
      <c r="F5" s="431"/>
      <c r="G5" s="432" t="s">
        <v>10</v>
      </c>
      <c r="H5" s="432"/>
      <c r="I5" s="438"/>
      <c r="J5" s="429"/>
      <c r="K5" s="42"/>
      <c r="L5" s="42"/>
      <c r="M5" s="42"/>
    </row>
    <row r="6" spans="1:13" ht="22.5" customHeight="1" thickBot="1">
      <c r="A6" s="435"/>
      <c r="B6" s="436"/>
      <c r="C6" s="26"/>
      <c r="D6" s="27" t="s">
        <v>5</v>
      </c>
      <c r="E6" s="27"/>
      <c r="F6" s="27" t="s">
        <v>5</v>
      </c>
      <c r="G6" s="27"/>
      <c r="H6" s="27" t="s">
        <v>11</v>
      </c>
      <c r="I6" s="439"/>
      <c r="J6" s="430"/>
      <c r="K6" s="64"/>
      <c r="L6" s="42"/>
      <c r="M6" s="42"/>
    </row>
    <row r="7" spans="1:13" ht="22.5" customHeight="1" thickTop="1">
      <c r="A7" s="447" t="s">
        <v>19</v>
      </c>
      <c r="B7" s="19" t="s">
        <v>81</v>
      </c>
      <c r="C7" s="15">
        <f>C3</f>
        <v>200</v>
      </c>
      <c r="D7" s="16" t="s">
        <v>6</v>
      </c>
      <c r="E7" s="16">
        <v>0.01</v>
      </c>
      <c r="F7" s="16" t="s">
        <v>26</v>
      </c>
      <c r="G7" s="17">
        <v>232210</v>
      </c>
      <c r="H7" s="16" t="s">
        <v>53</v>
      </c>
      <c r="I7" s="37"/>
      <c r="J7" s="18">
        <f>INT((C7*E7*G7)+(C7*E7*G7*I7))</f>
        <v>464420</v>
      </c>
      <c r="K7" t="s">
        <v>95</v>
      </c>
    </row>
    <row r="8" spans="1:13" ht="22.5" customHeight="1">
      <c r="A8" s="448"/>
      <c r="B8" s="20" t="s">
        <v>80</v>
      </c>
      <c r="C8" s="46">
        <v>1</v>
      </c>
      <c r="D8" s="46" t="s">
        <v>85</v>
      </c>
      <c r="E8" s="50">
        <v>1</v>
      </c>
      <c r="F8" s="46" t="s">
        <v>97</v>
      </c>
      <c r="G8" s="3">
        <f>G7</f>
        <v>232210</v>
      </c>
      <c r="H8" s="46" t="s">
        <v>86</v>
      </c>
      <c r="I8" s="46"/>
      <c r="J8" s="4">
        <f>INT(C8*E8*G8)</f>
        <v>232210</v>
      </c>
      <c r="K8" s="42" t="s">
        <v>110</v>
      </c>
    </row>
    <row r="9" spans="1:13" ht="22.5" customHeight="1">
      <c r="A9" s="448"/>
      <c r="B9" s="20" t="s">
        <v>82</v>
      </c>
      <c r="C9" s="1">
        <f>C3</f>
        <v>200</v>
      </c>
      <c r="D9" s="2" t="s">
        <v>6</v>
      </c>
      <c r="E9" s="2">
        <v>0.01</v>
      </c>
      <c r="F9" s="2" t="s">
        <v>26</v>
      </c>
      <c r="G9" s="3">
        <f>G7</f>
        <v>232210</v>
      </c>
      <c r="H9" s="2" t="s">
        <v>66</v>
      </c>
      <c r="I9" s="38"/>
      <c r="J9" s="18">
        <f>INT((C9*E9*G9)+(C9*E9*G9*I9))</f>
        <v>464420</v>
      </c>
    </row>
    <row r="10" spans="1:13" ht="22.5" customHeight="1">
      <c r="A10" s="448"/>
      <c r="B10" s="51" t="s">
        <v>83</v>
      </c>
      <c r="C10" s="57"/>
      <c r="D10" s="58"/>
      <c r="E10" s="58"/>
      <c r="F10" s="58"/>
      <c r="G10" s="59"/>
      <c r="H10" s="58"/>
      <c r="I10" s="60"/>
      <c r="J10" s="52"/>
    </row>
    <row r="11" spans="1:13" ht="22.5" customHeight="1">
      <c r="A11" s="448"/>
      <c r="B11" s="65" t="s">
        <v>98</v>
      </c>
      <c r="C11" s="53">
        <v>0</v>
      </c>
      <c r="D11" s="54" t="s">
        <v>6</v>
      </c>
      <c r="E11" s="54">
        <v>0.03</v>
      </c>
      <c r="F11" s="54" t="s">
        <v>26</v>
      </c>
      <c r="G11" s="55">
        <f>G7</f>
        <v>232210</v>
      </c>
      <c r="H11" s="54" t="s">
        <v>66</v>
      </c>
      <c r="I11" s="61">
        <f>H35</f>
        <v>0</v>
      </c>
      <c r="J11" s="56">
        <f>INT((C11*E11*G11)+(C11*E11*G11*I11))</f>
        <v>0</v>
      </c>
      <c r="L11" s="41" t="s">
        <v>74</v>
      </c>
    </row>
    <row r="12" spans="1:13" s="42" customFormat="1" ht="22.5" customHeight="1">
      <c r="A12" s="448"/>
      <c r="B12" s="65" t="s">
        <v>99</v>
      </c>
      <c r="C12" s="53">
        <v>0</v>
      </c>
      <c r="D12" s="54" t="s">
        <v>102</v>
      </c>
      <c r="E12" s="54">
        <v>0.03</v>
      </c>
      <c r="F12" s="54" t="s">
        <v>103</v>
      </c>
      <c r="G12" s="55">
        <v>164798</v>
      </c>
      <c r="H12" s="54" t="s">
        <v>28</v>
      </c>
      <c r="I12" s="61">
        <f>H34</f>
        <v>0</v>
      </c>
      <c r="J12" s="56">
        <f t="shared" ref="J12:J13" si="0">INT((C12*E12*G12)+(C12*E12*G12*I12))</f>
        <v>0</v>
      </c>
    </row>
    <row r="13" spans="1:13" s="42" customFormat="1" ht="22.5" customHeight="1">
      <c r="A13" s="448"/>
      <c r="B13" s="65" t="s">
        <v>100</v>
      </c>
      <c r="C13" s="53">
        <f>C3</f>
        <v>200</v>
      </c>
      <c r="D13" s="54" t="s">
        <v>102</v>
      </c>
      <c r="E13" s="54">
        <v>0.03</v>
      </c>
      <c r="F13" s="54" t="s">
        <v>103</v>
      </c>
      <c r="G13" s="55">
        <f>G7</f>
        <v>232210</v>
      </c>
      <c r="H13" s="54" t="s">
        <v>104</v>
      </c>
      <c r="I13" s="61"/>
      <c r="J13" s="56">
        <f t="shared" si="0"/>
        <v>1393260</v>
      </c>
    </row>
    <row r="14" spans="1:13" ht="22.5" customHeight="1">
      <c r="A14" s="448"/>
      <c r="B14" s="66" t="s">
        <v>101</v>
      </c>
      <c r="C14" s="15">
        <f>C3</f>
        <v>200</v>
      </c>
      <c r="D14" s="47" t="s">
        <v>87</v>
      </c>
      <c r="E14" s="47">
        <v>0.03</v>
      </c>
      <c r="F14" s="47" t="s">
        <v>88</v>
      </c>
      <c r="G14" s="62">
        <f>G12</f>
        <v>164798</v>
      </c>
      <c r="H14" s="47" t="s">
        <v>89</v>
      </c>
      <c r="I14" s="63"/>
      <c r="J14" s="56">
        <f>INT((C14*E14*G14)+(C14*E14*G14*I14))</f>
        <v>988788</v>
      </c>
      <c r="L14" s="41" t="s">
        <v>75</v>
      </c>
      <c r="M14" s="44">
        <v>8.3300000000000006E-3</v>
      </c>
    </row>
    <row r="15" spans="1:13" ht="22.5" customHeight="1">
      <c r="A15" s="448"/>
      <c r="B15" s="51" t="s">
        <v>84</v>
      </c>
      <c r="C15" s="58"/>
      <c r="D15" s="58"/>
      <c r="E15" s="58"/>
      <c r="F15" s="58"/>
      <c r="G15" s="59"/>
      <c r="H15" s="58"/>
      <c r="I15" s="58"/>
      <c r="J15" s="52"/>
      <c r="L15" s="41" t="s">
        <v>76</v>
      </c>
      <c r="M15" s="42" t="s">
        <v>79</v>
      </c>
    </row>
    <row r="16" spans="1:13" s="42" customFormat="1" ht="22.5" customHeight="1">
      <c r="A16" s="448"/>
      <c r="B16" s="65" t="s">
        <v>105</v>
      </c>
      <c r="C16" s="53">
        <v>0</v>
      </c>
      <c r="D16" s="54" t="s">
        <v>6</v>
      </c>
      <c r="E16" s="54">
        <v>0.04</v>
      </c>
      <c r="F16" s="54" t="s">
        <v>90</v>
      </c>
      <c r="G16" s="55">
        <f>G7</f>
        <v>232210</v>
      </c>
      <c r="H16" s="54" t="s">
        <v>86</v>
      </c>
      <c r="I16" s="61">
        <f>H35</f>
        <v>0</v>
      </c>
      <c r="J16" s="56">
        <f>INT((C16*E16*G16)+(C16*E16*G16*I16))</f>
        <v>0</v>
      </c>
    </row>
    <row r="17" spans="1:13" s="42" customFormat="1" ht="22.5" customHeight="1">
      <c r="A17" s="448"/>
      <c r="B17" s="65" t="s">
        <v>99</v>
      </c>
      <c r="C17" s="53">
        <v>0</v>
      </c>
      <c r="D17" s="54" t="s">
        <v>102</v>
      </c>
      <c r="E17" s="54">
        <v>0.04</v>
      </c>
      <c r="F17" s="54" t="s">
        <v>107</v>
      </c>
      <c r="G17" s="55">
        <f>G12</f>
        <v>164798</v>
      </c>
      <c r="H17" s="54" t="s">
        <v>28</v>
      </c>
      <c r="I17" s="61">
        <f>H34</f>
        <v>0</v>
      </c>
      <c r="J17" s="56">
        <f t="shared" ref="J17:J18" si="1">INT((C17*E17*G17)+(C17*E17*G17*I17))</f>
        <v>0</v>
      </c>
    </row>
    <row r="18" spans="1:13" s="42" customFormat="1" ht="22.5" customHeight="1">
      <c r="A18" s="448"/>
      <c r="B18" s="65" t="s">
        <v>100</v>
      </c>
      <c r="C18" s="53">
        <f>C3</f>
        <v>200</v>
      </c>
      <c r="D18" s="54" t="s">
        <v>102</v>
      </c>
      <c r="E18" s="54">
        <v>0.04</v>
      </c>
      <c r="F18" s="54" t="s">
        <v>107</v>
      </c>
      <c r="G18" s="55">
        <f>G7</f>
        <v>232210</v>
      </c>
      <c r="H18" s="54" t="s">
        <v>104</v>
      </c>
      <c r="I18" s="61"/>
      <c r="J18" s="56">
        <f t="shared" si="1"/>
        <v>1857680</v>
      </c>
    </row>
    <row r="19" spans="1:13" s="42" customFormat="1" ht="22.5" customHeight="1">
      <c r="A19" s="448"/>
      <c r="B19" s="67" t="s">
        <v>106</v>
      </c>
      <c r="C19" s="15">
        <f>C3</f>
        <v>200</v>
      </c>
      <c r="D19" s="47" t="s">
        <v>87</v>
      </c>
      <c r="E19" s="47">
        <v>0.04</v>
      </c>
      <c r="F19" s="47" t="s">
        <v>90</v>
      </c>
      <c r="G19" s="17">
        <f>G12</f>
        <v>164798</v>
      </c>
      <c r="H19" s="47" t="s">
        <v>91</v>
      </c>
      <c r="I19" s="63"/>
      <c r="J19" s="56">
        <f>INT((C19*E19*G19)+(C19*E19*G19*I19))</f>
        <v>1318384</v>
      </c>
    </row>
    <row r="20" spans="1:13" s="42" customFormat="1" ht="22.5" customHeight="1">
      <c r="A20" s="448"/>
      <c r="B20" s="67" t="s">
        <v>111</v>
      </c>
      <c r="C20" s="15">
        <f>C3</f>
        <v>200</v>
      </c>
      <c r="D20" s="47" t="s">
        <v>87</v>
      </c>
      <c r="E20" s="47">
        <v>0.02</v>
      </c>
      <c r="F20" s="47" t="s">
        <v>112</v>
      </c>
      <c r="G20" s="17">
        <f>G7</f>
        <v>232210</v>
      </c>
      <c r="H20" s="47" t="s">
        <v>113</v>
      </c>
      <c r="I20" s="37"/>
      <c r="J20" s="56">
        <f>C20*E20*G20</f>
        <v>928840</v>
      </c>
    </row>
    <row r="21" spans="1:13" ht="22.5" customHeight="1">
      <c r="A21" s="433"/>
      <c r="B21" s="21" t="s">
        <v>18</v>
      </c>
      <c r="C21" s="393"/>
      <c r="D21" s="393"/>
      <c r="E21" s="393"/>
      <c r="F21" s="393"/>
      <c r="G21" s="393"/>
      <c r="H21" s="393"/>
      <c r="I21" s="8"/>
      <c r="J21" s="4">
        <f>SUM(J7:J20)</f>
        <v>7648002</v>
      </c>
      <c r="L21" s="41" t="s">
        <v>77</v>
      </c>
      <c r="M21" s="42"/>
    </row>
    <row r="22" spans="1:13" s="42" customFormat="1" ht="33">
      <c r="A22" s="188" t="s">
        <v>402</v>
      </c>
      <c r="B22" s="20" t="s">
        <v>403</v>
      </c>
      <c r="C22" s="187">
        <v>1</v>
      </c>
      <c r="D22" s="187" t="s">
        <v>32</v>
      </c>
      <c r="E22" s="187">
        <v>2</v>
      </c>
      <c r="F22" s="187" t="s">
        <v>33</v>
      </c>
      <c r="G22" s="5">
        <v>20000</v>
      </c>
      <c r="H22" s="187" t="s">
        <v>404</v>
      </c>
      <c r="I22" s="187"/>
      <c r="J22" s="4">
        <f>INT(C22*E22*G22)</f>
        <v>40000</v>
      </c>
    </row>
    <row r="23" spans="1:13" ht="22.5" customHeight="1">
      <c r="A23" s="434" t="s">
        <v>21</v>
      </c>
      <c r="B23" s="432"/>
      <c r="C23" s="393" t="s">
        <v>35</v>
      </c>
      <c r="D23" s="393"/>
      <c r="E23" s="393"/>
      <c r="F23" s="393"/>
      <c r="G23" s="393"/>
      <c r="H23" s="393"/>
      <c r="I23" s="8"/>
      <c r="J23" s="6">
        <f>INT(J21*1.1)</f>
        <v>8412802</v>
      </c>
      <c r="L23" s="41" t="s">
        <v>78</v>
      </c>
      <c r="M23" s="43">
        <v>1.6000000000000001E-3</v>
      </c>
    </row>
    <row r="24" spans="1:13" ht="22.5" customHeight="1">
      <c r="A24" s="434" t="s">
        <v>22</v>
      </c>
      <c r="B24" s="432"/>
      <c r="C24" s="393" t="s">
        <v>36</v>
      </c>
      <c r="D24" s="393"/>
      <c r="E24" s="393"/>
      <c r="F24" s="393"/>
      <c r="G24" s="393"/>
      <c r="H24" s="393"/>
      <c r="I24" s="8"/>
      <c r="J24" s="6">
        <f>INT((J21+J23)*0.2)</f>
        <v>3212160</v>
      </c>
    </row>
    <row r="25" spans="1:13" ht="22.5" customHeight="1">
      <c r="A25" s="434" t="s">
        <v>68</v>
      </c>
      <c r="B25" s="432"/>
      <c r="C25" s="393" t="s">
        <v>285</v>
      </c>
      <c r="D25" s="393"/>
      <c r="E25" s="393"/>
      <c r="F25" s="393"/>
      <c r="G25" s="393"/>
      <c r="H25" s="393"/>
      <c r="I25" s="8"/>
      <c r="J25" s="6">
        <f>SUM(J21:J24)</f>
        <v>19312964</v>
      </c>
      <c r="L25" t="s">
        <v>61</v>
      </c>
    </row>
    <row r="26" spans="1:13" ht="22.5" customHeight="1">
      <c r="A26" s="425" t="s">
        <v>69</v>
      </c>
      <c r="B26" s="426"/>
      <c r="C26" s="442" t="s">
        <v>71</v>
      </c>
      <c r="D26" s="443"/>
      <c r="E26" s="444">
        <f>INT(J25*M14)</f>
        <v>160876</v>
      </c>
      <c r="F26" s="445"/>
      <c r="G26" s="40" t="s">
        <v>72</v>
      </c>
      <c r="H26" s="45">
        <f>INT(J25*M23)</f>
        <v>30900</v>
      </c>
      <c r="I26" s="8"/>
      <c r="J26" s="6">
        <f>SUM(E26,H26)</f>
        <v>191776</v>
      </c>
    </row>
    <row r="27" spans="1:13" ht="22.5" customHeight="1">
      <c r="A27" s="425" t="s">
        <v>70</v>
      </c>
      <c r="B27" s="426"/>
      <c r="C27" s="393" t="s">
        <v>73</v>
      </c>
      <c r="D27" s="393"/>
      <c r="E27" s="393"/>
      <c r="F27" s="393"/>
      <c r="G27" s="393"/>
      <c r="H27" s="393"/>
      <c r="I27" s="8"/>
      <c r="J27" s="6">
        <f>SUM(J25:J26)</f>
        <v>19504740</v>
      </c>
    </row>
    <row r="28" spans="1:13" ht="22.5" customHeight="1">
      <c r="A28" s="434" t="s">
        <v>24</v>
      </c>
      <c r="B28" s="432"/>
      <c r="C28" s="393" t="s">
        <v>37</v>
      </c>
      <c r="D28" s="393"/>
      <c r="E28" s="393"/>
      <c r="F28" s="393"/>
      <c r="G28" s="393"/>
      <c r="H28" s="393"/>
      <c r="I28" s="8"/>
      <c r="J28" s="6">
        <f>INT(J27*0.1)</f>
        <v>1950474</v>
      </c>
      <c r="L28" t="s">
        <v>57</v>
      </c>
      <c r="M28" t="s">
        <v>62</v>
      </c>
    </row>
    <row r="29" spans="1:13" ht="22.5" customHeight="1">
      <c r="A29" s="434" t="s">
        <v>25</v>
      </c>
      <c r="B29" s="432"/>
      <c r="C29" s="393"/>
      <c r="D29" s="393"/>
      <c r="E29" s="393"/>
      <c r="F29" s="393"/>
      <c r="G29" s="393"/>
      <c r="H29" s="393"/>
      <c r="I29" s="8"/>
      <c r="J29" s="6">
        <f>SUM(J27:J28)</f>
        <v>21455214</v>
      </c>
      <c r="M29" t="s">
        <v>63</v>
      </c>
    </row>
    <row r="30" spans="1:13" ht="22.5" customHeight="1" thickBot="1">
      <c r="A30" s="399" t="s">
        <v>38</v>
      </c>
      <c r="B30" s="400"/>
      <c r="C30" s="378" t="s">
        <v>39</v>
      </c>
      <c r="D30" s="378"/>
      <c r="E30" s="378"/>
      <c r="F30" s="378"/>
      <c r="G30" s="378"/>
      <c r="H30" s="378"/>
      <c r="I30" s="30"/>
      <c r="J30" s="7">
        <f>ROUNDDOWN(J29,-3)</f>
        <v>21455000</v>
      </c>
      <c r="M30" t="s">
        <v>64</v>
      </c>
    </row>
    <row r="31" spans="1:13">
      <c r="L31" t="s">
        <v>58</v>
      </c>
      <c r="M31" t="s">
        <v>92</v>
      </c>
    </row>
    <row r="32" spans="1:13" ht="17.25" thickBot="1">
      <c r="A32" t="s">
        <v>55</v>
      </c>
      <c r="M32" t="s">
        <v>93</v>
      </c>
    </row>
    <row r="33" spans="2:13" ht="17.25" thickBot="1">
      <c r="B33" s="33" t="s">
        <v>56</v>
      </c>
      <c r="C33" s="446" t="s">
        <v>60</v>
      </c>
      <c r="D33" s="446"/>
      <c r="E33" s="446"/>
      <c r="F33" s="446"/>
      <c r="G33" s="446"/>
      <c r="H33" s="34" t="s">
        <v>65</v>
      </c>
      <c r="J33" s="48"/>
      <c r="M33" t="s">
        <v>94</v>
      </c>
    </row>
    <row r="34" spans="2:13" ht="17.25" thickTop="1">
      <c r="B34" s="31" t="s">
        <v>58</v>
      </c>
      <c r="C34" s="393" t="s">
        <v>114</v>
      </c>
      <c r="D34" s="393"/>
      <c r="E34" s="393"/>
      <c r="F34" s="393"/>
      <c r="G34" s="393"/>
      <c r="H34" s="35">
        <f>IF(C34=M31,0,IF(C34=M32,20%,J34*20%))</f>
        <v>0</v>
      </c>
      <c r="J34" s="49"/>
    </row>
    <row r="35" spans="2:13" ht="17.25" thickBot="1">
      <c r="B35" s="32" t="s">
        <v>59</v>
      </c>
      <c r="C35" s="378"/>
      <c r="D35" s="378"/>
      <c r="E35" s="378"/>
      <c r="F35" s="378"/>
      <c r="G35" s="378"/>
      <c r="H35" s="36">
        <f>SUM(H34:H34)</f>
        <v>0</v>
      </c>
    </row>
  </sheetData>
  <mergeCells count="35">
    <mergeCell ref="I4:I6"/>
    <mergeCell ref="C35:G35"/>
    <mergeCell ref="C34:G34"/>
    <mergeCell ref="C33:G33"/>
    <mergeCell ref="C26:D26"/>
    <mergeCell ref="E26:F26"/>
    <mergeCell ref="C27:H27"/>
    <mergeCell ref="C25:H25"/>
    <mergeCell ref="C24:H24"/>
    <mergeCell ref="E4:F4"/>
    <mergeCell ref="E5:F5"/>
    <mergeCell ref="A27:B27"/>
    <mergeCell ref="A26:B26"/>
    <mergeCell ref="A7:A21"/>
    <mergeCell ref="A30:B30"/>
    <mergeCell ref="C30:H30"/>
    <mergeCell ref="A29:B29"/>
    <mergeCell ref="A28:B28"/>
    <mergeCell ref="A25:B25"/>
    <mergeCell ref="A1:J1"/>
    <mergeCell ref="C23:H23"/>
    <mergeCell ref="C21:H21"/>
    <mergeCell ref="C29:H29"/>
    <mergeCell ref="C28:H28"/>
    <mergeCell ref="J4:J6"/>
    <mergeCell ref="G4:H4"/>
    <mergeCell ref="G5:H5"/>
    <mergeCell ref="A23:B23"/>
    <mergeCell ref="A3:B3"/>
    <mergeCell ref="A4:A6"/>
    <mergeCell ref="B4:B6"/>
    <mergeCell ref="C4:D4"/>
    <mergeCell ref="C5:D5"/>
    <mergeCell ref="C3:D3"/>
    <mergeCell ref="A24:B24"/>
  </mergeCells>
  <phoneticPr fontId="2" type="noConversion"/>
  <dataValidations count="1">
    <dataValidation type="list" allowBlank="1" showInputMessage="1" showErrorMessage="1" sqref="C34:G34">
      <formula1>$M$31:$M$33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F16" sqref="F16"/>
    </sheetView>
  </sheetViews>
  <sheetFormatPr defaultRowHeight="16.5"/>
  <cols>
    <col min="1" max="1" width="6" customWidth="1"/>
    <col min="2" max="2" width="14.875" customWidth="1"/>
    <col min="3" max="3" width="8.375" customWidth="1"/>
    <col min="4" max="4" width="5.25" customWidth="1"/>
    <col min="5" max="5" width="6.625" customWidth="1"/>
    <col min="6" max="6" width="8.5" customWidth="1"/>
    <col min="7" max="7" width="10.375" customWidth="1"/>
    <col min="8" max="8" width="12.875" customWidth="1"/>
    <col min="9" max="9" width="12.125" customWidth="1"/>
  </cols>
  <sheetData>
    <row r="1" spans="1:9" ht="29.25" customHeight="1">
      <c r="A1" s="418" t="s">
        <v>40</v>
      </c>
      <c r="B1" s="418"/>
      <c r="C1" s="418"/>
      <c r="D1" s="418"/>
      <c r="E1" s="418"/>
      <c r="F1" s="418"/>
      <c r="G1" s="418"/>
      <c r="H1" s="418"/>
      <c r="I1" s="418"/>
    </row>
    <row r="2" spans="1:9" ht="17.25" thickBot="1"/>
    <row r="3" spans="1:9" ht="22.5" customHeight="1">
      <c r="A3" s="419" t="s">
        <v>0</v>
      </c>
      <c r="B3" s="420"/>
      <c r="C3" s="421">
        <v>8</v>
      </c>
      <c r="D3" s="422"/>
      <c r="E3" s="22" t="s">
        <v>6</v>
      </c>
      <c r="F3" s="23"/>
      <c r="G3" s="24"/>
      <c r="H3" s="24"/>
      <c r="I3" s="25"/>
    </row>
    <row r="4" spans="1:9" ht="22.5" customHeight="1">
      <c r="A4" s="434" t="s">
        <v>1</v>
      </c>
      <c r="B4" s="432" t="s">
        <v>2</v>
      </c>
      <c r="C4" s="432" t="s">
        <v>3</v>
      </c>
      <c r="D4" s="432"/>
      <c r="E4" s="432" t="s">
        <v>7</v>
      </c>
      <c r="F4" s="432"/>
      <c r="G4" s="432" t="s">
        <v>9</v>
      </c>
      <c r="H4" s="432"/>
      <c r="I4" s="429" t="s">
        <v>12</v>
      </c>
    </row>
    <row r="5" spans="1:9" ht="22.5" customHeight="1">
      <c r="A5" s="434"/>
      <c r="B5" s="432"/>
      <c r="C5" s="432" t="s">
        <v>4</v>
      </c>
      <c r="D5" s="432"/>
      <c r="E5" s="432" t="s">
        <v>8</v>
      </c>
      <c r="F5" s="432"/>
      <c r="G5" s="432" t="s">
        <v>10</v>
      </c>
      <c r="H5" s="432"/>
      <c r="I5" s="429"/>
    </row>
    <row r="6" spans="1:9" ht="22.5" customHeight="1" thickBot="1">
      <c r="A6" s="435"/>
      <c r="B6" s="436"/>
      <c r="C6" s="26"/>
      <c r="D6" s="27" t="s">
        <v>5</v>
      </c>
      <c r="E6" s="27"/>
      <c r="F6" s="27" t="s">
        <v>5</v>
      </c>
      <c r="G6" s="27"/>
      <c r="H6" s="27" t="s">
        <v>11</v>
      </c>
      <c r="I6" s="430"/>
    </row>
    <row r="7" spans="1:9" ht="22.5" customHeight="1" thickTop="1">
      <c r="A7" s="433" t="s">
        <v>19</v>
      </c>
      <c r="B7" s="19" t="s">
        <v>41</v>
      </c>
      <c r="C7" s="28">
        <v>0</v>
      </c>
      <c r="D7" s="16" t="s">
        <v>42</v>
      </c>
      <c r="E7" s="16">
        <v>1</v>
      </c>
      <c r="F7" s="16" t="s">
        <v>43</v>
      </c>
      <c r="G7" s="17">
        <v>249900</v>
      </c>
      <c r="H7" s="16" t="s">
        <v>31</v>
      </c>
      <c r="I7" s="18">
        <f>INT(C7*E7*G7)</f>
        <v>0</v>
      </c>
    </row>
    <row r="8" spans="1:9" ht="22.5" customHeight="1">
      <c r="A8" s="434"/>
      <c r="B8" s="20" t="s">
        <v>44</v>
      </c>
      <c r="C8" s="1">
        <f>C3</f>
        <v>8</v>
      </c>
      <c r="D8" s="2" t="s">
        <v>6</v>
      </c>
      <c r="E8" s="2">
        <v>0.25</v>
      </c>
      <c r="F8" s="2" t="s">
        <v>26</v>
      </c>
      <c r="G8" s="3">
        <v>249900</v>
      </c>
      <c r="H8" s="2" t="s">
        <v>31</v>
      </c>
      <c r="I8" s="4">
        <f t="shared" ref="I8:I15" si="0">INT(C8*E8*G8)</f>
        <v>499800</v>
      </c>
    </row>
    <row r="9" spans="1:9" ht="22.5" customHeight="1">
      <c r="A9" s="434"/>
      <c r="B9" s="20" t="s">
        <v>45</v>
      </c>
      <c r="C9" s="8"/>
      <c r="D9" s="9"/>
      <c r="E9" s="9"/>
      <c r="F9" s="9"/>
      <c r="G9" s="10"/>
      <c r="H9" s="9"/>
      <c r="I9" s="11"/>
    </row>
    <row r="10" spans="1:9" ht="22.5" customHeight="1">
      <c r="A10" s="434"/>
      <c r="B10" s="20" t="s">
        <v>14</v>
      </c>
      <c r="C10" s="1">
        <f>C3</f>
        <v>8</v>
      </c>
      <c r="D10" s="2" t="s">
        <v>6</v>
      </c>
      <c r="E10" s="2">
        <v>0.2</v>
      </c>
      <c r="F10" s="2" t="s">
        <v>26</v>
      </c>
      <c r="G10" s="3">
        <v>249900</v>
      </c>
      <c r="H10" s="2" t="s">
        <v>27</v>
      </c>
      <c r="I10" s="4">
        <f t="shared" si="0"/>
        <v>399840</v>
      </c>
    </row>
    <row r="11" spans="1:9" ht="22.5" customHeight="1">
      <c r="A11" s="434"/>
      <c r="B11" s="20" t="s">
        <v>13</v>
      </c>
      <c r="C11" s="1">
        <f>C3</f>
        <v>8</v>
      </c>
      <c r="D11" s="2" t="s">
        <v>6</v>
      </c>
      <c r="E11" s="2">
        <v>0.2</v>
      </c>
      <c r="F11" s="2" t="s">
        <v>26</v>
      </c>
      <c r="G11" s="3">
        <v>140862</v>
      </c>
      <c r="H11" s="2" t="s">
        <v>28</v>
      </c>
      <c r="I11" s="4">
        <f t="shared" si="0"/>
        <v>225379</v>
      </c>
    </row>
    <row r="12" spans="1:9" ht="22.5" customHeight="1">
      <c r="A12" s="434"/>
      <c r="B12" s="20" t="s">
        <v>47</v>
      </c>
      <c r="C12" s="29">
        <v>1</v>
      </c>
      <c r="D12" s="2" t="s">
        <v>42</v>
      </c>
      <c r="E12" s="2">
        <v>1</v>
      </c>
      <c r="F12" s="2" t="s">
        <v>48</v>
      </c>
      <c r="G12" s="3">
        <v>249900</v>
      </c>
      <c r="H12" s="2" t="s">
        <v>31</v>
      </c>
      <c r="I12" s="4">
        <f>INT(C12*E12*G12)</f>
        <v>249900</v>
      </c>
    </row>
    <row r="13" spans="1:9" ht="22.5" customHeight="1">
      <c r="A13" s="434"/>
      <c r="B13" s="20" t="s">
        <v>50</v>
      </c>
      <c r="C13" s="1">
        <f>C3</f>
        <v>8</v>
      </c>
      <c r="D13" s="2" t="s">
        <v>6</v>
      </c>
      <c r="E13" s="2">
        <v>0.05</v>
      </c>
      <c r="F13" s="2" t="s">
        <v>26</v>
      </c>
      <c r="G13" s="3">
        <v>249900</v>
      </c>
      <c r="H13" s="2" t="s">
        <v>30</v>
      </c>
      <c r="I13" s="4">
        <f>INT(C13*E13*G13)</f>
        <v>99960</v>
      </c>
    </row>
    <row r="14" spans="1:9" ht="22.5" customHeight="1">
      <c r="A14" s="434"/>
      <c r="B14" s="21" t="s">
        <v>15</v>
      </c>
      <c r="C14" s="12"/>
      <c r="D14" s="9"/>
      <c r="E14" s="13"/>
      <c r="F14" s="9"/>
      <c r="G14" s="13"/>
      <c r="H14" s="14"/>
      <c r="I14" s="4">
        <f>SUM(I7:I13)</f>
        <v>1474879</v>
      </c>
    </row>
    <row r="15" spans="1:9" ht="22.5" customHeight="1">
      <c r="A15" s="440" t="s">
        <v>20</v>
      </c>
      <c r="B15" s="20" t="s">
        <v>16</v>
      </c>
      <c r="C15" s="2">
        <v>1</v>
      </c>
      <c r="D15" s="2" t="s">
        <v>32</v>
      </c>
      <c r="E15" s="2">
        <v>3</v>
      </c>
      <c r="F15" s="2" t="s">
        <v>33</v>
      </c>
      <c r="G15" s="5">
        <v>10000</v>
      </c>
      <c r="H15" s="2" t="s">
        <v>34</v>
      </c>
      <c r="I15" s="4">
        <f t="shared" si="0"/>
        <v>30000</v>
      </c>
    </row>
    <row r="16" spans="1:9" ht="22.5" customHeight="1">
      <c r="A16" s="434"/>
      <c r="B16" s="20" t="s">
        <v>17</v>
      </c>
      <c r="C16" s="12"/>
      <c r="D16" s="13"/>
      <c r="E16" s="13"/>
      <c r="F16" s="13"/>
      <c r="G16" s="13"/>
      <c r="H16" s="13"/>
      <c r="I16" s="11"/>
    </row>
    <row r="17" spans="1:9" ht="22.5" customHeight="1">
      <c r="A17" s="434"/>
      <c r="B17" s="21" t="s">
        <v>18</v>
      </c>
      <c r="C17" s="393"/>
      <c r="D17" s="393"/>
      <c r="E17" s="393"/>
      <c r="F17" s="393"/>
      <c r="G17" s="393"/>
      <c r="H17" s="393"/>
      <c r="I17" s="4">
        <f>SUM(I15:I16)</f>
        <v>30000</v>
      </c>
    </row>
    <row r="18" spans="1:9" ht="22.5" customHeight="1">
      <c r="A18" s="425" t="s">
        <v>51</v>
      </c>
      <c r="B18" s="426"/>
      <c r="C18" s="29">
        <v>1100</v>
      </c>
      <c r="D18" s="2" t="s">
        <v>46</v>
      </c>
      <c r="E18" s="2">
        <v>150</v>
      </c>
      <c r="F18" s="2" t="s">
        <v>49</v>
      </c>
      <c r="G18" s="3">
        <v>140862</v>
      </c>
      <c r="H18" s="2" t="s">
        <v>29</v>
      </c>
      <c r="I18" s="4">
        <f>INT(C18/E18*G18)</f>
        <v>1032988</v>
      </c>
    </row>
    <row r="19" spans="1:9" ht="22.5" customHeight="1">
      <c r="A19" s="434" t="s">
        <v>21</v>
      </c>
      <c r="B19" s="432"/>
      <c r="C19" s="393" t="s">
        <v>35</v>
      </c>
      <c r="D19" s="393"/>
      <c r="E19" s="393"/>
      <c r="F19" s="393"/>
      <c r="G19" s="393"/>
      <c r="H19" s="393"/>
      <c r="I19" s="6">
        <f>INT(I14*1.1)</f>
        <v>1622366</v>
      </c>
    </row>
    <row r="20" spans="1:9" ht="22.5" customHeight="1">
      <c r="A20" s="434" t="s">
        <v>22</v>
      </c>
      <c r="B20" s="432"/>
      <c r="C20" s="393" t="s">
        <v>36</v>
      </c>
      <c r="D20" s="393"/>
      <c r="E20" s="393"/>
      <c r="F20" s="393"/>
      <c r="G20" s="393"/>
      <c r="H20" s="393"/>
      <c r="I20" s="6">
        <f>INT((I14+I19)*0.2)</f>
        <v>619449</v>
      </c>
    </row>
    <row r="21" spans="1:9" ht="22.5" customHeight="1">
      <c r="A21" s="434" t="s">
        <v>23</v>
      </c>
      <c r="B21" s="432"/>
      <c r="C21" s="393" t="s">
        <v>52</v>
      </c>
      <c r="D21" s="393"/>
      <c r="E21" s="393"/>
      <c r="F21" s="393"/>
      <c r="G21" s="393"/>
      <c r="H21" s="393"/>
      <c r="I21" s="6">
        <f>SUM(I14,I17,I19,I20,I18)</f>
        <v>4779682</v>
      </c>
    </row>
    <row r="22" spans="1:9" ht="22.5" customHeight="1">
      <c r="A22" s="434" t="s">
        <v>24</v>
      </c>
      <c r="B22" s="432"/>
      <c r="C22" s="393" t="s">
        <v>37</v>
      </c>
      <c r="D22" s="393"/>
      <c r="E22" s="393"/>
      <c r="F22" s="393"/>
      <c r="G22" s="393"/>
      <c r="H22" s="393"/>
      <c r="I22" s="6">
        <f>INT(I21*0.1)</f>
        <v>477968</v>
      </c>
    </row>
    <row r="23" spans="1:9" ht="22.5" customHeight="1">
      <c r="A23" s="434" t="s">
        <v>25</v>
      </c>
      <c r="B23" s="432"/>
      <c r="C23" s="393"/>
      <c r="D23" s="393"/>
      <c r="E23" s="393"/>
      <c r="F23" s="393"/>
      <c r="G23" s="393"/>
      <c r="H23" s="393"/>
      <c r="I23" s="6">
        <f>SUM(I21:I22)</f>
        <v>5257650</v>
      </c>
    </row>
    <row r="24" spans="1:9" ht="22.5" customHeight="1" thickBot="1">
      <c r="A24" s="399" t="s">
        <v>38</v>
      </c>
      <c r="B24" s="400"/>
      <c r="C24" s="378" t="s">
        <v>39</v>
      </c>
      <c r="D24" s="378"/>
      <c r="E24" s="378"/>
      <c r="F24" s="378"/>
      <c r="G24" s="378"/>
      <c r="H24" s="378"/>
      <c r="I24" s="7">
        <f>ROUNDDOWN(I23,-3)</f>
        <v>5257000</v>
      </c>
    </row>
  </sheetData>
  <mergeCells count="28">
    <mergeCell ref="A7:A14"/>
    <mergeCell ref="A15:A17"/>
    <mergeCell ref="C17:H17"/>
    <mergeCell ref="A24:B24"/>
    <mergeCell ref="C24:H24"/>
    <mergeCell ref="A19:B19"/>
    <mergeCell ref="C19:H19"/>
    <mergeCell ref="A20:B20"/>
    <mergeCell ref="C20:H20"/>
    <mergeCell ref="A21:B21"/>
    <mergeCell ref="C21:H21"/>
    <mergeCell ref="A18:B18"/>
    <mergeCell ref="A22:B22"/>
    <mergeCell ref="C22:H22"/>
    <mergeCell ref="A23:B23"/>
    <mergeCell ref="C23:H23"/>
    <mergeCell ref="A1:I1"/>
    <mergeCell ref="A3:B3"/>
    <mergeCell ref="C3:D3"/>
    <mergeCell ref="A4:A6"/>
    <mergeCell ref="B4:B6"/>
    <mergeCell ref="C4:D4"/>
    <mergeCell ref="E4:F4"/>
    <mergeCell ref="G4:H4"/>
    <mergeCell ref="I4:I6"/>
    <mergeCell ref="C5:D5"/>
    <mergeCell ref="E5:F5"/>
    <mergeCell ref="G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view="pageBreakPreview" topLeftCell="A7" zoomScale="85" zoomScaleNormal="100" zoomScaleSheetLayoutView="85" workbookViewId="0">
      <selection activeCell="F19" sqref="F19"/>
    </sheetView>
  </sheetViews>
  <sheetFormatPr defaultRowHeight="16.5"/>
  <cols>
    <col min="1" max="1" width="15.125" customWidth="1"/>
    <col min="2" max="2" width="37.375" bestFit="1" customWidth="1"/>
    <col min="3" max="3" width="9" customWidth="1"/>
    <col min="4" max="4" width="11.25" customWidth="1"/>
    <col min="6" max="6" width="32.875" customWidth="1"/>
  </cols>
  <sheetData>
    <row r="1" spans="1:6" ht="27">
      <c r="A1" s="478" t="s">
        <v>453</v>
      </c>
      <c r="B1" s="479"/>
      <c r="C1" s="479"/>
      <c r="D1" s="479"/>
      <c r="E1" s="479"/>
      <c r="F1" s="480"/>
    </row>
    <row r="2" spans="1:6" ht="27.75" customHeight="1">
      <c r="A2" s="241"/>
      <c r="B2" s="242"/>
      <c r="C2" s="242"/>
      <c r="D2" s="242"/>
      <c r="E2" s="242"/>
      <c r="F2" s="243"/>
    </row>
    <row r="3" spans="1:6" ht="27.75" customHeight="1">
      <c r="A3" s="458" t="s">
        <v>454</v>
      </c>
      <c r="B3" s="459"/>
      <c r="C3" s="459"/>
      <c r="D3" s="459"/>
      <c r="E3" s="459"/>
      <c r="F3" s="460"/>
    </row>
    <row r="4" spans="1:6" ht="27.75" customHeight="1">
      <c r="A4" s="244" t="s">
        <v>455</v>
      </c>
      <c r="B4" s="481" t="s">
        <v>503</v>
      </c>
      <c r="C4" s="481"/>
      <c r="D4" s="245" t="s">
        <v>456</v>
      </c>
      <c r="E4" s="482">
        <v>2026</v>
      </c>
      <c r="F4" s="483"/>
    </row>
    <row r="5" spans="1:6" ht="27.75" customHeight="1">
      <c r="A5" s="246" t="s">
        <v>457</v>
      </c>
      <c r="B5" s="484" t="s">
        <v>504</v>
      </c>
      <c r="C5" s="484"/>
      <c r="D5" s="247" t="s">
        <v>458</v>
      </c>
      <c r="E5" s="475">
        <v>1</v>
      </c>
      <c r="F5" s="485"/>
    </row>
    <row r="6" spans="1:6" ht="27.75" customHeight="1">
      <c r="A6" s="246" t="s">
        <v>459</v>
      </c>
      <c r="B6" s="486" t="s">
        <v>506</v>
      </c>
      <c r="C6" s="487"/>
      <c r="D6" s="247" t="s">
        <v>430</v>
      </c>
      <c r="E6" s="248">
        <v>14.6</v>
      </c>
      <c r="F6" s="249" t="s">
        <v>460</v>
      </c>
    </row>
    <row r="7" spans="1:6" ht="27.75" customHeight="1">
      <c r="A7" s="246" t="s">
        <v>461</v>
      </c>
      <c r="B7" s="488" t="s">
        <v>507</v>
      </c>
      <c r="C7" s="488"/>
      <c r="D7" s="247" t="s">
        <v>462</v>
      </c>
      <c r="E7" s="489" t="s">
        <v>509</v>
      </c>
      <c r="F7" s="485"/>
    </row>
    <row r="8" spans="1:6" ht="27.75" customHeight="1">
      <c r="A8" s="246" t="s">
        <v>463</v>
      </c>
      <c r="B8" s="475" t="s">
        <v>508</v>
      </c>
      <c r="C8" s="475"/>
      <c r="D8" s="247" t="s">
        <v>464</v>
      </c>
      <c r="E8" s="475" t="s">
        <v>465</v>
      </c>
      <c r="F8" s="485"/>
    </row>
    <row r="9" spans="1:6" ht="27.75" customHeight="1">
      <c r="A9" s="250" t="s">
        <v>466</v>
      </c>
      <c r="B9" s="475" t="s">
        <v>508</v>
      </c>
      <c r="C9" s="475"/>
      <c r="D9" s="251" t="s">
        <v>467</v>
      </c>
      <c r="E9" s="476" t="s">
        <v>543</v>
      </c>
      <c r="F9" s="477"/>
    </row>
    <row r="10" spans="1:6" ht="27.75" customHeight="1">
      <c r="A10" s="252"/>
      <c r="B10" s="253"/>
      <c r="C10" s="253"/>
      <c r="D10" s="253"/>
      <c r="E10" s="253"/>
      <c r="F10" s="254"/>
    </row>
    <row r="11" spans="1:6" ht="27.75" customHeight="1">
      <c r="A11" s="458" t="s">
        <v>468</v>
      </c>
      <c r="B11" s="459"/>
      <c r="C11" s="459"/>
      <c r="D11" s="459"/>
      <c r="E11" s="459"/>
      <c r="F11" s="460"/>
    </row>
    <row r="12" spans="1:6" ht="27.75" customHeight="1">
      <c r="A12" s="255" t="s">
        <v>469</v>
      </c>
      <c r="B12" s="256" t="s">
        <v>470</v>
      </c>
      <c r="C12" s="257" t="s">
        <v>471</v>
      </c>
      <c r="D12" s="461" t="s">
        <v>472</v>
      </c>
      <c r="E12" s="461"/>
      <c r="F12" s="462"/>
    </row>
    <row r="13" spans="1:6" ht="27.75" customHeight="1">
      <c r="A13" s="258" t="s">
        <v>473</v>
      </c>
      <c r="B13" s="259">
        <v>301863</v>
      </c>
      <c r="C13" s="260" t="s">
        <v>474</v>
      </c>
      <c r="D13" s="463" t="s">
        <v>510</v>
      </c>
      <c r="E13" s="463"/>
      <c r="F13" s="464"/>
    </row>
    <row r="14" spans="1:6" ht="27.75" customHeight="1">
      <c r="A14" s="258" t="s">
        <v>511</v>
      </c>
      <c r="B14" s="259">
        <v>261545</v>
      </c>
      <c r="C14" s="260"/>
      <c r="D14" s="463" t="s">
        <v>510</v>
      </c>
      <c r="E14" s="463"/>
      <c r="F14" s="464"/>
    </row>
    <row r="15" spans="1:6" ht="27.75" customHeight="1">
      <c r="A15" s="258" t="s">
        <v>475</v>
      </c>
      <c r="B15" s="259">
        <v>229278</v>
      </c>
      <c r="C15" s="260" t="s">
        <v>474</v>
      </c>
      <c r="D15" s="463" t="s">
        <v>510</v>
      </c>
      <c r="E15" s="463"/>
      <c r="F15" s="464"/>
    </row>
    <row r="16" spans="1:6" s="42" customFormat="1" ht="27.75" customHeight="1">
      <c r="A16" s="258" t="s">
        <v>512</v>
      </c>
      <c r="B16" s="326">
        <v>20000</v>
      </c>
      <c r="C16" s="260" t="s">
        <v>513</v>
      </c>
      <c r="D16" s="472" t="s">
        <v>514</v>
      </c>
      <c r="E16" s="473"/>
      <c r="F16" s="474"/>
    </row>
    <row r="17" spans="1:6" s="42" customFormat="1" ht="27.75" customHeight="1">
      <c r="A17" s="258" t="s">
        <v>515</v>
      </c>
      <c r="B17" s="326">
        <v>4500</v>
      </c>
      <c r="C17" s="260" t="s">
        <v>516</v>
      </c>
      <c r="D17" s="465" t="s">
        <v>517</v>
      </c>
      <c r="E17" s="465"/>
      <c r="F17" s="466"/>
    </row>
    <row r="18" spans="1:6" ht="27.75" customHeight="1">
      <c r="A18" s="328" t="s">
        <v>518</v>
      </c>
      <c r="B18" s="327">
        <v>4400</v>
      </c>
      <c r="C18" s="329" t="s">
        <v>519</v>
      </c>
      <c r="D18" s="465" t="s">
        <v>520</v>
      </c>
      <c r="E18" s="465"/>
      <c r="F18" s="466"/>
    </row>
    <row r="19" spans="1:6" ht="27.75" customHeight="1">
      <c r="A19" s="252"/>
      <c r="B19" s="253"/>
      <c r="C19" s="253"/>
      <c r="D19" s="253"/>
      <c r="E19" s="253"/>
      <c r="F19" s="254"/>
    </row>
    <row r="20" spans="1:6" ht="27.75" customHeight="1">
      <c r="A20" s="467" t="s">
        <v>476</v>
      </c>
      <c r="B20" s="468"/>
      <c r="C20" s="468"/>
      <c r="D20" s="468"/>
      <c r="E20" s="468"/>
      <c r="F20" s="469"/>
    </row>
    <row r="21" spans="1:6" ht="27.75" customHeight="1">
      <c r="A21" s="261" t="s">
        <v>469</v>
      </c>
      <c r="B21" s="262" t="s">
        <v>477</v>
      </c>
      <c r="C21" s="262" t="s">
        <v>478</v>
      </c>
      <c r="D21" s="262" t="s">
        <v>479</v>
      </c>
      <c r="E21" s="470" t="s">
        <v>480</v>
      </c>
      <c r="F21" s="471"/>
    </row>
    <row r="22" spans="1:6" ht="27.75" customHeight="1">
      <c r="A22" s="261" t="s">
        <v>481</v>
      </c>
      <c r="B22" s="325" t="s">
        <v>482</v>
      </c>
      <c r="C22" s="263">
        <v>110</v>
      </c>
      <c r="D22" s="325" t="s">
        <v>483</v>
      </c>
      <c r="E22" s="456" t="s">
        <v>521</v>
      </c>
      <c r="F22" s="457"/>
    </row>
    <row r="23" spans="1:6" ht="27.75" customHeight="1">
      <c r="A23" s="261" t="s">
        <v>485</v>
      </c>
      <c r="B23" s="325" t="s">
        <v>486</v>
      </c>
      <c r="C23" s="263">
        <v>20</v>
      </c>
      <c r="D23" s="325" t="s">
        <v>483</v>
      </c>
      <c r="E23" s="456" t="s">
        <v>484</v>
      </c>
      <c r="F23" s="457"/>
    </row>
    <row r="24" spans="1:6" ht="27.75" customHeight="1">
      <c r="A24" s="261" t="s">
        <v>487</v>
      </c>
      <c r="B24" s="325" t="s">
        <v>488</v>
      </c>
      <c r="C24" s="264">
        <v>0.66600000000000004</v>
      </c>
      <c r="D24" s="325" t="s">
        <v>483</v>
      </c>
      <c r="E24" s="456" t="s">
        <v>522</v>
      </c>
      <c r="F24" s="457"/>
    </row>
    <row r="25" spans="1:6" ht="27.75" customHeight="1" thickBot="1">
      <c r="A25" s="265" t="s">
        <v>489</v>
      </c>
      <c r="B25" s="266" t="s">
        <v>488</v>
      </c>
      <c r="C25" s="267">
        <v>0.16</v>
      </c>
      <c r="D25" s="266" t="s">
        <v>483</v>
      </c>
      <c r="E25" s="456" t="s">
        <v>522</v>
      </c>
      <c r="F25" s="457"/>
    </row>
  </sheetData>
  <mergeCells count="27">
    <mergeCell ref="B9:C9"/>
    <mergeCell ref="E9:F9"/>
    <mergeCell ref="A1:F1"/>
    <mergeCell ref="A3:F3"/>
    <mergeCell ref="B4:C4"/>
    <mergeCell ref="E4:F4"/>
    <mergeCell ref="B5:C5"/>
    <mergeCell ref="E5:F5"/>
    <mergeCell ref="B6:C6"/>
    <mergeCell ref="B7:C7"/>
    <mergeCell ref="E7:F7"/>
    <mergeCell ref="B8:C8"/>
    <mergeCell ref="E8:F8"/>
    <mergeCell ref="E25:F25"/>
    <mergeCell ref="A11:F11"/>
    <mergeCell ref="D12:F12"/>
    <mergeCell ref="D13:F13"/>
    <mergeCell ref="D14:F14"/>
    <mergeCell ref="D15:F15"/>
    <mergeCell ref="D18:F18"/>
    <mergeCell ref="A20:F20"/>
    <mergeCell ref="E21:F21"/>
    <mergeCell ref="E22:F22"/>
    <mergeCell ref="E23:F23"/>
    <mergeCell ref="E24:F24"/>
    <mergeCell ref="D16:F16"/>
    <mergeCell ref="D17:F17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view="pageBreakPreview" zoomScaleNormal="100" zoomScaleSheetLayoutView="100" workbookViewId="0">
      <selection sqref="A1:J1"/>
    </sheetView>
  </sheetViews>
  <sheetFormatPr defaultRowHeight="16.5"/>
  <cols>
    <col min="1" max="1" width="4.625" style="42" customWidth="1"/>
    <col min="2" max="2" width="18.125" style="42" customWidth="1"/>
    <col min="3" max="3" width="9.75" style="42" bestFit="1" customWidth="1"/>
    <col min="4" max="4" width="4" style="42" customWidth="1"/>
    <col min="5" max="5" width="6" style="42" customWidth="1"/>
    <col min="6" max="6" width="7.625" style="42" customWidth="1"/>
    <col min="7" max="7" width="10" style="42" customWidth="1"/>
    <col min="8" max="8" width="12.25" style="42" customWidth="1"/>
    <col min="9" max="9" width="5.75" style="42" customWidth="1"/>
    <col min="10" max="10" width="16.25" style="42" customWidth="1"/>
    <col min="11" max="11" width="9" style="42"/>
    <col min="12" max="12" width="11.875" style="42" hidden="1" customWidth="1"/>
    <col min="13" max="13" width="10.5" style="42" hidden="1" customWidth="1"/>
    <col min="14" max="15" width="0" style="42" hidden="1" customWidth="1"/>
    <col min="16" max="16" width="7.75" style="42" hidden="1" customWidth="1"/>
    <col min="17" max="17" width="8.375" style="42" hidden="1" customWidth="1"/>
    <col min="18" max="18" width="5.5" style="42" hidden="1" customWidth="1"/>
    <col min="19" max="19" width="17" style="42" hidden="1" customWidth="1"/>
    <col min="20" max="20" width="17.25" style="42" hidden="1" customWidth="1"/>
    <col min="21" max="21" width="0" style="42" hidden="1" customWidth="1"/>
    <col min="22" max="16384" width="9" style="42"/>
  </cols>
  <sheetData>
    <row r="1" spans="1:18" ht="29.25" customHeight="1">
      <c r="A1" s="494" t="s">
        <v>523</v>
      </c>
      <c r="B1" s="494"/>
      <c r="C1" s="494"/>
      <c r="D1" s="494"/>
      <c r="E1" s="494"/>
      <c r="F1" s="494"/>
      <c r="G1" s="494"/>
      <c r="H1" s="494"/>
      <c r="I1" s="494"/>
      <c r="J1" s="494"/>
    </row>
    <row r="2" spans="1:18" ht="17.25" thickBot="1"/>
    <row r="3" spans="1:18" ht="22.5" customHeight="1">
      <c r="A3" s="419" t="s">
        <v>0</v>
      </c>
      <c r="B3" s="420"/>
      <c r="C3" s="495">
        <v>14.6</v>
      </c>
      <c r="D3" s="496"/>
      <c r="E3" s="331" t="s">
        <v>6</v>
      </c>
      <c r="F3" s="332" t="s">
        <v>67</v>
      </c>
      <c r="G3" s="497" t="s">
        <v>505</v>
      </c>
      <c r="H3" s="497"/>
      <c r="I3" s="497"/>
      <c r="J3" s="498"/>
    </row>
    <row r="4" spans="1:18" ht="22.5" customHeight="1">
      <c r="A4" s="434" t="s">
        <v>1</v>
      </c>
      <c r="B4" s="432" t="s">
        <v>2</v>
      </c>
      <c r="C4" s="432" t="s">
        <v>3</v>
      </c>
      <c r="D4" s="432"/>
      <c r="E4" s="432" t="s">
        <v>7</v>
      </c>
      <c r="F4" s="432"/>
      <c r="G4" s="432" t="s">
        <v>9</v>
      </c>
      <c r="H4" s="432"/>
      <c r="I4" s="437" t="s">
        <v>54</v>
      </c>
      <c r="J4" s="429" t="s">
        <v>530</v>
      </c>
    </row>
    <row r="5" spans="1:18" ht="22.5" customHeight="1">
      <c r="A5" s="434"/>
      <c r="B5" s="432"/>
      <c r="C5" s="431" t="s">
        <v>4</v>
      </c>
      <c r="D5" s="431"/>
      <c r="E5" s="431" t="s">
        <v>8</v>
      </c>
      <c r="F5" s="431"/>
      <c r="G5" s="432" t="s">
        <v>10</v>
      </c>
      <c r="H5" s="432"/>
      <c r="I5" s="438"/>
      <c r="J5" s="429"/>
      <c r="L5" s="236" t="s">
        <v>423</v>
      </c>
      <c r="M5" s="240">
        <f>기초자료!B13</f>
        <v>301863</v>
      </c>
    </row>
    <row r="6" spans="1:18" ht="22.5" customHeight="1" thickBot="1">
      <c r="A6" s="435"/>
      <c r="B6" s="436"/>
      <c r="C6" s="26"/>
      <c r="D6" s="195" t="s">
        <v>5</v>
      </c>
      <c r="E6" s="195"/>
      <c r="F6" s="195" t="s">
        <v>5</v>
      </c>
      <c r="G6" s="195"/>
      <c r="H6" s="195" t="s">
        <v>11</v>
      </c>
      <c r="I6" s="439"/>
      <c r="J6" s="430"/>
      <c r="K6" s="64"/>
      <c r="L6" s="236" t="s">
        <v>424</v>
      </c>
      <c r="M6" s="240">
        <f>기초자료!B15</f>
        <v>229278</v>
      </c>
    </row>
    <row r="7" spans="1:18" ht="22.5" customHeight="1" thickTop="1">
      <c r="A7" s="447" t="s">
        <v>19</v>
      </c>
      <c r="B7" s="19" t="s">
        <v>81</v>
      </c>
      <c r="C7" s="203">
        <v>14.6</v>
      </c>
      <c r="D7" s="204" t="s">
        <v>6</v>
      </c>
      <c r="E7" s="204">
        <v>0.01</v>
      </c>
      <c r="F7" s="204" t="s">
        <v>26</v>
      </c>
      <c r="G7" s="205">
        <f>M5</f>
        <v>301863</v>
      </c>
      <c r="H7" s="204" t="s">
        <v>53</v>
      </c>
      <c r="I7" s="206"/>
      <c r="J7" s="330">
        <f>INT((C7*E7*G7)+(C7*E7*G7*I7))</f>
        <v>44071</v>
      </c>
      <c r="M7" s="42">
        <f>SUM(M5:M6)</f>
        <v>531141</v>
      </c>
    </row>
    <row r="8" spans="1:18" ht="22.5" customHeight="1">
      <c r="A8" s="448"/>
      <c r="B8" s="20" t="s">
        <v>80</v>
      </c>
      <c r="C8" s="208">
        <v>1</v>
      </c>
      <c r="D8" s="208" t="s">
        <v>32</v>
      </c>
      <c r="E8" s="209">
        <v>1</v>
      </c>
      <c r="F8" s="208" t="s">
        <v>48</v>
      </c>
      <c r="G8" s="210">
        <f>G7</f>
        <v>301863</v>
      </c>
      <c r="H8" s="208" t="s">
        <v>53</v>
      </c>
      <c r="I8" s="208"/>
      <c r="J8" s="334">
        <f>INT(C8*E8*G8)</f>
        <v>301863</v>
      </c>
      <c r="L8" s="42" t="s">
        <v>533</v>
      </c>
      <c r="M8" s="42">
        <f>기초자료!B14</f>
        <v>261545</v>
      </c>
    </row>
    <row r="9" spans="1:18" ht="22.5" customHeight="1">
      <c r="A9" s="448"/>
      <c r="B9" s="20" t="s">
        <v>527</v>
      </c>
      <c r="C9" s="324"/>
      <c r="D9" s="324"/>
      <c r="E9" s="209"/>
      <c r="F9" s="324"/>
      <c r="G9" s="210"/>
      <c r="H9" s="324"/>
      <c r="I9" s="227"/>
      <c r="J9" s="330">
        <f>J10+J11</f>
        <v>69427</v>
      </c>
    </row>
    <row r="10" spans="1:18" ht="22.5" customHeight="1">
      <c r="A10" s="448"/>
      <c r="B10" s="347" t="s">
        <v>528</v>
      </c>
      <c r="C10" s="212">
        <v>2.1</v>
      </c>
      <c r="D10" s="208" t="s">
        <v>6</v>
      </c>
      <c r="E10" s="208">
        <v>0.05</v>
      </c>
      <c r="F10" s="208" t="s">
        <v>26</v>
      </c>
      <c r="G10" s="210">
        <f>G7</f>
        <v>301863</v>
      </c>
      <c r="H10" s="208" t="s">
        <v>53</v>
      </c>
      <c r="I10" s="213"/>
      <c r="J10" s="207">
        <f>INT((C10*E10*G10)+(C10*E10*G10*I10))</f>
        <v>31695</v>
      </c>
    </row>
    <row r="11" spans="1:18" ht="22.5" customHeight="1">
      <c r="A11" s="448"/>
      <c r="B11" s="347" t="s">
        <v>529</v>
      </c>
      <c r="C11" s="199">
        <v>12.5</v>
      </c>
      <c r="D11" s="208" t="s">
        <v>6</v>
      </c>
      <c r="E11" s="208">
        <v>0.01</v>
      </c>
      <c r="F11" s="208" t="s">
        <v>26</v>
      </c>
      <c r="G11" s="210">
        <f>G8</f>
        <v>301863</v>
      </c>
      <c r="H11" s="208" t="s">
        <v>53</v>
      </c>
      <c r="I11" s="214"/>
      <c r="J11" s="207">
        <f>INT((C11*E11*G11)+(C11*E11*G11*I11))</f>
        <v>37732</v>
      </c>
      <c r="L11" s="323"/>
    </row>
    <row r="12" spans="1:18" ht="22.5" customHeight="1">
      <c r="A12" s="448"/>
      <c r="B12" s="51" t="s">
        <v>44</v>
      </c>
      <c r="C12" s="199"/>
      <c r="D12" s="215"/>
      <c r="E12" s="215"/>
      <c r="F12" s="215"/>
      <c r="G12" s="216"/>
      <c r="H12" s="215"/>
      <c r="I12" s="217"/>
      <c r="J12" s="333">
        <f>J13+J14</f>
        <v>471015.83880000003</v>
      </c>
      <c r="P12" s="415" t="s">
        <v>446</v>
      </c>
      <c r="Q12" s="416"/>
      <c r="R12" s="396"/>
    </row>
    <row r="13" spans="1:18" ht="22.5" customHeight="1">
      <c r="A13" s="448"/>
      <c r="B13" s="347" t="s">
        <v>405</v>
      </c>
      <c r="C13" s="198">
        <f>C10</f>
        <v>2.1</v>
      </c>
      <c r="D13" s="218" t="s">
        <v>6</v>
      </c>
      <c r="E13" s="218">
        <v>0.16</v>
      </c>
      <c r="F13" s="218" t="s">
        <v>26</v>
      </c>
      <c r="G13" s="219">
        <f>M7</f>
        <v>531141</v>
      </c>
      <c r="H13" s="218" t="s">
        <v>409</v>
      </c>
      <c r="I13" s="220">
        <f>H39</f>
        <v>0.3</v>
      </c>
      <c r="J13" s="221">
        <f>(C13*E13*G13)*130%</f>
        <v>232002.38880000004</v>
      </c>
      <c r="L13" s="42" t="s">
        <v>74</v>
      </c>
      <c r="P13" s="140" t="s">
        <v>447</v>
      </c>
      <c r="Q13" s="415">
        <v>2.1</v>
      </c>
      <c r="R13" s="396"/>
    </row>
    <row r="14" spans="1:18" ht="22.5" customHeight="1">
      <c r="A14" s="448"/>
      <c r="B14" s="347" t="s">
        <v>406</v>
      </c>
      <c r="C14" s="198">
        <f>Q14</f>
        <v>12.5</v>
      </c>
      <c r="D14" s="218" t="s">
        <v>6</v>
      </c>
      <c r="E14" s="218">
        <v>0.03</v>
      </c>
      <c r="F14" s="218" t="s">
        <v>26</v>
      </c>
      <c r="G14" s="219">
        <f>M7</f>
        <v>531141</v>
      </c>
      <c r="H14" s="218" t="s">
        <v>409</v>
      </c>
      <c r="I14" s="220">
        <f>H40</f>
        <v>0.2</v>
      </c>
      <c r="J14" s="221">
        <f>(C14*E14*G14)*120%</f>
        <v>239013.44999999998</v>
      </c>
      <c r="P14" s="140" t="s">
        <v>448</v>
      </c>
      <c r="Q14" s="415">
        <v>12.5</v>
      </c>
      <c r="R14" s="396"/>
    </row>
    <row r="15" spans="1:18" ht="22.5" customHeight="1">
      <c r="A15" s="448"/>
      <c r="B15" s="348" t="s">
        <v>407</v>
      </c>
      <c r="C15" s="203">
        <v>0</v>
      </c>
      <c r="D15" s="204" t="s">
        <v>6</v>
      </c>
      <c r="E15" s="204">
        <v>0.03</v>
      </c>
      <c r="F15" s="204" t="s">
        <v>26</v>
      </c>
      <c r="G15" s="222">
        <f>M7</f>
        <v>531141</v>
      </c>
      <c r="H15" s="204" t="s">
        <v>409</v>
      </c>
      <c r="I15" s="223"/>
      <c r="J15" s="207">
        <f>INT((C15*E15*G15)+(C15*E15*G15*I15))</f>
        <v>0</v>
      </c>
      <c r="L15" s="42" t="s">
        <v>75</v>
      </c>
      <c r="M15" s="44">
        <v>6.6600000000000001E-3</v>
      </c>
      <c r="Q15" s="42">
        <f>SUM(Q13:R14)</f>
        <v>14.6</v>
      </c>
    </row>
    <row r="16" spans="1:18" ht="22.5" customHeight="1">
      <c r="A16" s="448"/>
      <c r="B16" s="51" t="s">
        <v>531</v>
      </c>
      <c r="C16" s="351">
        <f>Q15</f>
        <v>14.6</v>
      </c>
      <c r="D16" s="352" t="s">
        <v>6</v>
      </c>
      <c r="E16" s="353">
        <v>17.57</v>
      </c>
      <c r="F16" s="353" t="s">
        <v>532</v>
      </c>
      <c r="G16" s="354">
        <f>M8</f>
        <v>261545</v>
      </c>
      <c r="H16" s="353" t="s">
        <v>534</v>
      </c>
      <c r="I16" s="355"/>
      <c r="J16" s="356">
        <f>(E16*G16)*120%</f>
        <v>5514414.7800000003</v>
      </c>
      <c r="M16" s="44"/>
    </row>
    <row r="17" spans="1:20" ht="22.5" customHeight="1">
      <c r="A17" s="448"/>
      <c r="B17" s="51" t="s">
        <v>305</v>
      </c>
      <c r="C17" s="215"/>
      <c r="D17" s="215"/>
      <c r="E17" s="215"/>
      <c r="F17" s="215"/>
      <c r="G17" s="216"/>
      <c r="H17" s="215"/>
      <c r="I17" s="215"/>
      <c r="J17" s="333">
        <f>J18+J19</f>
        <v>623187.73530000006</v>
      </c>
      <c r="L17" s="42" t="s">
        <v>76</v>
      </c>
      <c r="M17" s="42" t="s">
        <v>79</v>
      </c>
    </row>
    <row r="18" spans="1:20" ht="22.5" customHeight="1">
      <c r="A18" s="448"/>
      <c r="B18" s="347" t="s">
        <v>410</v>
      </c>
      <c r="C18" s="198">
        <f>C10</f>
        <v>2.1</v>
      </c>
      <c r="D18" s="218" t="s">
        <v>6</v>
      </c>
      <c r="E18" s="218">
        <v>0.21</v>
      </c>
      <c r="F18" s="218" t="s">
        <v>26</v>
      </c>
      <c r="G18" s="219">
        <f>G13</f>
        <v>531141</v>
      </c>
      <c r="H18" s="218" t="s">
        <v>409</v>
      </c>
      <c r="I18" s="220">
        <f>H39</f>
        <v>0.3</v>
      </c>
      <c r="J18" s="221">
        <f>(C18*E18*G18)*130%</f>
        <v>304503.13530000002</v>
      </c>
    </row>
    <row r="19" spans="1:20" ht="22.5" customHeight="1">
      <c r="A19" s="448"/>
      <c r="B19" s="347" t="s">
        <v>411</v>
      </c>
      <c r="C19" s="198">
        <f>Q14</f>
        <v>12.5</v>
      </c>
      <c r="D19" s="218" t="s">
        <v>6</v>
      </c>
      <c r="E19" s="218">
        <v>0.04</v>
      </c>
      <c r="F19" s="218" t="s">
        <v>26</v>
      </c>
      <c r="G19" s="219">
        <f>G13</f>
        <v>531141</v>
      </c>
      <c r="H19" s="218" t="s">
        <v>409</v>
      </c>
      <c r="I19" s="220">
        <f>H40</f>
        <v>0.2</v>
      </c>
      <c r="J19" s="221">
        <f>(C19*E19*G19)*120%</f>
        <v>318684.59999999998</v>
      </c>
      <c r="P19" s="393" t="s">
        <v>452</v>
      </c>
      <c r="Q19" s="393"/>
      <c r="R19" s="393"/>
      <c r="S19" s="140" t="s">
        <v>450</v>
      </c>
      <c r="T19" s="140" t="s">
        <v>451</v>
      </c>
    </row>
    <row r="20" spans="1:20" ht="22.5" customHeight="1">
      <c r="A20" s="448"/>
      <c r="B20" s="347" t="s">
        <v>412</v>
      </c>
      <c r="C20" s="198">
        <v>0</v>
      </c>
      <c r="D20" s="218" t="s">
        <v>6</v>
      </c>
      <c r="E20" s="218">
        <v>0.04</v>
      </c>
      <c r="F20" s="218" t="s">
        <v>26</v>
      </c>
      <c r="G20" s="219">
        <f>G13</f>
        <v>531141</v>
      </c>
      <c r="H20" s="218" t="s">
        <v>409</v>
      </c>
      <c r="I20" s="220"/>
      <c r="J20" s="221">
        <f t="shared" ref="J20" si="0">INT((C20*E20*G20)+(C20*E20*G20*I20))</f>
        <v>0</v>
      </c>
      <c r="P20" s="393" t="s">
        <v>524</v>
      </c>
      <c r="Q20" s="393"/>
      <c r="R20" s="393"/>
      <c r="S20" s="238">
        <v>0.3</v>
      </c>
      <c r="T20" s="238">
        <v>10.6</v>
      </c>
    </row>
    <row r="21" spans="1:20" ht="22.5" customHeight="1">
      <c r="A21" s="448"/>
      <c r="B21" s="349" t="s">
        <v>526</v>
      </c>
      <c r="C21" s="224">
        <v>0</v>
      </c>
      <c r="D21" s="204" t="s">
        <v>46</v>
      </c>
      <c r="E21" s="204">
        <v>0.67</v>
      </c>
      <c r="F21" s="204" t="s">
        <v>413</v>
      </c>
      <c r="G21" s="205">
        <f>M6</f>
        <v>229278</v>
      </c>
      <c r="H21" s="204" t="s">
        <v>28</v>
      </c>
      <c r="I21" s="223">
        <v>0.15</v>
      </c>
      <c r="J21" s="221">
        <f>INT(C21*E21*G21/100)+(C21*E21*G21/100*I21)</f>
        <v>0</v>
      </c>
      <c r="P21" s="499" t="s">
        <v>525</v>
      </c>
      <c r="Q21" s="500"/>
      <c r="R21" s="500"/>
      <c r="S21" s="239">
        <v>1.8</v>
      </c>
      <c r="T21" s="239">
        <v>1.9</v>
      </c>
    </row>
    <row r="22" spans="1:20" ht="22.5" customHeight="1">
      <c r="A22" s="448"/>
      <c r="B22" s="67" t="s">
        <v>50</v>
      </c>
      <c r="C22" s="203">
        <f>C3</f>
        <v>14.6</v>
      </c>
      <c r="D22" s="204" t="s">
        <v>6</v>
      </c>
      <c r="E22" s="204">
        <v>0.02</v>
      </c>
      <c r="F22" s="204" t="s">
        <v>26</v>
      </c>
      <c r="G22" s="205">
        <f>G7</f>
        <v>301863</v>
      </c>
      <c r="H22" s="218" t="s">
        <v>53</v>
      </c>
      <c r="I22" s="225"/>
      <c r="J22" s="334">
        <f>C22*E22*G22</f>
        <v>88143.995999999999</v>
      </c>
      <c r="P22" s="393" t="s">
        <v>449</v>
      </c>
      <c r="Q22" s="393"/>
      <c r="R22" s="393"/>
      <c r="S22" s="140">
        <f>SUM(S14:S21)</f>
        <v>2.1</v>
      </c>
      <c r="T22" s="140">
        <f>SUM(T14:T21)</f>
        <v>12.5</v>
      </c>
    </row>
    <row r="23" spans="1:20" ht="19.5" customHeight="1">
      <c r="A23" s="448"/>
      <c r="B23" s="335" t="s">
        <v>15</v>
      </c>
      <c r="C23" s="336"/>
      <c r="D23" s="337"/>
      <c r="E23" s="337"/>
      <c r="F23" s="337"/>
      <c r="G23" s="338"/>
      <c r="H23" s="339"/>
      <c r="I23" s="340"/>
      <c r="J23" s="341">
        <f>J7+J8+J9+J12+J16+J17+J22</f>
        <v>7112123.3501000004</v>
      </c>
      <c r="M23" s="42">
        <f>(J23+J28)*120%</f>
        <v>17922550.842252001</v>
      </c>
      <c r="P23" s="393"/>
      <c r="Q23" s="393"/>
      <c r="R23" s="393"/>
      <c r="S23" s="415">
        <f>S22+T22</f>
        <v>14.6</v>
      </c>
      <c r="T23" s="396"/>
    </row>
    <row r="24" spans="1:20" ht="22.5" customHeight="1">
      <c r="A24" s="455" t="s">
        <v>402</v>
      </c>
      <c r="B24" s="67" t="s">
        <v>444</v>
      </c>
      <c r="C24" s="203">
        <f>C3</f>
        <v>14.6</v>
      </c>
      <c r="D24" s="204" t="s">
        <v>408</v>
      </c>
      <c r="E24" s="204">
        <v>0.13</v>
      </c>
      <c r="F24" s="204" t="s">
        <v>445</v>
      </c>
      <c r="G24" s="205">
        <v>5000</v>
      </c>
      <c r="H24" s="204" t="s">
        <v>535</v>
      </c>
      <c r="I24" s="206"/>
      <c r="J24" s="211">
        <f>INT(C24*E24*G24)</f>
        <v>9490</v>
      </c>
    </row>
    <row r="25" spans="1:20" ht="22.5" customHeight="1">
      <c r="A25" s="448"/>
      <c r="B25" s="20" t="s">
        <v>403</v>
      </c>
      <c r="C25" s="208">
        <v>1</v>
      </c>
      <c r="D25" s="208" t="s">
        <v>32</v>
      </c>
      <c r="E25" s="208">
        <v>2</v>
      </c>
      <c r="F25" s="208" t="s">
        <v>33</v>
      </c>
      <c r="G25" s="226">
        <v>20000</v>
      </c>
      <c r="H25" s="208" t="s">
        <v>404</v>
      </c>
      <c r="I25" s="208"/>
      <c r="J25" s="211">
        <f>INT(C25*E25*G25)</f>
        <v>40000</v>
      </c>
      <c r="L25" s="42" t="s">
        <v>77</v>
      </c>
    </row>
    <row r="26" spans="1:20" ht="22.5" customHeight="1">
      <c r="A26" s="448"/>
      <c r="B26" s="347" t="s">
        <v>405</v>
      </c>
      <c r="C26" s="324">
        <v>2.1</v>
      </c>
      <c r="D26" s="218" t="s">
        <v>6</v>
      </c>
      <c r="E26" s="218">
        <v>0.02</v>
      </c>
      <c r="F26" s="218" t="s">
        <v>26</v>
      </c>
      <c r="G26" s="219">
        <v>20000</v>
      </c>
      <c r="H26" s="218" t="s">
        <v>53</v>
      </c>
      <c r="I26" s="220">
        <v>0.2</v>
      </c>
      <c r="J26" s="221">
        <f>(C26*E26*G26)*120%</f>
        <v>1008</v>
      </c>
    </row>
    <row r="27" spans="1:20" ht="20.25" customHeight="1">
      <c r="A27" s="433"/>
      <c r="B27" s="335" t="s">
        <v>18</v>
      </c>
      <c r="C27" s="342"/>
      <c r="D27" s="337"/>
      <c r="E27" s="337"/>
      <c r="F27" s="337"/>
      <c r="G27" s="343"/>
      <c r="H27" s="339"/>
      <c r="I27" s="344"/>
      <c r="J27" s="341">
        <f>SUM(J24:J26)</f>
        <v>50498</v>
      </c>
      <c r="O27" s="237"/>
    </row>
    <row r="28" spans="1:20" ht="22.5" customHeight="1">
      <c r="A28" s="434" t="s">
        <v>21</v>
      </c>
      <c r="B28" s="432"/>
      <c r="C28" s="393" t="s">
        <v>422</v>
      </c>
      <c r="D28" s="393"/>
      <c r="E28" s="393"/>
      <c r="F28" s="393"/>
      <c r="G28" s="393"/>
      <c r="H28" s="393"/>
      <c r="I28" s="193"/>
      <c r="J28" s="6">
        <f>J23*110%</f>
        <v>7823335.6851100009</v>
      </c>
      <c r="L28" s="42" t="s">
        <v>78</v>
      </c>
      <c r="M28" s="43">
        <v>1.6000000000000001E-3</v>
      </c>
    </row>
    <row r="29" spans="1:20" ht="22.5" customHeight="1">
      <c r="A29" s="434" t="s">
        <v>22</v>
      </c>
      <c r="B29" s="432"/>
      <c r="C29" s="393" t="s">
        <v>36</v>
      </c>
      <c r="D29" s="393"/>
      <c r="E29" s="393"/>
      <c r="F29" s="393"/>
      <c r="G29" s="393"/>
      <c r="H29" s="393"/>
      <c r="I29" s="193"/>
      <c r="J29" s="6">
        <f>(J28+J23)*20%</f>
        <v>2987091.8070420008</v>
      </c>
    </row>
    <row r="30" spans="1:20" ht="22.5" customHeight="1">
      <c r="A30" s="434" t="s">
        <v>68</v>
      </c>
      <c r="B30" s="432"/>
      <c r="C30" s="393" t="s">
        <v>285</v>
      </c>
      <c r="D30" s="393"/>
      <c r="E30" s="393"/>
      <c r="F30" s="393"/>
      <c r="G30" s="393"/>
      <c r="H30" s="393"/>
      <c r="I30" s="193"/>
      <c r="J30" s="6">
        <f>SUM(J23,J27:J29)</f>
        <v>17973048.842252001</v>
      </c>
      <c r="L30" s="42" t="s">
        <v>61</v>
      </c>
    </row>
    <row r="31" spans="1:20" ht="22.5" customHeight="1">
      <c r="A31" s="425" t="s">
        <v>69</v>
      </c>
      <c r="B31" s="426"/>
      <c r="C31" s="442" t="s">
        <v>71</v>
      </c>
      <c r="D31" s="443"/>
      <c r="E31" s="444">
        <f>INT(J30*M15)</f>
        <v>119700</v>
      </c>
      <c r="F31" s="445"/>
      <c r="G31" s="40" t="s">
        <v>72</v>
      </c>
      <c r="H31" s="194">
        <f>INT(J30*M28)</f>
        <v>28756</v>
      </c>
      <c r="I31" s="193"/>
      <c r="J31" s="6">
        <f>SUM(E31,H31)</f>
        <v>148456</v>
      </c>
    </row>
    <row r="32" spans="1:20" ht="22.5" customHeight="1">
      <c r="A32" s="425" t="s">
        <v>23</v>
      </c>
      <c r="B32" s="426"/>
      <c r="C32" s="393" t="s">
        <v>73</v>
      </c>
      <c r="D32" s="393"/>
      <c r="E32" s="393"/>
      <c r="F32" s="393"/>
      <c r="G32" s="393"/>
      <c r="H32" s="393"/>
      <c r="I32" s="193"/>
      <c r="J32" s="6">
        <f>SUM(J30:J31)</f>
        <v>18121504.842252001</v>
      </c>
    </row>
    <row r="33" spans="1:13" ht="22.5" customHeight="1">
      <c r="A33" s="434" t="s">
        <v>24</v>
      </c>
      <c r="B33" s="432"/>
      <c r="C33" s="393" t="s">
        <v>37</v>
      </c>
      <c r="D33" s="393"/>
      <c r="E33" s="393"/>
      <c r="F33" s="393"/>
      <c r="G33" s="393"/>
      <c r="H33" s="393"/>
      <c r="I33" s="193"/>
      <c r="J33" s="350">
        <f>INT(J32*10%)</f>
        <v>1812150</v>
      </c>
      <c r="L33" s="42" t="s">
        <v>57</v>
      </c>
      <c r="M33" s="42" t="s">
        <v>62</v>
      </c>
    </row>
    <row r="34" spans="1:13" ht="22.5" customHeight="1">
      <c r="A34" s="434" t="s">
        <v>25</v>
      </c>
      <c r="B34" s="432"/>
      <c r="C34" s="393"/>
      <c r="D34" s="393"/>
      <c r="E34" s="393"/>
      <c r="F34" s="393"/>
      <c r="G34" s="393"/>
      <c r="H34" s="393"/>
      <c r="I34" s="193"/>
      <c r="J34" s="6">
        <f>SUM(J32:J33)</f>
        <v>19933654.842252001</v>
      </c>
      <c r="M34" s="42" t="s">
        <v>63</v>
      </c>
    </row>
    <row r="35" spans="1:13" ht="22.5" customHeight="1" thickBot="1">
      <c r="A35" s="492" t="s">
        <v>38</v>
      </c>
      <c r="B35" s="493"/>
      <c r="C35" s="493" t="s">
        <v>39</v>
      </c>
      <c r="D35" s="493"/>
      <c r="E35" s="493"/>
      <c r="F35" s="493"/>
      <c r="G35" s="493"/>
      <c r="H35" s="493"/>
      <c r="I35" s="345"/>
      <c r="J35" s="346">
        <f>ROUNDDOWN(J34,-3)</f>
        <v>19933000</v>
      </c>
      <c r="M35" s="42" t="s">
        <v>64</v>
      </c>
    </row>
    <row r="36" spans="1:13">
      <c r="L36" s="42" t="s">
        <v>58</v>
      </c>
      <c r="M36" s="42" t="s">
        <v>417</v>
      </c>
    </row>
    <row r="37" spans="1:13" ht="17.25" thickBot="1">
      <c r="A37" s="42" t="s">
        <v>55</v>
      </c>
      <c r="M37" s="42" t="s">
        <v>419</v>
      </c>
    </row>
    <row r="38" spans="1:13" ht="17.25" thickBot="1">
      <c r="B38" s="33" t="s">
        <v>56</v>
      </c>
      <c r="C38" s="446" t="s">
        <v>60</v>
      </c>
      <c r="D38" s="446"/>
      <c r="E38" s="446"/>
      <c r="F38" s="446"/>
      <c r="G38" s="446"/>
      <c r="H38" s="34" t="s">
        <v>65</v>
      </c>
      <c r="J38" s="48"/>
      <c r="M38" s="42" t="s">
        <v>421</v>
      </c>
    </row>
    <row r="39" spans="1:13" ht="17.25" thickTop="1">
      <c r="B39" s="197" t="s">
        <v>414</v>
      </c>
      <c r="C39" s="490" t="s">
        <v>420</v>
      </c>
      <c r="D39" s="490"/>
      <c r="E39" s="490"/>
      <c r="F39" s="490"/>
      <c r="G39" s="490"/>
      <c r="H39" s="228">
        <f>IF(C39=M36,0,IF(C39=M37,0%,30%))</f>
        <v>0.3</v>
      </c>
      <c r="J39" s="49"/>
    </row>
    <row r="40" spans="1:13" ht="17.25" thickBot="1">
      <c r="B40" s="196" t="s">
        <v>415</v>
      </c>
      <c r="C40" s="491" t="s">
        <v>418</v>
      </c>
      <c r="D40" s="491"/>
      <c r="E40" s="491"/>
      <c r="F40" s="491"/>
      <c r="G40" s="491"/>
      <c r="H40" s="229">
        <f>IF(C40=M36,0,IF(C40=M37,20%,0%))</f>
        <v>0.2</v>
      </c>
    </row>
    <row r="41" spans="1:13">
      <c r="A41" s="42" t="s">
        <v>416</v>
      </c>
    </row>
  </sheetData>
  <mergeCells count="45">
    <mergeCell ref="S23:T23"/>
    <mergeCell ref="A7:A23"/>
    <mergeCell ref="A24:A27"/>
    <mergeCell ref="A29:B29"/>
    <mergeCell ref="C29:H29"/>
    <mergeCell ref="P12:R12"/>
    <mergeCell ref="P19:R19"/>
    <mergeCell ref="Q13:R13"/>
    <mergeCell ref="Q14:R14"/>
    <mergeCell ref="P20:R20"/>
    <mergeCell ref="P21:R21"/>
    <mergeCell ref="P22:R22"/>
    <mergeCell ref="P23:R23"/>
    <mergeCell ref="A30:B30"/>
    <mergeCell ref="C30:H30"/>
    <mergeCell ref="A28:B28"/>
    <mergeCell ref="C28:H28"/>
    <mergeCell ref="A31:B31"/>
    <mergeCell ref="C31:D31"/>
    <mergeCell ref="E31:F31"/>
    <mergeCell ref="A32:B32"/>
    <mergeCell ref="C32:H32"/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  <mergeCell ref="G3:J3"/>
    <mergeCell ref="C39:G39"/>
    <mergeCell ref="C40:G40"/>
    <mergeCell ref="A33:B33"/>
    <mergeCell ref="C33:H33"/>
    <mergeCell ref="A34:B34"/>
    <mergeCell ref="C34:H34"/>
    <mergeCell ref="A35:B35"/>
    <mergeCell ref="C35:H35"/>
    <mergeCell ref="C38:G38"/>
  </mergeCells>
  <phoneticPr fontId="2" type="noConversion"/>
  <dataValidations disablePrompts="1" count="1">
    <dataValidation type="list" allowBlank="1" showInputMessage="1" showErrorMessage="1" sqref="C39:G40">
      <formula1>$M$36:$M$38</formula1>
    </dataValidation>
  </dataValidations>
  <pageMargins left="0.59055118110236227" right="0.59055118110236227" top="0.74803149606299213" bottom="0.74803149606299213" header="0.31496062992125984" footer="0.31496062992125984"/>
  <pageSetup paperSize="9" scale="82" orientation="portrait" horizontalDpi="300" verticalDpi="300" r:id="rId1"/>
  <ignoredErrors>
    <ignoredError sqref="J8 J33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view="pageBreakPreview" zoomScale="90" zoomScaleNormal="100" zoomScaleSheetLayoutView="90" workbookViewId="0">
      <selection sqref="A1:G1"/>
    </sheetView>
  </sheetViews>
  <sheetFormatPr defaultRowHeight="16.5"/>
  <cols>
    <col min="1" max="1" width="20.375" customWidth="1"/>
    <col min="2" max="2" width="12" customWidth="1"/>
    <col min="3" max="3" width="14" customWidth="1"/>
    <col min="7" max="7" width="30.875" customWidth="1"/>
  </cols>
  <sheetData>
    <row r="1" spans="1:7" ht="46.5" customHeight="1" thickBot="1">
      <c r="A1" s="501" t="s">
        <v>536</v>
      </c>
      <c r="B1" s="502"/>
      <c r="C1" s="502"/>
      <c r="D1" s="502"/>
      <c r="E1" s="502"/>
      <c r="F1" s="502"/>
      <c r="G1" s="503"/>
    </row>
    <row r="2" spans="1:7" ht="26.25" customHeight="1">
      <c r="A2" s="268"/>
      <c r="B2" s="269"/>
      <c r="C2" s="269"/>
      <c r="D2" s="269"/>
      <c r="E2" s="269"/>
      <c r="F2" s="269"/>
      <c r="G2" s="270"/>
    </row>
    <row r="3" spans="1:7" ht="26.25" customHeight="1">
      <c r="A3" s="318" t="s">
        <v>537</v>
      </c>
      <c r="B3" s="319"/>
      <c r="C3" s="320"/>
      <c r="D3" s="320"/>
      <c r="E3" s="320"/>
      <c r="F3" s="320"/>
      <c r="G3" s="321"/>
    </row>
    <row r="4" spans="1:7" ht="26.25" customHeight="1">
      <c r="A4" s="318" t="s">
        <v>502</v>
      </c>
      <c r="B4" s="272" t="str">
        <f>기초자료!B6</f>
        <v>평창군 용평면 노동리 18임반 1소반 외 1개소</v>
      </c>
      <c r="C4" s="272"/>
      <c r="D4" s="272"/>
      <c r="E4" s="272"/>
      <c r="F4" s="272"/>
      <c r="G4" s="322"/>
    </row>
    <row r="5" spans="1:7" ht="26.25" customHeight="1">
      <c r="A5" s="504" t="s">
        <v>538</v>
      </c>
      <c r="B5" s="505"/>
      <c r="C5" s="506"/>
      <c r="D5" s="506"/>
      <c r="E5" s="506"/>
      <c r="F5" s="506"/>
      <c r="G5" s="507"/>
    </row>
    <row r="6" spans="1:7" ht="26.25" customHeight="1">
      <c r="A6" s="318" t="s">
        <v>539</v>
      </c>
      <c r="B6" s="272"/>
      <c r="C6" s="272"/>
      <c r="D6" s="272"/>
      <c r="E6" s="272"/>
      <c r="F6" s="272"/>
      <c r="G6" s="322"/>
    </row>
    <row r="7" spans="1:7" ht="26.25" customHeight="1">
      <c r="A7" s="504" t="s">
        <v>490</v>
      </c>
      <c r="B7" s="510"/>
      <c r="C7" s="510"/>
      <c r="D7" s="510"/>
      <c r="E7" s="510"/>
      <c r="F7" s="510"/>
      <c r="G7" s="511"/>
    </row>
    <row r="8" spans="1:7" ht="26.25" customHeight="1">
      <c r="A8" s="273"/>
      <c r="B8" s="274"/>
      <c r="C8" s="274"/>
      <c r="D8" s="274"/>
      <c r="E8" s="274"/>
      <c r="F8" s="274"/>
      <c r="G8" s="275"/>
    </row>
    <row r="9" spans="1:7" ht="26.25" customHeight="1" thickBot="1">
      <c r="A9" s="276"/>
      <c r="B9" s="277"/>
      <c r="C9" s="277"/>
      <c r="D9" s="277"/>
      <c r="E9" s="277"/>
      <c r="F9" s="277"/>
      <c r="G9" s="278"/>
    </row>
    <row r="10" spans="1:7" ht="26.25" customHeight="1">
      <c r="A10" s="279"/>
      <c r="B10" s="280" t="s">
        <v>491</v>
      </c>
      <c r="C10" s="512">
        <f>C11</f>
        <v>19933000</v>
      </c>
      <c r="D10" s="512"/>
      <c r="E10" s="512"/>
      <c r="F10" s="281" t="s">
        <v>492</v>
      </c>
      <c r="G10" s="282"/>
    </row>
    <row r="11" spans="1:7" ht="26.25" customHeight="1" thickBot="1">
      <c r="A11" s="283"/>
      <c r="B11" s="284" t="s">
        <v>493</v>
      </c>
      <c r="C11" s="513">
        <f>'용역비 산출'!J35</f>
        <v>19933000</v>
      </c>
      <c r="D11" s="513"/>
      <c r="E11" s="513"/>
      <c r="F11" s="285" t="s">
        <v>494</v>
      </c>
      <c r="G11" s="286"/>
    </row>
    <row r="12" spans="1:7" ht="26.25" customHeight="1" thickBot="1">
      <c r="A12" s="283"/>
      <c r="B12" s="287"/>
      <c r="C12" s="287"/>
      <c r="D12" s="287"/>
      <c r="E12" s="287"/>
      <c r="F12" s="272"/>
      <c r="G12" s="286"/>
    </row>
    <row r="13" spans="1:7" ht="26.25" customHeight="1" thickTop="1">
      <c r="A13" s="279"/>
      <c r="B13" s="288" t="s">
        <v>495</v>
      </c>
      <c r="C13" s="514">
        <v>12050000</v>
      </c>
      <c r="D13" s="514"/>
      <c r="E13" s="514"/>
      <c r="F13" s="289" t="s">
        <v>496</v>
      </c>
      <c r="G13" s="282"/>
    </row>
    <row r="14" spans="1:7" ht="26.25" customHeight="1" thickBot="1">
      <c r="A14" s="283"/>
      <c r="B14" s="290" t="s">
        <v>497</v>
      </c>
      <c r="C14" s="515">
        <f>'용역비 산출'!J35</f>
        <v>19933000</v>
      </c>
      <c r="D14" s="515"/>
      <c r="E14" s="515"/>
      <c r="F14" s="291" t="s">
        <v>498</v>
      </c>
      <c r="G14" s="286"/>
    </row>
    <row r="15" spans="1:7" ht="26.25" customHeight="1" thickTop="1">
      <c r="A15" s="283"/>
      <c r="B15" s="292"/>
      <c r="C15" s="293"/>
      <c r="D15" s="294"/>
      <c r="E15" s="294"/>
      <c r="F15" s="271"/>
      <c r="G15" s="286"/>
    </row>
    <row r="16" spans="1:7" ht="26.25" customHeight="1">
      <c r="A16" s="508"/>
      <c r="B16" s="505"/>
      <c r="C16" s="509"/>
      <c r="D16" s="509"/>
      <c r="E16" s="509"/>
      <c r="F16" s="295"/>
      <c r="G16" s="296"/>
    </row>
    <row r="17" spans="1:7" ht="26.25" customHeight="1">
      <c r="A17" s="297"/>
      <c r="B17" s="298"/>
      <c r="C17" s="269"/>
      <c r="D17" s="269"/>
      <c r="E17" s="269"/>
      <c r="F17" s="269"/>
      <c r="G17" s="270"/>
    </row>
    <row r="18" spans="1:7" ht="26.25" customHeight="1">
      <c r="A18" s="299"/>
      <c r="B18" s="295"/>
      <c r="C18" s="300" t="s">
        <v>499</v>
      </c>
      <c r="D18" s="300"/>
      <c r="E18" s="300"/>
      <c r="F18" s="301"/>
      <c r="G18" s="296"/>
    </row>
    <row r="19" spans="1:7" ht="26.25" customHeight="1">
      <c r="A19" s="276"/>
      <c r="B19" s="277"/>
      <c r="C19" s="277"/>
      <c r="D19" s="277"/>
      <c r="E19" s="277"/>
      <c r="F19" s="302"/>
      <c r="G19" s="303"/>
    </row>
    <row r="20" spans="1:7" ht="26.25" customHeight="1">
      <c r="A20" s="299"/>
      <c r="B20" s="295"/>
      <c r="C20" s="304" t="s">
        <v>540</v>
      </c>
      <c r="D20" s="305" t="s">
        <v>541</v>
      </c>
      <c r="E20" s="306" t="s">
        <v>500</v>
      </c>
      <c r="F20" s="307"/>
      <c r="G20" s="296"/>
    </row>
    <row r="21" spans="1:7" ht="26.25" customHeight="1">
      <c r="A21" s="299"/>
      <c r="B21" s="295"/>
      <c r="C21" s="295"/>
      <c r="D21" s="295"/>
      <c r="E21" s="295"/>
      <c r="F21" s="295"/>
      <c r="G21" s="296"/>
    </row>
    <row r="22" spans="1:7" ht="26.25" customHeight="1">
      <c r="A22" s="299"/>
      <c r="B22" s="295"/>
      <c r="C22" s="295"/>
      <c r="D22" s="295"/>
      <c r="E22" s="295"/>
      <c r="F22" s="287"/>
      <c r="G22" s="296"/>
    </row>
    <row r="23" spans="1:7" ht="26.25" customHeight="1">
      <c r="A23" s="308"/>
      <c r="B23" s="309"/>
      <c r="C23" s="310" t="s">
        <v>501</v>
      </c>
      <c r="D23" s="277"/>
      <c r="E23" s="310"/>
      <c r="F23" s="277"/>
      <c r="G23" s="278"/>
    </row>
    <row r="24" spans="1:7" ht="26.25" customHeight="1">
      <c r="A24" s="311"/>
      <c r="B24" s="312"/>
      <c r="C24" s="312"/>
      <c r="D24" s="294" t="s">
        <v>542</v>
      </c>
      <c r="E24" s="294"/>
      <c r="F24" s="313"/>
      <c r="G24" s="314"/>
    </row>
    <row r="25" spans="1:7" ht="26.25" customHeight="1" thickBot="1">
      <c r="A25" s="315"/>
      <c r="B25" s="316"/>
      <c r="C25" s="316"/>
      <c r="D25" s="316"/>
      <c r="E25" s="316"/>
      <c r="F25" s="316"/>
      <c r="G25" s="317"/>
    </row>
  </sheetData>
  <protectedRanges>
    <protectedRange sqref="D5:G5" name="기초자료_1"/>
  </protectedRanges>
  <mergeCells count="10">
    <mergeCell ref="A1:G1"/>
    <mergeCell ref="A5:B5"/>
    <mergeCell ref="C5:G5"/>
    <mergeCell ref="A16:B16"/>
    <mergeCell ref="C16:E16"/>
    <mergeCell ref="A7:G7"/>
    <mergeCell ref="C10:E10"/>
    <mergeCell ref="C11:E11"/>
    <mergeCell ref="C13:E13"/>
    <mergeCell ref="C14:E14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view="pageBreakPreview" zoomScale="145" zoomScaleNormal="100" zoomScaleSheetLayoutView="145" workbookViewId="0">
      <selection activeCell="E9" sqref="E9"/>
    </sheetView>
  </sheetViews>
  <sheetFormatPr defaultRowHeight="16.5"/>
  <cols>
    <col min="1" max="1" width="13.25" customWidth="1"/>
    <col min="2" max="2" width="19.875" customWidth="1"/>
    <col min="5" max="5" width="14.75" customWidth="1"/>
    <col min="9" max="9" width="16.5" customWidth="1"/>
    <col min="10" max="10" width="20.5" customWidth="1"/>
    <col min="11" max="11" width="13.25" customWidth="1"/>
  </cols>
  <sheetData>
    <row r="1" spans="1:11" ht="31.5">
      <c r="A1" s="516" t="s">
        <v>443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</row>
    <row r="2" spans="1:11" ht="18" thickBot="1">
      <c r="A2" s="517" t="s">
        <v>425</v>
      </c>
      <c r="B2" s="517" t="s">
        <v>426</v>
      </c>
      <c r="C2" s="517" t="s">
        <v>427</v>
      </c>
      <c r="D2" s="517" t="s">
        <v>428</v>
      </c>
      <c r="E2" s="517" t="s">
        <v>429</v>
      </c>
      <c r="F2" s="517" t="s">
        <v>430</v>
      </c>
      <c r="G2" s="519" t="s">
        <v>431</v>
      </c>
      <c r="H2" s="520"/>
      <c r="I2" s="517" t="s">
        <v>432</v>
      </c>
      <c r="J2" s="517" t="s">
        <v>433</v>
      </c>
      <c r="K2" s="517" t="s">
        <v>434</v>
      </c>
    </row>
    <row r="3" spans="1:11" ht="18" thickBot="1">
      <c r="A3" s="518"/>
      <c r="B3" s="518"/>
      <c r="C3" s="518"/>
      <c r="D3" s="518"/>
      <c r="E3" s="518"/>
      <c r="F3" s="518"/>
      <c r="G3" s="200" t="s">
        <v>435</v>
      </c>
      <c r="H3" s="200" t="s">
        <v>436</v>
      </c>
      <c r="I3" s="518"/>
      <c r="J3" s="518"/>
      <c r="K3" s="518"/>
    </row>
    <row r="4" spans="1:11" ht="18" thickBot="1">
      <c r="A4" s="201" t="s">
        <v>437</v>
      </c>
      <c r="B4" s="201"/>
      <c r="C4" s="201"/>
      <c r="D4" s="201"/>
      <c r="E4" s="202">
        <f>SUM(E5)</f>
        <v>52</v>
      </c>
      <c r="F4" s="202">
        <f t="shared" ref="F4:H4" si="0">SUM(F5)</f>
        <v>17.3</v>
      </c>
      <c r="G4" s="202">
        <f t="shared" si="0"/>
        <v>2.8</v>
      </c>
      <c r="H4" s="202">
        <f t="shared" si="0"/>
        <v>14.5</v>
      </c>
      <c r="I4" s="201"/>
      <c r="J4" s="201"/>
      <c r="K4" s="201"/>
    </row>
    <row r="5" spans="1:11" ht="17.25">
      <c r="A5" s="231" t="s">
        <v>438</v>
      </c>
      <c r="B5" s="231"/>
      <c r="C5" s="231"/>
      <c r="D5" s="231"/>
      <c r="E5" s="232">
        <f>E6</f>
        <v>52</v>
      </c>
      <c r="F5" s="232">
        <f t="shared" ref="F5:H5" si="1">F6</f>
        <v>17.3</v>
      </c>
      <c r="G5" s="232">
        <f t="shared" si="1"/>
        <v>2.8</v>
      </c>
      <c r="H5" s="232">
        <f t="shared" si="1"/>
        <v>14.5</v>
      </c>
      <c r="I5" s="231"/>
      <c r="J5" s="231"/>
      <c r="K5" s="231"/>
    </row>
    <row r="6" spans="1:11" ht="51.75">
      <c r="A6" s="230" t="s">
        <v>439</v>
      </c>
      <c r="B6" s="230" t="s">
        <v>440</v>
      </c>
      <c r="C6" s="230">
        <v>158</v>
      </c>
      <c r="D6" s="230">
        <v>2</v>
      </c>
      <c r="E6" s="233">
        <v>52</v>
      </c>
      <c r="F6" s="233">
        <f>G6+H6</f>
        <v>17.3</v>
      </c>
      <c r="G6" s="233">
        <v>2.8</v>
      </c>
      <c r="H6" s="234">
        <v>14.5</v>
      </c>
      <c r="I6" s="234" t="s">
        <v>441</v>
      </c>
      <c r="J6" s="230" t="s">
        <v>442</v>
      </c>
      <c r="K6" s="235"/>
    </row>
  </sheetData>
  <mergeCells count="11">
    <mergeCell ref="A1:K1"/>
    <mergeCell ref="A2:A3"/>
    <mergeCell ref="B2:B3"/>
    <mergeCell ref="C2:C3"/>
    <mergeCell ref="D2:D3"/>
    <mergeCell ref="E2:E3"/>
    <mergeCell ref="F2:F3"/>
    <mergeCell ref="G2:H2"/>
    <mergeCell ref="I2:I3"/>
    <mergeCell ref="J2:J3"/>
    <mergeCell ref="K2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11</vt:i4>
      </vt:variant>
    </vt:vector>
  </HeadingPairs>
  <TitlesOfParts>
    <vt:vector size="24" baseType="lpstr">
      <vt:lpstr>풀베기설계</vt:lpstr>
      <vt:lpstr>풀베기감리</vt:lpstr>
      <vt:lpstr>설계용역비(덩굴제거)</vt:lpstr>
      <vt:lpstr>감리용역비(덩굴제거)</vt:lpstr>
      <vt:lpstr>어린나무설계</vt:lpstr>
      <vt:lpstr>어린나무감리</vt:lpstr>
      <vt:lpstr>큰나무설계</vt:lpstr>
      <vt:lpstr>큰나무감리용역비</vt:lpstr>
      <vt:lpstr>감리용역비(임목수확)</vt:lpstr>
      <vt:lpstr>기초자료</vt:lpstr>
      <vt:lpstr>용역비 산출</vt:lpstr>
      <vt:lpstr>예정가격 평정서</vt:lpstr>
      <vt:lpstr>대상지</vt:lpstr>
      <vt:lpstr>'감리용역비(덩굴제거)'!Print_Area</vt:lpstr>
      <vt:lpstr>기초자료!Print_Area</vt:lpstr>
      <vt:lpstr>'설계용역비(덩굴제거)'!Print_Area</vt:lpstr>
      <vt:lpstr>어린나무감리!Print_Area</vt:lpstr>
      <vt:lpstr>어린나무설계!Print_Area</vt:lpstr>
      <vt:lpstr>'예정가격 평정서'!Print_Area</vt:lpstr>
      <vt:lpstr>'용역비 산출'!Print_Area</vt:lpstr>
      <vt:lpstr>큰나무감리용역비!Print_Area</vt:lpstr>
      <vt:lpstr>큰나무설계!Print_Area</vt:lpstr>
      <vt:lpstr>풀베기감리!Print_Area</vt:lpstr>
      <vt:lpstr>풀베기설계!Print_Area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2023-11-02T01:50:34Z</cp:lastPrinted>
  <dcterms:created xsi:type="dcterms:W3CDTF">2015-03-30T10:04:04Z</dcterms:created>
  <dcterms:modified xsi:type="dcterms:W3CDTF">2026-09-28T08:18:52Z</dcterms:modified>
</cp:coreProperties>
</file>