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-120" yWindow="-120" windowWidth="29040" windowHeight="15840"/>
  </bookViews>
  <sheets>
    <sheet name="원가계산서" sheetId="9" r:id="rId1"/>
    <sheet name="집계표" sheetId="8" r:id="rId2"/>
    <sheet name="내역서" sheetId="7" r:id="rId3"/>
    <sheet name="일위대가목록" sheetId="6" r:id="rId4"/>
    <sheet name="일위대가표" sheetId="5" r:id="rId5"/>
    <sheet name="중기경비목록" sheetId="4" r:id="rId6"/>
    <sheet name="중기경비" sheetId="3" r:id="rId7"/>
    <sheet name="단가대비표" sheetId="2" r:id="rId8"/>
    <sheet name="Sheet1" sheetId="1" r:id="rId9"/>
  </sheets>
  <definedNames>
    <definedName name="_xlnm.Print_Area" localSheetId="2">내역서!$A$1:$N$116</definedName>
    <definedName name="_xlnm.Print_Area" localSheetId="7">단가대비표!$A$1:$P$68</definedName>
    <definedName name="_xlnm.Print_Area" localSheetId="0">원가계산서!$A$1:$F$41</definedName>
    <definedName name="_xlnm.Print_Area" localSheetId="3">일위대가목록!$A$1:$N$52</definedName>
    <definedName name="_xlnm.Print_Area" localSheetId="4">일위대가표!$A$1:$M$228</definedName>
    <definedName name="_xlnm.Print_Area" localSheetId="6">중기경비!$A$1:$M$36</definedName>
    <definedName name="_xlnm.Print_Area" localSheetId="5">중기경비목록!$A$1:$N$20</definedName>
    <definedName name="_xlnm.Print_Area" localSheetId="1">집계표!$A$1:$L$36</definedName>
    <definedName name="_xlnm.Print_Titles" localSheetId="2">내역서!$1:$4</definedName>
    <definedName name="_xlnm.Print_Titles" localSheetId="7">단가대비표!$1:$4</definedName>
    <definedName name="_xlnm.Print_Titles" localSheetId="0">원가계산서!$1:$4</definedName>
    <definedName name="_xlnm.Print_Titles" localSheetId="3">일위대가목록!$1:$4</definedName>
    <definedName name="_xlnm.Print_Titles" localSheetId="4">일위대가표!$1:$4</definedName>
    <definedName name="_xlnm.Print_Titles" localSheetId="6">중기경비!$1:$4</definedName>
    <definedName name="_xlnm.Print_Titles" localSheetId="5">중기경비목록!$1:$4</definedName>
    <definedName name="_xlnm.Print_Titles" localSheetId="1">집계표!$1:$4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9" l="1"/>
  <c r="E36" i="9" s="1"/>
  <c r="I36" i="9"/>
  <c r="I35" i="9"/>
  <c r="I32" i="9"/>
  <c r="E40" i="9"/>
  <c r="I40" i="9" s="1"/>
  <c r="E39" i="9"/>
  <c r="I39" i="9" s="1"/>
  <c r="E38" i="9"/>
  <c r="I38" i="9"/>
  <c r="D36" i="9"/>
  <c r="E34" i="9"/>
  <c r="I34" i="9"/>
  <c r="E33" i="9"/>
  <c r="I33" i="9"/>
  <c r="D32" i="9"/>
  <c r="D31" i="9"/>
  <c r="D28" i="9"/>
  <c r="E28" i="9"/>
  <c r="I28" i="9" s="1"/>
  <c r="D27" i="9"/>
  <c r="E27" i="9"/>
  <c r="I27" i="9"/>
  <c r="E26" i="9"/>
  <c r="I26" i="9" s="1"/>
  <c r="E25" i="9"/>
  <c r="I25" i="9" s="1"/>
  <c r="E24" i="9"/>
  <c r="I24" i="9" s="1"/>
  <c r="E23" i="9"/>
  <c r="I23" i="9" s="1"/>
  <c r="D22" i="9"/>
  <c r="E22" i="9"/>
  <c r="I22" i="9" s="1"/>
  <c r="D21" i="9"/>
  <c r="E21" i="9"/>
  <c r="I21" i="9" s="1"/>
  <c r="D20" i="9"/>
  <c r="E20" i="9"/>
  <c r="I20" i="9" s="1"/>
  <c r="D19" i="9"/>
  <c r="E19" i="9"/>
  <c r="I19" i="9" s="1"/>
  <c r="E18" i="9"/>
  <c r="I18" i="9"/>
  <c r="E17" i="9"/>
  <c r="I17" i="9" s="1"/>
  <c r="E16" i="9"/>
  <c r="I16" i="9" s="1"/>
  <c r="E15" i="9"/>
  <c r="I15" i="9"/>
  <c r="D14" i="9"/>
  <c r="E14" i="9"/>
  <c r="I14" i="9"/>
  <c r="D13" i="9"/>
  <c r="E13" i="9"/>
  <c r="I13" i="9" s="1"/>
  <c r="E12" i="9"/>
  <c r="I12" i="9" s="1"/>
  <c r="E11" i="9"/>
  <c r="I11" i="9"/>
  <c r="D10" i="9"/>
  <c r="E10" i="9"/>
  <c r="I10" i="9" s="1"/>
  <c r="E9" i="9"/>
  <c r="I9" i="9" s="1"/>
  <c r="E8" i="9"/>
  <c r="I8" i="9"/>
  <c r="E7" i="9"/>
  <c r="I7" i="9"/>
  <c r="E6" i="9"/>
  <c r="I6" i="9" s="1"/>
  <c r="E5" i="9"/>
  <c r="I5" i="9" s="1"/>
  <c r="E36" i="8"/>
  <c r="K36" i="8" s="1"/>
  <c r="G36" i="8"/>
  <c r="I36" i="8"/>
  <c r="Q36" i="8"/>
  <c r="R36" i="8"/>
  <c r="R5" i="8" s="1"/>
  <c r="R20" i="8" s="1"/>
  <c r="S36" i="8"/>
  <c r="T36" i="8"/>
  <c r="U36" i="8"/>
  <c r="V36" i="8"/>
  <c r="V5" i="8" s="1"/>
  <c r="V20" i="8" s="1"/>
  <c r="W36" i="8"/>
  <c r="X36" i="8"/>
  <c r="Y36" i="8"/>
  <c r="Z36" i="8"/>
  <c r="Z5" i="8" s="1"/>
  <c r="Z20" i="8" s="1"/>
  <c r="AA36" i="8"/>
  <c r="AB36" i="8"/>
  <c r="AC36" i="8"/>
  <c r="AD36" i="8"/>
  <c r="AD5" i="8" s="1"/>
  <c r="AD20" i="8" s="1"/>
  <c r="AE36" i="8"/>
  <c r="AF36" i="8"/>
  <c r="AG36" i="8"/>
  <c r="AH36" i="8"/>
  <c r="AH5" i="8" s="1"/>
  <c r="AH20" i="8" s="1"/>
  <c r="AI36" i="8"/>
  <c r="AJ36" i="8"/>
  <c r="AK36" i="8"/>
  <c r="AL36" i="8"/>
  <c r="AL5" i="8" s="1"/>
  <c r="AL20" i="8" s="1"/>
  <c r="AM36" i="8"/>
  <c r="AN36" i="8"/>
  <c r="AO36" i="8"/>
  <c r="AP36" i="8"/>
  <c r="AP5" i="8" s="1"/>
  <c r="AP20" i="8" s="1"/>
  <c r="AQ36" i="8"/>
  <c r="AR36" i="8"/>
  <c r="AS36" i="8"/>
  <c r="AT36" i="8"/>
  <c r="AT5" i="8" s="1"/>
  <c r="AT20" i="8" s="1"/>
  <c r="AU36" i="8"/>
  <c r="AV36" i="8"/>
  <c r="AW36" i="8"/>
  <c r="AX36" i="8"/>
  <c r="D28" i="8"/>
  <c r="E28" i="8" s="1"/>
  <c r="K28" i="8" s="1"/>
  <c r="F28" i="8"/>
  <c r="G28" i="8" s="1"/>
  <c r="H28" i="8"/>
  <c r="I28" i="8" s="1"/>
  <c r="J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D27" i="8"/>
  <c r="E27" i="8" s="1"/>
  <c r="K27" i="8" s="1"/>
  <c r="F27" i="8"/>
  <c r="G27" i="8" s="1"/>
  <c r="H27" i="8"/>
  <c r="I27" i="8" s="1"/>
  <c r="J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AT27" i="8"/>
  <c r="AU27" i="8"/>
  <c r="D26" i="8"/>
  <c r="E26" i="8" s="1"/>
  <c r="K26" i="8" s="1"/>
  <c r="F26" i="8"/>
  <c r="G26" i="8" s="1"/>
  <c r="H26" i="8"/>
  <c r="I26" i="8" s="1"/>
  <c r="J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D25" i="8"/>
  <c r="E25" i="8" s="1"/>
  <c r="K25" i="8" s="1"/>
  <c r="F25" i="8"/>
  <c r="G25" i="8" s="1"/>
  <c r="H25" i="8"/>
  <c r="I25" i="8" s="1"/>
  <c r="J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AT25" i="8"/>
  <c r="AU25" i="8"/>
  <c r="D24" i="8"/>
  <c r="E24" i="8" s="1"/>
  <c r="K24" i="8" s="1"/>
  <c r="F24" i="8"/>
  <c r="G24" i="8" s="1"/>
  <c r="H24" i="8"/>
  <c r="I24" i="8" s="1"/>
  <c r="J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D23" i="8"/>
  <c r="J23" i="8" s="1"/>
  <c r="E23" i="8"/>
  <c r="K23" i="8" s="1"/>
  <c r="F23" i="8"/>
  <c r="G23" i="8"/>
  <c r="H23" i="8"/>
  <c r="I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AT23" i="8"/>
  <c r="AU23" i="8"/>
  <c r="D22" i="8"/>
  <c r="E22" i="8" s="1"/>
  <c r="K22" i="8" s="1"/>
  <c r="F22" i="8"/>
  <c r="G22" i="8" s="1"/>
  <c r="H22" i="8"/>
  <c r="I22" i="8" s="1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0" i="8"/>
  <c r="AW20" i="8"/>
  <c r="AX20" i="8"/>
  <c r="D5" i="8"/>
  <c r="E5" i="8" s="1"/>
  <c r="E20" i="8" s="1"/>
  <c r="F5" i="8"/>
  <c r="G5" i="8" s="1"/>
  <c r="G20" i="8" s="1"/>
  <c r="H5" i="8"/>
  <c r="I5" i="8"/>
  <c r="I20" i="8" s="1"/>
  <c r="J5" i="8"/>
  <c r="Q5" i="8"/>
  <c r="Q20" i="8" s="1"/>
  <c r="S5" i="8"/>
  <c r="S20" i="8" s="1"/>
  <c r="T5" i="8"/>
  <c r="T20" i="8" s="1"/>
  <c r="U5" i="8"/>
  <c r="U20" i="8" s="1"/>
  <c r="W5" i="8"/>
  <c r="W20" i="8" s="1"/>
  <c r="X5" i="8"/>
  <c r="X20" i="8" s="1"/>
  <c r="Y5" i="8"/>
  <c r="Y20" i="8" s="1"/>
  <c r="AA5" i="8"/>
  <c r="AA20" i="8" s="1"/>
  <c r="AB5" i="8"/>
  <c r="AB20" i="8" s="1"/>
  <c r="AC5" i="8"/>
  <c r="AC20" i="8" s="1"/>
  <c r="AE5" i="8"/>
  <c r="AE20" i="8" s="1"/>
  <c r="AF5" i="8"/>
  <c r="AF20" i="8" s="1"/>
  <c r="AG5" i="8"/>
  <c r="AG20" i="8" s="1"/>
  <c r="AI5" i="8"/>
  <c r="AI20" i="8" s="1"/>
  <c r="AJ5" i="8"/>
  <c r="AJ20" i="8" s="1"/>
  <c r="AK5" i="8"/>
  <c r="AK20" i="8" s="1"/>
  <c r="AM5" i="8"/>
  <c r="AM20" i="8" s="1"/>
  <c r="AN5" i="8"/>
  <c r="AN20" i="8" s="1"/>
  <c r="AO5" i="8"/>
  <c r="AO20" i="8" s="1"/>
  <c r="AQ5" i="8"/>
  <c r="AQ20" i="8" s="1"/>
  <c r="AR5" i="8"/>
  <c r="AR20" i="8" s="1"/>
  <c r="AS5" i="8"/>
  <c r="AS20" i="8" s="1"/>
  <c r="AU5" i="8"/>
  <c r="AU20" i="8" s="1"/>
  <c r="F116" i="7"/>
  <c r="H116" i="7"/>
  <c r="J116" i="7"/>
  <c r="L116" i="7" s="1"/>
  <c r="R116" i="7"/>
  <c r="S116" i="7"/>
  <c r="T116" i="7"/>
  <c r="U116" i="7"/>
  <c r="V116" i="7"/>
  <c r="W116" i="7"/>
  <c r="X116" i="7"/>
  <c r="Y116" i="7"/>
  <c r="Z116" i="7"/>
  <c r="AA116" i="7"/>
  <c r="AB116" i="7"/>
  <c r="AC116" i="7"/>
  <c r="AD116" i="7"/>
  <c r="AE116" i="7"/>
  <c r="AF116" i="7"/>
  <c r="AG116" i="7"/>
  <c r="AH116" i="7"/>
  <c r="AI116" i="7"/>
  <c r="AJ116" i="7"/>
  <c r="AK116" i="7"/>
  <c r="AL116" i="7"/>
  <c r="AM116" i="7"/>
  <c r="AN116" i="7"/>
  <c r="AO116" i="7"/>
  <c r="AP116" i="7"/>
  <c r="AQ116" i="7"/>
  <c r="AR116" i="7"/>
  <c r="AS116" i="7"/>
  <c r="AT116" i="7"/>
  <c r="AU116" i="7"/>
  <c r="AV116" i="7"/>
  <c r="AW116" i="7"/>
  <c r="AX116" i="7"/>
  <c r="AY116" i="7"/>
  <c r="F106" i="7"/>
  <c r="H106" i="7"/>
  <c r="I106" i="7"/>
  <c r="K106" i="7" s="1"/>
  <c r="O106" i="7"/>
  <c r="R106" i="7"/>
  <c r="S106" i="7"/>
  <c r="T106" i="7"/>
  <c r="U106" i="7"/>
  <c r="V106" i="7"/>
  <c r="W106" i="7"/>
  <c r="Y106" i="7"/>
  <c r="Z106" i="7"/>
  <c r="AA106" i="7"/>
  <c r="AB106" i="7"/>
  <c r="AC106" i="7"/>
  <c r="AD106" i="7"/>
  <c r="AE106" i="7"/>
  <c r="AF106" i="7"/>
  <c r="AG106" i="7"/>
  <c r="AH106" i="7"/>
  <c r="AI106" i="7"/>
  <c r="AJ106" i="7"/>
  <c r="AK106" i="7"/>
  <c r="AL106" i="7"/>
  <c r="AM106" i="7"/>
  <c r="AN106" i="7"/>
  <c r="AO106" i="7"/>
  <c r="AP106" i="7"/>
  <c r="AQ106" i="7"/>
  <c r="AR106" i="7"/>
  <c r="AS106" i="7"/>
  <c r="AT106" i="7"/>
  <c r="AU106" i="7"/>
  <c r="F105" i="7"/>
  <c r="H105" i="7"/>
  <c r="I105" i="7"/>
  <c r="K105" i="7" s="1"/>
  <c r="O105" i="7"/>
  <c r="R105" i="7"/>
  <c r="S105" i="7"/>
  <c r="T105" i="7"/>
  <c r="U105" i="7"/>
  <c r="V105" i="7"/>
  <c r="W105" i="7"/>
  <c r="Y105" i="7"/>
  <c r="Z105" i="7"/>
  <c r="AA105" i="7"/>
  <c r="AB105" i="7"/>
  <c r="AC105" i="7"/>
  <c r="AD105" i="7"/>
  <c r="AE105" i="7"/>
  <c r="AF105" i="7"/>
  <c r="AG105" i="7"/>
  <c r="AH105" i="7"/>
  <c r="AI105" i="7"/>
  <c r="AJ105" i="7"/>
  <c r="AK105" i="7"/>
  <c r="AL105" i="7"/>
  <c r="AM105" i="7"/>
  <c r="AN105" i="7"/>
  <c r="AO105" i="7"/>
  <c r="AP105" i="7"/>
  <c r="AQ105" i="7"/>
  <c r="AR105" i="7"/>
  <c r="AS105" i="7"/>
  <c r="AT105" i="7"/>
  <c r="AU105" i="7"/>
  <c r="F104" i="7"/>
  <c r="H104" i="7"/>
  <c r="I104" i="7"/>
  <c r="K104" i="7" s="1"/>
  <c r="O104" i="7"/>
  <c r="R104" i="7"/>
  <c r="S104" i="7"/>
  <c r="T104" i="7"/>
  <c r="U104" i="7"/>
  <c r="V104" i="7"/>
  <c r="W104" i="7"/>
  <c r="Y104" i="7"/>
  <c r="Z104" i="7"/>
  <c r="AA104" i="7"/>
  <c r="AB104" i="7"/>
  <c r="AC104" i="7"/>
  <c r="AD104" i="7"/>
  <c r="AE104" i="7"/>
  <c r="AF104" i="7"/>
  <c r="AG104" i="7"/>
  <c r="AH104" i="7"/>
  <c r="AI104" i="7"/>
  <c r="AJ104" i="7"/>
  <c r="AK104" i="7"/>
  <c r="AL104" i="7"/>
  <c r="AM104" i="7"/>
  <c r="AN104" i="7"/>
  <c r="AO104" i="7"/>
  <c r="AP104" i="7"/>
  <c r="AQ104" i="7"/>
  <c r="AR104" i="7"/>
  <c r="AS104" i="7"/>
  <c r="AT104" i="7"/>
  <c r="AU104" i="7"/>
  <c r="F103" i="7"/>
  <c r="H103" i="7"/>
  <c r="I103" i="7"/>
  <c r="K103" i="7" s="1"/>
  <c r="O103" i="7"/>
  <c r="R103" i="7"/>
  <c r="S103" i="7"/>
  <c r="T103" i="7"/>
  <c r="U103" i="7"/>
  <c r="V103" i="7"/>
  <c r="W103" i="7"/>
  <c r="Y103" i="7"/>
  <c r="Z103" i="7"/>
  <c r="AA103" i="7"/>
  <c r="AB103" i="7"/>
  <c r="AC103" i="7"/>
  <c r="AD103" i="7"/>
  <c r="AE103" i="7"/>
  <c r="AF103" i="7"/>
  <c r="AG103" i="7"/>
  <c r="AH103" i="7"/>
  <c r="AI103" i="7"/>
  <c r="AJ103" i="7"/>
  <c r="AK103" i="7"/>
  <c r="AL103" i="7"/>
  <c r="AM103" i="7"/>
  <c r="AN103" i="7"/>
  <c r="AO103" i="7"/>
  <c r="AP103" i="7"/>
  <c r="AQ103" i="7"/>
  <c r="AR103" i="7"/>
  <c r="AS103" i="7"/>
  <c r="AT103" i="7"/>
  <c r="AU103" i="7"/>
  <c r="F102" i="7"/>
  <c r="H102" i="7"/>
  <c r="I102" i="7"/>
  <c r="K102" i="7" s="1"/>
  <c r="O102" i="7"/>
  <c r="R102" i="7"/>
  <c r="S102" i="7"/>
  <c r="T102" i="7"/>
  <c r="U102" i="7"/>
  <c r="V102" i="7"/>
  <c r="W102" i="7"/>
  <c r="Y102" i="7"/>
  <c r="Z102" i="7"/>
  <c r="AA102" i="7"/>
  <c r="AB102" i="7"/>
  <c r="AC102" i="7"/>
  <c r="AD102" i="7"/>
  <c r="AE102" i="7"/>
  <c r="AF102" i="7"/>
  <c r="AG102" i="7"/>
  <c r="AH102" i="7"/>
  <c r="AI102" i="7"/>
  <c r="AJ102" i="7"/>
  <c r="AK102" i="7"/>
  <c r="AL102" i="7"/>
  <c r="AM102" i="7"/>
  <c r="AN102" i="7"/>
  <c r="AO102" i="7"/>
  <c r="AP102" i="7"/>
  <c r="AQ102" i="7"/>
  <c r="AR102" i="7"/>
  <c r="AS102" i="7"/>
  <c r="AT102" i="7"/>
  <c r="AU102" i="7"/>
  <c r="F100" i="7"/>
  <c r="L100" i="7" s="1"/>
  <c r="H100" i="7"/>
  <c r="J100" i="7"/>
  <c r="R100" i="7"/>
  <c r="S100" i="7"/>
  <c r="T100" i="7"/>
  <c r="U100" i="7"/>
  <c r="V100" i="7"/>
  <c r="W100" i="7"/>
  <c r="X100" i="7"/>
  <c r="Y100" i="7"/>
  <c r="Z100" i="7"/>
  <c r="AA100" i="7"/>
  <c r="AB100" i="7"/>
  <c r="AC100" i="7"/>
  <c r="AD100" i="7"/>
  <c r="AE100" i="7"/>
  <c r="AF100" i="7"/>
  <c r="AG100" i="7"/>
  <c r="AH100" i="7"/>
  <c r="AI100" i="7"/>
  <c r="AJ100" i="7"/>
  <c r="AK100" i="7"/>
  <c r="AL100" i="7"/>
  <c r="AM100" i="7"/>
  <c r="AN100" i="7"/>
  <c r="AO100" i="7"/>
  <c r="AP100" i="7"/>
  <c r="AQ100" i="7"/>
  <c r="AR100" i="7"/>
  <c r="AS100" i="7"/>
  <c r="AT100" i="7"/>
  <c r="AU100" i="7"/>
  <c r="AV100" i="7"/>
  <c r="AW100" i="7"/>
  <c r="AX100" i="7"/>
  <c r="AY100" i="7"/>
  <c r="F93" i="7"/>
  <c r="H93" i="7"/>
  <c r="I93" i="7"/>
  <c r="K93" i="7" s="1"/>
  <c r="O93" i="7"/>
  <c r="S93" i="7"/>
  <c r="T93" i="7"/>
  <c r="U93" i="7"/>
  <c r="V93" i="7"/>
  <c r="W93" i="7"/>
  <c r="X93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AR93" i="7"/>
  <c r="AS93" i="7"/>
  <c r="AT93" i="7"/>
  <c r="AU93" i="7"/>
  <c r="F92" i="7"/>
  <c r="H92" i="7"/>
  <c r="I92" i="7"/>
  <c r="K92" i="7" s="1"/>
  <c r="O92" i="7"/>
  <c r="S92" i="7"/>
  <c r="T92" i="7"/>
  <c r="U92" i="7"/>
  <c r="V92" i="7"/>
  <c r="W92" i="7"/>
  <c r="X92" i="7"/>
  <c r="Y92" i="7"/>
  <c r="Z92" i="7"/>
  <c r="AA92" i="7"/>
  <c r="AB92" i="7"/>
  <c r="AC92" i="7"/>
  <c r="AD92" i="7"/>
  <c r="AE92" i="7"/>
  <c r="AF92" i="7"/>
  <c r="AG92" i="7"/>
  <c r="AH92" i="7"/>
  <c r="AI92" i="7"/>
  <c r="AJ92" i="7"/>
  <c r="AK92" i="7"/>
  <c r="AL92" i="7"/>
  <c r="AM92" i="7"/>
  <c r="AN92" i="7"/>
  <c r="AO92" i="7"/>
  <c r="AP92" i="7"/>
  <c r="AQ92" i="7"/>
  <c r="AR92" i="7"/>
  <c r="AS92" i="7"/>
  <c r="AT92" i="7"/>
  <c r="AU92" i="7"/>
  <c r="E91" i="7"/>
  <c r="F91" i="7"/>
  <c r="L91" i="7" s="1"/>
  <c r="G91" i="7"/>
  <c r="H91" i="7" s="1"/>
  <c r="I91" i="7"/>
  <c r="J91" i="7"/>
  <c r="K91" i="7"/>
  <c r="O91" i="7"/>
  <c r="R91" i="7"/>
  <c r="S91" i="7"/>
  <c r="T91" i="7"/>
  <c r="U91" i="7"/>
  <c r="V91" i="7"/>
  <c r="W91" i="7"/>
  <c r="X91" i="7"/>
  <c r="Y91" i="7"/>
  <c r="Z91" i="7"/>
  <c r="AA91" i="7"/>
  <c r="AB91" i="7"/>
  <c r="AC91" i="7"/>
  <c r="AD91" i="7"/>
  <c r="AE91" i="7"/>
  <c r="AF91" i="7"/>
  <c r="AG91" i="7"/>
  <c r="AH91" i="7"/>
  <c r="AI91" i="7"/>
  <c r="AJ91" i="7"/>
  <c r="AK91" i="7"/>
  <c r="AL91" i="7"/>
  <c r="AM91" i="7"/>
  <c r="AN91" i="7"/>
  <c r="AO91" i="7"/>
  <c r="AP91" i="7"/>
  <c r="AQ91" i="7"/>
  <c r="AR91" i="7"/>
  <c r="AS91" i="7"/>
  <c r="AT91" i="7"/>
  <c r="AU91" i="7"/>
  <c r="E90" i="7"/>
  <c r="F90" i="7" s="1"/>
  <c r="L90" i="7" s="1"/>
  <c r="G90" i="7"/>
  <c r="H90" i="7"/>
  <c r="I90" i="7"/>
  <c r="J90" i="7" s="1"/>
  <c r="R90" i="7" s="1"/>
  <c r="O90" i="7"/>
  <c r="S90" i="7"/>
  <c r="T90" i="7"/>
  <c r="U90" i="7"/>
  <c r="V90" i="7"/>
  <c r="W90" i="7"/>
  <c r="X90" i="7"/>
  <c r="Y90" i="7"/>
  <c r="Z90" i="7"/>
  <c r="AA90" i="7"/>
  <c r="AB90" i="7"/>
  <c r="AC90" i="7"/>
  <c r="AD90" i="7"/>
  <c r="AE90" i="7"/>
  <c r="AF90" i="7"/>
  <c r="AG90" i="7"/>
  <c r="AH90" i="7"/>
  <c r="AI90" i="7"/>
  <c r="AJ90" i="7"/>
  <c r="AK90" i="7"/>
  <c r="AL90" i="7"/>
  <c r="AM90" i="7"/>
  <c r="AN90" i="7"/>
  <c r="AO90" i="7"/>
  <c r="AP90" i="7"/>
  <c r="AQ90" i="7"/>
  <c r="AR90" i="7"/>
  <c r="AS90" i="7"/>
  <c r="AT90" i="7"/>
  <c r="AU90" i="7"/>
  <c r="E89" i="7"/>
  <c r="F89" i="7"/>
  <c r="G89" i="7"/>
  <c r="H89" i="7" s="1"/>
  <c r="I89" i="7"/>
  <c r="J89" i="7"/>
  <c r="K89" i="7"/>
  <c r="O89" i="7"/>
  <c r="R89" i="7"/>
  <c r="S89" i="7"/>
  <c r="T89" i="7"/>
  <c r="U89" i="7"/>
  <c r="V89" i="7"/>
  <c r="W89" i="7"/>
  <c r="X89" i="7"/>
  <c r="Y89" i="7"/>
  <c r="Z89" i="7"/>
  <c r="AA89" i="7"/>
  <c r="AB89" i="7"/>
  <c r="AC89" i="7"/>
  <c r="AD89" i="7"/>
  <c r="AE89" i="7"/>
  <c r="AF89" i="7"/>
  <c r="AG89" i="7"/>
  <c r="AH89" i="7"/>
  <c r="AI89" i="7"/>
  <c r="AJ89" i="7"/>
  <c r="AK89" i="7"/>
  <c r="AL89" i="7"/>
  <c r="AM89" i="7"/>
  <c r="AN89" i="7"/>
  <c r="AO89" i="7"/>
  <c r="AP89" i="7"/>
  <c r="AQ89" i="7"/>
  <c r="AR89" i="7"/>
  <c r="AS89" i="7"/>
  <c r="AT89" i="7"/>
  <c r="AU89" i="7"/>
  <c r="E88" i="7"/>
  <c r="F88" i="7" s="1"/>
  <c r="G88" i="7"/>
  <c r="H88" i="7" s="1"/>
  <c r="I88" i="7"/>
  <c r="J88" i="7" s="1"/>
  <c r="R88" i="7" s="1"/>
  <c r="K88" i="7"/>
  <c r="O88" i="7"/>
  <c r="S88" i="7"/>
  <c r="T88" i="7"/>
  <c r="U88" i="7"/>
  <c r="V88" i="7"/>
  <c r="W88" i="7"/>
  <c r="X88" i="7"/>
  <c r="Y88" i="7"/>
  <c r="Z88" i="7"/>
  <c r="AA88" i="7"/>
  <c r="AB88" i="7"/>
  <c r="AC88" i="7"/>
  <c r="AD88" i="7"/>
  <c r="AE88" i="7"/>
  <c r="AF88" i="7"/>
  <c r="AG88" i="7"/>
  <c r="AH88" i="7"/>
  <c r="AI88" i="7"/>
  <c r="AJ88" i="7"/>
  <c r="AK88" i="7"/>
  <c r="AL88" i="7"/>
  <c r="AM88" i="7"/>
  <c r="AN88" i="7"/>
  <c r="AO88" i="7"/>
  <c r="AP88" i="7"/>
  <c r="AQ88" i="7"/>
  <c r="AR88" i="7"/>
  <c r="AS88" i="7"/>
  <c r="AT88" i="7"/>
  <c r="AU88" i="7"/>
  <c r="E87" i="7"/>
  <c r="F87" i="7" s="1"/>
  <c r="G87" i="7"/>
  <c r="H87" i="7" s="1"/>
  <c r="I87" i="7"/>
  <c r="J87" i="7" s="1"/>
  <c r="R87" i="7" s="1"/>
  <c r="K87" i="7"/>
  <c r="O87" i="7"/>
  <c r="S87" i="7"/>
  <c r="T87" i="7"/>
  <c r="U87" i="7"/>
  <c r="V87" i="7"/>
  <c r="W87" i="7"/>
  <c r="X87" i="7"/>
  <c r="Y87" i="7"/>
  <c r="Z87" i="7"/>
  <c r="AA87" i="7"/>
  <c r="AB87" i="7"/>
  <c r="AC87" i="7"/>
  <c r="AD87" i="7"/>
  <c r="AE87" i="7"/>
  <c r="AF87" i="7"/>
  <c r="AG87" i="7"/>
  <c r="AH87" i="7"/>
  <c r="AI87" i="7"/>
  <c r="AJ87" i="7"/>
  <c r="AK87" i="7"/>
  <c r="AL87" i="7"/>
  <c r="AM87" i="7"/>
  <c r="AN87" i="7"/>
  <c r="AO87" i="7"/>
  <c r="AP87" i="7"/>
  <c r="AQ87" i="7"/>
  <c r="AR87" i="7"/>
  <c r="AS87" i="7"/>
  <c r="AT87" i="7"/>
  <c r="AU87" i="7"/>
  <c r="E86" i="7"/>
  <c r="F86" i="7"/>
  <c r="G86" i="7"/>
  <c r="H86" i="7" s="1"/>
  <c r="I86" i="7"/>
  <c r="J86" i="7"/>
  <c r="K86" i="7"/>
  <c r="O86" i="7"/>
  <c r="R86" i="7"/>
  <c r="S86" i="7"/>
  <c r="T86" i="7"/>
  <c r="U86" i="7"/>
  <c r="V86" i="7"/>
  <c r="W86" i="7"/>
  <c r="X86" i="7"/>
  <c r="Y86" i="7"/>
  <c r="Z86" i="7"/>
  <c r="AA86" i="7"/>
  <c r="AB86" i="7"/>
  <c r="AC86" i="7"/>
  <c r="AD86" i="7"/>
  <c r="AE86" i="7"/>
  <c r="AF86" i="7"/>
  <c r="AG86" i="7"/>
  <c r="AH86" i="7"/>
  <c r="AI86" i="7"/>
  <c r="AJ86" i="7"/>
  <c r="AK86" i="7"/>
  <c r="AL86" i="7"/>
  <c r="AM86" i="7"/>
  <c r="AN86" i="7"/>
  <c r="AO86" i="7"/>
  <c r="AP86" i="7"/>
  <c r="AQ86" i="7"/>
  <c r="AR86" i="7"/>
  <c r="AS86" i="7"/>
  <c r="AT86" i="7"/>
  <c r="AU86" i="7"/>
  <c r="F84" i="7"/>
  <c r="L84" i="7" s="1"/>
  <c r="H84" i="7"/>
  <c r="J84" i="7"/>
  <c r="R84" i="7"/>
  <c r="S84" i="7"/>
  <c r="T84" i="7"/>
  <c r="U84" i="7"/>
  <c r="V84" i="7"/>
  <c r="W84" i="7"/>
  <c r="X84" i="7"/>
  <c r="Y84" i="7"/>
  <c r="Z84" i="7"/>
  <c r="AA84" i="7"/>
  <c r="AB84" i="7"/>
  <c r="AC84" i="7"/>
  <c r="AD84" i="7"/>
  <c r="AE84" i="7"/>
  <c r="AF84" i="7"/>
  <c r="AG84" i="7"/>
  <c r="AH84" i="7"/>
  <c r="AI84" i="7"/>
  <c r="AJ84" i="7"/>
  <c r="AK84" i="7"/>
  <c r="AL84" i="7"/>
  <c r="AM84" i="7"/>
  <c r="AN84" i="7"/>
  <c r="AO84" i="7"/>
  <c r="AP84" i="7"/>
  <c r="AQ84" i="7"/>
  <c r="AR84" i="7"/>
  <c r="AS84" i="7"/>
  <c r="AT84" i="7"/>
  <c r="AU84" i="7"/>
  <c r="AV84" i="7"/>
  <c r="AW84" i="7"/>
  <c r="AX84" i="7"/>
  <c r="AY84" i="7"/>
  <c r="F70" i="7"/>
  <c r="H70" i="7"/>
  <c r="J70" i="7"/>
  <c r="L70" i="7" s="1"/>
  <c r="K70" i="7"/>
  <c r="O70" i="7"/>
  <c r="R70" i="7"/>
  <c r="S70" i="7"/>
  <c r="T70" i="7"/>
  <c r="U70" i="7"/>
  <c r="V70" i="7"/>
  <c r="W70" i="7"/>
  <c r="X70" i="7"/>
  <c r="Y70" i="7"/>
  <c r="Z70" i="7"/>
  <c r="AA70" i="7"/>
  <c r="AB70" i="7"/>
  <c r="AC70" i="7"/>
  <c r="AD70" i="7"/>
  <c r="AE70" i="7"/>
  <c r="AF70" i="7"/>
  <c r="AG70" i="7"/>
  <c r="AH70" i="7"/>
  <c r="AI70" i="7"/>
  <c r="AJ70" i="7"/>
  <c r="AK70" i="7"/>
  <c r="AL70" i="7"/>
  <c r="AM70" i="7"/>
  <c r="AN70" i="7"/>
  <c r="AO70" i="7"/>
  <c r="AP70" i="7"/>
  <c r="AQ70" i="7"/>
  <c r="AR70" i="7"/>
  <c r="AS70" i="7"/>
  <c r="AT70" i="7"/>
  <c r="AU70" i="7"/>
  <c r="F68" i="7"/>
  <c r="L68" i="7" s="1"/>
  <c r="H68" i="7"/>
  <c r="J68" i="7"/>
  <c r="R68" i="7"/>
  <c r="S68" i="7"/>
  <c r="T68" i="7"/>
  <c r="U68" i="7"/>
  <c r="V68" i="7"/>
  <c r="W68" i="7"/>
  <c r="X68" i="7"/>
  <c r="Y68" i="7"/>
  <c r="Z68" i="7"/>
  <c r="AA68" i="7"/>
  <c r="AB68" i="7"/>
  <c r="AC68" i="7"/>
  <c r="AD68" i="7"/>
  <c r="AE68" i="7"/>
  <c r="AF68" i="7"/>
  <c r="AG68" i="7"/>
  <c r="AH68" i="7"/>
  <c r="AI68" i="7"/>
  <c r="AJ68" i="7"/>
  <c r="AK68" i="7"/>
  <c r="AL68" i="7"/>
  <c r="AM68" i="7"/>
  <c r="AN68" i="7"/>
  <c r="AO68" i="7"/>
  <c r="AP68" i="7"/>
  <c r="AQ68" i="7"/>
  <c r="AR68" i="7"/>
  <c r="AS68" i="7"/>
  <c r="AT68" i="7"/>
  <c r="AU68" i="7"/>
  <c r="AV68" i="7"/>
  <c r="AW68" i="7"/>
  <c r="AX68" i="7"/>
  <c r="AY68" i="7"/>
  <c r="E57" i="7"/>
  <c r="F57" i="7"/>
  <c r="L57" i="7" s="1"/>
  <c r="G57" i="7"/>
  <c r="H57" i="7" s="1"/>
  <c r="I57" i="7"/>
  <c r="J57" i="7"/>
  <c r="K57" i="7"/>
  <c r="O57" i="7"/>
  <c r="R57" i="7"/>
  <c r="S57" i="7"/>
  <c r="T57" i="7"/>
  <c r="U57" i="7"/>
  <c r="V57" i="7"/>
  <c r="W57" i="7"/>
  <c r="X57" i="7"/>
  <c r="Y57" i="7"/>
  <c r="Z57" i="7"/>
  <c r="AA57" i="7"/>
  <c r="AB57" i="7"/>
  <c r="AC57" i="7"/>
  <c r="AD57" i="7"/>
  <c r="AE57" i="7"/>
  <c r="AF57" i="7"/>
  <c r="AG57" i="7"/>
  <c r="AH57" i="7"/>
  <c r="AI57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E56" i="7"/>
  <c r="F56" i="7" s="1"/>
  <c r="L56" i="7" s="1"/>
  <c r="G56" i="7"/>
  <c r="H56" i="7" s="1"/>
  <c r="I56" i="7"/>
  <c r="J56" i="7" s="1"/>
  <c r="R56" i="7" s="1"/>
  <c r="O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AR56" i="7"/>
  <c r="AS56" i="7"/>
  <c r="AT56" i="7"/>
  <c r="AU56" i="7"/>
  <c r="E55" i="7"/>
  <c r="F55" i="7" s="1"/>
  <c r="L55" i="7" s="1"/>
  <c r="G55" i="7"/>
  <c r="H55" i="7"/>
  <c r="I55" i="7"/>
  <c r="J55" i="7" s="1"/>
  <c r="R55" i="7" s="1"/>
  <c r="K55" i="7"/>
  <c r="O55" i="7"/>
  <c r="S55" i="7"/>
  <c r="T55" i="7"/>
  <c r="U55" i="7"/>
  <c r="V55" i="7"/>
  <c r="W55" i="7"/>
  <c r="X55" i="7"/>
  <c r="Y55" i="7"/>
  <c r="Z55" i="7"/>
  <c r="AA55" i="7"/>
  <c r="AB55" i="7"/>
  <c r="AC55" i="7"/>
  <c r="AD55" i="7"/>
  <c r="AE55" i="7"/>
  <c r="AF55" i="7"/>
  <c r="AG55" i="7"/>
  <c r="AH55" i="7"/>
  <c r="AI55" i="7"/>
  <c r="AJ55" i="7"/>
  <c r="AK55" i="7"/>
  <c r="AL55" i="7"/>
  <c r="AM55" i="7"/>
  <c r="AN55" i="7"/>
  <c r="AO55" i="7"/>
  <c r="AP55" i="7"/>
  <c r="AQ55" i="7"/>
  <c r="AR55" i="7"/>
  <c r="AS55" i="7"/>
  <c r="AT55" i="7"/>
  <c r="AU55" i="7"/>
  <c r="E54" i="7"/>
  <c r="F54" i="7" s="1"/>
  <c r="G54" i="7"/>
  <c r="H54" i="7" s="1"/>
  <c r="I54" i="7"/>
  <c r="J54" i="7" s="1"/>
  <c r="R54" i="7" s="1"/>
  <c r="O54" i="7"/>
  <c r="S54" i="7"/>
  <c r="T54" i="7"/>
  <c r="U54" i="7"/>
  <c r="V54" i="7"/>
  <c r="W54" i="7"/>
  <c r="X54" i="7"/>
  <c r="Y54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AP54" i="7"/>
  <c r="AQ54" i="7"/>
  <c r="AR54" i="7"/>
  <c r="AS54" i="7"/>
  <c r="AT54" i="7"/>
  <c r="AU54" i="7"/>
  <c r="F52" i="7"/>
  <c r="L52" i="7" s="1"/>
  <c r="H52" i="7"/>
  <c r="J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AP52" i="7"/>
  <c r="AQ52" i="7"/>
  <c r="AR52" i="7"/>
  <c r="AS52" i="7"/>
  <c r="AT52" i="7"/>
  <c r="AU52" i="7"/>
  <c r="AV52" i="7"/>
  <c r="AW52" i="7"/>
  <c r="AX52" i="7"/>
  <c r="AY52" i="7"/>
  <c r="E40" i="7"/>
  <c r="F40" i="7" s="1"/>
  <c r="L40" i="7" s="1"/>
  <c r="H40" i="7"/>
  <c r="J40" i="7"/>
  <c r="R40" i="7" s="1"/>
  <c r="K40" i="7"/>
  <c r="O40" i="7"/>
  <c r="S40" i="7"/>
  <c r="T40" i="7"/>
  <c r="U40" i="7"/>
  <c r="V40" i="7"/>
  <c r="W40" i="7"/>
  <c r="X40" i="7"/>
  <c r="Y40" i="7"/>
  <c r="Z40" i="7"/>
  <c r="AA40" i="7"/>
  <c r="AB40" i="7"/>
  <c r="AC40" i="7"/>
  <c r="AD40" i="7"/>
  <c r="AE40" i="7"/>
  <c r="AF40" i="7"/>
  <c r="AG40" i="7"/>
  <c r="AH40" i="7"/>
  <c r="AI40" i="7"/>
  <c r="AJ40" i="7"/>
  <c r="AK40" i="7"/>
  <c r="AL40" i="7"/>
  <c r="AM40" i="7"/>
  <c r="AN40" i="7"/>
  <c r="AO40" i="7"/>
  <c r="AP40" i="7"/>
  <c r="AQ40" i="7"/>
  <c r="AR40" i="7"/>
  <c r="AS40" i="7"/>
  <c r="AT40" i="7"/>
  <c r="AU40" i="7"/>
  <c r="E39" i="7"/>
  <c r="F39" i="7"/>
  <c r="G39" i="7"/>
  <c r="H39" i="7" s="1"/>
  <c r="I39" i="7"/>
  <c r="J39" i="7"/>
  <c r="K39" i="7"/>
  <c r="O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AR39" i="7"/>
  <c r="AS39" i="7"/>
  <c r="AT39" i="7"/>
  <c r="AU39" i="7"/>
  <c r="E38" i="7"/>
  <c r="F38" i="7" s="1"/>
  <c r="G38" i="7"/>
  <c r="H38" i="7" s="1"/>
  <c r="I38" i="7"/>
  <c r="J38" i="7" s="1"/>
  <c r="R38" i="7" s="1"/>
  <c r="K38" i="7"/>
  <c r="O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AM38" i="7"/>
  <c r="AN38" i="7"/>
  <c r="AO38" i="7"/>
  <c r="AP38" i="7"/>
  <c r="AQ38" i="7"/>
  <c r="AR38" i="7"/>
  <c r="AS38" i="7"/>
  <c r="AT38" i="7"/>
  <c r="AU38" i="7"/>
  <c r="F36" i="7"/>
  <c r="L36" i="7" s="1"/>
  <c r="H36" i="7"/>
  <c r="J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AG36" i="7"/>
  <c r="AH36" i="7"/>
  <c r="AI36" i="7"/>
  <c r="AJ36" i="7"/>
  <c r="AK36" i="7"/>
  <c r="AL36" i="7"/>
  <c r="AM36" i="7"/>
  <c r="AN36" i="7"/>
  <c r="AO36" i="7"/>
  <c r="AP36" i="7"/>
  <c r="AQ36" i="7"/>
  <c r="AR36" i="7"/>
  <c r="AS36" i="7"/>
  <c r="AT36" i="7"/>
  <c r="AU36" i="7"/>
  <c r="AV36" i="7"/>
  <c r="AW36" i="7"/>
  <c r="AX36" i="7"/>
  <c r="AY36" i="7"/>
  <c r="E27" i="7"/>
  <c r="F27" i="7" s="1"/>
  <c r="G27" i="7"/>
  <c r="H27" i="7" s="1"/>
  <c r="I27" i="7"/>
  <c r="J27" i="7" s="1"/>
  <c r="R27" i="7" s="1"/>
  <c r="K27" i="7"/>
  <c r="O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AR27" i="7"/>
  <c r="AS27" i="7"/>
  <c r="AT27" i="7"/>
  <c r="AU27" i="7"/>
  <c r="E26" i="7"/>
  <c r="F26" i="7" s="1"/>
  <c r="G26" i="7"/>
  <c r="H26" i="7" s="1"/>
  <c r="I26" i="7"/>
  <c r="J26" i="7" s="1"/>
  <c r="R26" i="7" s="1"/>
  <c r="O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E25" i="7"/>
  <c r="F25" i="7"/>
  <c r="G25" i="7"/>
  <c r="H25" i="7" s="1"/>
  <c r="I25" i="7"/>
  <c r="J25" i="7"/>
  <c r="K25" i="7"/>
  <c r="O25" i="7"/>
  <c r="R25" i="7"/>
  <c r="S25" i="7"/>
  <c r="T25" i="7"/>
  <c r="U25" i="7"/>
  <c r="V25" i="7"/>
  <c r="W25" i="7"/>
  <c r="X25" i="7"/>
  <c r="Y25" i="7"/>
  <c r="Z25" i="7"/>
  <c r="AA25" i="7"/>
  <c r="AB25" i="7"/>
  <c r="AC25" i="7"/>
  <c r="AD25" i="7"/>
  <c r="AE25" i="7"/>
  <c r="AF25" i="7"/>
  <c r="AG25" i="7"/>
  <c r="AH25" i="7"/>
  <c r="AI25" i="7"/>
  <c r="AJ25" i="7"/>
  <c r="AK25" i="7"/>
  <c r="AL25" i="7"/>
  <c r="AM25" i="7"/>
  <c r="AN25" i="7"/>
  <c r="AO25" i="7"/>
  <c r="AP25" i="7"/>
  <c r="AQ25" i="7"/>
  <c r="AR25" i="7"/>
  <c r="AS25" i="7"/>
  <c r="AT25" i="7"/>
  <c r="AU25" i="7"/>
  <c r="E24" i="7"/>
  <c r="F24" i="7"/>
  <c r="G24" i="7"/>
  <c r="H24" i="7" s="1"/>
  <c r="I24" i="7"/>
  <c r="J24" i="7"/>
  <c r="K24" i="7"/>
  <c r="O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AN24" i="7"/>
  <c r="AO24" i="7"/>
  <c r="AP24" i="7"/>
  <c r="AQ24" i="7"/>
  <c r="AR24" i="7"/>
  <c r="AS24" i="7"/>
  <c r="AT24" i="7"/>
  <c r="AU24" i="7"/>
  <c r="E23" i="7"/>
  <c r="F23" i="7"/>
  <c r="G23" i="7"/>
  <c r="H23" i="7" s="1"/>
  <c r="I23" i="7"/>
  <c r="J23" i="7"/>
  <c r="K23" i="7"/>
  <c r="O23" i="7"/>
  <c r="R23" i="7"/>
  <c r="S23" i="7"/>
  <c r="T23" i="7"/>
  <c r="U23" i="7"/>
  <c r="V23" i="7"/>
  <c r="W23" i="7"/>
  <c r="X23" i="7"/>
  <c r="Y23" i="7"/>
  <c r="Z23" i="7"/>
  <c r="AA23" i="7"/>
  <c r="AB23" i="7"/>
  <c r="AC23" i="7"/>
  <c r="AD23" i="7"/>
  <c r="AE23" i="7"/>
  <c r="AF23" i="7"/>
  <c r="AG23" i="7"/>
  <c r="AH23" i="7"/>
  <c r="AI23" i="7"/>
  <c r="AJ23" i="7"/>
  <c r="AK23" i="7"/>
  <c r="AL23" i="7"/>
  <c r="AM23" i="7"/>
  <c r="AN23" i="7"/>
  <c r="AO23" i="7"/>
  <c r="AP23" i="7"/>
  <c r="AQ23" i="7"/>
  <c r="AR23" i="7"/>
  <c r="AS23" i="7"/>
  <c r="AT23" i="7"/>
  <c r="AU23" i="7"/>
  <c r="E22" i="7"/>
  <c r="F22" i="7" s="1"/>
  <c r="L22" i="7" s="1"/>
  <c r="H22" i="7"/>
  <c r="J22" i="7"/>
  <c r="K22" i="7"/>
  <c r="O22" i="7"/>
  <c r="R22" i="7"/>
  <c r="S22" i="7"/>
  <c r="T22" i="7"/>
  <c r="U22" i="7"/>
  <c r="V22" i="7"/>
  <c r="W22" i="7"/>
  <c r="X22" i="7"/>
  <c r="Y22" i="7"/>
  <c r="Z22" i="7"/>
  <c r="AA22" i="7"/>
  <c r="AB22" i="7"/>
  <c r="AC22" i="7"/>
  <c r="AD22" i="7"/>
  <c r="AE22" i="7"/>
  <c r="AF22" i="7"/>
  <c r="AG22" i="7"/>
  <c r="AH22" i="7"/>
  <c r="AI22" i="7"/>
  <c r="AJ22" i="7"/>
  <c r="AK22" i="7"/>
  <c r="AL22" i="7"/>
  <c r="AM22" i="7"/>
  <c r="AN22" i="7"/>
  <c r="AO22" i="7"/>
  <c r="AP22" i="7"/>
  <c r="AQ22" i="7"/>
  <c r="AR22" i="7"/>
  <c r="AS22" i="7"/>
  <c r="AT22" i="7"/>
  <c r="AU22" i="7"/>
  <c r="F20" i="7"/>
  <c r="L20" i="7" s="1"/>
  <c r="H20" i="7"/>
  <c r="J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AF20" i="7"/>
  <c r="AG20" i="7"/>
  <c r="AH20" i="7"/>
  <c r="AI20" i="7"/>
  <c r="AJ20" i="7"/>
  <c r="AK20" i="7"/>
  <c r="AL20" i="7"/>
  <c r="AM20" i="7"/>
  <c r="AN20" i="7"/>
  <c r="AO20" i="7"/>
  <c r="AP20" i="7"/>
  <c r="AQ20" i="7"/>
  <c r="AR20" i="7"/>
  <c r="AS20" i="7"/>
  <c r="AT20" i="7"/>
  <c r="AU20" i="7"/>
  <c r="AV20" i="7"/>
  <c r="AW20" i="7"/>
  <c r="AX20" i="7"/>
  <c r="AY20" i="7"/>
  <c r="E9" i="7"/>
  <c r="F9" i="7" s="1"/>
  <c r="G9" i="7"/>
  <c r="H9" i="7"/>
  <c r="I9" i="7"/>
  <c r="J9" i="7" s="1"/>
  <c r="R9" i="7" s="1"/>
  <c r="K9" i="7"/>
  <c r="O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AL9" i="7"/>
  <c r="AM9" i="7"/>
  <c r="AN9" i="7"/>
  <c r="AO9" i="7"/>
  <c r="AP9" i="7"/>
  <c r="AQ9" i="7"/>
  <c r="AR9" i="7"/>
  <c r="AS9" i="7"/>
  <c r="AT9" i="7"/>
  <c r="AU9" i="7"/>
  <c r="E8" i="7"/>
  <c r="F8" i="7"/>
  <c r="G8" i="7"/>
  <c r="H8" i="7" s="1"/>
  <c r="I8" i="7"/>
  <c r="J8" i="7"/>
  <c r="K8" i="7"/>
  <c r="O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AQ8" i="7"/>
  <c r="AR8" i="7"/>
  <c r="AS8" i="7"/>
  <c r="AT8" i="7"/>
  <c r="AU8" i="7"/>
  <c r="E7" i="7"/>
  <c r="F7" i="7" s="1"/>
  <c r="G7" i="7"/>
  <c r="H7" i="7" s="1"/>
  <c r="I7" i="7"/>
  <c r="J7" i="7" s="1"/>
  <c r="R7" i="7" s="1"/>
  <c r="K7" i="7"/>
  <c r="O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J7" i="7"/>
  <c r="AK7" i="7"/>
  <c r="AL7" i="7"/>
  <c r="AM7" i="7"/>
  <c r="AN7" i="7"/>
  <c r="AO7" i="7"/>
  <c r="AP7" i="7"/>
  <c r="AQ7" i="7"/>
  <c r="AR7" i="7"/>
  <c r="AS7" i="7"/>
  <c r="AT7" i="7"/>
  <c r="AU7" i="7"/>
  <c r="E6" i="7"/>
  <c r="F6" i="7" s="1"/>
  <c r="G6" i="7"/>
  <c r="H6" i="7" s="1"/>
  <c r="I6" i="7"/>
  <c r="J6" i="7"/>
  <c r="K6" i="7"/>
  <c r="O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AR6" i="7"/>
  <c r="AS6" i="7"/>
  <c r="AT6" i="7"/>
  <c r="AU6" i="7"/>
  <c r="F42" i="6"/>
  <c r="G42" i="6" s="1"/>
  <c r="H42" i="6"/>
  <c r="I42" i="6"/>
  <c r="G27" i="5" s="1"/>
  <c r="H27" i="5" s="1"/>
  <c r="H28" i="5" s="1"/>
  <c r="H8" i="6" s="1"/>
  <c r="I8" i="6" s="1"/>
  <c r="J42" i="6"/>
  <c r="K42" i="6" s="1"/>
  <c r="I27" i="5" s="1"/>
  <c r="F41" i="6"/>
  <c r="G41" i="6" s="1"/>
  <c r="H41" i="6"/>
  <c r="I41" i="6"/>
  <c r="J41" i="6"/>
  <c r="K41" i="6"/>
  <c r="L41" i="6"/>
  <c r="F40" i="6"/>
  <c r="G40" i="6" s="1"/>
  <c r="H40" i="6"/>
  <c r="I40" i="6"/>
  <c r="G73" i="5" s="1"/>
  <c r="J40" i="6"/>
  <c r="K40" i="6"/>
  <c r="L40" i="6"/>
  <c r="F39" i="6"/>
  <c r="G39" i="6"/>
  <c r="H39" i="6"/>
  <c r="I39" i="6"/>
  <c r="G74" i="5" s="1"/>
  <c r="H74" i="5" s="1"/>
  <c r="J39" i="6"/>
  <c r="K39" i="6"/>
  <c r="L39" i="6"/>
  <c r="M39" i="6"/>
  <c r="F38" i="6"/>
  <c r="G38" i="6"/>
  <c r="M38" i="6" s="1"/>
  <c r="H38" i="6"/>
  <c r="I38" i="6" s="1"/>
  <c r="G183" i="5" s="1"/>
  <c r="H183" i="5" s="1"/>
  <c r="J38" i="6"/>
  <c r="K38" i="6"/>
  <c r="L38" i="6"/>
  <c r="F37" i="6"/>
  <c r="G37" i="6" s="1"/>
  <c r="H37" i="6"/>
  <c r="I37" i="6"/>
  <c r="G178" i="5" s="1"/>
  <c r="H178" i="5" s="1"/>
  <c r="J37" i="6"/>
  <c r="K37" i="6" s="1"/>
  <c r="I178" i="5" s="1"/>
  <c r="J178" i="5" s="1"/>
  <c r="J179" i="5" s="1"/>
  <c r="J33" i="6" s="1"/>
  <c r="K33" i="6" s="1"/>
  <c r="I72" i="5" s="1"/>
  <c r="J72" i="5" s="1"/>
  <c r="L37" i="6"/>
  <c r="F36" i="6"/>
  <c r="G36" i="6"/>
  <c r="H36" i="6"/>
  <c r="I36" i="6" s="1"/>
  <c r="J36" i="6"/>
  <c r="K36" i="6"/>
  <c r="L36" i="6"/>
  <c r="F35" i="6"/>
  <c r="G35" i="6" s="1"/>
  <c r="H35" i="6"/>
  <c r="I35" i="6" s="1"/>
  <c r="G182" i="5" s="1"/>
  <c r="H182" i="5" s="1"/>
  <c r="J35" i="6"/>
  <c r="K35" i="6" s="1"/>
  <c r="I182" i="5" s="1"/>
  <c r="J182" i="5" s="1"/>
  <c r="L35" i="6"/>
  <c r="F32" i="6"/>
  <c r="G32" i="6" s="1"/>
  <c r="H32" i="6"/>
  <c r="I32" i="6" s="1"/>
  <c r="G63" i="5" s="1"/>
  <c r="H63" i="5" s="1"/>
  <c r="H64" i="5" s="1"/>
  <c r="H13" i="6" s="1"/>
  <c r="I13" i="6" s="1"/>
  <c r="J32" i="6"/>
  <c r="K32" i="6"/>
  <c r="L32" i="6"/>
  <c r="F31" i="6"/>
  <c r="G31" i="6"/>
  <c r="H31" i="6"/>
  <c r="I31" i="6" s="1"/>
  <c r="G48" i="5" s="1"/>
  <c r="J31" i="6"/>
  <c r="K31" i="6"/>
  <c r="L31" i="6"/>
  <c r="F30" i="6"/>
  <c r="G30" i="6" s="1"/>
  <c r="H30" i="6"/>
  <c r="I30" i="6" s="1"/>
  <c r="G101" i="5" s="1"/>
  <c r="H101" i="5" s="1"/>
  <c r="H103" i="5" s="1"/>
  <c r="H19" i="6" s="1"/>
  <c r="I19" i="6" s="1"/>
  <c r="J30" i="6"/>
  <c r="K30" i="6" s="1"/>
  <c r="I101" i="5" s="1"/>
  <c r="J101" i="5" s="1"/>
  <c r="J103" i="5" s="1"/>
  <c r="J19" i="6" s="1"/>
  <c r="K19" i="6" s="1"/>
  <c r="L30" i="6"/>
  <c r="F29" i="6"/>
  <c r="G29" i="6"/>
  <c r="H29" i="6"/>
  <c r="I29" i="6" s="1"/>
  <c r="G96" i="5" s="1"/>
  <c r="J29" i="6"/>
  <c r="K29" i="6"/>
  <c r="L29" i="6"/>
  <c r="F28" i="6"/>
  <c r="G28" i="6"/>
  <c r="M28" i="6" s="1"/>
  <c r="H28" i="6"/>
  <c r="I28" i="6" s="1"/>
  <c r="G134" i="5" s="1"/>
  <c r="H134" i="5" s="1"/>
  <c r="H135" i="5" s="1"/>
  <c r="H25" i="6" s="1"/>
  <c r="J28" i="6"/>
  <c r="K28" i="6"/>
  <c r="L28" i="6"/>
  <c r="F27" i="6"/>
  <c r="G27" i="6" s="1"/>
  <c r="H27" i="6"/>
  <c r="I27" i="6" s="1"/>
  <c r="J27" i="6"/>
  <c r="K27" i="6" s="1"/>
  <c r="L27" i="6"/>
  <c r="F26" i="6"/>
  <c r="G26" i="6" s="1"/>
  <c r="H26" i="6"/>
  <c r="I26" i="6" s="1"/>
  <c r="G122" i="5" s="1"/>
  <c r="H122" i="5" s="1"/>
  <c r="H123" i="5" s="1"/>
  <c r="H22" i="6" s="1"/>
  <c r="I22" i="6" s="1"/>
  <c r="J26" i="6"/>
  <c r="K26" i="6" s="1"/>
  <c r="I122" i="5" s="1"/>
  <c r="J122" i="5" s="1"/>
  <c r="J123" i="5" s="1"/>
  <c r="J22" i="6" s="1"/>
  <c r="K22" i="6" s="1"/>
  <c r="L26" i="6"/>
  <c r="F21" i="6"/>
  <c r="G21" i="6"/>
  <c r="H21" i="6"/>
  <c r="I21" i="6" s="1"/>
  <c r="J21" i="6"/>
  <c r="K21" i="6"/>
  <c r="L21" i="6"/>
  <c r="F20" i="6"/>
  <c r="G20" i="6" s="1"/>
  <c r="H20" i="6"/>
  <c r="L20" i="6" s="1"/>
  <c r="J20" i="6"/>
  <c r="K20" i="6" s="1"/>
  <c r="F17" i="6"/>
  <c r="G17" i="6" s="1"/>
  <c r="M17" i="6" s="1"/>
  <c r="H17" i="6"/>
  <c r="I17" i="6" s="1"/>
  <c r="J17" i="6"/>
  <c r="K17" i="6" s="1"/>
  <c r="F16" i="6"/>
  <c r="G16" i="6" s="1"/>
  <c r="H16" i="6"/>
  <c r="L16" i="6" s="1"/>
  <c r="J16" i="6"/>
  <c r="K16" i="6" s="1"/>
  <c r="F14" i="6"/>
  <c r="G14" i="6" s="1"/>
  <c r="H14" i="6"/>
  <c r="L14" i="6" s="1"/>
  <c r="J14" i="6"/>
  <c r="K14" i="6" s="1"/>
  <c r="F12" i="6"/>
  <c r="G12" i="6"/>
  <c r="H12" i="6"/>
  <c r="I12" i="6" s="1"/>
  <c r="J12" i="6"/>
  <c r="K12" i="6"/>
  <c r="L12" i="6"/>
  <c r="F9" i="6"/>
  <c r="G9" i="6"/>
  <c r="H9" i="6"/>
  <c r="I9" i="6" s="1"/>
  <c r="J9" i="6"/>
  <c r="K9" i="6"/>
  <c r="L9" i="6"/>
  <c r="F7" i="6"/>
  <c r="G7" i="6" s="1"/>
  <c r="H7" i="6"/>
  <c r="L7" i="6" s="1"/>
  <c r="I7" i="6"/>
  <c r="J7" i="6"/>
  <c r="K7" i="6" s="1"/>
  <c r="F6" i="6"/>
  <c r="G6" i="6" s="1"/>
  <c r="H6" i="6"/>
  <c r="I6" i="6" s="1"/>
  <c r="J6" i="6"/>
  <c r="K6" i="6" s="1"/>
  <c r="L6" i="6"/>
  <c r="F5" i="6"/>
  <c r="L5" i="6" s="1"/>
  <c r="G5" i="6"/>
  <c r="M5" i="6" s="1"/>
  <c r="H5" i="6"/>
  <c r="I5" i="6" s="1"/>
  <c r="J5" i="6"/>
  <c r="K5" i="6"/>
  <c r="F226" i="5"/>
  <c r="L226" i="5" s="1"/>
  <c r="H226" i="5"/>
  <c r="J226" i="5"/>
  <c r="F225" i="5"/>
  <c r="G225" i="5"/>
  <c r="K225" i="5" s="1"/>
  <c r="J225" i="5"/>
  <c r="F222" i="5"/>
  <c r="L222" i="5" s="1"/>
  <c r="H222" i="5"/>
  <c r="J222" i="5"/>
  <c r="B221" i="5"/>
  <c r="E221" i="5"/>
  <c r="F221" i="5" s="1"/>
  <c r="L221" i="5" s="1"/>
  <c r="F220" i="5"/>
  <c r="L220" i="5" s="1"/>
  <c r="G220" i="5"/>
  <c r="H220" i="5"/>
  <c r="J220" i="5"/>
  <c r="K220" i="5"/>
  <c r="F219" i="5"/>
  <c r="G219" i="5"/>
  <c r="K219" i="5" s="1"/>
  <c r="J219" i="5"/>
  <c r="F216" i="5"/>
  <c r="L216" i="5" s="1"/>
  <c r="H216" i="5"/>
  <c r="J216" i="5"/>
  <c r="E215" i="5"/>
  <c r="F215" i="5" s="1"/>
  <c r="L215" i="5" s="1"/>
  <c r="H215" i="5"/>
  <c r="J215" i="5"/>
  <c r="K215" i="5"/>
  <c r="F212" i="5"/>
  <c r="L212" i="5" s="1"/>
  <c r="H212" i="5"/>
  <c r="J212" i="5"/>
  <c r="B211" i="5"/>
  <c r="E211" i="5"/>
  <c r="F211" i="5" s="1"/>
  <c r="L211" i="5" s="1"/>
  <c r="F210" i="5"/>
  <c r="G210" i="5"/>
  <c r="K210" i="5" s="1"/>
  <c r="J210" i="5"/>
  <c r="F209" i="5"/>
  <c r="G209" i="5"/>
  <c r="K209" i="5" s="1"/>
  <c r="J209" i="5"/>
  <c r="F208" i="5"/>
  <c r="G208" i="5"/>
  <c r="K208" i="5" s="1"/>
  <c r="J208" i="5"/>
  <c r="F207" i="5"/>
  <c r="G207" i="5"/>
  <c r="K207" i="5" s="1"/>
  <c r="J207" i="5"/>
  <c r="F204" i="5"/>
  <c r="L204" i="5" s="1"/>
  <c r="H204" i="5"/>
  <c r="J204" i="5"/>
  <c r="E203" i="5"/>
  <c r="F203" i="5"/>
  <c r="H203" i="5"/>
  <c r="J203" i="5"/>
  <c r="K203" i="5"/>
  <c r="L203" i="5"/>
  <c r="F200" i="5"/>
  <c r="L200" i="5" s="1"/>
  <c r="H200" i="5"/>
  <c r="J200" i="5"/>
  <c r="E199" i="5"/>
  <c r="F199" i="5" s="1"/>
  <c r="L199" i="5" s="1"/>
  <c r="H199" i="5"/>
  <c r="J199" i="5"/>
  <c r="K199" i="5"/>
  <c r="F196" i="5"/>
  <c r="L196" i="5" s="1"/>
  <c r="H196" i="5"/>
  <c r="J196" i="5"/>
  <c r="B195" i="5"/>
  <c r="E195" i="5"/>
  <c r="F195" i="5" s="1"/>
  <c r="L195" i="5" s="1"/>
  <c r="F194" i="5"/>
  <c r="G194" i="5"/>
  <c r="K194" i="5" s="1"/>
  <c r="J194" i="5"/>
  <c r="F193" i="5"/>
  <c r="G193" i="5"/>
  <c r="K193" i="5" s="1"/>
  <c r="J193" i="5"/>
  <c r="F190" i="5"/>
  <c r="L190" i="5" s="1"/>
  <c r="H190" i="5"/>
  <c r="J190" i="5"/>
  <c r="B189" i="5"/>
  <c r="E189" i="5"/>
  <c r="F189" i="5" s="1"/>
  <c r="L189" i="5" s="1"/>
  <c r="F188" i="5"/>
  <c r="G188" i="5"/>
  <c r="K188" i="5" s="1"/>
  <c r="J188" i="5"/>
  <c r="F187" i="5"/>
  <c r="G187" i="5"/>
  <c r="K187" i="5" s="1"/>
  <c r="J187" i="5"/>
  <c r="E183" i="5"/>
  <c r="F183" i="5" s="1"/>
  <c r="I183" i="5"/>
  <c r="J183" i="5" s="1"/>
  <c r="E177" i="5"/>
  <c r="F177" i="5"/>
  <c r="I177" i="5"/>
  <c r="J177" i="5"/>
  <c r="F174" i="5"/>
  <c r="L174" i="5" s="1"/>
  <c r="H174" i="5"/>
  <c r="J174" i="5"/>
  <c r="B173" i="5"/>
  <c r="I173" i="5"/>
  <c r="J173" i="5" s="1"/>
  <c r="L173" i="5" s="1"/>
  <c r="K173" i="5"/>
  <c r="F172" i="5"/>
  <c r="G172" i="5"/>
  <c r="K172" i="5" s="1"/>
  <c r="J172" i="5"/>
  <c r="F171" i="5"/>
  <c r="G171" i="5"/>
  <c r="K171" i="5" s="1"/>
  <c r="J171" i="5"/>
  <c r="F170" i="5"/>
  <c r="H170" i="5"/>
  <c r="J170" i="5"/>
  <c r="K170" i="5"/>
  <c r="L170" i="5"/>
  <c r="F167" i="5"/>
  <c r="H167" i="5"/>
  <c r="J167" i="5"/>
  <c r="L167" i="5"/>
  <c r="B166" i="5"/>
  <c r="I166" i="5"/>
  <c r="J166" i="5" s="1"/>
  <c r="L166" i="5" s="1"/>
  <c r="F165" i="5"/>
  <c r="G165" i="5"/>
  <c r="K165" i="5" s="1"/>
  <c r="J165" i="5"/>
  <c r="F164" i="5"/>
  <c r="G164" i="5"/>
  <c r="H164" i="5" s="1"/>
  <c r="L164" i="5" s="1"/>
  <c r="J164" i="5"/>
  <c r="K164" i="5"/>
  <c r="F161" i="5"/>
  <c r="L161" i="5" s="1"/>
  <c r="H161" i="5"/>
  <c r="J161" i="5"/>
  <c r="B160" i="5"/>
  <c r="I160" i="5"/>
  <c r="J160" i="5" s="1"/>
  <c r="L160" i="5" s="1"/>
  <c r="K160" i="5"/>
  <c r="F159" i="5"/>
  <c r="G159" i="5"/>
  <c r="K159" i="5" s="1"/>
  <c r="J159" i="5"/>
  <c r="F156" i="5"/>
  <c r="H156" i="5"/>
  <c r="J156" i="5"/>
  <c r="L156" i="5"/>
  <c r="B155" i="5"/>
  <c r="I155" i="5"/>
  <c r="J155" i="5" s="1"/>
  <c r="L155" i="5" s="1"/>
  <c r="F154" i="5"/>
  <c r="G154" i="5"/>
  <c r="K154" i="5" s="1"/>
  <c r="J154" i="5"/>
  <c r="F153" i="5"/>
  <c r="G153" i="5"/>
  <c r="H153" i="5" s="1"/>
  <c r="L153" i="5" s="1"/>
  <c r="J153" i="5"/>
  <c r="K153" i="5"/>
  <c r="F150" i="5"/>
  <c r="L150" i="5" s="1"/>
  <c r="H150" i="5"/>
  <c r="J150" i="5"/>
  <c r="F149" i="5"/>
  <c r="G149" i="5"/>
  <c r="H149" i="5" s="1"/>
  <c r="J149" i="5"/>
  <c r="K149" i="5"/>
  <c r="F148" i="5"/>
  <c r="G148" i="5"/>
  <c r="H148" i="5" s="1"/>
  <c r="J148" i="5"/>
  <c r="K148" i="5"/>
  <c r="F145" i="5"/>
  <c r="L145" i="5" s="1"/>
  <c r="H145" i="5"/>
  <c r="J145" i="5"/>
  <c r="F144" i="5"/>
  <c r="G144" i="5"/>
  <c r="H144" i="5" s="1"/>
  <c r="J144" i="5"/>
  <c r="K144" i="5"/>
  <c r="F143" i="5"/>
  <c r="G143" i="5"/>
  <c r="K143" i="5" s="1"/>
  <c r="J143" i="5"/>
  <c r="F140" i="5"/>
  <c r="L140" i="5" s="1"/>
  <c r="H140" i="5"/>
  <c r="J140" i="5"/>
  <c r="F139" i="5"/>
  <c r="G139" i="5"/>
  <c r="K139" i="5" s="1"/>
  <c r="J139" i="5"/>
  <c r="F138" i="5"/>
  <c r="G138" i="5"/>
  <c r="K138" i="5" s="1"/>
  <c r="H138" i="5"/>
  <c r="L138" i="5" s="1"/>
  <c r="J138" i="5"/>
  <c r="E134" i="5"/>
  <c r="F134" i="5" s="1"/>
  <c r="F135" i="5" s="1"/>
  <c r="I134" i="5"/>
  <c r="J134" i="5" s="1"/>
  <c r="J135" i="5" s="1"/>
  <c r="J25" i="6" s="1"/>
  <c r="K25" i="6" s="1"/>
  <c r="F119" i="5"/>
  <c r="H119" i="5"/>
  <c r="J119" i="5"/>
  <c r="L119" i="5"/>
  <c r="E118" i="5"/>
  <c r="F118" i="5" s="1"/>
  <c r="G118" i="5"/>
  <c r="H118" i="5" s="1"/>
  <c r="I118" i="5"/>
  <c r="J118" i="5" s="1"/>
  <c r="K118" i="5"/>
  <c r="E117" i="5"/>
  <c r="F117" i="5" s="1"/>
  <c r="G117" i="5"/>
  <c r="H117" i="5" s="1"/>
  <c r="I117" i="5"/>
  <c r="J117" i="5" s="1"/>
  <c r="K117" i="5"/>
  <c r="B116" i="5"/>
  <c r="E116" i="5"/>
  <c r="F116" i="5" s="1"/>
  <c r="L116" i="5" s="1"/>
  <c r="F115" i="5"/>
  <c r="G115" i="5"/>
  <c r="K115" i="5" s="1"/>
  <c r="H115" i="5"/>
  <c r="L115" i="5" s="1"/>
  <c r="J115" i="5"/>
  <c r="F114" i="5"/>
  <c r="G114" i="5"/>
  <c r="K114" i="5" s="1"/>
  <c r="J114" i="5"/>
  <c r="F111" i="5"/>
  <c r="L111" i="5" s="1"/>
  <c r="H111" i="5"/>
  <c r="J111" i="5"/>
  <c r="E110" i="5"/>
  <c r="F110" i="5"/>
  <c r="G110" i="5"/>
  <c r="H110" i="5" s="1"/>
  <c r="I110" i="5"/>
  <c r="J110" i="5"/>
  <c r="K110" i="5"/>
  <c r="B109" i="5"/>
  <c r="E109" i="5"/>
  <c r="F109" i="5" s="1"/>
  <c r="L109" i="5" s="1"/>
  <c r="F108" i="5"/>
  <c r="G108" i="5"/>
  <c r="K108" i="5" s="1"/>
  <c r="H108" i="5"/>
  <c r="L108" i="5" s="1"/>
  <c r="J108" i="5"/>
  <c r="E107" i="5"/>
  <c r="F107" i="5" s="1"/>
  <c r="L107" i="5" s="1"/>
  <c r="H107" i="5"/>
  <c r="J107" i="5"/>
  <c r="K107" i="5"/>
  <c r="E106" i="5"/>
  <c r="F106" i="5" s="1"/>
  <c r="L106" i="5" s="1"/>
  <c r="H106" i="5"/>
  <c r="J106" i="5"/>
  <c r="K106" i="5"/>
  <c r="E102" i="5"/>
  <c r="F102" i="5"/>
  <c r="H102" i="5"/>
  <c r="J102" i="5"/>
  <c r="K102" i="5"/>
  <c r="L102" i="5"/>
  <c r="E100" i="5"/>
  <c r="F100" i="5" s="1"/>
  <c r="L100" i="5" s="1"/>
  <c r="H100" i="5"/>
  <c r="J100" i="5"/>
  <c r="K100" i="5"/>
  <c r="E96" i="5"/>
  <c r="F96" i="5"/>
  <c r="I96" i="5"/>
  <c r="J96" i="5" s="1"/>
  <c r="J97" i="5" s="1"/>
  <c r="J18" i="6" s="1"/>
  <c r="K18" i="6" s="1"/>
  <c r="E95" i="5"/>
  <c r="F95" i="5"/>
  <c r="H95" i="5"/>
  <c r="J95" i="5"/>
  <c r="K95" i="5"/>
  <c r="L95" i="5"/>
  <c r="F92" i="5"/>
  <c r="H92" i="5"/>
  <c r="J92" i="5"/>
  <c r="L92" i="5"/>
  <c r="F91" i="5"/>
  <c r="G91" i="5"/>
  <c r="H91" i="5" s="1"/>
  <c r="L91" i="5" s="1"/>
  <c r="J91" i="5"/>
  <c r="F90" i="5"/>
  <c r="G90" i="5"/>
  <c r="K90" i="5" s="1"/>
  <c r="J90" i="5"/>
  <c r="E89" i="5"/>
  <c r="F89" i="5"/>
  <c r="L89" i="5" s="1"/>
  <c r="H89" i="5"/>
  <c r="J89" i="5"/>
  <c r="K89" i="5"/>
  <c r="E88" i="5"/>
  <c r="F88" i="5" s="1"/>
  <c r="L88" i="5" s="1"/>
  <c r="H88" i="5"/>
  <c r="J88" i="5"/>
  <c r="K88" i="5"/>
  <c r="E87" i="5"/>
  <c r="F87" i="5"/>
  <c r="H87" i="5"/>
  <c r="J87" i="5"/>
  <c r="L87" i="5" s="1"/>
  <c r="K87" i="5"/>
  <c r="F84" i="5"/>
  <c r="L84" i="5" s="1"/>
  <c r="H84" i="5"/>
  <c r="J84" i="5"/>
  <c r="F83" i="5"/>
  <c r="G83" i="5"/>
  <c r="K83" i="5" s="1"/>
  <c r="J83" i="5"/>
  <c r="F82" i="5"/>
  <c r="G82" i="5"/>
  <c r="K82" i="5" s="1"/>
  <c r="J82" i="5"/>
  <c r="E81" i="5"/>
  <c r="F81" i="5" s="1"/>
  <c r="L81" i="5" s="1"/>
  <c r="H81" i="5"/>
  <c r="J81" i="5"/>
  <c r="K81" i="5"/>
  <c r="E80" i="5"/>
  <c r="F80" i="5" s="1"/>
  <c r="L80" i="5" s="1"/>
  <c r="H80" i="5"/>
  <c r="J80" i="5"/>
  <c r="K80" i="5"/>
  <c r="E79" i="5"/>
  <c r="F79" i="5" s="1"/>
  <c r="L79" i="5" s="1"/>
  <c r="H79" i="5"/>
  <c r="J79" i="5"/>
  <c r="K79" i="5"/>
  <c r="E74" i="5"/>
  <c r="F74" i="5" s="1"/>
  <c r="I74" i="5"/>
  <c r="J74" i="5"/>
  <c r="I73" i="5"/>
  <c r="J73" i="5" s="1"/>
  <c r="F69" i="5"/>
  <c r="L69" i="5" s="1"/>
  <c r="H69" i="5"/>
  <c r="J69" i="5"/>
  <c r="B68" i="5"/>
  <c r="I68" i="5"/>
  <c r="J68" i="5" s="1"/>
  <c r="L68" i="5" s="1"/>
  <c r="F67" i="5"/>
  <c r="G67" i="5"/>
  <c r="K67" i="5" s="1"/>
  <c r="H67" i="5"/>
  <c r="L67" i="5" s="1"/>
  <c r="J67" i="5"/>
  <c r="I63" i="5"/>
  <c r="J63" i="5" s="1"/>
  <c r="J64" i="5" s="1"/>
  <c r="J13" i="6" s="1"/>
  <c r="K13" i="6" s="1"/>
  <c r="B62" i="5"/>
  <c r="E62" i="5"/>
  <c r="F62" i="5" s="1"/>
  <c r="L62" i="5" s="1"/>
  <c r="E61" i="5"/>
  <c r="K61" i="5" s="1"/>
  <c r="F61" i="5"/>
  <c r="L61" i="5" s="1"/>
  <c r="H61" i="5"/>
  <c r="J61" i="5"/>
  <c r="F58" i="5"/>
  <c r="L58" i="5" s="1"/>
  <c r="H58" i="5"/>
  <c r="J58" i="5"/>
  <c r="B57" i="5"/>
  <c r="I57" i="5"/>
  <c r="J57" i="5" s="1"/>
  <c r="L57" i="5" s="1"/>
  <c r="F56" i="5"/>
  <c r="G56" i="5"/>
  <c r="H56" i="5" s="1"/>
  <c r="L56" i="5" s="1"/>
  <c r="J56" i="5"/>
  <c r="F55" i="5"/>
  <c r="G55" i="5"/>
  <c r="K55" i="5" s="1"/>
  <c r="H55" i="5"/>
  <c r="L55" i="5" s="1"/>
  <c r="J55" i="5"/>
  <c r="E54" i="5"/>
  <c r="K54" i="5" s="1"/>
  <c r="H54" i="5"/>
  <c r="J54" i="5"/>
  <c r="E53" i="5"/>
  <c r="F53" i="5"/>
  <c r="L53" i="5" s="1"/>
  <c r="H53" i="5"/>
  <c r="J53" i="5"/>
  <c r="K53" i="5"/>
  <c r="E52" i="5"/>
  <c r="F52" i="5"/>
  <c r="H52" i="5"/>
  <c r="J52" i="5"/>
  <c r="K52" i="5"/>
  <c r="L52" i="5"/>
  <c r="F49" i="5"/>
  <c r="F11" i="6" s="1"/>
  <c r="E48" i="5"/>
  <c r="F48" i="5" s="1"/>
  <c r="I48" i="5"/>
  <c r="J48" i="5" s="1"/>
  <c r="J49" i="5" s="1"/>
  <c r="J11" i="6" s="1"/>
  <c r="K11" i="6" s="1"/>
  <c r="E47" i="5"/>
  <c r="F47" i="5" s="1"/>
  <c r="L47" i="5" s="1"/>
  <c r="H47" i="5"/>
  <c r="J47" i="5"/>
  <c r="K47" i="5"/>
  <c r="E46" i="5"/>
  <c r="F46" i="5" s="1"/>
  <c r="L46" i="5" s="1"/>
  <c r="H46" i="5"/>
  <c r="J46" i="5"/>
  <c r="K46" i="5"/>
  <c r="G42" i="5"/>
  <c r="H42" i="5" s="1"/>
  <c r="H43" i="5" s="1"/>
  <c r="H10" i="6" s="1"/>
  <c r="I10" i="6" s="1"/>
  <c r="I42" i="5"/>
  <c r="J42" i="5" s="1"/>
  <c r="J43" i="5" s="1"/>
  <c r="J10" i="6" s="1"/>
  <c r="K10" i="6" s="1"/>
  <c r="E41" i="5"/>
  <c r="F41" i="5" s="1"/>
  <c r="L41" i="5" s="1"/>
  <c r="H41" i="5"/>
  <c r="J41" i="5"/>
  <c r="K41" i="5"/>
  <c r="E40" i="5"/>
  <c r="F40" i="5" s="1"/>
  <c r="L40" i="5" s="1"/>
  <c r="H40" i="5"/>
  <c r="J40" i="5"/>
  <c r="K40" i="5"/>
  <c r="F37" i="5"/>
  <c r="L37" i="5" s="1"/>
  <c r="H37" i="5"/>
  <c r="J37" i="5"/>
  <c r="B36" i="5"/>
  <c r="E36" i="5"/>
  <c r="F36" i="5" s="1"/>
  <c r="L36" i="5" s="1"/>
  <c r="B35" i="5"/>
  <c r="E35" i="5"/>
  <c r="F35" i="5" s="1"/>
  <c r="L35" i="5" s="1"/>
  <c r="F34" i="5"/>
  <c r="G34" i="5"/>
  <c r="H34" i="5" s="1"/>
  <c r="J34" i="5"/>
  <c r="K34" i="5"/>
  <c r="F33" i="5"/>
  <c r="L33" i="5" s="1"/>
  <c r="G33" i="5"/>
  <c r="H33" i="5" s="1"/>
  <c r="J33" i="5"/>
  <c r="K33" i="5"/>
  <c r="F32" i="5"/>
  <c r="G32" i="5"/>
  <c r="K32" i="5" s="1"/>
  <c r="J32" i="5"/>
  <c r="F31" i="5"/>
  <c r="G31" i="5"/>
  <c r="H31" i="5" s="1"/>
  <c r="J31" i="5"/>
  <c r="K31" i="5"/>
  <c r="F24" i="5"/>
  <c r="L24" i="5" s="1"/>
  <c r="H24" i="5"/>
  <c r="J24" i="5"/>
  <c r="F23" i="5"/>
  <c r="G23" i="5"/>
  <c r="H23" i="5" s="1"/>
  <c r="L23" i="5" s="1"/>
  <c r="J23" i="5"/>
  <c r="F22" i="5"/>
  <c r="G22" i="5"/>
  <c r="H22" i="5" s="1"/>
  <c r="L22" i="5" s="1"/>
  <c r="J22" i="5"/>
  <c r="E21" i="5"/>
  <c r="F21" i="5"/>
  <c r="L21" i="5" s="1"/>
  <c r="H21" i="5"/>
  <c r="J21" i="5"/>
  <c r="K21" i="5"/>
  <c r="E20" i="5"/>
  <c r="F20" i="5"/>
  <c r="H20" i="5"/>
  <c r="L20" i="5" s="1"/>
  <c r="J20" i="5"/>
  <c r="K20" i="5"/>
  <c r="E19" i="5"/>
  <c r="F19" i="5"/>
  <c r="H19" i="5"/>
  <c r="L19" i="5" s="1"/>
  <c r="J19" i="5"/>
  <c r="K19" i="5"/>
  <c r="E18" i="5"/>
  <c r="F18" i="5"/>
  <c r="L18" i="5" s="1"/>
  <c r="H18" i="5"/>
  <c r="J18" i="5"/>
  <c r="K18" i="5"/>
  <c r="E17" i="5"/>
  <c r="K17" i="5" s="1"/>
  <c r="F17" i="5"/>
  <c r="L17" i="5" s="1"/>
  <c r="H17" i="5"/>
  <c r="J17" i="5"/>
  <c r="E16" i="5"/>
  <c r="F16" i="5"/>
  <c r="L16" i="5" s="1"/>
  <c r="H16" i="5"/>
  <c r="J16" i="5"/>
  <c r="K16" i="5"/>
  <c r="E15" i="5"/>
  <c r="F15" i="5" s="1"/>
  <c r="L15" i="5" s="1"/>
  <c r="H15" i="5"/>
  <c r="J15" i="5"/>
  <c r="E14" i="5"/>
  <c r="F14" i="5"/>
  <c r="H14" i="5"/>
  <c r="J14" i="5"/>
  <c r="K14" i="5"/>
  <c r="L14" i="5"/>
  <c r="E13" i="5"/>
  <c r="F13" i="5" s="1"/>
  <c r="L13" i="5" s="1"/>
  <c r="H13" i="5"/>
  <c r="J13" i="5"/>
  <c r="E12" i="5"/>
  <c r="F12" i="5" s="1"/>
  <c r="L12" i="5" s="1"/>
  <c r="H12" i="5"/>
  <c r="J12" i="5"/>
  <c r="K12" i="5"/>
  <c r="L9" i="5"/>
  <c r="L6" i="5"/>
  <c r="F7" i="4"/>
  <c r="G7" i="4" s="1"/>
  <c r="H7" i="4"/>
  <c r="I7" i="4" s="1"/>
  <c r="J7" i="4"/>
  <c r="K7" i="4"/>
  <c r="F6" i="4"/>
  <c r="G6" i="4" s="1"/>
  <c r="H6" i="4"/>
  <c r="I6" i="4" s="1"/>
  <c r="J6" i="4"/>
  <c r="K6" i="4" s="1"/>
  <c r="F5" i="4"/>
  <c r="G5" i="4"/>
  <c r="H5" i="4"/>
  <c r="I5" i="4" s="1"/>
  <c r="J5" i="4"/>
  <c r="K5" i="4"/>
  <c r="L5" i="4"/>
  <c r="F35" i="3"/>
  <c r="L35" i="3" s="1"/>
  <c r="H35" i="3"/>
  <c r="J35" i="3"/>
  <c r="F34" i="3"/>
  <c r="H34" i="3"/>
  <c r="J34" i="3"/>
  <c r="K34" i="3"/>
  <c r="L34" i="3"/>
  <c r="F33" i="3"/>
  <c r="G33" i="3"/>
  <c r="H33" i="3"/>
  <c r="L33" i="3" s="1"/>
  <c r="J33" i="3"/>
  <c r="K33" i="3"/>
  <c r="F32" i="3"/>
  <c r="H32" i="3"/>
  <c r="J32" i="3"/>
  <c r="K32" i="3"/>
  <c r="L32" i="3"/>
  <c r="H31" i="3"/>
  <c r="J31" i="3"/>
  <c r="K31" i="3"/>
  <c r="B30" i="3"/>
  <c r="E30" i="3"/>
  <c r="F30" i="3" s="1"/>
  <c r="L30" i="3" s="1"/>
  <c r="E29" i="3"/>
  <c r="F29" i="3" s="1"/>
  <c r="L29" i="3" s="1"/>
  <c r="H29" i="3"/>
  <c r="J29" i="3"/>
  <c r="K29" i="3"/>
  <c r="F28" i="3"/>
  <c r="H28" i="3"/>
  <c r="J28" i="3"/>
  <c r="K28" i="3"/>
  <c r="L28" i="3"/>
  <c r="F27" i="3"/>
  <c r="L27" i="3" s="1"/>
  <c r="H27" i="3"/>
  <c r="J27" i="3"/>
  <c r="K27" i="3"/>
  <c r="F26" i="3"/>
  <c r="H26" i="3"/>
  <c r="I26" i="3"/>
  <c r="K26" i="3" s="1"/>
  <c r="F25" i="3"/>
  <c r="H25" i="3"/>
  <c r="J25" i="3"/>
  <c r="K25" i="3"/>
  <c r="L25" i="3"/>
  <c r="F22" i="3"/>
  <c r="L22" i="3" s="1"/>
  <c r="H22" i="3"/>
  <c r="J22" i="3"/>
  <c r="F21" i="3"/>
  <c r="L21" i="3" s="1"/>
  <c r="H21" i="3"/>
  <c r="J21" i="3"/>
  <c r="K21" i="3"/>
  <c r="F20" i="3"/>
  <c r="H20" i="3"/>
  <c r="I20" i="3"/>
  <c r="K20" i="3" s="1"/>
  <c r="F19" i="3"/>
  <c r="H19" i="3"/>
  <c r="J19" i="3"/>
  <c r="K19" i="3"/>
  <c r="L19" i="3"/>
  <c r="F16" i="3"/>
  <c r="L16" i="3" s="1"/>
  <c r="H16" i="3"/>
  <c r="J16" i="3"/>
  <c r="F15" i="3"/>
  <c r="H15" i="3"/>
  <c r="J15" i="3"/>
  <c r="K15" i="3"/>
  <c r="L15" i="3"/>
  <c r="F14" i="3"/>
  <c r="G14" i="3"/>
  <c r="H14" i="3" s="1"/>
  <c r="L14" i="3" s="1"/>
  <c r="J14" i="3"/>
  <c r="F13" i="3"/>
  <c r="L13" i="3" s="1"/>
  <c r="H13" i="3"/>
  <c r="J13" i="3"/>
  <c r="K13" i="3"/>
  <c r="H12" i="3"/>
  <c r="J12" i="3"/>
  <c r="K12" i="3"/>
  <c r="B11" i="3"/>
  <c r="E11" i="3"/>
  <c r="F11" i="3" s="1"/>
  <c r="L11" i="3" s="1"/>
  <c r="E10" i="3"/>
  <c r="F10" i="3" s="1"/>
  <c r="L10" i="3" s="1"/>
  <c r="H10" i="3"/>
  <c r="J10" i="3"/>
  <c r="F9" i="3"/>
  <c r="H9" i="3"/>
  <c r="L9" i="3" s="1"/>
  <c r="J9" i="3"/>
  <c r="K9" i="3"/>
  <c r="F8" i="3"/>
  <c r="L8" i="3" s="1"/>
  <c r="H8" i="3"/>
  <c r="J8" i="3"/>
  <c r="K8" i="3"/>
  <c r="F7" i="3"/>
  <c r="H7" i="3"/>
  <c r="I7" i="3"/>
  <c r="K7" i="3" s="1"/>
  <c r="F6" i="3"/>
  <c r="L6" i="3" s="1"/>
  <c r="H6" i="3"/>
  <c r="J6" i="3"/>
  <c r="K6" i="3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E29" i="9" l="1"/>
  <c r="K20" i="8"/>
  <c r="J22" i="8"/>
  <c r="K5" i="8"/>
  <c r="J106" i="7"/>
  <c r="L106" i="7" s="1"/>
  <c r="X106" i="7" s="1"/>
  <c r="J105" i="7"/>
  <c r="L105" i="7" s="1"/>
  <c r="X105" i="7" s="1"/>
  <c r="J104" i="7"/>
  <c r="L104" i="7" s="1"/>
  <c r="X104" i="7" s="1"/>
  <c r="J103" i="7"/>
  <c r="L103" i="7" s="1"/>
  <c r="X103" i="7" s="1"/>
  <c r="J102" i="7"/>
  <c r="L102" i="7" s="1"/>
  <c r="X102" i="7" s="1"/>
  <c r="J93" i="7"/>
  <c r="J92" i="7"/>
  <c r="K90" i="7"/>
  <c r="L89" i="7"/>
  <c r="L88" i="7"/>
  <c r="L87" i="7"/>
  <c r="L86" i="7"/>
  <c r="K56" i="7"/>
  <c r="L54" i="7"/>
  <c r="K54" i="7"/>
  <c r="L39" i="7"/>
  <c r="L38" i="7"/>
  <c r="L27" i="7"/>
  <c r="L26" i="7"/>
  <c r="K26" i="7"/>
  <c r="L25" i="7"/>
  <c r="L24" i="7"/>
  <c r="L23" i="7"/>
  <c r="L9" i="7"/>
  <c r="L8" i="7"/>
  <c r="L7" i="7"/>
  <c r="L6" i="7"/>
  <c r="K27" i="5"/>
  <c r="J27" i="5"/>
  <c r="J28" i="5" s="1"/>
  <c r="J8" i="6" s="1"/>
  <c r="K8" i="6" s="1"/>
  <c r="E27" i="5"/>
  <c r="F27" i="5" s="1"/>
  <c r="M42" i="6"/>
  <c r="L42" i="6"/>
  <c r="E42" i="5"/>
  <c r="M41" i="6"/>
  <c r="M40" i="6"/>
  <c r="E73" i="5"/>
  <c r="F73" i="5" s="1"/>
  <c r="K74" i="5"/>
  <c r="L183" i="5"/>
  <c r="K183" i="5"/>
  <c r="J184" i="5"/>
  <c r="J34" i="6" s="1"/>
  <c r="K34" i="6" s="1"/>
  <c r="I75" i="5" s="1"/>
  <c r="J75" i="5" s="1"/>
  <c r="H184" i="5"/>
  <c r="H34" i="6" s="1"/>
  <c r="I34" i="6" s="1"/>
  <c r="G75" i="5" s="1"/>
  <c r="H75" i="5" s="1"/>
  <c r="E178" i="5"/>
  <c r="F178" i="5" s="1"/>
  <c r="M37" i="6"/>
  <c r="F179" i="5"/>
  <c r="F33" i="6" s="1"/>
  <c r="G177" i="5"/>
  <c r="M36" i="6"/>
  <c r="E182" i="5"/>
  <c r="F182" i="5" s="1"/>
  <c r="F184" i="5" s="1"/>
  <c r="M35" i="6"/>
  <c r="J76" i="5"/>
  <c r="J15" i="6" s="1"/>
  <c r="K15" i="6" s="1"/>
  <c r="E63" i="5"/>
  <c r="M32" i="6"/>
  <c r="H48" i="5"/>
  <c r="H49" i="5" s="1"/>
  <c r="H11" i="6" s="1"/>
  <c r="I11" i="6" s="1"/>
  <c r="M11" i="6" s="1"/>
  <c r="K48" i="5"/>
  <c r="M31" i="6"/>
  <c r="G11" i="6"/>
  <c r="L11" i="6"/>
  <c r="L49" i="5"/>
  <c r="E101" i="5"/>
  <c r="F101" i="5" s="1"/>
  <c r="M30" i="6"/>
  <c r="H96" i="5"/>
  <c r="H97" i="5" s="1"/>
  <c r="H18" i="6" s="1"/>
  <c r="I18" i="6" s="1"/>
  <c r="K96" i="5"/>
  <c r="M29" i="6"/>
  <c r="L96" i="5"/>
  <c r="F97" i="5"/>
  <c r="L25" i="6"/>
  <c r="F25" i="6"/>
  <c r="G25" i="6" s="1"/>
  <c r="L135" i="5"/>
  <c r="E126" i="5"/>
  <c r="F126" i="5" s="1"/>
  <c r="F127" i="5" s="1"/>
  <c r="E130" i="5"/>
  <c r="M27" i="6"/>
  <c r="I126" i="5"/>
  <c r="J126" i="5" s="1"/>
  <c r="J127" i="5" s="1"/>
  <c r="J23" i="6" s="1"/>
  <c r="K23" i="6" s="1"/>
  <c r="I130" i="5"/>
  <c r="J130" i="5" s="1"/>
  <c r="J131" i="5" s="1"/>
  <c r="J24" i="6" s="1"/>
  <c r="K24" i="6" s="1"/>
  <c r="G130" i="5"/>
  <c r="H130" i="5" s="1"/>
  <c r="H131" i="5" s="1"/>
  <c r="H24" i="6" s="1"/>
  <c r="I24" i="6" s="1"/>
  <c r="G126" i="5"/>
  <c r="H126" i="5" s="1"/>
  <c r="H127" i="5" s="1"/>
  <c r="H23" i="6" s="1"/>
  <c r="I23" i="6" s="1"/>
  <c r="E122" i="5"/>
  <c r="M26" i="6"/>
  <c r="M25" i="6"/>
  <c r="I25" i="6"/>
  <c r="M21" i="6"/>
  <c r="M20" i="6"/>
  <c r="I20" i="6"/>
  <c r="L17" i="6"/>
  <c r="M16" i="6"/>
  <c r="I16" i="6"/>
  <c r="M14" i="6"/>
  <c r="I14" i="6"/>
  <c r="M12" i="6"/>
  <c r="M9" i="6"/>
  <c r="M7" i="6"/>
  <c r="M6" i="6"/>
  <c r="H225" i="5"/>
  <c r="L225" i="5" s="1"/>
  <c r="K221" i="5"/>
  <c r="H219" i="5"/>
  <c r="L219" i="5" s="1"/>
  <c r="K211" i="5"/>
  <c r="H210" i="5"/>
  <c r="L210" i="5" s="1"/>
  <c r="H209" i="5"/>
  <c r="L209" i="5" s="1"/>
  <c r="H208" i="5"/>
  <c r="L208" i="5" s="1"/>
  <c r="H207" i="5"/>
  <c r="L207" i="5" s="1"/>
  <c r="K195" i="5"/>
  <c r="H194" i="5"/>
  <c r="L194" i="5" s="1"/>
  <c r="H193" i="5"/>
  <c r="L193" i="5" s="1"/>
  <c r="K189" i="5"/>
  <c r="H188" i="5"/>
  <c r="L188" i="5" s="1"/>
  <c r="H187" i="5"/>
  <c r="L187" i="5" s="1"/>
  <c r="K182" i="5"/>
  <c r="L178" i="5"/>
  <c r="K178" i="5"/>
  <c r="H172" i="5"/>
  <c r="L172" i="5" s="1"/>
  <c r="H171" i="5"/>
  <c r="L171" i="5" s="1"/>
  <c r="K166" i="5"/>
  <c r="H165" i="5"/>
  <c r="L165" i="5" s="1"/>
  <c r="H159" i="5"/>
  <c r="L159" i="5" s="1"/>
  <c r="K155" i="5"/>
  <c r="H154" i="5"/>
  <c r="L154" i="5" s="1"/>
  <c r="L149" i="5"/>
  <c r="L148" i="5"/>
  <c r="L144" i="5"/>
  <c r="H143" i="5"/>
  <c r="L143" i="5" s="1"/>
  <c r="H139" i="5"/>
  <c r="L139" i="5" s="1"/>
  <c r="L134" i="5"/>
  <c r="K134" i="5"/>
  <c r="L126" i="5"/>
  <c r="L118" i="5"/>
  <c r="L117" i="5"/>
  <c r="K116" i="5"/>
  <c r="H114" i="5"/>
  <c r="L114" i="5" s="1"/>
  <c r="L110" i="5"/>
  <c r="K109" i="5"/>
  <c r="K101" i="5"/>
  <c r="K91" i="5"/>
  <c r="H90" i="5"/>
  <c r="L90" i="5" s="1"/>
  <c r="H83" i="5"/>
  <c r="L83" i="5" s="1"/>
  <c r="H82" i="5"/>
  <c r="L82" i="5" s="1"/>
  <c r="L74" i="5"/>
  <c r="H73" i="5"/>
  <c r="L73" i="5" s="1"/>
  <c r="K68" i="5"/>
  <c r="K62" i="5"/>
  <c r="K57" i="5"/>
  <c r="K56" i="5"/>
  <c r="F54" i="5"/>
  <c r="L54" i="5" s="1"/>
  <c r="L48" i="5"/>
  <c r="K36" i="5"/>
  <c r="K35" i="5"/>
  <c r="L34" i="5"/>
  <c r="H32" i="5"/>
  <c r="L32" i="5" s="1"/>
  <c r="L31" i="5"/>
  <c r="K23" i="5"/>
  <c r="K22" i="5"/>
  <c r="K15" i="5"/>
  <c r="K13" i="5"/>
  <c r="M7" i="4"/>
  <c r="L7" i="4"/>
  <c r="M6" i="4"/>
  <c r="L6" i="4"/>
  <c r="M5" i="4"/>
  <c r="F31" i="3"/>
  <c r="L31" i="3" s="1"/>
  <c r="K30" i="3"/>
  <c r="J26" i="3"/>
  <c r="L26" i="3" s="1"/>
  <c r="J20" i="3"/>
  <c r="L20" i="3" s="1"/>
  <c r="K14" i="3"/>
  <c r="F12" i="3"/>
  <c r="L12" i="3" s="1"/>
  <c r="K11" i="3"/>
  <c r="K10" i="3"/>
  <c r="J7" i="3"/>
  <c r="L7" i="3" s="1"/>
  <c r="I29" i="9" l="1"/>
  <c r="E30" i="9"/>
  <c r="I30" i="9" s="1"/>
  <c r="E31" i="9"/>
  <c r="I31" i="9" s="1"/>
  <c r="L93" i="7"/>
  <c r="R93" i="7"/>
  <c r="L92" i="7"/>
  <c r="R92" i="7"/>
  <c r="L27" i="5"/>
  <c r="F28" i="5"/>
  <c r="F42" i="5"/>
  <c r="K42" i="5"/>
  <c r="K73" i="5"/>
  <c r="K177" i="5"/>
  <c r="H177" i="5"/>
  <c r="G33" i="6"/>
  <c r="L184" i="5"/>
  <c r="F34" i="6"/>
  <c r="L182" i="5"/>
  <c r="F63" i="5"/>
  <c r="K63" i="5"/>
  <c r="L101" i="5"/>
  <c r="F103" i="5"/>
  <c r="L97" i="5"/>
  <c r="F18" i="6"/>
  <c r="K126" i="5"/>
  <c r="K130" i="5"/>
  <c r="F130" i="5"/>
  <c r="L127" i="5"/>
  <c r="F23" i="6"/>
  <c r="F122" i="5"/>
  <c r="K122" i="5"/>
  <c r="F8" i="6" l="1"/>
  <c r="L28" i="5"/>
  <c r="F43" i="5"/>
  <c r="L42" i="5"/>
  <c r="H179" i="5"/>
  <c r="L177" i="5"/>
  <c r="E72" i="5"/>
  <c r="G34" i="6"/>
  <c r="L34" i="6"/>
  <c r="F64" i="5"/>
  <c r="L63" i="5"/>
  <c r="L103" i="5"/>
  <c r="F19" i="6"/>
  <c r="G18" i="6"/>
  <c r="M18" i="6" s="1"/>
  <c r="L18" i="6"/>
  <c r="G23" i="6"/>
  <c r="M23" i="6" s="1"/>
  <c r="L23" i="6"/>
  <c r="L130" i="5"/>
  <c r="F131" i="5"/>
  <c r="L122" i="5"/>
  <c r="F123" i="5"/>
  <c r="I37" i="9" l="1"/>
  <c r="G8" i="6"/>
  <c r="M8" i="6" s="1"/>
  <c r="L8" i="6"/>
  <c r="L43" i="5"/>
  <c r="F10" i="6"/>
  <c r="F72" i="5"/>
  <c r="H33" i="6"/>
  <c r="L179" i="5"/>
  <c r="M34" i="6"/>
  <c r="E75" i="5"/>
  <c r="L64" i="5"/>
  <c r="F13" i="6"/>
  <c r="G19" i="6"/>
  <c r="M19" i="6" s="1"/>
  <c r="L19" i="6"/>
  <c r="L131" i="5"/>
  <c r="F24" i="6"/>
  <c r="L123" i="5"/>
  <c r="F22" i="6"/>
  <c r="I41" i="9" l="1"/>
  <c r="G10" i="6"/>
  <c r="M10" i="6" s="1"/>
  <c r="L10" i="6"/>
  <c r="I33" i="6"/>
  <c r="L33" i="6"/>
  <c r="K75" i="5"/>
  <c r="F75" i="5"/>
  <c r="G13" i="6"/>
  <c r="M13" i="6" s="1"/>
  <c r="L13" i="6"/>
  <c r="G24" i="6"/>
  <c r="M24" i="6" s="1"/>
  <c r="L24" i="6"/>
  <c r="G22" i="6"/>
  <c r="M22" i="6" s="1"/>
  <c r="L22" i="6"/>
  <c r="E35" i="9" l="1"/>
  <c r="E32" i="9" s="1"/>
  <c r="E41" i="9"/>
  <c r="G72" i="5"/>
  <c r="M33" i="6"/>
  <c r="L75" i="5"/>
  <c r="F76" i="5"/>
  <c r="H72" i="5" l="1"/>
  <c r="K72" i="5"/>
  <c r="F15" i="6"/>
  <c r="H76" i="5" l="1"/>
  <c r="L72" i="5"/>
  <c r="G15" i="6"/>
  <c r="H15" i="6" l="1"/>
  <c r="L76" i="5"/>
  <c r="I15" i="6" l="1"/>
  <c r="M15" i="6" s="1"/>
  <c r="L15" i="6"/>
</calcChain>
</file>

<file path=xl/sharedStrings.xml><?xml version="1.0" encoding="utf-8"?>
<sst xmlns="http://schemas.openxmlformats.org/spreadsheetml/2006/main" count="1820" uniqueCount="563">
  <si>
    <t>01. 건축공사</t>
  </si>
  <si>
    <t>단 가 대 비 표</t>
  </si>
  <si>
    <t>품     명</t>
  </si>
  <si>
    <t>규     격</t>
  </si>
  <si>
    <t>단위</t>
  </si>
  <si>
    <t>물가자료</t>
  </si>
  <si>
    <t>물가정보</t>
  </si>
  <si>
    <t>가격정보</t>
  </si>
  <si>
    <t>거래가격</t>
  </si>
  <si>
    <t>유통물가</t>
  </si>
  <si>
    <t>조사단가</t>
  </si>
  <si>
    <t>하반기</t>
  </si>
  <si>
    <t>적용단가</t>
  </si>
  <si>
    <t>비 고</t>
  </si>
  <si>
    <t>단가</t>
  </si>
  <si>
    <t>Page</t>
  </si>
  <si>
    <t>구분</t>
  </si>
  <si>
    <t>경유</t>
  </si>
  <si>
    <t>경유, 저유황</t>
  </si>
  <si>
    <t>L</t>
  </si>
  <si>
    <t>하권32</t>
  </si>
  <si>
    <t>1451</t>
  </si>
  <si>
    <t>1189</t>
  </si>
  <si>
    <t>계단식발판</t>
  </si>
  <si>
    <t>계단식발판, 볼록철판, 0.4×1829mm</t>
  </si>
  <si>
    <t>매</t>
  </si>
  <si>
    <t>106(2502)</t>
  </si>
  <si>
    <t>172</t>
  </si>
  <si>
    <t>S.B.C냉연,중량13kg</t>
  </si>
  <si>
    <t>공업용휘발유</t>
  </si>
  <si>
    <t>공업용휘발유, 무연</t>
  </si>
  <si>
    <t>1446</t>
  </si>
  <si>
    <t>내수합판(1급)</t>
  </si>
  <si>
    <t>12T  1.21*2.42</t>
  </si>
  <si>
    <t>M2</t>
  </si>
  <si>
    <t>670</t>
  </si>
  <si>
    <t>587</t>
  </si>
  <si>
    <t>물</t>
  </si>
  <si>
    <t>용수</t>
  </si>
  <si>
    <t>하권328</t>
  </si>
  <si>
    <t>부록508</t>
  </si>
  <si>
    <t>일반용</t>
  </si>
  <si>
    <t>방청페인트</t>
  </si>
  <si>
    <t>방청페인트, KSM6030-1종2류, 광명단페인트</t>
  </si>
  <si>
    <t>588</t>
  </si>
  <si>
    <t>500</t>
  </si>
  <si>
    <t>블레이드</t>
  </si>
  <si>
    <t>도로용, 14"×3.2mm</t>
  </si>
  <si>
    <t>EA</t>
  </si>
  <si>
    <t>1080</t>
  </si>
  <si>
    <t>1338</t>
  </si>
  <si>
    <t>1166</t>
  </si>
  <si>
    <t>비계안정장치</t>
  </si>
  <si>
    <t>비계안정장치, 가새, L=1518-2개</t>
  </si>
  <si>
    <t>조</t>
  </si>
  <si>
    <t>88</t>
  </si>
  <si>
    <t>82</t>
  </si>
  <si>
    <t>비계안정장치, 바퀴</t>
  </si>
  <si>
    <t>개</t>
  </si>
  <si>
    <t>167</t>
  </si>
  <si>
    <t>5인치</t>
  </si>
  <si>
    <t>비계안정장치, 비계기본틀, 기둥, 1.2×1.7m</t>
  </si>
  <si>
    <t>106</t>
  </si>
  <si>
    <t>수직</t>
  </si>
  <si>
    <t>비계안정장치, 손잡이, 1229mm</t>
  </si>
  <si>
    <t>비계안정장치, 손잡이, 1829mm</t>
  </si>
  <si>
    <t>비계안정장치, 손잡이기둥</t>
  </si>
  <si>
    <t>비계안정장치, 수평띠장, 1829mm</t>
  </si>
  <si>
    <t>수평틀</t>
  </si>
  <si>
    <t>비계안정장치, 이음철물, 연결핀</t>
  </si>
  <si>
    <t>비계안정장치, 쟈키</t>
  </si>
  <si>
    <t>36×600</t>
  </si>
  <si>
    <t>비닐벽지</t>
  </si>
  <si>
    <t>비닐벽지, 실크형, A급</t>
  </si>
  <si>
    <t>㎡</t>
  </si>
  <si>
    <t>704</t>
  </si>
  <si>
    <t>503</t>
  </si>
  <si>
    <t>테라피</t>
  </si>
  <si>
    <t>석고보드</t>
  </si>
  <si>
    <t>석고보드, 평보드, 9.5×900×1800mm(㎡)</t>
  </si>
  <si>
    <t>668</t>
  </si>
  <si>
    <t>671</t>
  </si>
  <si>
    <t>408</t>
  </si>
  <si>
    <t>수성페인트</t>
  </si>
  <si>
    <t>수성페인트, KSM6010-1종2급, 백색</t>
  </si>
  <si>
    <t>614</t>
  </si>
  <si>
    <t>468</t>
  </si>
  <si>
    <t>시너</t>
  </si>
  <si>
    <t>시너, KSM6060-2종, 조합페인트용</t>
  </si>
  <si>
    <t>466</t>
  </si>
  <si>
    <t>아스팔트</t>
  </si>
  <si>
    <t>아스팔트, 아스팔트프라이머</t>
  </si>
  <si>
    <t>ℓ</t>
  </si>
  <si>
    <t>464</t>
  </si>
  <si>
    <t>484</t>
  </si>
  <si>
    <t>581</t>
  </si>
  <si>
    <t>381</t>
  </si>
  <si>
    <t>아스팔트싱글</t>
  </si>
  <si>
    <t>아스팔트싱글, 이중그림자, 1000×336×3mm</t>
  </si>
  <si>
    <t>573(2206)</t>
  </si>
  <si>
    <t>422(2207)</t>
  </si>
  <si>
    <t>5T</t>
  </si>
  <si>
    <t>액화석유가스</t>
  </si>
  <si>
    <t>액화석유가스, 건설용LPG</t>
  </si>
  <si>
    <t>kg</t>
  </si>
  <si>
    <t>외벽단열마감재</t>
  </si>
  <si>
    <t>표준마감-피니쉬시스템</t>
  </si>
  <si>
    <t>545(2606)</t>
  </si>
  <si>
    <t>준불연</t>
  </si>
  <si>
    <t>인테리어표면마감재</t>
  </si>
  <si>
    <t>0.42*1220mm FW (목무늬방염)</t>
  </si>
  <si>
    <t>697</t>
  </si>
  <si>
    <t>일반구조용각형강관</t>
  </si>
  <si>
    <t>일반구조용각형강관, 각형강관, 75×75×3.2t</t>
  </si>
  <si>
    <t>m</t>
  </si>
  <si>
    <t>25</t>
  </si>
  <si>
    <t>22</t>
  </si>
  <si>
    <t>69</t>
  </si>
  <si>
    <t>34</t>
  </si>
  <si>
    <t>흑관, SRT 275</t>
  </si>
  <si>
    <t>일반철물</t>
  </si>
  <si>
    <t>보강철물, #10, 아연도</t>
  </si>
  <si>
    <t>KG</t>
  </si>
  <si>
    <t>종이벽지</t>
  </si>
  <si>
    <t>종이벽지, 초배지</t>
  </si>
  <si>
    <t>692</t>
  </si>
  <si>
    <t>초산비닐계접착제</t>
  </si>
  <si>
    <t>초산비닐계접착제, 벽지용</t>
  </si>
  <si>
    <t>60</t>
  </si>
  <si>
    <t>64</t>
  </si>
  <si>
    <t>도배지 접착용</t>
  </si>
  <si>
    <t>퍼티</t>
  </si>
  <si>
    <t>퍼티, 319퍼티, 백색</t>
  </si>
  <si>
    <t>504</t>
  </si>
  <si>
    <t>1L=1.6kg</t>
  </si>
  <si>
    <t>합성고분자방수시트</t>
  </si>
  <si>
    <t>합성고분자방수시트, ECB시트, 1.0mm</t>
  </si>
  <si>
    <t>455</t>
  </si>
  <si>
    <t>375</t>
  </si>
  <si>
    <t>M.D.F</t>
  </si>
  <si>
    <t>9.0T 1210*2420</t>
  </si>
  <si>
    <t>678</t>
  </si>
  <si>
    <t>건설기계운전사</t>
  </si>
  <si>
    <t>일반공사 직종</t>
  </si>
  <si>
    <t>인</t>
  </si>
  <si>
    <t>건설기계운전기사</t>
  </si>
  <si>
    <t>건축목공</t>
  </si>
  <si>
    <t>내장공</t>
  </si>
  <si>
    <t>덕트공</t>
  </si>
  <si>
    <t>2010년직종통합(함석공)</t>
  </si>
  <si>
    <t>도배공</t>
  </si>
  <si>
    <t>도장공</t>
  </si>
  <si>
    <t>방수공</t>
  </si>
  <si>
    <t>보통인부</t>
  </si>
  <si>
    <t>비계공</t>
  </si>
  <si>
    <t>용접공</t>
  </si>
  <si>
    <t>용접공(일반)</t>
  </si>
  <si>
    <t>일반기계운전사</t>
  </si>
  <si>
    <t>운전사(기계)</t>
  </si>
  <si>
    <t>지붕잇기공</t>
  </si>
  <si>
    <t>착암공</t>
  </si>
  <si>
    <t>철공</t>
  </si>
  <si>
    <t>특별인부</t>
  </si>
  <si>
    <t>건설폐기물수집운반비(상차비)</t>
  </si>
  <si>
    <t>24톤 덤프트럭, 건설폐재류</t>
  </si>
  <si>
    <t>TON</t>
  </si>
  <si>
    <t>하권150</t>
  </si>
  <si>
    <t>1586</t>
  </si>
  <si>
    <t>1433</t>
  </si>
  <si>
    <t>한국건설폐기물수집운반</t>
  </si>
  <si>
    <t>24톤 암롤트럭, 혼합건설폐재류</t>
  </si>
  <si>
    <t>건설폐기물수집운반비(운반비)</t>
  </si>
  <si>
    <t>24톤 덤프트럭, 건설폐재류, 30km</t>
  </si>
  <si>
    <t>24톤 암롤트럭, 혼합건설폐기물, 30km</t>
  </si>
  <si>
    <t>공기압축기(이동식)</t>
  </si>
  <si>
    <t>3.5 ㎥/min</t>
  </si>
  <si>
    <t>대</t>
  </si>
  <si>
    <t>공통8-5-6(5205)</t>
  </si>
  <si>
    <t>소형브레이커(공압식)</t>
  </si>
  <si>
    <t>1.3㎥/min</t>
  </si>
  <si>
    <t>공통8-5-6(5210)</t>
  </si>
  <si>
    <t>커터(콘크리트및아스팔트용)</t>
  </si>
  <si>
    <t>320-400 mm</t>
  </si>
  <si>
    <t>공통8-5-5(4430)</t>
  </si>
  <si>
    <t>폐자재처리수수료</t>
  </si>
  <si>
    <t>건설폐재류(재건축,폐콘크리트,폐벽돌,폐기와)</t>
  </si>
  <si>
    <t>톤</t>
  </si>
  <si>
    <t>하권151</t>
  </si>
  <si>
    <t>부록412</t>
  </si>
  <si>
    <t>부가세별도</t>
  </si>
  <si>
    <t>폐합성고무</t>
  </si>
  <si>
    <t>폐타이어,탄성포장재,방수시트,폐고무제품류 등</t>
  </si>
  <si>
    <t>부록413</t>
  </si>
  <si>
    <t>혼합건설폐기물</t>
  </si>
  <si>
    <t>그 밖의 건설폐기물에 가연성 5% 이하 혼합</t>
  </si>
  <si>
    <t>1585</t>
  </si>
  <si>
    <t>건설폐기물처리단가</t>
  </si>
  <si>
    <t>중 기 경 비 내 역 서</t>
  </si>
  <si>
    <t>품          명</t>
  </si>
  <si>
    <t>규          격</t>
  </si>
  <si>
    <t>수  량</t>
  </si>
  <si>
    <t>재   료   비</t>
  </si>
  <si>
    <t>노   무   비</t>
  </si>
  <si>
    <t>경        비</t>
  </si>
  <si>
    <t>합        계</t>
  </si>
  <si>
    <t>비  고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</si>
  <si>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</si>
  <si>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</si>
  <si>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</si>
  <si>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</si>
  <si>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</si>
  <si>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</si>
  <si>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</si>
  <si>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</si>
  <si>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[중기  1호] - [공기압축기(이동식)  3.5㎥/min  HR]</t>
  </si>
  <si>
    <t>공통8-4-6,8-3-6(5205)</t>
  </si>
  <si>
    <t>[경  비]</t>
  </si>
  <si>
    <t/>
  </si>
  <si>
    <t>03</t>
  </si>
  <si>
    <t>기계경비</t>
  </si>
  <si>
    <t>소  계</t>
  </si>
  <si>
    <t>[재료비]</t>
  </si>
  <si>
    <t>01</t>
  </si>
  <si>
    <t>잡품</t>
  </si>
  <si>
    <t>식</t>
  </si>
  <si>
    <t>재료비-&gt;재료비</t>
  </si>
  <si>
    <t>20</t>
  </si>
  <si>
    <t>A0100000000</t>
  </si>
  <si>
    <t>재료비</t>
  </si>
  <si>
    <t>[노무비]</t>
  </si>
  <si>
    <t>02</t>
  </si>
  <si>
    <t>합  계</t>
  </si>
  <si>
    <t>[중기  2호] - [소형브레이커(공압식)  1.3㎥/min  HR]</t>
  </si>
  <si>
    <t>공통8-3-6(5210)</t>
  </si>
  <si>
    <t>[중기  3호] - [커터(콘크리트 및 아스팔트용)  320∼400mm  HR]</t>
  </si>
  <si>
    <t>공통8-4-5,8-3-5(4430)</t>
  </si>
  <si>
    <t>중 기 경 비 목 록</t>
  </si>
  <si>
    <t>호 표</t>
  </si>
  <si>
    <t>수량</t>
  </si>
  <si>
    <t>재 료 비</t>
  </si>
  <si>
    <t>노 무 비</t>
  </si>
  <si>
    <t>경    비</t>
  </si>
  <si>
    <t>합    계</t>
  </si>
  <si>
    <t>중기  1호</t>
  </si>
  <si>
    <t>3.5㎥/min</t>
  </si>
  <si>
    <t>HR</t>
  </si>
  <si>
    <t>중기  2호</t>
  </si>
  <si>
    <t>중기  3호</t>
  </si>
  <si>
    <t>커터(콘크리트 및 아스팔트용)</t>
  </si>
  <si>
    <t>320∼400mm</t>
  </si>
  <si>
    <t>일 위 대 가 내 역 서</t>
  </si>
  <si>
    <t>품        명</t>
  </si>
  <si>
    <t>규        격</t>
  </si>
  <si>
    <t>재  료  비</t>
  </si>
  <si>
    <t>노  무  비</t>
  </si>
  <si>
    <t>경      비</t>
  </si>
  <si>
    <t>합      계</t>
  </si>
  <si>
    <t>[일위  1호] - [시스템비계  10m이하  m2]</t>
  </si>
  <si>
    <t>건축표준시장(2026년하)</t>
  </si>
  <si>
    <t>[일위  2호] - [시스템비계  10m초과~20m이하  m2]</t>
  </si>
  <si>
    <t>[일위  3호] - [이동식강관말비계  1개월,2단(4m)  1대]</t>
  </si>
  <si>
    <t>공통2-7-6,2-2-5/26보완</t>
  </si>
  <si>
    <t>[일위  4호] - [건축물 현장정리  2가지이하공종,조적조의20%  M2]</t>
  </si>
  <si>
    <t>건축물 현장정리</t>
  </si>
  <si>
    <t>조적조</t>
  </si>
  <si>
    <t>일위 38호</t>
  </si>
  <si>
    <t>AAD16000040S</t>
  </si>
  <si>
    <t>[일위  5호] - [잡철물 제작 및 설치(현장제작 설치)  일반철재  Ton]</t>
  </si>
  <si>
    <t>건축8-3-1</t>
  </si>
  <si>
    <t>공구손료</t>
  </si>
  <si>
    <t>23</t>
  </si>
  <si>
    <t>잡자재비</t>
  </si>
  <si>
    <t>[일위  6호] - [녹막이페인트(뿜칠)  1회.2종  M2]</t>
  </si>
  <si>
    <t>05</t>
  </si>
  <si>
    <t>수성페인트 뿜칠</t>
  </si>
  <si>
    <t>1회</t>
  </si>
  <si>
    <t>일위 37호</t>
  </si>
  <si>
    <t>ANC13200070S</t>
  </si>
  <si>
    <t>[일위  7호] - [합판바닥 깔기  바닥,내수, 12mm  M2]</t>
  </si>
  <si>
    <t>합판바닥깔기</t>
  </si>
  <si>
    <t>일위 27호</t>
  </si>
  <si>
    <t>[일위  8호] - [SHEET방수(바닥)  ECB시트,T:1.0  M2]</t>
  </si>
  <si>
    <t>건축6-3-1</t>
  </si>
  <si>
    <t>공구손료 및 경장비의 기계경비</t>
  </si>
  <si>
    <t>A0200000000</t>
  </si>
  <si>
    <t>경비</t>
  </si>
  <si>
    <t>[일위  9호] - [아스팔트슁글깔기  336*5.0T(이중그림자)  M2]</t>
  </si>
  <si>
    <t>건축7-1-5참고/26년보완</t>
  </si>
  <si>
    <t>잡재료비</t>
  </si>
  <si>
    <t>아스팔트슁글깔기</t>
  </si>
  <si>
    <t>주재료비,후레싱 별도</t>
  </si>
  <si>
    <t>일위 28호</t>
  </si>
  <si>
    <t>[일위 10호] - [고압물청소    M2]</t>
  </si>
  <si>
    <t>04</t>
  </si>
  <si>
    <t>기구손료</t>
  </si>
  <si>
    <t>A0400000000</t>
  </si>
  <si>
    <t>[일위 11호] - [친환경수성페인트칠(롤러칠)  기존외벽,2회,2급  M2]</t>
  </si>
  <si>
    <t>건축 11-1-1,-2-2</t>
  </si>
  <si>
    <t>바탕만들기</t>
  </si>
  <si>
    <t>벽,콘크리트면</t>
  </si>
  <si>
    <t>일위 29호</t>
  </si>
  <si>
    <t>수성페인트 롤러칠 재료비</t>
  </si>
  <si>
    <t>외부, 2회, 2급, 합성수지에멀션페인트</t>
  </si>
  <si>
    <t>일위 36호</t>
  </si>
  <si>
    <t>수성페인트 롤러칠</t>
  </si>
  <si>
    <t>2회 노무비</t>
  </si>
  <si>
    <t>일위 35호</t>
  </si>
  <si>
    <t>도장 후 퍼티 및 연마</t>
  </si>
  <si>
    <t>일위 30호</t>
  </si>
  <si>
    <t>[일위 12호] - [도배바름(콘크리트.모르타르면)  벽, 비닐벽지, 실크형, A급  M2]</t>
  </si>
  <si>
    <t>건축5-3-7</t>
  </si>
  <si>
    <t>[일위 13호] - [도배바름(합판.석고보드면)  천장, 비닐벽지, 실크형, A급  M2]</t>
  </si>
  <si>
    <t>[일위 14호] - [석고판 설치(나사고정,석고판포함)  천장, 일반, 바탕용 9.5mm(1겹)  M2]</t>
  </si>
  <si>
    <t>건축5-2-3</t>
  </si>
  <si>
    <t>석고판 나사고정(바탕용)</t>
  </si>
  <si>
    <t>천장, 1겹 붙임</t>
  </si>
  <si>
    <t>일위 25호</t>
  </si>
  <si>
    <t>[일위 15호] - [목재몰딩 설치  MDF 9×60,무늬목,방염  M]</t>
  </si>
  <si>
    <t>몰딩설치</t>
  </si>
  <si>
    <t>천장갓둘레 설치</t>
  </si>
  <si>
    <t>M</t>
  </si>
  <si>
    <t>일위 26호</t>
  </si>
  <si>
    <t>[일위 16호] - [SAW CUT  콘크리트  M]</t>
  </si>
  <si>
    <t>[일위 17호] - [무근콘크리트 철거  소형브레이커(공압식)  M3]</t>
  </si>
  <si>
    <t>[일위 18호] - [벽 철거(벽지 해체)    M2]</t>
  </si>
  <si>
    <t>건축19-1-2</t>
  </si>
  <si>
    <t>도배 해체</t>
  </si>
  <si>
    <t>벽, 해체재 재사용 안함</t>
  </si>
  <si>
    <t>일위 22호</t>
  </si>
  <si>
    <t>AQA80000320S</t>
  </si>
  <si>
    <t>[일위 19호] - [천장 철거(천정재,석고보드류)  해체재 재사용 안 함  M2]</t>
  </si>
  <si>
    <t>천장마감재 철거</t>
  </si>
  <si>
    <t>텍스류,PVC류,금속천장판류</t>
  </si>
  <si>
    <t>일위 23호</t>
  </si>
  <si>
    <t>[일위 20호] - [천장몰딩철거(마감재,MDF 류)  50×10T기준,해체재 재사용 안 함  M]</t>
  </si>
  <si>
    <t>[일위 21호] - [지붕 철거(아스팔트 슁글류)  해체재 재사용 안 함  M2]</t>
  </si>
  <si>
    <t>지붕 철거(함석)</t>
  </si>
  <si>
    <t>해체재 재사용 안 함</t>
  </si>
  <si>
    <t>일위 24호</t>
  </si>
  <si>
    <t>AQA80000140S</t>
  </si>
  <si>
    <t>[일위 22호] - [도배 해체  벽, 해체재 재사용 안함  M2]</t>
  </si>
  <si>
    <t>유지(건축)3-2-7</t>
  </si>
  <si>
    <t>[일위 23호] - [천장마감재 철거  텍스류,PVC류,금속천장판류  M2]</t>
  </si>
  <si>
    <t>[일위 24호] - [지붕 철거(함석)  해체재 재사용 안 함  M2]</t>
  </si>
  <si>
    <t>99</t>
  </si>
  <si>
    <t>[일위 25호] - [석고판 나사고정(바탕용)  천장, 1겹 붙임  M2]</t>
  </si>
  <si>
    <t>건축5-2-3(노무비)</t>
  </si>
  <si>
    <t>[일위 26호] - [몰딩설치  천장갓둘레 설치  M]</t>
  </si>
  <si>
    <t>건축8-1-5※</t>
  </si>
  <si>
    <t>[일위 27호] - [합판바닥깔기    M2]</t>
  </si>
  <si>
    <t>건축4-1-3</t>
  </si>
  <si>
    <t>[일위 28호] - [아스팔트슁글깔기  주재료비,후레싱 별도  M2]</t>
  </si>
  <si>
    <t>건축7-1-5(26년보완)</t>
  </si>
  <si>
    <t>※ 일당 시공량</t>
  </si>
  <si>
    <t>[일위 29호] - [바탕만들기  벽,콘크리트면  M2]</t>
  </si>
  <si>
    <t>건축 11-1-1</t>
  </si>
  <si>
    <t>콘크리트·모르타르면 바탕만들기</t>
  </si>
  <si>
    <t>노무비</t>
  </si>
  <si>
    <t>일위 32호</t>
  </si>
  <si>
    <t>콘크리트·모르타르면 바탕만들기 재료비</t>
  </si>
  <si>
    <t>일위 33호</t>
  </si>
  <si>
    <t>[일위 30호] - [도장 후 퍼티 및 연마  벽,콘크리트면  M2]</t>
  </si>
  <si>
    <t>건축 11-1-5</t>
  </si>
  <si>
    <t>일위 31호</t>
  </si>
  <si>
    <t>도장 후 퍼티 및 연마 재료비</t>
  </si>
  <si>
    <t>콘크리트면</t>
  </si>
  <si>
    <t>일위 34호</t>
  </si>
  <si>
    <t>[일위 31호] - [도장 후 퍼티 및 연마  노무비  M2]</t>
  </si>
  <si>
    <t>공구손료 및 잡재료비</t>
  </si>
  <si>
    <t>[일위 32호] - [콘크리트·모르타르면 바탕만들기  노무비  M2]</t>
  </si>
  <si>
    <t>[일위 33호] - [콘크리트·모르타르면 바탕만들기 재료비    M2]</t>
  </si>
  <si>
    <t>[일위 34호] - [도장 후 퍼티 및 연마 재료비  콘크리트면  M2]</t>
  </si>
  <si>
    <t>[일위 35호] - [수성페인트 롤러칠  2회 노무비  M2]</t>
  </si>
  <si>
    <t>건축 11-2-2</t>
  </si>
  <si>
    <t>[일위 36호] - [수성페인트 롤러칠 재료비  외부, 2회, 2급, 합성수지에멀션페인트  M2]</t>
  </si>
  <si>
    <t>[일위 37호] - [수성페인트 뿜칠  1회  M2]</t>
  </si>
  <si>
    <t>건축11-2-3</t>
  </si>
  <si>
    <t>[일위 38호] - [건축물 현장정리  조적조  M2]</t>
  </si>
  <si>
    <t>일 위 대 가 목 록</t>
  </si>
  <si>
    <t>금    액</t>
  </si>
  <si>
    <t>일위  1호</t>
  </si>
  <si>
    <t>시스템비계</t>
  </si>
  <si>
    <t>10m이하</t>
  </si>
  <si>
    <t>m2</t>
  </si>
  <si>
    <t>표준시장단가</t>
  </si>
  <si>
    <t>일위  2호</t>
  </si>
  <si>
    <t>10m초과~20m이하</t>
  </si>
  <si>
    <t>일위  3호</t>
  </si>
  <si>
    <t>이동식강관말비계</t>
  </si>
  <si>
    <t>1개월,2단(4m)</t>
  </si>
  <si>
    <t>1대</t>
  </si>
  <si>
    <t>일위  4호</t>
  </si>
  <si>
    <t>2가지이하공종,조적조의20%</t>
  </si>
  <si>
    <t>무성적산</t>
  </si>
  <si>
    <t>일위  5호</t>
  </si>
  <si>
    <t>잡철물 제작 및 설치(현장제작 설치)</t>
  </si>
  <si>
    <t>일반철재</t>
  </si>
  <si>
    <t>Ton</t>
  </si>
  <si>
    <t>AJM53100010S</t>
  </si>
  <si>
    <t>일위  6호</t>
  </si>
  <si>
    <t>녹막이페인트(뿜칠)</t>
  </si>
  <si>
    <t>1회.2종</t>
  </si>
  <si>
    <t>일위  7호</t>
  </si>
  <si>
    <t>합판바닥 깔기</t>
  </si>
  <si>
    <t>바닥,내수, 12mm</t>
  </si>
  <si>
    <t>일위  8호</t>
  </si>
  <si>
    <t>SHEET방수(바닥)</t>
  </si>
  <si>
    <t>ECB시트,T:1.0</t>
  </si>
  <si>
    <t>일위  9호</t>
  </si>
  <si>
    <t>336*5.0T(이중그림자)</t>
  </si>
  <si>
    <t>일위 10호</t>
  </si>
  <si>
    <t>고압물청소</t>
  </si>
  <si>
    <t>일위 11호</t>
  </si>
  <si>
    <t>친환경수성페인트칠(롤러칠)</t>
  </si>
  <si>
    <t>기존외벽,2회,2급</t>
  </si>
  <si>
    <t>일위 12호</t>
  </si>
  <si>
    <t>도배바름(콘크리트.모르타르면)</t>
  </si>
  <si>
    <t>벽, 비닐벽지, 실크형, A급</t>
  </si>
  <si>
    <t>일위 13호</t>
  </si>
  <si>
    <t>도배바름(합판.석고보드면)</t>
  </si>
  <si>
    <t>천장, 비닐벽지, 실크형, A급</t>
  </si>
  <si>
    <t>일위 14호</t>
  </si>
  <si>
    <t>석고판 설치(나사고정,석고판포함)</t>
  </si>
  <si>
    <t>천장, 일반, 바탕용 9.5mm(1겹)</t>
  </si>
  <si>
    <t>일위 15호</t>
  </si>
  <si>
    <t>목재몰딩 설치</t>
  </si>
  <si>
    <t>MDF 9×60,무늬목,방염</t>
  </si>
  <si>
    <t>일위 16호</t>
  </si>
  <si>
    <t>SAW CUT</t>
  </si>
  <si>
    <t>콘크리트</t>
  </si>
  <si>
    <t>일위 17호</t>
  </si>
  <si>
    <t>무근콘크리트 철거</t>
  </si>
  <si>
    <t>M3</t>
  </si>
  <si>
    <t>일위 18호</t>
  </si>
  <si>
    <t>벽 철거(벽지 해체)</t>
  </si>
  <si>
    <t>일위 19호</t>
  </si>
  <si>
    <t>천장 철거(천정재,석고보드류)</t>
  </si>
  <si>
    <t>일위 20호</t>
  </si>
  <si>
    <t>천장몰딩철거(마감재,MDF 류)</t>
  </si>
  <si>
    <t>50×10T기준,해체재 재사용 안 함</t>
  </si>
  <si>
    <t>일위 21호</t>
  </si>
  <si>
    <t>지붕 철거(아스팔트 슁글류)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</si>
  <si>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</si>
  <si>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</si>
  <si>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</si>
  <si>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</si>
  <si>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</si>
  <si>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</si>
  <si>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</si>
  <si>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</si>
  <si>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</si>
  <si>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</si>
  <si>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</si>
  <si>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</si>
  <si>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</si>
  <si>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</si>
  <si>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</si>
  <si>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</si>
  <si>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</si>
  <si>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</si>
  <si>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</si>
  <si>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</si>
  <si>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</si>
  <si>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</si>
  <si>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</si>
  <si>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</si>
  <si>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</si>
  <si>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</si>
  <si>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</si>
  <si>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</si>
  <si>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</si>
  <si>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</si>
  <si>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</si>
  <si>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</si>
  <si>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</si>
  <si>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</si>
  <si>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0101. 가설공사</t>
  </si>
  <si>
    <t>강관 조립말비계(이동식)설치 및 해체</t>
  </si>
  <si>
    <t>0102. 지붕공사</t>
  </si>
  <si>
    <t>0103. 도장공사</t>
  </si>
  <si>
    <t>0104. 수장공사</t>
  </si>
  <si>
    <t>0105. 기타공사</t>
  </si>
  <si>
    <t>전등및감지기,스프링쿨러헤드 탈착후재설치</t>
  </si>
  <si>
    <t>0106. 철거공사</t>
  </si>
  <si>
    <t>0107. 폐기물처리비</t>
  </si>
  <si>
    <t>공 사 집 계 표</t>
  </si>
  <si>
    <t>합계제외</t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</si>
  <si>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</si>
  <si>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</si>
  <si>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</si>
  <si>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</si>
  <si>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</si>
  <si>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</si>
  <si>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</si>
  <si>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</si>
  <si>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</si>
  <si>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</si>
  <si>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</si>
  <si>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</si>
  <si>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</si>
  <si>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</si>
  <si>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</si>
  <si>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</si>
  <si>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</si>
  <si>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</si>
  <si>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</si>
  <si>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</si>
  <si>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</si>
  <si>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</si>
  <si>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</si>
  <si>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</si>
  <si>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</si>
  <si>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</si>
  <si>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</si>
  <si>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</si>
  <si>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</si>
  <si>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</si>
  <si>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</si>
  <si>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</si>
  <si>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</si>
  <si>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886,873 &lt; 1,064,247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</si>
  <si>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</si>
  <si>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</si>
  <si>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</si>
  <si>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</si>
  <si>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</si>
  <si>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</si>
  <si>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</si>
  <si>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</si>
  <si>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</si>
  <si>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</si>
  <si>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</si>
  <si>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</si>
  <si>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</si>
  <si>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</si>
  <si>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</si>
  <si>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석  면  분   담   금</t>
  </si>
  <si>
    <t>C21</t>
  </si>
  <si>
    <t>임금  채권  부담금</t>
  </si>
  <si>
    <t>C22</t>
  </si>
  <si>
    <t>C</t>
  </si>
  <si>
    <t>X</t>
  </si>
  <si>
    <t>일  반   관   리  비</t>
  </si>
  <si>
    <t>D</t>
  </si>
  <si>
    <t>이                윤</t>
  </si>
  <si>
    <t>E</t>
  </si>
  <si>
    <t>폐  기  물  처 리 비</t>
  </si>
  <si>
    <t>총       원       가</t>
  </si>
  <si>
    <t>F</t>
  </si>
  <si>
    <t>부   가   가  치  세</t>
  </si>
  <si>
    <t>H</t>
  </si>
  <si>
    <t>도    급    금    액</t>
  </si>
  <si>
    <t>Y</t>
  </si>
  <si>
    <t>재해예방기술지도비</t>
  </si>
  <si>
    <t>관   급  자   재  대</t>
  </si>
  <si>
    <t>J</t>
  </si>
  <si>
    <t>사   급   자  재  대</t>
  </si>
  <si>
    <t>K</t>
  </si>
  <si>
    <t>총   공   사  금  액</t>
  </si>
  <si>
    <t>경  비</t>
  </si>
  <si>
    <t>순  공  사  원  가</t>
  </si>
  <si>
    <t>공사명 : 실로암노인전문요양원 리모델링 공사</t>
    <phoneticPr fontId="1" type="noConversion"/>
  </si>
  <si>
    <t xml:space="preserve">      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</si>
</sst>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sz val="8"/>
      <color rgb="FF000080"/>
      <name val="굴림체"/>
      <family val="3"/>
      <charset val="129"/>
    </font>
    <font>
      <b/>
      <sz val="8"/>
      <color rgb="FF0000FF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0FFFF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6" fillId="0" borderId="1" xfId="0" quotePrefix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 shrinkToFit="1"/>
    </xf>
    <xf numFmtId="0" fontId="10" fillId="2" borderId="1" xfId="0" quotePrefix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right" vertical="center" shrinkToFit="1"/>
    </xf>
    <xf numFmtId="0" fontId="10" fillId="0" borderId="11" xfId="0" quotePrefix="1" applyFont="1" applyBorder="1" applyAlignment="1">
      <alignment horizontal="left" vertical="center" shrinkToFit="1"/>
    </xf>
    <xf numFmtId="0" fontId="10" fillId="0" borderId="11" xfId="0" applyFont="1" applyBorder="1" applyAlignment="1">
      <alignment horizontal="right" vertical="center" shrinkToFit="1"/>
    </xf>
    <xf numFmtId="0" fontId="10" fillId="0" borderId="12" xfId="0" quotePrefix="1" applyFont="1" applyBorder="1" applyAlignment="1">
      <alignment horizontal="left" vertical="center" shrinkToFit="1"/>
    </xf>
    <xf numFmtId="0" fontId="10" fillId="0" borderId="12" xfId="0" applyFont="1" applyBorder="1" applyAlignment="1">
      <alignment horizontal="right" vertical="center" shrinkToFit="1"/>
    </xf>
    <xf numFmtId="0" fontId="10" fillId="0" borderId="13" xfId="0" quotePrefix="1" applyFont="1" applyBorder="1" applyAlignment="1">
      <alignment horizontal="left" vertical="center" shrinkToFit="1"/>
    </xf>
    <xf numFmtId="0" fontId="10" fillId="0" borderId="13" xfId="0" applyFont="1" applyBorder="1" applyAlignment="1">
      <alignment horizontal="right" vertical="center" shrinkToFit="1"/>
    </xf>
    <xf numFmtId="0" fontId="10" fillId="2" borderId="1" xfId="0" quotePrefix="1" applyFont="1" applyFill="1" applyBorder="1" applyAlignment="1">
      <alignment horizontal="left" vertical="center" shrinkToFit="1"/>
    </xf>
    <xf numFmtId="0" fontId="10" fillId="0" borderId="13" xfId="0" applyFont="1" applyBorder="1" applyAlignment="1">
      <alignment horizontal="left" vertical="center" shrinkToFit="1"/>
    </xf>
    <xf numFmtId="0" fontId="10" fillId="0" borderId="12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1" xfId="0" quotePrefix="1" applyFont="1" applyBorder="1" applyAlignment="1">
      <alignment horizontal="left" vertical="center" shrinkToFit="1"/>
    </xf>
    <xf numFmtId="0" fontId="10" fillId="2" borderId="1" xfId="0" quotePrefix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1" xfId="0" quotePrefix="1" applyFont="1" applyBorder="1" applyAlignment="1">
      <alignment horizontal="center" vertical="center" textRotation="255" shrinkToFit="1"/>
    </xf>
    <xf numFmtId="0" fontId="9" fillId="0" borderId="12" xfId="0" applyFont="1" applyBorder="1" applyAlignment="1">
      <alignment horizontal="center" vertical="center" textRotation="255" shrinkToFit="1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1" xfId="0" applyFont="1" applyBorder="1" applyAlignment="1">
      <alignment horizontal="center" vertical="center" textRotation="255" shrinkToFit="1"/>
    </xf>
    <xf numFmtId="0" fontId="9" fillId="0" borderId="11" xfId="0" applyFont="1" applyBorder="1" applyAlignment="1">
      <alignment horizontal="center" vertical="center" textRotation="255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1" fillId="5" borderId="1" xfId="0" quotePrefix="1" applyFont="1" applyFill="1" applyBorder="1" applyAlignment="1">
      <alignment horizontal="left" vertical="center" shrinkToFit="1"/>
    </xf>
    <xf numFmtId="0" fontId="11" fillId="5" borderId="1" xfId="0" applyFont="1" applyFill="1" applyBorder="1" applyAlignment="1">
      <alignment horizontal="left" vertical="center" shrinkToFit="1"/>
    </xf>
    <xf numFmtId="0" fontId="11" fillId="5" borderId="3" xfId="0" quotePrefix="1" applyFont="1" applyFill="1" applyBorder="1" applyAlignment="1">
      <alignment horizontal="left" vertical="center" shrinkToFit="1"/>
    </xf>
    <xf numFmtId="0" fontId="11" fillId="5" borderId="4" xfId="0" quotePrefix="1" applyFont="1" applyFill="1" applyBorder="1" applyAlignment="1">
      <alignment horizontal="left" vertical="center" shrinkToFit="1"/>
    </xf>
    <xf numFmtId="0" fontId="11" fillId="5" borderId="5" xfId="0" quotePrefix="1" applyFont="1" applyFill="1" applyBorder="1" applyAlignment="1">
      <alignment horizontal="left" vertical="center" shrinkToFit="1"/>
    </xf>
    <xf numFmtId="0" fontId="8" fillId="4" borderId="1" xfId="0" quotePrefix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8" fillId="4" borderId="3" xfId="0" quotePrefix="1" applyFont="1" applyFill="1" applyBorder="1" applyAlignment="1">
      <alignment horizontal="left" vertical="center" shrinkToFit="1"/>
    </xf>
    <xf numFmtId="0" fontId="8" fillId="4" borderId="4" xfId="0" quotePrefix="1" applyFont="1" applyFill="1" applyBorder="1" applyAlignment="1">
      <alignment horizontal="left" vertical="center" shrinkToFit="1"/>
    </xf>
    <xf numFmtId="0" fontId="8" fillId="4" borderId="5" xfId="0" quotePrefix="1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J41"/>
  <sheetViews>
    <sheetView tabSelected="1" view="pageBreakPreview" zoomScale="115" zoomScaleNormal="100" zoomScaleSheetLayoutView="115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E35" sqref="E35"/>
    </sheetView>
  </sheetViews>
  <sheetFormatPr defaultRowHeight="16.5" x14ac:dyDescent="0.3"/>
  <cols>
    <col min="1" max="2" width="3.625" customWidth="1"/>
    <col min="3" max="3" width="15.625" style="2" customWidth="1"/>
    <col min="4" max="4" width="56.625" style="2" customWidth="1"/>
    <col min="5" max="5" width="27.625" style="4" customWidth="1"/>
    <col min="6" max="6" width="19.625" style="2" customWidth="1"/>
    <col min="7" max="11" width="9" customWidth="1"/>
  </cols>
  <sheetData>
    <row r="1" spans="1:9" ht="30" customHeight="1" x14ac:dyDescent="0.3">
      <c r="A1" s="46" t="s">
        <v>487</v>
      </c>
      <c r="B1" s="46"/>
      <c r="C1" s="46"/>
      <c r="D1" s="46"/>
      <c r="E1" s="46"/>
      <c r="F1" s="46"/>
    </row>
    <row r="2" spans="1:9" ht="15.95" customHeight="1" x14ac:dyDescent="0.3">
      <c r="A2" s="47" t="s">
        <v>561</v>
      </c>
      <c r="B2" s="48"/>
      <c r="C2" s="48"/>
      <c r="D2" s="48"/>
      <c r="E2" s="48"/>
      <c r="F2" s="48"/>
    </row>
    <row r="3" spans="1:9" ht="12" customHeight="1" x14ac:dyDescent="0.3">
      <c r="A3" s="49" t="s">
        <v>488</v>
      </c>
      <c r="B3" s="50"/>
      <c r="C3" s="51"/>
      <c r="D3" s="55" t="s">
        <v>489</v>
      </c>
      <c r="E3" s="55" t="s">
        <v>490</v>
      </c>
      <c r="F3" s="55" t="s">
        <v>491</v>
      </c>
    </row>
    <row r="4" spans="1:9" ht="12" customHeight="1" x14ac:dyDescent="0.3">
      <c r="A4" s="52"/>
      <c r="B4" s="53"/>
      <c r="C4" s="54"/>
      <c r="D4" s="55"/>
      <c r="E4" s="55"/>
      <c r="F4" s="55"/>
    </row>
    <row r="5" spans="1:9" ht="15.95" customHeight="1" x14ac:dyDescent="0.3">
      <c r="A5" s="41" t="s">
        <v>560</v>
      </c>
      <c r="B5" s="41" t="s">
        <v>228</v>
      </c>
      <c r="C5" s="25" t="s">
        <v>492</v>
      </c>
      <c r="D5" s="25" t="s">
        <v>217</v>
      </c>
      <c r="E5" s="26">
        <f>ROUNDDOWN(집계표!E20-집계표!AU20, 0)</f>
        <v>14567880</v>
      </c>
      <c r="F5" s="25" t="s">
        <v>217</v>
      </c>
      <c r="G5" s="1" t="s">
        <v>493</v>
      </c>
      <c r="H5">
        <v>0</v>
      </c>
      <c r="I5">
        <f t="shared" ref="I5:I31" si="0">E5</f>
        <v>14567880</v>
      </c>
    </row>
    <row r="6" spans="1:9" ht="15.95" customHeight="1" x14ac:dyDescent="0.3">
      <c r="A6" s="42"/>
      <c r="B6" s="42"/>
      <c r="C6" s="27" t="s">
        <v>494</v>
      </c>
      <c r="D6" s="27" t="s">
        <v>217</v>
      </c>
      <c r="E6" s="28">
        <f>ROUNDDOWN(E5*H6, 0)</f>
        <v>0</v>
      </c>
      <c r="F6" s="27" t="s">
        <v>217</v>
      </c>
      <c r="G6" s="1" t="s">
        <v>495</v>
      </c>
      <c r="H6">
        <v>0</v>
      </c>
      <c r="I6">
        <f t="shared" si="0"/>
        <v>0</v>
      </c>
    </row>
    <row r="7" spans="1:9" ht="15.95" customHeight="1" x14ac:dyDescent="0.3">
      <c r="A7" s="43"/>
      <c r="B7" s="43"/>
      <c r="C7" s="29" t="s">
        <v>496</v>
      </c>
      <c r="D7" s="29" t="s">
        <v>217</v>
      </c>
      <c r="E7" s="30">
        <f>집계표!S20</f>
        <v>0</v>
      </c>
      <c r="F7" s="29" t="s">
        <v>217</v>
      </c>
      <c r="G7" s="1" t="s">
        <v>497</v>
      </c>
      <c r="H7">
        <v>0</v>
      </c>
      <c r="I7">
        <f t="shared" si="0"/>
        <v>0</v>
      </c>
    </row>
    <row r="8" spans="1:9" ht="15.95" customHeight="1" x14ac:dyDescent="0.3">
      <c r="A8" s="44"/>
      <c r="B8" s="44"/>
      <c r="C8" s="31" t="s">
        <v>498</v>
      </c>
      <c r="D8" s="31" t="s">
        <v>217</v>
      </c>
      <c r="E8" s="21">
        <f>SUM(E5:E6)-ABS(E7)</f>
        <v>14567880</v>
      </c>
      <c r="F8" s="31" t="s">
        <v>217</v>
      </c>
      <c r="G8" s="1" t="s">
        <v>499</v>
      </c>
      <c r="H8">
        <v>0</v>
      </c>
      <c r="I8">
        <f t="shared" si="0"/>
        <v>14567880</v>
      </c>
    </row>
    <row r="9" spans="1:9" ht="15.95" customHeight="1" x14ac:dyDescent="0.3">
      <c r="A9" s="45"/>
      <c r="B9" s="41" t="s">
        <v>357</v>
      </c>
      <c r="C9" s="25" t="s">
        <v>500</v>
      </c>
      <c r="D9" s="25" t="s">
        <v>217</v>
      </c>
      <c r="E9" s="26">
        <f>ROUNDDOWN(집계표!G20, 0)</f>
        <v>13948945</v>
      </c>
      <c r="F9" s="25" t="s">
        <v>217</v>
      </c>
      <c r="G9" s="1" t="s">
        <v>501</v>
      </c>
      <c r="H9">
        <v>0</v>
      </c>
      <c r="I9">
        <f t="shared" si="0"/>
        <v>13948945</v>
      </c>
    </row>
    <row r="10" spans="1:9" ht="15.95" customHeight="1" x14ac:dyDescent="0.3">
      <c r="A10" s="43"/>
      <c r="B10" s="43"/>
      <c r="C10" s="29" t="s">
        <v>502</v>
      </c>
      <c r="D10" s="32" t="str">
        <f>"직.노*"&amp;H10*100&amp;"%"</f>
        <v>직.노*12.94%</v>
      </c>
      <c r="E10" s="30">
        <f>ROUNDDOWN(E9*H10, 0)</f>
        <v>1804993</v>
      </c>
      <c r="F10" s="29" t="s">
        <v>217</v>
      </c>
      <c r="G10" s="1" t="s">
        <v>503</v>
      </c>
      <c r="H10">
        <v>0.12939999999999999</v>
      </c>
      <c r="I10">
        <f t="shared" si="0"/>
        <v>1804993</v>
      </c>
    </row>
    <row r="11" spans="1:9" ht="15.95" customHeight="1" x14ac:dyDescent="0.3">
      <c r="A11" s="44"/>
      <c r="B11" s="44"/>
      <c r="C11" s="31" t="s">
        <v>498</v>
      </c>
      <c r="D11" s="31" t="s">
        <v>217</v>
      </c>
      <c r="E11" s="21">
        <f>SUM(E9:E10)</f>
        <v>15753938</v>
      </c>
      <c r="F11" s="31" t="s">
        <v>217</v>
      </c>
      <c r="G11" s="1" t="s">
        <v>504</v>
      </c>
      <c r="H11">
        <v>0</v>
      </c>
      <c r="I11">
        <f t="shared" si="0"/>
        <v>15753938</v>
      </c>
    </row>
    <row r="12" spans="1:9" ht="15.95" customHeight="1" x14ac:dyDescent="0.3">
      <c r="A12" s="45"/>
      <c r="B12" s="41" t="s">
        <v>559</v>
      </c>
      <c r="C12" s="25" t="s">
        <v>505</v>
      </c>
      <c r="D12" s="25" t="s">
        <v>217</v>
      </c>
      <c r="E12" s="26">
        <f>ROUNDDOWN(집계표!I20, 0)</f>
        <v>152070</v>
      </c>
      <c r="F12" s="25" t="s">
        <v>217</v>
      </c>
      <c r="G12" s="1" t="s">
        <v>506</v>
      </c>
      <c r="H12">
        <v>0</v>
      </c>
      <c r="I12">
        <f t="shared" si="0"/>
        <v>152070</v>
      </c>
    </row>
    <row r="13" spans="1:9" ht="15.95" customHeight="1" x14ac:dyDescent="0.3">
      <c r="A13" s="42"/>
      <c r="B13" s="42"/>
      <c r="C13" s="27" t="s">
        <v>507</v>
      </c>
      <c r="D13" s="33" t="str">
        <f>"(노)*"&amp;H13*100&amp;"%"</f>
        <v>(노)*3.56%</v>
      </c>
      <c r="E13" s="28">
        <f>ROUNDDOWN((E11)*H13, 0)</f>
        <v>560840</v>
      </c>
      <c r="F13" s="27" t="s">
        <v>217</v>
      </c>
      <c r="G13" s="1" t="s">
        <v>508</v>
      </c>
      <c r="H13">
        <v>3.56E-2</v>
      </c>
      <c r="I13">
        <f t="shared" si="0"/>
        <v>560840</v>
      </c>
    </row>
    <row r="14" spans="1:9" ht="15.95" customHeight="1" x14ac:dyDescent="0.3">
      <c r="A14" s="42"/>
      <c r="B14" s="42"/>
      <c r="C14" s="27" t="s">
        <v>509</v>
      </c>
      <c r="D14" s="33" t="str">
        <f>"(노)*"&amp;H14*100&amp;"%"</f>
        <v>(노)*1.01%</v>
      </c>
      <c r="E14" s="28">
        <f>ROUNDDOWN((E11)*H14, 0)</f>
        <v>159114</v>
      </c>
      <c r="F14" s="27" t="s">
        <v>217</v>
      </c>
      <c r="G14" s="1" t="s">
        <v>510</v>
      </c>
      <c r="H14">
        <v>1.01E-2</v>
      </c>
      <c r="I14">
        <f t="shared" si="0"/>
        <v>159114</v>
      </c>
    </row>
    <row r="15" spans="1:9" ht="15.95" customHeight="1" x14ac:dyDescent="0.3">
      <c r="A15" s="42"/>
      <c r="B15" s="42"/>
      <c r="C15" s="27" t="s">
        <v>511</v>
      </c>
      <c r="D15" s="27" t="s">
        <v>217</v>
      </c>
      <c r="E15" s="28">
        <f>ROUNDDOWN((E9)*H15, 0)</f>
        <v>0</v>
      </c>
      <c r="F15" s="27" t="s">
        <v>217</v>
      </c>
      <c r="G15" s="1" t="s">
        <v>512</v>
      </c>
      <c r="H15">
        <v>0</v>
      </c>
      <c r="I15">
        <f t="shared" si="0"/>
        <v>0</v>
      </c>
    </row>
    <row r="16" spans="1:9" ht="15.95" customHeight="1" x14ac:dyDescent="0.3">
      <c r="A16" s="42"/>
      <c r="B16" s="42"/>
      <c r="C16" s="27" t="s">
        <v>513</v>
      </c>
      <c r="D16" s="27" t="s">
        <v>217</v>
      </c>
      <c r="E16" s="28">
        <f>ROUNDDOWN((E9)*H16, 0)</f>
        <v>0</v>
      </c>
      <c r="F16" s="27" t="s">
        <v>217</v>
      </c>
      <c r="G16" s="1" t="s">
        <v>514</v>
      </c>
      <c r="H16">
        <v>0</v>
      </c>
      <c r="I16">
        <f t="shared" si="0"/>
        <v>0</v>
      </c>
    </row>
    <row r="17" spans="1:9" ht="15.95" customHeight="1" x14ac:dyDescent="0.3">
      <c r="A17" s="42"/>
      <c r="B17" s="42"/>
      <c r="C17" s="27" t="s">
        <v>515</v>
      </c>
      <c r="D17" s="27" t="s">
        <v>217</v>
      </c>
      <c r="E17" s="28">
        <f>ROUNDDOWN((E15)*H17, 0)</f>
        <v>0</v>
      </c>
      <c r="F17" s="27" t="s">
        <v>217</v>
      </c>
      <c r="G17" s="1" t="s">
        <v>516</v>
      </c>
      <c r="H17">
        <v>0</v>
      </c>
      <c r="I17">
        <f t="shared" si="0"/>
        <v>0</v>
      </c>
    </row>
    <row r="18" spans="1:9" ht="15.95" customHeight="1" x14ac:dyDescent="0.3">
      <c r="A18" s="42"/>
      <c r="B18" s="42"/>
      <c r="C18" s="27" t="s">
        <v>517</v>
      </c>
      <c r="D18" s="27" t="s">
        <v>217</v>
      </c>
      <c r="E18" s="28">
        <f>ROUNDDOWN((E9)*H18, 0)</f>
        <v>0</v>
      </c>
      <c r="F18" s="27" t="s">
        <v>217</v>
      </c>
      <c r="G18" s="1" t="s">
        <v>518</v>
      </c>
      <c r="H18">
        <v>0</v>
      </c>
      <c r="I18">
        <f t="shared" si="0"/>
        <v>0</v>
      </c>
    </row>
    <row r="19" spans="1:9" ht="15.95" customHeight="1" x14ac:dyDescent="0.3">
      <c r="A19" s="42"/>
      <c r="B19" s="42"/>
      <c r="C19" s="27" t="s">
        <v>519</v>
      </c>
      <c r="D19" s="33" t="str">
        <f>"(재+직.노+(관급-0)/1.1)*"&amp;H19*100&amp;"%"&amp;" &lt; (재+직.노)*3.11%*1.2"</f>
        <v>(재+직.노+(관급-0)/1.1)*3.11% &lt; (재+직.노)*3.11%*1.2</v>
      </c>
      <c r="E19" s="28">
        <f>ROUNDDOWN((E8+E9+(E39-0)/1.1)*H19, 0)</f>
        <v>886873</v>
      </c>
      <c r="F19" s="27" t="s">
        <v>520</v>
      </c>
      <c r="G19" s="1" t="s">
        <v>521</v>
      </c>
      <c r="H19">
        <v>3.1099999999999999E-2</v>
      </c>
      <c r="I19">
        <f t="shared" si="0"/>
        <v>886873</v>
      </c>
    </row>
    <row r="20" spans="1:9" ht="15.95" customHeight="1" x14ac:dyDescent="0.3">
      <c r="A20" s="42"/>
      <c r="B20" s="42"/>
      <c r="C20" s="27" t="s">
        <v>522</v>
      </c>
      <c r="D20" s="33" t="str">
        <f>"(재+노)*"&amp;H20*100&amp;"%"</f>
        <v>(재+노)*4%</v>
      </c>
      <c r="E20" s="28">
        <f>ROUNDDOWN((E8+E11)*H20, 0)</f>
        <v>1212872</v>
      </c>
      <c r="F20" s="27" t="s">
        <v>217</v>
      </c>
      <c r="G20" s="1" t="s">
        <v>523</v>
      </c>
      <c r="H20">
        <v>0.04</v>
      </c>
      <c r="I20">
        <f t="shared" si="0"/>
        <v>1212872</v>
      </c>
    </row>
    <row r="21" spans="1:9" ht="15.95" customHeight="1" x14ac:dyDescent="0.3">
      <c r="A21" s="42"/>
      <c r="B21" s="42"/>
      <c r="C21" s="27" t="s">
        <v>524</v>
      </c>
      <c r="D21" s="33" t="str">
        <f>"(재+직.노+기.경)*"&amp;H21*100&amp;"%"</f>
        <v>(재+직.노+기.경)*0.3%</v>
      </c>
      <c r="E21" s="28">
        <f>ROUNDDOWN((E8+E9+E12)*H21, 0)</f>
        <v>86006</v>
      </c>
      <c r="F21" s="27" t="s">
        <v>217</v>
      </c>
      <c r="G21" s="1" t="s">
        <v>525</v>
      </c>
      <c r="H21">
        <v>3.0000000000000001E-3</v>
      </c>
      <c r="I21">
        <f t="shared" si="0"/>
        <v>86006</v>
      </c>
    </row>
    <row r="22" spans="1:9" ht="15.95" customHeight="1" x14ac:dyDescent="0.3">
      <c r="A22" s="42"/>
      <c r="B22" s="42"/>
      <c r="C22" s="27" t="s">
        <v>526</v>
      </c>
      <c r="D22" s="33" t="str">
        <f>"(재+직.노+기.경)*"&amp;H22*100&amp;"%"</f>
        <v>(재+직.노+기.경)*0.081%</v>
      </c>
      <c r="E22" s="28">
        <f>ROUNDDOWN((E8+E9+E12)*H22, 0)</f>
        <v>23221</v>
      </c>
      <c r="F22" s="27" t="s">
        <v>217</v>
      </c>
      <c r="G22" s="1" t="s">
        <v>527</v>
      </c>
      <c r="H22">
        <v>8.1000000000000006E-4</v>
      </c>
      <c r="I22">
        <f t="shared" si="0"/>
        <v>23221</v>
      </c>
    </row>
    <row r="23" spans="1:9" ht="15.95" customHeight="1" x14ac:dyDescent="0.3">
      <c r="A23" s="42"/>
      <c r="B23" s="42"/>
      <c r="C23" s="27" t="s">
        <v>528</v>
      </c>
      <c r="D23" s="27" t="s">
        <v>217</v>
      </c>
      <c r="E23" s="28">
        <f>ROUNDDOWN((E8+E9+E12)*H23*(6/12), 0)</f>
        <v>0</v>
      </c>
      <c r="F23" s="27" t="s">
        <v>217</v>
      </c>
      <c r="G23" s="1" t="s">
        <v>529</v>
      </c>
      <c r="H23">
        <v>0</v>
      </c>
      <c r="I23">
        <f t="shared" si="0"/>
        <v>0</v>
      </c>
    </row>
    <row r="24" spans="1:9" ht="15.95" customHeight="1" x14ac:dyDescent="0.3">
      <c r="A24" s="42"/>
      <c r="B24" s="42"/>
      <c r="C24" s="27" t="s">
        <v>530</v>
      </c>
      <c r="D24" s="27" t="s">
        <v>217</v>
      </c>
      <c r="E24" s="28">
        <f>ROUNDDOWN((E8+E9+E12)*H24, 0)</f>
        <v>0</v>
      </c>
      <c r="F24" s="27" t="s">
        <v>217</v>
      </c>
      <c r="G24" s="1" t="s">
        <v>531</v>
      </c>
      <c r="H24">
        <v>0</v>
      </c>
      <c r="I24">
        <f t="shared" si="0"/>
        <v>0</v>
      </c>
    </row>
    <row r="25" spans="1:9" ht="15.95" customHeight="1" x14ac:dyDescent="0.3">
      <c r="A25" s="42"/>
      <c r="B25" s="42"/>
      <c r="C25" s="27" t="s">
        <v>532</v>
      </c>
      <c r="D25" s="27" t="s">
        <v>217</v>
      </c>
      <c r="E25" s="28">
        <f>집계표!AD20</f>
        <v>0</v>
      </c>
      <c r="F25" s="27" t="s">
        <v>217</v>
      </c>
      <c r="G25" s="1" t="s">
        <v>533</v>
      </c>
      <c r="H25">
        <v>0</v>
      </c>
      <c r="I25">
        <f t="shared" si="0"/>
        <v>0</v>
      </c>
    </row>
    <row r="26" spans="1:9" ht="15.95" customHeight="1" x14ac:dyDescent="0.3">
      <c r="A26" s="42"/>
      <c r="B26" s="42"/>
      <c r="C26" s="27" t="s">
        <v>534</v>
      </c>
      <c r="D26" s="27" t="s">
        <v>217</v>
      </c>
      <c r="E26" s="28">
        <f>집계표!AE20</f>
        <v>0</v>
      </c>
      <c r="F26" s="27" t="s">
        <v>217</v>
      </c>
      <c r="G26" s="1" t="s">
        <v>535</v>
      </c>
      <c r="H26">
        <v>0</v>
      </c>
      <c r="I26">
        <f t="shared" si="0"/>
        <v>0</v>
      </c>
    </row>
    <row r="27" spans="1:9" ht="15.95" customHeight="1" x14ac:dyDescent="0.3">
      <c r="A27" s="42"/>
      <c r="B27" s="42"/>
      <c r="C27" s="27" t="s">
        <v>536</v>
      </c>
      <c r="D27" s="33" t="str">
        <f>"노*"&amp;H27*100&amp;"%"</f>
        <v>노*0.006%</v>
      </c>
      <c r="E27" s="28">
        <f>ROUNDDOWN(E11*H27, 0)</f>
        <v>945</v>
      </c>
      <c r="F27" s="27" t="s">
        <v>217</v>
      </c>
      <c r="G27" s="1" t="s">
        <v>537</v>
      </c>
      <c r="H27">
        <v>6.0000000000000002E-5</v>
      </c>
      <c r="I27">
        <f t="shared" si="0"/>
        <v>945</v>
      </c>
    </row>
    <row r="28" spans="1:9" ht="15.95" customHeight="1" x14ac:dyDescent="0.3">
      <c r="A28" s="43"/>
      <c r="B28" s="43"/>
      <c r="C28" s="29" t="s">
        <v>538</v>
      </c>
      <c r="D28" s="32" t="str">
        <f>"노*"&amp;H28*100&amp;"%"</f>
        <v>노*0.09%</v>
      </c>
      <c r="E28" s="30">
        <f>ROUNDDOWN(E11*H28, 0)</f>
        <v>14178</v>
      </c>
      <c r="F28" s="29" t="s">
        <v>217</v>
      </c>
      <c r="G28" s="1" t="s">
        <v>539</v>
      </c>
      <c r="H28">
        <v>8.9999999999999998E-4</v>
      </c>
      <c r="I28">
        <f t="shared" si="0"/>
        <v>14178</v>
      </c>
    </row>
    <row r="29" spans="1:9" ht="15.95" customHeight="1" x14ac:dyDescent="0.3">
      <c r="A29" s="44"/>
      <c r="B29" s="44"/>
      <c r="C29" s="31" t="s">
        <v>498</v>
      </c>
      <c r="D29" s="31" t="s">
        <v>217</v>
      </c>
      <c r="E29" s="21">
        <f>SUM(E12:E28)</f>
        <v>3096119</v>
      </c>
      <c r="F29" s="31" t="s">
        <v>217</v>
      </c>
      <c r="G29" s="1" t="s">
        <v>540</v>
      </c>
      <c r="H29">
        <v>0</v>
      </c>
      <c r="I29">
        <f t="shared" si="0"/>
        <v>3096119</v>
      </c>
    </row>
    <row r="30" spans="1:9" ht="15.95" customHeight="1" x14ac:dyDescent="0.3">
      <c r="A30" s="44"/>
      <c r="B30" s="37" t="s">
        <v>562</v>
      </c>
      <c r="C30" s="38"/>
      <c r="D30" s="31" t="s">
        <v>217</v>
      </c>
      <c r="E30" s="21">
        <f>E8+E11+E29</f>
        <v>33417937</v>
      </c>
      <c r="F30" s="31" t="s">
        <v>217</v>
      </c>
      <c r="G30" s="1" t="s">
        <v>541</v>
      </c>
      <c r="H30">
        <v>0</v>
      </c>
      <c r="I30">
        <f t="shared" si="0"/>
        <v>33417937</v>
      </c>
    </row>
    <row r="31" spans="1:9" ht="15.95" customHeight="1" x14ac:dyDescent="0.3">
      <c r="A31" s="39" t="s">
        <v>542</v>
      </c>
      <c r="B31" s="40"/>
      <c r="C31" s="40"/>
      <c r="D31" s="34" t="str">
        <f>"(재+노+경)*"&amp;H31*100&amp;"%"</f>
        <v>(재+노+경)*6%</v>
      </c>
      <c r="E31" s="35">
        <f>ROUNDDOWN((E8+E11+E29)*H31, 0)</f>
        <v>2005076</v>
      </c>
      <c r="F31" s="36" t="s">
        <v>217</v>
      </c>
      <c r="G31" s="1" t="s">
        <v>543</v>
      </c>
      <c r="H31">
        <v>0.06</v>
      </c>
      <c r="I31">
        <f t="shared" si="0"/>
        <v>2005076</v>
      </c>
    </row>
    <row r="32" spans="1:9" ht="15.95" customHeight="1" x14ac:dyDescent="0.3">
      <c r="A32" s="39" t="s">
        <v>544</v>
      </c>
      <c r="B32" s="40"/>
      <c r="C32" s="40"/>
      <c r="D32" s="34" t="str">
        <f>"(노+경+일)*"&amp;H32*100&amp;"%"</f>
        <v>(노+경+일)*11%</v>
      </c>
      <c r="E32" s="35">
        <f>E35-E34-E33-E31-E30</f>
        <v>2292437</v>
      </c>
      <c r="F32" s="36" t="s">
        <v>217</v>
      </c>
      <c r="G32" s="1" t="s">
        <v>545</v>
      </c>
      <c r="H32">
        <v>0.11</v>
      </c>
      <c r="I32">
        <f>(I11+I29+I31)*H32+-1</f>
        <v>2294063.63</v>
      </c>
    </row>
    <row r="33" spans="1:10" ht="15.95" customHeight="1" x14ac:dyDescent="0.3">
      <c r="A33" s="39" t="s">
        <v>496</v>
      </c>
      <c r="B33" s="40"/>
      <c r="C33" s="40"/>
      <c r="D33" s="36" t="s">
        <v>217</v>
      </c>
      <c r="E33" s="35">
        <f>집계표!AF20</f>
        <v>0</v>
      </c>
      <c r="F33" s="36" t="s">
        <v>217</v>
      </c>
      <c r="G33" s="1" t="s">
        <v>34</v>
      </c>
      <c r="H33">
        <v>0</v>
      </c>
      <c r="I33">
        <f>E33</f>
        <v>0</v>
      </c>
    </row>
    <row r="34" spans="1:10" ht="15.95" customHeight="1" x14ac:dyDescent="0.3">
      <c r="A34" s="39" t="s">
        <v>546</v>
      </c>
      <c r="B34" s="40"/>
      <c r="C34" s="40"/>
      <c r="D34" s="36" t="s">
        <v>217</v>
      </c>
      <c r="E34" s="35">
        <f>ROUNDDOWN(집계표!W20, 0)</f>
        <v>284549</v>
      </c>
      <c r="F34" s="36" t="s">
        <v>217</v>
      </c>
      <c r="G34" s="1" t="s">
        <v>19</v>
      </c>
      <c r="H34">
        <v>0</v>
      </c>
      <c r="I34">
        <f>E34</f>
        <v>284549</v>
      </c>
    </row>
    <row r="35" spans="1:10" ht="15.95" customHeight="1" x14ac:dyDescent="0.3">
      <c r="A35" s="39" t="s">
        <v>547</v>
      </c>
      <c r="B35" s="40"/>
      <c r="C35" s="40"/>
      <c r="D35" s="36" t="s">
        <v>217</v>
      </c>
      <c r="E35" s="35">
        <f>ROUNDDOWN(E37-E36, 0)</f>
        <v>37999999</v>
      </c>
      <c r="F35" s="36" t="s">
        <v>217</v>
      </c>
      <c r="G35" s="1" t="s">
        <v>548</v>
      </c>
      <c r="H35">
        <v>0</v>
      </c>
      <c r="I35">
        <f>SUM(I30:I34)+-1</f>
        <v>38001624.630000003</v>
      </c>
    </row>
    <row r="36" spans="1:10" ht="15.95" customHeight="1" x14ac:dyDescent="0.3">
      <c r="A36" s="39" t="s">
        <v>549</v>
      </c>
      <c r="B36" s="40"/>
      <c r="C36" s="40"/>
      <c r="D36" s="34" t="str">
        <f>"(총원가)*"&amp;H36*100&amp;"%"</f>
        <v>(총원가)*10%</v>
      </c>
      <c r="E36" s="35">
        <f>ROUNDDOWN(((E37)/110)*10, 0)+J36</f>
        <v>3800001</v>
      </c>
      <c r="F36" s="36" t="s">
        <v>217</v>
      </c>
      <c r="G36" s="1" t="s">
        <v>550</v>
      </c>
      <c r="H36">
        <v>0.1</v>
      </c>
      <c r="I36">
        <f>ROUNDDOWN((I35)*H36, 0)+1</f>
        <v>3800163</v>
      </c>
      <c r="J36">
        <v>1</v>
      </c>
    </row>
    <row r="37" spans="1:10" ht="15.95" customHeight="1" x14ac:dyDescent="0.3">
      <c r="A37" s="37" t="s">
        <v>551</v>
      </c>
      <c r="B37" s="38"/>
      <c r="C37" s="38"/>
      <c r="D37" s="31" t="s">
        <v>217</v>
      </c>
      <c r="E37" s="21">
        <f>INT(I37/1000)*1000-1000</f>
        <v>41800000</v>
      </c>
      <c r="F37" s="31" t="s">
        <v>217</v>
      </c>
      <c r="G37" s="1" t="s">
        <v>552</v>
      </c>
      <c r="H37">
        <v>0</v>
      </c>
      <c r="I37">
        <f>I35+I36</f>
        <v>41801787.630000003</v>
      </c>
    </row>
    <row r="38" spans="1:10" ht="15.95" customHeight="1" x14ac:dyDescent="0.3">
      <c r="A38" s="39" t="s">
        <v>553</v>
      </c>
      <c r="B38" s="40"/>
      <c r="C38" s="40"/>
      <c r="D38" s="36" t="s">
        <v>217</v>
      </c>
      <c r="E38" s="35">
        <f>집계표!AG20</f>
        <v>0</v>
      </c>
      <c r="F38" s="36" t="s">
        <v>217</v>
      </c>
      <c r="G38" s="1" t="s">
        <v>432</v>
      </c>
      <c r="H38">
        <v>0</v>
      </c>
      <c r="I38">
        <f>E38</f>
        <v>0</v>
      </c>
    </row>
    <row r="39" spans="1:10" ht="15.95" customHeight="1" x14ac:dyDescent="0.3">
      <c r="A39" s="39" t="s">
        <v>554</v>
      </c>
      <c r="B39" s="40"/>
      <c r="C39" s="40"/>
      <c r="D39" s="36" t="s">
        <v>217</v>
      </c>
      <c r="E39" s="35">
        <f>집계표!AA20</f>
        <v>0</v>
      </c>
      <c r="F39" s="36" t="s">
        <v>217</v>
      </c>
      <c r="G39" s="1" t="s">
        <v>555</v>
      </c>
      <c r="H39">
        <v>0</v>
      </c>
      <c r="I39">
        <f>E39</f>
        <v>0</v>
      </c>
    </row>
    <row r="40" spans="1:10" ht="15.95" customHeight="1" x14ac:dyDescent="0.3">
      <c r="A40" s="39" t="s">
        <v>556</v>
      </c>
      <c r="B40" s="40"/>
      <c r="C40" s="40"/>
      <c r="D40" s="36" t="s">
        <v>217</v>
      </c>
      <c r="E40" s="35">
        <f>집계표!Z20</f>
        <v>0</v>
      </c>
      <c r="F40" s="36" t="s">
        <v>217</v>
      </c>
      <c r="G40" s="1" t="s">
        <v>557</v>
      </c>
      <c r="H40">
        <v>0</v>
      </c>
      <c r="I40">
        <f>E40</f>
        <v>0</v>
      </c>
    </row>
    <row r="41" spans="1:10" ht="15.95" customHeight="1" x14ac:dyDescent="0.3">
      <c r="A41" s="37" t="s">
        <v>558</v>
      </c>
      <c r="B41" s="38"/>
      <c r="C41" s="38"/>
      <c r="D41" s="31" t="s">
        <v>217</v>
      </c>
      <c r="E41" s="21">
        <f>ROUNDDOWN(E37+E38+E39+E40, 0)</f>
        <v>41800000</v>
      </c>
      <c r="F41" s="31" t="s">
        <v>217</v>
      </c>
      <c r="H41">
        <v>0</v>
      </c>
      <c r="I41">
        <f>I37+I38+I39+I40</f>
        <v>41801787.630000003</v>
      </c>
    </row>
  </sheetData>
  <mergeCells count="22">
    <mergeCell ref="B5:B8"/>
    <mergeCell ref="B9:B11"/>
    <mergeCell ref="B12:B29"/>
    <mergeCell ref="A5:A30"/>
    <mergeCell ref="A1:F1"/>
    <mergeCell ref="A2:F2"/>
    <mergeCell ref="A3:C4"/>
    <mergeCell ref="D3:D4"/>
    <mergeCell ref="E3:E4"/>
    <mergeCell ref="F3:F4"/>
    <mergeCell ref="A41:C41"/>
    <mergeCell ref="B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</mergeCells>
  <phoneticPr fontId="1" type="noConversion"/>
  <conditionalFormatting sqref="A5:F41">
    <cfRule type="containsText" dxfId="15" priority="1" stopIfTrue="1" operator="containsText" text=".">
      <formula>NOT(ISERROR(SEARCH(".",A5)))</formula>
    </cfRule>
    <cfRule type="notContainsText" dxfId="14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AX36"/>
  <sheetViews>
    <sheetView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A19" sqref="BA19"/>
    </sheetView>
  </sheetViews>
  <sheetFormatPr defaultRowHeight="16.5" x14ac:dyDescent="0.3"/>
  <cols>
    <col min="1" max="1" width="38.625" style="2" customWidth="1"/>
    <col min="2" max="3" width="4.625" style="3" customWidth="1"/>
    <col min="4" max="4" width="8.625" style="4" customWidth="1"/>
    <col min="5" max="5" width="9.625" style="4" customWidth="1"/>
    <col min="6" max="6" width="8.625" style="4" customWidth="1"/>
    <col min="7" max="7" width="9.625" style="4" customWidth="1"/>
    <col min="8" max="8" width="8.625" style="4" customWidth="1"/>
    <col min="9" max="9" width="9.625" style="4" customWidth="1"/>
    <col min="10" max="10" width="8.625" style="4" customWidth="1"/>
    <col min="11" max="11" width="9.625" style="4" customWidth="1"/>
    <col min="12" max="12" width="6.625" style="2" customWidth="1"/>
    <col min="13" max="50" width="0" hidden="1" customWidth="1"/>
  </cols>
  <sheetData>
    <row r="1" spans="1:50" ht="30" customHeight="1" x14ac:dyDescent="0.3">
      <c r="A1" s="46" t="s">
        <v>485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50" ht="23.1" customHeight="1" x14ac:dyDescent="0.3">
      <c r="A2" s="47" t="s">
        <v>561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50" ht="23.1" customHeight="1" x14ac:dyDescent="0.3">
      <c r="A3" s="55" t="s">
        <v>443</v>
      </c>
      <c r="B3" s="55" t="s">
        <v>4</v>
      </c>
      <c r="C3" s="55" t="s">
        <v>238</v>
      </c>
      <c r="D3" s="55" t="s">
        <v>253</v>
      </c>
      <c r="E3" s="55"/>
      <c r="F3" s="55" t="s">
        <v>254</v>
      </c>
      <c r="G3" s="55"/>
      <c r="H3" s="55" t="s">
        <v>255</v>
      </c>
      <c r="I3" s="55"/>
      <c r="J3" s="55" t="s">
        <v>256</v>
      </c>
      <c r="K3" s="55"/>
      <c r="L3" s="55" t="s">
        <v>445</v>
      </c>
    </row>
    <row r="4" spans="1:50" ht="23.1" customHeight="1" x14ac:dyDescent="0.3">
      <c r="A4" s="55"/>
      <c r="B4" s="55"/>
      <c r="C4" s="55"/>
      <c r="D4" s="12" t="s">
        <v>206</v>
      </c>
      <c r="E4" s="12" t="s">
        <v>379</v>
      </c>
      <c r="F4" s="12" t="s">
        <v>206</v>
      </c>
      <c r="G4" s="12" t="s">
        <v>379</v>
      </c>
      <c r="H4" s="12" t="s">
        <v>206</v>
      </c>
      <c r="I4" s="12" t="s">
        <v>379</v>
      </c>
      <c r="J4" s="12" t="s">
        <v>206</v>
      </c>
      <c r="K4" s="12" t="s">
        <v>379</v>
      </c>
      <c r="L4" s="55"/>
      <c r="M4" t="s">
        <v>208</v>
      </c>
      <c r="N4" t="s">
        <v>209</v>
      </c>
      <c r="O4" t="s">
        <v>210</v>
      </c>
      <c r="P4" t="s">
        <v>211</v>
      </c>
      <c r="Q4" t="s">
        <v>219</v>
      </c>
      <c r="R4" t="s">
        <v>446</v>
      </c>
      <c r="S4" t="s">
        <v>447</v>
      </c>
      <c r="T4" t="s">
        <v>448</v>
      </c>
      <c r="U4" t="s">
        <v>449</v>
      </c>
      <c r="V4" t="s">
        <v>450</v>
      </c>
      <c r="W4" t="s">
        <v>451</v>
      </c>
      <c r="X4" t="s">
        <v>452</v>
      </c>
      <c r="Y4" t="s">
        <v>453</v>
      </c>
      <c r="Z4" t="s">
        <v>454</v>
      </c>
      <c r="AA4" t="s">
        <v>455</v>
      </c>
      <c r="AB4" t="s">
        <v>456</v>
      </c>
      <c r="AC4" t="s">
        <v>457</v>
      </c>
      <c r="AD4" t="s">
        <v>458</v>
      </c>
      <c r="AE4" t="s">
        <v>459</v>
      </c>
      <c r="AF4" t="s">
        <v>460</v>
      </c>
      <c r="AG4" t="s">
        <v>461</v>
      </c>
      <c r="AH4" t="s">
        <v>462</v>
      </c>
      <c r="AI4" t="s">
        <v>463</v>
      </c>
      <c r="AJ4" t="s">
        <v>464</v>
      </c>
      <c r="AK4" t="s">
        <v>465</v>
      </c>
      <c r="AL4" t="s">
        <v>466</v>
      </c>
      <c r="AM4" t="s">
        <v>467</v>
      </c>
      <c r="AN4" t="s">
        <v>468</v>
      </c>
      <c r="AO4" t="s">
        <v>469</v>
      </c>
      <c r="AP4" t="s">
        <v>470</v>
      </c>
      <c r="AQ4" t="s">
        <v>471</v>
      </c>
      <c r="AR4" t="s">
        <v>472</v>
      </c>
      <c r="AS4" t="s">
        <v>473</v>
      </c>
      <c r="AT4" t="s">
        <v>474</v>
      </c>
      <c r="AU4" t="s">
        <v>475</v>
      </c>
      <c r="AV4" t="s">
        <v>212</v>
      </c>
      <c r="AW4" t="s">
        <v>213</v>
      </c>
      <c r="AX4" t="s">
        <v>16</v>
      </c>
    </row>
    <row r="5" spans="1:50" ht="23.1" customHeight="1" x14ac:dyDescent="0.3">
      <c r="A5" s="14" t="s">
        <v>0</v>
      </c>
      <c r="B5" s="16" t="s">
        <v>224</v>
      </c>
      <c r="C5" s="22">
        <v>1</v>
      </c>
      <c r="D5" s="17">
        <f>E36</f>
        <v>14567880</v>
      </c>
      <c r="E5" s="17">
        <f>C5*D5</f>
        <v>14567880</v>
      </c>
      <c r="F5" s="17">
        <f>G36</f>
        <v>13948945</v>
      </c>
      <c r="G5" s="17">
        <f>C5*F5</f>
        <v>13948945</v>
      </c>
      <c r="H5" s="17">
        <f>I36</f>
        <v>152070</v>
      </c>
      <c r="I5" s="17">
        <f>C5*H5</f>
        <v>152070</v>
      </c>
      <c r="J5" s="17">
        <f>D5+F5+H5</f>
        <v>28668895</v>
      </c>
      <c r="K5" s="17">
        <f>E5+G5+I5</f>
        <v>28668895</v>
      </c>
      <c r="L5" s="15"/>
      <c r="P5">
        <v>1</v>
      </c>
      <c r="Q5">
        <f>C5*Q36</f>
        <v>152070</v>
      </c>
      <c r="R5">
        <f>C5*R36</f>
        <v>0</v>
      </c>
      <c r="S5">
        <f>C5*S36</f>
        <v>0</v>
      </c>
      <c r="T5">
        <f>C5*T36</f>
        <v>0</v>
      </c>
      <c r="U5">
        <f>C5*U36</f>
        <v>0</v>
      </c>
      <c r="V5">
        <f>C5*V36</f>
        <v>0</v>
      </c>
      <c r="W5">
        <f>C5*W36</f>
        <v>284549</v>
      </c>
      <c r="X5">
        <f>C5*X36</f>
        <v>0</v>
      </c>
      <c r="Y5">
        <f>C5*Y36</f>
        <v>0</v>
      </c>
      <c r="Z5">
        <f>C5*Z36</f>
        <v>0</v>
      </c>
      <c r="AA5">
        <f>C5*AA36</f>
        <v>0</v>
      </c>
      <c r="AB5">
        <f>C5*AB36</f>
        <v>0</v>
      </c>
      <c r="AC5">
        <f>C5*AC36</f>
        <v>0</v>
      </c>
      <c r="AD5">
        <f>C5*AD36</f>
        <v>0</v>
      </c>
      <c r="AE5">
        <f>C5*AE36</f>
        <v>0</v>
      </c>
      <c r="AF5">
        <f>C5*AF36</f>
        <v>0</v>
      </c>
      <c r="AG5">
        <f>C5*AG36</f>
        <v>0</v>
      </c>
      <c r="AH5">
        <f>C5*AH36</f>
        <v>0</v>
      </c>
      <c r="AI5">
        <f>C5*AI36</f>
        <v>0</v>
      </c>
      <c r="AJ5">
        <f>C5*AJ36</f>
        <v>0</v>
      </c>
      <c r="AK5">
        <f>C5*AK36</f>
        <v>0</v>
      </c>
      <c r="AL5">
        <f>C5*AL36</f>
        <v>0</v>
      </c>
      <c r="AM5">
        <f>C5*AM36</f>
        <v>0</v>
      </c>
      <c r="AN5">
        <f>C5*AN36</f>
        <v>0</v>
      </c>
      <c r="AO5">
        <f>C5*AO36</f>
        <v>0</v>
      </c>
      <c r="AP5">
        <f>C5*AP36</f>
        <v>0</v>
      </c>
      <c r="AQ5">
        <f>C5*AQ36</f>
        <v>0</v>
      </c>
      <c r="AR5">
        <f>C5*AR36</f>
        <v>0</v>
      </c>
      <c r="AS5">
        <f>C5*AS36</f>
        <v>0</v>
      </c>
      <c r="AT5">
        <f>C5*AT36</f>
        <v>0</v>
      </c>
      <c r="AU5">
        <f>C5*AU36</f>
        <v>0</v>
      </c>
    </row>
    <row r="6" spans="1:50" ht="23.1" customHeight="1" x14ac:dyDescent="0.3">
      <c r="A6" s="15"/>
      <c r="B6" s="22"/>
      <c r="C6" s="22"/>
      <c r="D6" s="17"/>
      <c r="E6" s="17"/>
      <c r="F6" s="17"/>
      <c r="G6" s="17"/>
      <c r="H6" s="17"/>
      <c r="I6" s="17"/>
      <c r="J6" s="17"/>
      <c r="K6" s="17"/>
      <c r="L6" s="15"/>
    </row>
    <row r="7" spans="1:50" ht="23.1" customHeight="1" x14ac:dyDescent="0.3">
      <c r="A7" s="15"/>
      <c r="B7" s="22"/>
      <c r="C7" s="22"/>
      <c r="D7" s="17"/>
      <c r="E7" s="17"/>
      <c r="F7" s="17"/>
      <c r="G7" s="17"/>
      <c r="H7" s="17"/>
      <c r="I7" s="17"/>
      <c r="J7" s="17"/>
      <c r="K7" s="17"/>
      <c r="L7" s="15"/>
    </row>
    <row r="8" spans="1:50" ht="23.1" customHeight="1" x14ac:dyDescent="0.3">
      <c r="A8" s="15"/>
      <c r="B8" s="22"/>
      <c r="C8" s="22"/>
      <c r="D8" s="17"/>
      <c r="E8" s="17"/>
      <c r="F8" s="17"/>
      <c r="G8" s="17"/>
      <c r="H8" s="17"/>
      <c r="I8" s="17"/>
      <c r="J8" s="17"/>
      <c r="K8" s="17"/>
      <c r="L8" s="15"/>
    </row>
    <row r="9" spans="1:50" ht="23.1" customHeight="1" x14ac:dyDescent="0.3">
      <c r="A9" s="15"/>
      <c r="B9" s="22"/>
      <c r="C9" s="22"/>
      <c r="D9" s="17"/>
      <c r="E9" s="17"/>
      <c r="F9" s="17"/>
      <c r="G9" s="17"/>
      <c r="H9" s="17"/>
      <c r="I9" s="17"/>
      <c r="J9" s="17"/>
      <c r="K9" s="17"/>
      <c r="L9" s="15"/>
    </row>
    <row r="10" spans="1:50" ht="23.1" customHeight="1" x14ac:dyDescent="0.3">
      <c r="A10" s="15"/>
      <c r="B10" s="22"/>
      <c r="C10" s="22"/>
      <c r="D10" s="17"/>
      <c r="E10" s="17"/>
      <c r="F10" s="17"/>
      <c r="G10" s="17"/>
      <c r="H10" s="17"/>
      <c r="I10" s="17"/>
      <c r="J10" s="17"/>
      <c r="K10" s="17"/>
      <c r="L10" s="15"/>
    </row>
    <row r="11" spans="1:50" ht="23.1" customHeight="1" x14ac:dyDescent="0.3">
      <c r="A11" s="15"/>
      <c r="B11" s="22"/>
      <c r="C11" s="22"/>
      <c r="D11" s="17"/>
      <c r="E11" s="17"/>
      <c r="F11" s="17"/>
      <c r="G11" s="17"/>
      <c r="H11" s="17"/>
      <c r="I11" s="17"/>
      <c r="J11" s="17"/>
      <c r="K11" s="17"/>
      <c r="L11" s="15"/>
    </row>
    <row r="12" spans="1:50" ht="23.1" customHeight="1" x14ac:dyDescent="0.3">
      <c r="A12" s="15"/>
      <c r="B12" s="22"/>
      <c r="C12" s="22"/>
      <c r="D12" s="17"/>
      <c r="E12" s="17"/>
      <c r="F12" s="17"/>
      <c r="G12" s="17"/>
      <c r="H12" s="17"/>
      <c r="I12" s="17"/>
      <c r="J12" s="17"/>
      <c r="K12" s="17"/>
      <c r="L12" s="15"/>
    </row>
    <row r="13" spans="1:50" ht="23.1" customHeight="1" x14ac:dyDescent="0.3">
      <c r="A13" s="15"/>
      <c r="B13" s="22"/>
      <c r="C13" s="22"/>
      <c r="D13" s="17"/>
      <c r="E13" s="17"/>
      <c r="F13" s="17"/>
      <c r="G13" s="17"/>
      <c r="H13" s="17"/>
      <c r="I13" s="17"/>
      <c r="J13" s="17"/>
      <c r="K13" s="17"/>
      <c r="L13" s="15"/>
    </row>
    <row r="14" spans="1:50" ht="23.1" customHeight="1" x14ac:dyDescent="0.3">
      <c r="A14" s="15"/>
      <c r="B14" s="22"/>
      <c r="C14" s="22"/>
      <c r="D14" s="17"/>
      <c r="E14" s="17"/>
      <c r="F14" s="17"/>
      <c r="G14" s="17"/>
      <c r="H14" s="17"/>
      <c r="I14" s="17"/>
      <c r="J14" s="17"/>
      <c r="K14" s="17"/>
      <c r="L14" s="15"/>
    </row>
    <row r="15" spans="1:50" ht="23.1" customHeight="1" x14ac:dyDescent="0.3">
      <c r="A15" s="15"/>
      <c r="B15" s="22"/>
      <c r="C15" s="22"/>
      <c r="D15" s="17"/>
      <c r="E15" s="17"/>
      <c r="F15" s="17"/>
      <c r="G15" s="17"/>
      <c r="H15" s="17"/>
      <c r="I15" s="17"/>
      <c r="J15" s="17"/>
      <c r="K15" s="17"/>
      <c r="L15" s="15"/>
    </row>
    <row r="16" spans="1:50" ht="23.1" customHeight="1" x14ac:dyDescent="0.3">
      <c r="A16" s="15"/>
      <c r="B16" s="22"/>
      <c r="C16" s="22"/>
      <c r="D16" s="17"/>
      <c r="E16" s="17"/>
      <c r="F16" s="17"/>
      <c r="G16" s="17"/>
      <c r="H16" s="17"/>
      <c r="I16" s="17"/>
      <c r="J16" s="17"/>
      <c r="K16" s="17"/>
      <c r="L16" s="15"/>
    </row>
    <row r="17" spans="1:50" ht="23.1" customHeight="1" x14ac:dyDescent="0.3">
      <c r="A17" s="15"/>
      <c r="B17" s="22"/>
      <c r="C17" s="22"/>
      <c r="D17" s="17"/>
      <c r="E17" s="17"/>
      <c r="F17" s="17"/>
      <c r="G17" s="17"/>
      <c r="H17" s="17"/>
      <c r="I17" s="17"/>
      <c r="J17" s="17"/>
      <c r="K17" s="17"/>
      <c r="L17" s="15"/>
    </row>
    <row r="18" spans="1:50" ht="23.1" customHeight="1" x14ac:dyDescent="0.3">
      <c r="A18" s="15"/>
      <c r="B18" s="22"/>
      <c r="C18" s="22"/>
      <c r="D18" s="17"/>
      <c r="E18" s="17"/>
      <c r="F18" s="17"/>
      <c r="G18" s="17"/>
      <c r="H18" s="17"/>
      <c r="I18" s="17"/>
      <c r="J18" s="17"/>
      <c r="K18" s="17"/>
      <c r="L18" s="15"/>
    </row>
    <row r="19" spans="1:50" ht="23.1" customHeight="1" x14ac:dyDescent="0.3">
      <c r="A19" s="15"/>
      <c r="B19" s="22"/>
      <c r="C19" s="22"/>
      <c r="D19" s="17"/>
      <c r="E19" s="17"/>
      <c r="F19" s="17"/>
      <c r="G19" s="17"/>
      <c r="H19" s="17"/>
      <c r="I19" s="17"/>
      <c r="J19" s="17"/>
      <c r="K19" s="17"/>
      <c r="L19" s="15"/>
    </row>
    <row r="20" spans="1:50" ht="23.1" customHeight="1" x14ac:dyDescent="0.3">
      <c r="A20" s="18" t="s">
        <v>231</v>
      </c>
      <c r="B20" s="20"/>
      <c r="C20" s="20"/>
      <c r="D20" s="21"/>
      <c r="E20" s="21">
        <f>SUMIF(P5:P5, "1", E5:E5)</f>
        <v>14567880</v>
      </c>
      <c r="F20" s="21"/>
      <c r="G20" s="21">
        <f>SUMIF(P5:P5, "1", G5:G5)</f>
        <v>13948945</v>
      </c>
      <c r="H20" s="21"/>
      <c r="I20" s="21">
        <f>SUMIF(P5:P5, "1", I5:I5)</f>
        <v>152070</v>
      </c>
      <c r="J20" s="21"/>
      <c r="K20" s="21">
        <f>E20+G20+I20</f>
        <v>28668895</v>
      </c>
      <c r="L20" s="19"/>
      <c r="Q20">
        <f t="shared" ref="Q20:AX20" si="0">SUM(Q5:Q5)</f>
        <v>152070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284549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</row>
    <row r="21" spans="1:50" ht="23.1" customHeight="1" x14ac:dyDescent="0.3">
      <c r="A21" s="14" t="s">
        <v>0</v>
      </c>
      <c r="B21" s="22"/>
      <c r="C21" s="22"/>
      <c r="D21" s="17"/>
      <c r="E21" s="17"/>
      <c r="F21" s="17"/>
      <c r="G21" s="17"/>
      <c r="H21" s="17"/>
      <c r="I21" s="17"/>
      <c r="J21" s="17"/>
      <c r="K21" s="17"/>
      <c r="L21" s="15"/>
    </row>
    <row r="22" spans="1:50" ht="23.1" customHeight="1" x14ac:dyDescent="0.3">
      <c r="A22" s="14" t="s">
        <v>476</v>
      </c>
      <c r="B22" s="16" t="s">
        <v>224</v>
      </c>
      <c r="C22" s="22">
        <v>1</v>
      </c>
      <c r="D22" s="17">
        <f>내역서!F20</f>
        <v>85348</v>
      </c>
      <c r="E22" s="17">
        <f t="shared" ref="E22:E28" si="1">C22*D22</f>
        <v>85348</v>
      </c>
      <c r="F22" s="17">
        <f>내역서!H20</f>
        <v>2542575</v>
      </c>
      <c r="G22" s="17">
        <f t="shared" ref="G22:G28" si="2">C22*F22</f>
        <v>2542575</v>
      </c>
      <c r="H22" s="17">
        <f>내역서!J20</f>
        <v>0</v>
      </c>
      <c r="I22" s="17">
        <f t="shared" ref="I22:I28" si="3">C22*H22</f>
        <v>0</v>
      </c>
      <c r="J22" s="17">
        <f t="shared" ref="J22:K28" si="4">D22+F22+H22</f>
        <v>2627923</v>
      </c>
      <c r="K22" s="17">
        <f t="shared" si="4"/>
        <v>2627923</v>
      </c>
      <c r="L22" s="15"/>
      <c r="P22">
        <v>1</v>
      </c>
      <c r="Q22">
        <f>C22*내역서!R20</f>
        <v>0</v>
      </c>
      <c r="R22">
        <f>C22*내역서!S20</f>
        <v>0</v>
      </c>
      <c r="S22">
        <f>C22*내역서!T20</f>
        <v>0</v>
      </c>
      <c r="T22">
        <f>C22*내역서!U20</f>
        <v>0</v>
      </c>
      <c r="U22">
        <f>C22*내역서!V20</f>
        <v>0</v>
      </c>
      <c r="V22">
        <f>C22*내역서!W20</f>
        <v>0</v>
      </c>
      <c r="W22">
        <f>C22*내역서!X20</f>
        <v>0</v>
      </c>
      <c r="X22">
        <f>C22*내역서!Y20</f>
        <v>0</v>
      </c>
      <c r="Y22">
        <f>C22*내역서!Z20</f>
        <v>0</v>
      </c>
      <c r="Z22">
        <f>C22*내역서!AA20</f>
        <v>0</v>
      </c>
      <c r="AA22">
        <f>C22*내역서!AB20</f>
        <v>0</v>
      </c>
      <c r="AB22">
        <f>C22*내역서!AC20</f>
        <v>0</v>
      </c>
      <c r="AC22">
        <f>C22*내역서!AD20</f>
        <v>0</v>
      </c>
      <c r="AD22">
        <f>C22*내역서!AE20</f>
        <v>0</v>
      </c>
      <c r="AE22">
        <f>C22*내역서!AF20</f>
        <v>0</v>
      </c>
      <c r="AF22">
        <f>C22*내역서!AG20</f>
        <v>0</v>
      </c>
      <c r="AG22">
        <f>C22*내역서!AH20</f>
        <v>0</v>
      </c>
      <c r="AH22">
        <f>C22*내역서!AI20</f>
        <v>0</v>
      </c>
      <c r="AI22">
        <f>C22*내역서!AJ20</f>
        <v>0</v>
      </c>
      <c r="AJ22">
        <f>C22*내역서!AK20</f>
        <v>0</v>
      </c>
      <c r="AK22">
        <f>C22*내역서!AL20</f>
        <v>0</v>
      </c>
      <c r="AL22">
        <f>C22*내역서!AM20</f>
        <v>0</v>
      </c>
      <c r="AM22">
        <f>C22*내역서!AN20</f>
        <v>0</v>
      </c>
      <c r="AN22">
        <f>C22*내역서!AO20</f>
        <v>0</v>
      </c>
      <c r="AO22">
        <f>C22*내역서!AP20</f>
        <v>0</v>
      </c>
      <c r="AP22">
        <f>C22*내역서!AQ20</f>
        <v>0</v>
      </c>
      <c r="AQ22">
        <f>C22*내역서!AR20</f>
        <v>0</v>
      </c>
      <c r="AR22">
        <f>C22*내역서!AS20</f>
        <v>0</v>
      </c>
      <c r="AS22">
        <f>C22*내역서!AT20</f>
        <v>0</v>
      </c>
      <c r="AT22">
        <f>C22*내역서!AU20</f>
        <v>0</v>
      </c>
      <c r="AU22">
        <f>C22*내역서!AV20</f>
        <v>0</v>
      </c>
    </row>
    <row r="23" spans="1:50" ht="23.1" customHeight="1" x14ac:dyDescent="0.3">
      <c r="A23" s="14" t="s">
        <v>478</v>
      </c>
      <c r="B23" s="16" t="s">
        <v>224</v>
      </c>
      <c r="C23" s="22">
        <v>1</v>
      </c>
      <c r="D23" s="17">
        <f>내역서!F36</f>
        <v>3518093</v>
      </c>
      <c r="E23" s="17">
        <f t="shared" si="1"/>
        <v>3518093</v>
      </c>
      <c r="F23" s="17">
        <f>내역서!H36</f>
        <v>4416148</v>
      </c>
      <c r="G23" s="17">
        <f t="shared" si="2"/>
        <v>4416148</v>
      </c>
      <c r="H23" s="17">
        <f>내역서!J36</f>
        <v>80768</v>
      </c>
      <c r="I23" s="17">
        <f t="shared" si="3"/>
        <v>80768</v>
      </c>
      <c r="J23" s="17">
        <f t="shared" si="4"/>
        <v>8015009</v>
      </c>
      <c r="K23" s="17">
        <f t="shared" si="4"/>
        <v>8015009</v>
      </c>
      <c r="L23" s="15"/>
      <c r="P23">
        <v>1</v>
      </c>
      <c r="Q23">
        <f>C23*내역서!R36</f>
        <v>80768</v>
      </c>
      <c r="R23">
        <f>C23*내역서!S36</f>
        <v>0</v>
      </c>
      <c r="S23">
        <f>C23*내역서!T36</f>
        <v>0</v>
      </c>
      <c r="T23">
        <f>C23*내역서!U36</f>
        <v>0</v>
      </c>
      <c r="U23">
        <f>C23*내역서!V36</f>
        <v>0</v>
      </c>
      <c r="V23">
        <f>C23*내역서!W36</f>
        <v>0</v>
      </c>
      <c r="W23">
        <f>C23*내역서!X36</f>
        <v>0</v>
      </c>
      <c r="X23">
        <f>C23*내역서!Y36</f>
        <v>0</v>
      </c>
      <c r="Y23">
        <f>C23*내역서!Z36</f>
        <v>0</v>
      </c>
      <c r="Z23">
        <f>C23*내역서!AA36</f>
        <v>0</v>
      </c>
      <c r="AA23">
        <f>C23*내역서!AB36</f>
        <v>0</v>
      </c>
      <c r="AB23">
        <f>C23*내역서!AC36</f>
        <v>0</v>
      </c>
      <c r="AC23">
        <f>C23*내역서!AD36</f>
        <v>0</v>
      </c>
      <c r="AD23">
        <f>C23*내역서!AE36</f>
        <v>0</v>
      </c>
      <c r="AE23">
        <f>C23*내역서!AF36</f>
        <v>0</v>
      </c>
      <c r="AF23">
        <f>C23*내역서!AG36</f>
        <v>0</v>
      </c>
      <c r="AG23">
        <f>C23*내역서!AH36</f>
        <v>0</v>
      </c>
      <c r="AH23">
        <f>C23*내역서!AI36</f>
        <v>0</v>
      </c>
      <c r="AI23">
        <f>C23*내역서!AJ36</f>
        <v>0</v>
      </c>
      <c r="AJ23">
        <f>C23*내역서!AK36</f>
        <v>0</v>
      </c>
      <c r="AK23">
        <f>C23*내역서!AL36</f>
        <v>0</v>
      </c>
      <c r="AL23">
        <f>C23*내역서!AM36</f>
        <v>0</v>
      </c>
      <c r="AM23">
        <f>C23*내역서!AN36</f>
        <v>0</v>
      </c>
      <c r="AN23">
        <f>C23*내역서!AO36</f>
        <v>0</v>
      </c>
      <c r="AO23">
        <f>C23*내역서!AP36</f>
        <v>0</v>
      </c>
      <c r="AP23">
        <f>C23*내역서!AQ36</f>
        <v>0</v>
      </c>
      <c r="AQ23">
        <f>C23*내역서!AR36</f>
        <v>0</v>
      </c>
      <c r="AR23">
        <f>C23*내역서!AS36</f>
        <v>0</v>
      </c>
      <c r="AS23">
        <f>C23*내역서!AT36</f>
        <v>0</v>
      </c>
      <c r="AT23">
        <f>C23*내역서!AU36</f>
        <v>0</v>
      </c>
      <c r="AU23">
        <f>C23*내역서!AV36</f>
        <v>0</v>
      </c>
    </row>
    <row r="24" spans="1:50" ht="23.1" customHeight="1" x14ac:dyDescent="0.3">
      <c r="A24" s="14" t="s">
        <v>479</v>
      </c>
      <c r="B24" s="16" t="s">
        <v>224</v>
      </c>
      <c r="C24" s="22">
        <v>1</v>
      </c>
      <c r="D24" s="17">
        <f>내역서!F52</f>
        <v>10008184</v>
      </c>
      <c r="E24" s="17">
        <f t="shared" si="1"/>
        <v>10008184</v>
      </c>
      <c r="F24" s="17">
        <f>내역서!H52</f>
        <v>4942232</v>
      </c>
      <c r="G24" s="17">
        <f t="shared" si="2"/>
        <v>4942232</v>
      </c>
      <c r="H24" s="17">
        <f>내역서!J52</f>
        <v>49486</v>
      </c>
      <c r="I24" s="17">
        <f t="shared" si="3"/>
        <v>49486</v>
      </c>
      <c r="J24" s="17">
        <f t="shared" si="4"/>
        <v>14999902</v>
      </c>
      <c r="K24" s="17">
        <f t="shared" si="4"/>
        <v>14999902</v>
      </c>
      <c r="L24" s="15"/>
      <c r="P24">
        <v>1</v>
      </c>
      <c r="Q24">
        <f>C24*내역서!R52</f>
        <v>49486</v>
      </c>
      <c r="R24">
        <f>C24*내역서!S52</f>
        <v>0</v>
      </c>
      <c r="S24">
        <f>C24*내역서!T52</f>
        <v>0</v>
      </c>
      <c r="T24">
        <f>C24*내역서!U52</f>
        <v>0</v>
      </c>
      <c r="U24">
        <f>C24*내역서!V52</f>
        <v>0</v>
      </c>
      <c r="V24">
        <f>C24*내역서!W52</f>
        <v>0</v>
      </c>
      <c r="W24">
        <f>C24*내역서!X52</f>
        <v>0</v>
      </c>
      <c r="X24">
        <f>C24*내역서!Y52</f>
        <v>0</v>
      </c>
      <c r="Y24">
        <f>C24*내역서!Z52</f>
        <v>0</v>
      </c>
      <c r="Z24">
        <f>C24*내역서!AA52</f>
        <v>0</v>
      </c>
      <c r="AA24">
        <f>C24*내역서!AB52</f>
        <v>0</v>
      </c>
      <c r="AB24">
        <f>C24*내역서!AC52</f>
        <v>0</v>
      </c>
      <c r="AC24">
        <f>C24*내역서!AD52</f>
        <v>0</v>
      </c>
      <c r="AD24">
        <f>C24*내역서!AE52</f>
        <v>0</v>
      </c>
      <c r="AE24">
        <f>C24*내역서!AF52</f>
        <v>0</v>
      </c>
      <c r="AF24">
        <f>C24*내역서!AG52</f>
        <v>0</v>
      </c>
      <c r="AG24">
        <f>C24*내역서!AH52</f>
        <v>0</v>
      </c>
      <c r="AH24">
        <f>C24*내역서!AI52</f>
        <v>0</v>
      </c>
      <c r="AI24">
        <f>C24*내역서!AJ52</f>
        <v>0</v>
      </c>
      <c r="AJ24">
        <f>C24*내역서!AK52</f>
        <v>0</v>
      </c>
      <c r="AK24">
        <f>C24*내역서!AL52</f>
        <v>0</v>
      </c>
      <c r="AL24">
        <f>C24*내역서!AM52</f>
        <v>0</v>
      </c>
      <c r="AM24">
        <f>C24*내역서!AN52</f>
        <v>0</v>
      </c>
      <c r="AN24">
        <f>C24*내역서!AO52</f>
        <v>0</v>
      </c>
      <c r="AO24">
        <f>C24*내역서!AP52</f>
        <v>0</v>
      </c>
      <c r="AP24">
        <f>C24*내역서!AQ52</f>
        <v>0</v>
      </c>
      <c r="AQ24">
        <f>C24*내역서!AR52</f>
        <v>0</v>
      </c>
      <c r="AR24">
        <f>C24*내역서!AS52</f>
        <v>0</v>
      </c>
      <c r="AS24">
        <f>C24*내역서!AT52</f>
        <v>0</v>
      </c>
      <c r="AT24">
        <f>C24*내역서!AU52</f>
        <v>0</v>
      </c>
      <c r="AU24">
        <f>C24*내역서!AV52</f>
        <v>0</v>
      </c>
    </row>
    <row r="25" spans="1:50" ht="23.1" customHeight="1" x14ac:dyDescent="0.3">
      <c r="A25" s="14" t="s">
        <v>480</v>
      </c>
      <c r="B25" s="16" t="s">
        <v>224</v>
      </c>
      <c r="C25" s="22">
        <v>1</v>
      </c>
      <c r="D25" s="17">
        <f>내역서!F68</f>
        <v>429623</v>
      </c>
      <c r="E25" s="17">
        <f t="shared" si="1"/>
        <v>429623</v>
      </c>
      <c r="F25" s="17">
        <f>내역서!H68</f>
        <v>1230222</v>
      </c>
      <c r="G25" s="17">
        <f t="shared" si="2"/>
        <v>1230222</v>
      </c>
      <c r="H25" s="17">
        <f>내역서!J68</f>
        <v>12463</v>
      </c>
      <c r="I25" s="17">
        <f t="shared" si="3"/>
        <v>12463</v>
      </c>
      <c r="J25" s="17">
        <f t="shared" si="4"/>
        <v>1672308</v>
      </c>
      <c r="K25" s="17">
        <f t="shared" si="4"/>
        <v>1672308</v>
      </c>
      <c r="L25" s="15"/>
      <c r="P25">
        <v>1</v>
      </c>
      <c r="Q25">
        <f>C25*내역서!R68</f>
        <v>12463</v>
      </c>
      <c r="R25">
        <f>C25*내역서!S68</f>
        <v>0</v>
      </c>
      <c r="S25">
        <f>C25*내역서!T68</f>
        <v>0</v>
      </c>
      <c r="T25">
        <f>C25*내역서!U68</f>
        <v>0</v>
      </c>
      <c r="U25">
        <f>C25*내역서!V68</f>
        <v>0</v>
      </c>
      <c r="V25">
        <f>C25*내역서!W68</f>
        <v>0</v>
      </c>
      <c r="W25">
        <f>C25*내역서!X68</f>
        <v>0</v>
      </c>
      <c r="X25">
        <f>C25*내역서!Y68</f>
        <v>0</v>
      </c>
      <c r="Y25">
        <f>C25*내역서!Z68</f>
        <v>0</v>
      </c>
      <c r="Z25">
        <f>C25*내역서!AA68</f>
        <v>0</v>
      </c>
      <c r="AA25">
        <f>C25*내역서!AB68</f>
        <v>0</v>
      </c>
      <c r="AB25">
        <f>C25*내역서!AC68</f>
        <v>0</v>
      </c>
      <c r="AC25">
        <f>C25*내역서!AD68</f>
        <v>0</v>
      </c>
      <c r="AD25">
        <f>C25*내역서!AE68</f>
        <v>0</v>
      </c>
      <c r="AE25">
        <f>C25*내역서!AF68</f>
        <v>0</v>
      </c>
      <c r="AF25">
        <f>C25*내역서!AG68</f>
        <v>0</v>
      </c>
      <c r="AG25">
        <f>C25*내역서!AH68</f>
        <v>0</v>
      </c>
      <c r="AH25">
        <f>C25*내역서!AI68</f>
        <v>0</v>
      </c>
      <c r="AI25">
        <f>C25*내역서!AJ68</f>
        <v>0</v>
      </c>
      <c r="AJ25">
        <f>C25*내역서!AK68</f>
        <v>0</v>
      </c>
      <c r="AK25">
        <f>C25*내역서!AL68</f>
        <v>0</v>
      </c>
      <c r="AL25">
        <f>C25*내역서!AM68</f>
        <v>0</v>
      </c>
      <c r="AM25">
        <f>C25*내역서!AN68</f>
        <v>0</v>
      </c>
      <c r="AN25">
        <f>C25*내역서!AO68</f>
        <v>0</v>
      </c>
      <c r="AO25">
        <f>C25*내역서!AP68</f>
        <v>0</v>
      </c>
      <c r="AP25">
        <f>C25*내역서!AQ68</f>
        <v>0</v>
      </c>
      <c r="AQ25">
        <f>C25*내역서!AR68</f>
        <v>0</v>
      </c>
      <c r="AR25">
        <f>C25*내역서!AS68</f>
        <v>0</v>
      </c>
      <c r="AS25">
        <f>C25*내역서!AT68</f>
        <v>0</v>
      </c>
      <c r="AT25">
        <f>C25*내역서!AU68</f>
        <v>0</v>
      </c>
      <c r="AU25">
        <f>C25*내역서!AV68</f>
        <v>0</v>
      </c>
    </row>
    <row r="26" spans="1:50" ht="23.1" customHeight="1" x14ac:dyDescent="0.3">
      <c r="A26" s="14" t="s">
        <v>481</v>
      </c>
      <c r="B26" s="16" t="s">
        <v>224</v>
      </c>
      <c r="C26" s="22">
        <v>1</v>
      </c>
      <c r="D26" s="17">
        <f>내역서!F84</f>
        <v>500000</v>
      </c>
      <c r="E26" s="17">
        <f t="shared" si="1"/>
        <v>500000</v>
      </c>
      <c r="F26" s="17">
        <f>내역서!H84</f>
        <v>0</v>
      </c>
      <c r="G26" s="17">
        <f t="shared" si="2"/>
        <v>0</v>
      </c>
      <c r="H26" s="17">
        <f>내역서!J84</f>
        <v>0</v>
      </c>
      <c r="I26" s="17">
        <f t="shared" si="3"/>
        <v>0</v>
      </c>
      <c r="J26" s="17">
        <f t="shared" si="4"/>
        <v>500000</v>
      </c>
      <c r="K26" s="17">
        <f t="shared" si="4"/>
        <v>500000</v>
      </c>
      <c r="L26" s="15"/>
      <c r="P26">
        <v>1</v>
      </c>
      <c r="Q26">
        <f>C26*내역서!R84</f>
        <v>0</v>
      </c>
      <c r="R26">
        <f>C26*내역서!S84</f>
        <v>0</v>
      </c>
      <c r="S26">
        <f>C26*내역서!T84</f>
        <v>0</v>
      </c>
      <c r="T26">
        <f>C26*내역서!U84</f>
        <v>0</v>
      </c>
      <c r="U26">
        <f>C26*내역서!V84</f>
        <v>0</v>
      </c>
      <c r="V26">
        <f>C26*내역서!W84</f>
        <v>0</v>
      </c>
      <c r="W26">
        <f>C26*내역서!X84</f>
        <v>0</v>
      </c>
      <c r="X26">
        <f>C26*내역서!Y84</f>
        <v>0</v>
      </c>
      <c r="Y26">
        <f>C26*내역서!Z84</f>
        <v>0</v>
      </c>
      <c r="Z26">
        <f>C26*내역서!AA84</f>
        <v>0</v>
      </c>
      <c r="AA26">
        <f>C26*내역서!AB84</f>
        <v>0</v>
      </c>
      <c r="AB26">
        <f>C26*내역서!AC84</f>
        <v>0</v>
      </c>
      <c r="AC26">
        <f>C26*내역서!AD84</f>
        <v>0</v>
      </c>
      <c r="AD26">
        <f>C26*내역서!AE84</f>
        <v>0</v>
      </c>
      <c r="AE26">
        <f>C26*내역서!AF84</f>
        <v>0</v>
      </c>
      <c r="AF26">
        <f>C26*내역서!AG84</f>
        <v>0</v>
      </c>
      <c r="AG26">
        <f>C26*내역서!AH84</f>
        <v>0</v>
      </c>
      <c r="AH26">
        <f>C26*내역서!AI84</f>
        <v>0</v>
      </c>
      <c r="AI26">
        <f>C26*내역서!AJ84</f>
        <v>0</v>
      </c>
      <c r="AJ26">
        <f>C26*내역서!AK84</f>
        <v>0</v>
      </c>
      <c r="AK26">
        <f>C26*내역서!AL84</f>
        <v>0</v>
      </c>
      <c r="AL26">
        <f>C26*내역서!AM84</f>
        <v>0</v>
      </c>
      <c r="AM26">
        <f>C26*내역서!AN84</f>
        <v>0</v>
      </c>
      <c r="AN26">
        <f>C26*내역서!AO84</f>
        <v>0</v>
      </c>
      <c r="AO26">
        <f>C26*내역서!AP84</f>
        <v>0</v>
      </c>
      <c r="AP26">
        <f>C26*내역서!AQ84</f>
        <v>0</v>
      </c>
      <c r="AQ26">
        <f>C26*내역서!AR84</f>
        <v>0</v>
      </c>
      <c r="AR26">
        <f>C26*내역서!AS84</f>
        <v>0</v>
      </c>
      <c r="AS26">
        <f>C26*내역서!AT84</f>
        <v>0</v>
      </c>
      <c r="AT26">
        <f>C26*내역서!AU84</f>
        <v>0</v>
      </c>
      <c r="AU26">
        <f>C26*내역서!AV84</f>
        <v>0</v>
      </c>
    </row>
    <row r="27" spans="1:50" ht="23.1" customHeight="1" x14ac:dyDescent="0.3">
      <c r="A27" s="14" t="s">
        <v>483</v>
      </c>
      <c r="B27" s="16" t="s">
        <v>224</v>
      </c>
      <c r="C27" s="22">
        <v>1</v>
      </c>
      <c r="D27" s="17">
        <f>내역서!F100</f>
        <v>26632</v>
      </c>
      <c r="E27" s="17">
        <f t="shared" si="1"/>
        <v>26632</v>
      </c>
      <c r="F27" s="17">
        <f>내역서!H100</f>
        <v>817768</v>
      </c>
      <c r="G27" s="17">
        <f t="shared" si="2"/>
        <v>817768</v>
      </c>
      <c r="H27" s="17">
        <f>내역서!J100</f>
        <v>9353</v>
      </c>
      <c r="I27" s="17">
        <f t="shared" si="3"/>
        <v>9353</v>
      </c>
      <c r="J27" s="17">
        <f t="shared" si="4"/>
        <v>853753</v>
      </c>
      <c r="K27" s="17">
        <f t="shared" si="4"/>
        <v>853753</v>
      </c>
      <c r="L27" s="15"/>
      <c r="P27">
        <v>1</v>
      </c>
      <c r="Q27">
        <f>C27*내역서!R100</f>
        <v>9353</v>
      </c>
      <c r="R27">
        <f>C27*내역서!S100</f>
        <v>0</v>
      </c>
      <c r="S27">
        <f>C27*내역서!T100</f>
        <v>0</v>
      </c>
      <c r="T27">
        <f>C27*내역서!U100</f>
        <v>0</v>
      </c>
      <c r="U27">
        <f>C27*내역서!V100</f>
        <v>0</v>
      </c>
      <c r="V27">
        <f>C27*내역서!W100</f>
        <v>0</v>
      </c>
      <c r="W27">
        <f>C27*내역서!X100</f>
        <v>0</v>
      </c>
      <c r="X27">
        <f>C27*내역서!Y100</f>
        <v>0</v>
      </c>
      <c r="Y27">
        <f>C27*내역서!Z100</f>
        <v>0</v>
      </c>
      <c r="Z27">
        <f>C27*내역서!AA100</f>
        <v>0</v>
      </c>
      <c r="AA27">
        <f>C27*내역서!AB100</f>
        <v>0</v>
      </c>
      <c r="AB27">
        <f>C27*내역서!AC100</f>
        <v>0</v>
      </c>
      <c r="AC27">
        <f>C27*내역서!AD100</f>
        <v>0</v>
      </c>
      <c r="AD27">
        <f>C27*내역서!AE100</f>
        <v>0</v>
      </c>
      <c r="AE27">
        <f>C27*내역서!AF100</f>
        <v>0</v>
      </c>
      <c r="AF27">
        <f>C27*내역서!AG100</f>
        <v>0</v>
      </c>
      <c r="AG27">
        <f>C27*내역서!AH100</f>
        <v>0</v>
      </c>
      <c r="AH27">
        <f>C27*내역서!AI100</f>
        <v>0</v>
      </c>
      <c r="AI27">
        <f>C27*내역서!AJ100</f>
        <v>0</v>
      </c>
      <c r="AJ27">
        <f>C27*내역서!AK100</f>
        <v>0</v>
      </c>
      <c r="AK27">
        <f>C27*내역서!AL100</f>
        <v>0</v>
      </c>
      <c r="AL27">
        <f>C27*내역서!AM100</f>
        <v>0</v>
      </c>
      <c r="AM27">
        <f>C27*내역서!AN100</f>
        <v>0</v>
      </c>
      <c r="AN27">
        <f>C27*내역서!AO100</f>
        <v>0</v>
      </c>
      <c r="AO27">
        <f>C27*내역서!AP100</f>
        <v>0</v>
      </c>
      <c r="AP27">
        <f>C27*내역서!AQ100</f>
        <v>0</v>
      </c>
      <c r="AQ27">
        <f>C27*내역서!AR100</f>
        <v>0</v>
      </c>
      <c r="AR27">
        <f>C27*내역서!AS100</f>
        <v>0</v>
      </c>
      <c r="AS27">
        <f>C27*내역서!AT100</f>
        <v>0</v>
      </c>
      <c r="AT27">
        <f>C27*내역서!AU100</f>
        <v>0</v>
      </c>
      <c r="AU27">
        <f>C27*내역서!AV100</f>
        <v>0</v>
      </c>
    </row>
    <row r="28" spans="1:50" ht="23.1" customHeight="1" x14ac:dyDescent="0.3">
      <c r="A28" s="14" t="s">
        <v>484</v>
      </c>
      <c r="B28" s="16" t="s">
        <v>224</v>
      </c>
      <c r="C28" s="22">
        <v>1</v>
      </c>
      <c r="D28" s="17">
        <f>내역서!F116</f>
        <v>0</v>
      </c>
      <c r="E28" s="17">
        <f t="shared" si="1"/>
        <v>0</v>
      </c>
      <c r="F28" s="17">
        <f>내역서!H116</f>
        <v>0</v>
      </c>
      <c r="G28" s="17">
        <f t="shared" si="2"/>
        <v>0</v>
      </c>
      <c r="H28" s="17">
        <f>내역서!J116</f>
        <v>284549</v>
      </c>
      <c r="I28" s="17">
        <f t="shared" si="3"/>
        <v>284549</v>
      </c>
      <c r="J28" s="17">
        <f t="shared" si="4"/>
        <v>284549</v>
      </c>
      <c r="K28" s="17">
        <f t="shared" si="4"/>
        <v>284549</v>
      </c>
      <c r="L28" s="14" t="s">
        <v>486</v>
      </c>
      <c r="Q28">
        <f>C28*내역서!R116</f>
        <v>0</v>
      </c>
      <c r="R28">
        <f>C28*내역서!S116</f>
        <v>0</v>
      </c>
      <c r="S28">
        <f>C28*내역서!T116</f>
        <v>0</v>
      </c>
      <c r="T28">
        <f>C28*내역서!U116</f>
        <v>0</v>
      </c>
      <c r="U28">
        <f>C28*내역서!V116</f>
        <v>0</v>
      </c>
      <c r="V28">
        <f>C28*내역서!W116</f>
        <v>0</v>
      </c>
      <c r="W28">
        <f>C28*내역서!X116</f>
        <v>284549</v>
      </c>
      <c r="X28">
        <f>C28*내역서!Y116</f>
        <v>0</v>
      </c>
      <c r="Y28">
        <f>C28*내역서!Z116</f>
        <v>0</v>
      </c>
      <c r="Z28">
        <f>C28*내역서!AA116</f>
        <v>0</v>
      </c>
      <c r="AA28">
        <f>C28*내역서!AB116</f>
        <v>0</v>
      </c>
      <c r="AB28">
        <f>C28*내역서!AC116</f>
        <v>0</v>
      </c>
      <c r="AC28">
        <f>C28*내역서!AD116</f>
        <v>0</v>
      </c>
      <c r="AD28">
        <f>C28*내역서!AE116</f>
        <v>0</v>
      </c>
      <c r="AE28">
        <f>C28*내역서!AF116</f>
        <v>0</v>
      </c>
      <c r="AF28">
        <f>C28*내역서!AG116</f>
        <v>0</v>
      </c>
      <c r="AG28">
        <f>C28*내역서!AH116</f>
        <v>0</v>
      </c>
      <c r="AH28">
        <f>C28*내역서!AI116</f>
        <v>0</v>
      </c>
      <c r="AI28">
        <f>C28*내역서!AJ116</f>
        <v>0</v>
      </c>
      <c r="AJ28">
        <f>C28*내역서!AK116</f>
        <v>0</v>
      </c>
      <c r="AK28">
        <f>C28*내역서!AL116</f>
        <v>0</v>
      </c>
      <c r="AL28">
        <f>C28*내역서!AM116</f>
        <v>0</v>
      </c>
      <c r="AM28">
        <f>C28*내역서!AN116</f>
        <v>0</v>
      </c>
      <c r="AN28">
        <f>C28*내역서!AO116</f>
        <v>0</v>
      </c>
      <c r="AO28">
        <f>C28*내역서!AP116</f>
        <v>0</v>
      </c>
      <c r="AP28">
        <f>C28*내역서!AQ116</f>
        <v>0</v>
      </c>
      <c r="AQ28">
        <f>C28*내역서!AR116</f>
        <v>0</v>
      </c>
      <c r="AR28">
        <f>C28*내역서!AS116</f>
        <v>0</v>
      </c>
      <c r="AS28">
        <f>C28*내역서!AT116</f>
        <v>0</v>
      </c>
      <c r="AT28">
        <f>C28*내역서!AU116</f>
        <v>0</v>
      </c>
      <c r="AU28">
        <f>C28*내역서!AV116</f>
        <v>0</v>
      </c>
    </row>
    <row r="29" spans="1:50" ht="23.1" customHeight="1" x14ac:dyDescent="0.3">
      <c r="A29" s="15"/>
      <c r="B29" s="22"/>
      <c r="C29" s="22"/>
      <c r="D29" s="17"/>
      <c r="E29" s="17"/>
      <c r="F29" s="17"/>
      <c r="G29" s="17"/>
      <c r="H29" s="17"/>
      <c r="I29" s="17"/>
      <c r="J29" s="17"/>
      <c r="K29" s="17"/>
      <c r="L29" s="15"/>
    </row>
    <row r="30" spans="1:50" ht="23.1" customHeight="1" x14ac:dyDescent="0.3">
      <c r="A30" s="15"/>
      <c r="B30" s="22"/>
      <c r="C30" s="22"/>
      <c r="D30" s="17"/>
      <c r="E30" s="17"/>
      <c r="F30" s="17"/>
      <c r="G30" s="17"/>
      <c r="H30" s="17"/>
      <c r="I30" s="17"/>
      <c r="J30" s="17"/>
      <c r="K30" s="17"/>
      <c r="L30" s="15"/>
    </row>
    <row r="31" spans="1:50" ht="23.1" customHeight="1" x14ac:dyDescent="0.3">
      <c r="A31" s="15"/>
      <c r="B31" s="22"/>
      <c r="C31" s="22"/>
      <c r="D31" s="17"/>
      <c r="E31" s="17"/>
      <c r="F31" s="17"/>
      <c r="G31" s="17"/>
      <c r="H31" s="17"/>
      <c r="I31" s="17"/>
      <c r="J31" s="17"/>
      <c r="K31" s="17"/>
      <c r="L31" s="15"/>
    </row>
    <row r="32" spans="1:50" ht="23.1" customHeight="1" x14ac:dyDescent="0.3">
      <c r="A32" s="15"/>
      <c r="B32" s="22"/>
      <c r="C32" s="22"/>
      <c r="D32" s="17"/>
      <c r="E32" s="17"/>
      <c r="F32" s="17"/>
      <c r="G32" s="17"/>
      <c r="H32" s="17"/>
      <c r="I32" s="17"/>
      <c r="J32" s="17"/>
      <c r="K32" s="17"/>
      <c r="L32" s="15"/>
    </row>
    <row r="33" spans="1:50" ht="23.1" customHeight="1" x14ac:dyDescent="0.3">
      <c r="A33" s="15"/>
      <c r="B33" s="22"/>
      <c r="C33" s="22"/>
      <c r="D33" s="17"/>
      <c r="E33" s="17"/>
      <c r="F33" s="17"/>
      <c r="G33" s="17"/>
      <c r="H33" s="17"/>
      <c r="I33" s="17"/>
      <c r="J33" s="17"/>
      <c r="K33" s="17"/>
      <c r="L33" s="15"/>
    </row>
    <row r="34" spans="1:50" ht="23.1" customHeight="1" x14ac:dyDescent="0.3">
      <c r="A34" s="15"/>
      <c r="B34" s="22"/>
      <c r="C34" s="22"/>
      <c r="D34" s="17"/>
      <c r="E34" s="17"/>
      <c r="F34" s="17"/>
      <c r="G34" s="17"/>
      <c r="H34" s="17"/>
      <c r="I34" s="17"/>
      <c r="J34" s="17"/>
      <c r="K34" s="17"/>
      <c r="L34" s="15"/>
    </row>
    <row r="35" spans="1:50" ht="23.1" customHeight="1" x14ac:dyDescent="0.3">
      <c r="A35" s="15"/>
      <c r="B35" s="22"/>
      <c r="C35" s="22"/>
      <c r="D35" s="17"/>
      <c r="E35" s="17"/>
      <c r="F35" s="17"/>
      <c r="G35" s="17"/>
      <c r="H35" s="17"/>
      <c r="I35" s="17"/>
      <c r="J35" s="17"/>
      <c r="K35" s="17"/>
      <c r="L35" s="15"/>
    </row>
    <row r="36" spans="1:50" ht="23.1" customHeight="1" x14ac:dyDescent="0.3">
      <c r="A36" s="18" t="s">
        <v>231</v>
      </c>
      <c r="B36" s="20"/>
      <c r="C36" s="20"/>
      <c r="D36" s="21"/>
      <c r="E36" s="21">
        <f>SUMIF(P22:P28, "1", E22:E28)</f>
        <v>14567880</v>
      </c>
      <c r="F36" s="21"/>
      <c r="G36" s="21">
        <f>SUMIF(P22:P28, "1", G22:G28)</f>
        <v>13948945</v>
      </c>
      <c r="H36" s="21"/>
      <c r="I36" s="21">
        <f>SUMIF(P22:P28, "1", I22:I28)</f>
        <v>152070</v>
      </c>
      <c r="J36" s="21"/>
      <c r="K36" s="21">
        <f>E36+G36+I36</f>
        <v>28668895</v>
      </c>
      <c r="L36" s="19"/>
      <c r="Q36">
        <f t="shared" ref="Q36:AX36" si="5">SUM(Q22:Q28)</f>
        <v>152070</v>
      </c>
      <c r="R36">
        <f t="shared" si="5"/>
        <v>0</v>
      </c>
      <c r="S36">
        <f t="shared" si="5"/>
        <v>0</v>
      </c>
      <c r="T36">
        <f t="shared" si="5"/>
        <v>0</v>
      </c>
      <c r="U36">
        <f t="shared" si="5"/>
        <v>0</v>
      </c>
      <c r="V36">
        <f t="shared" si="5"/>
        <v>0</v>
      </c>
      <c r="W36">
        <f t="shared" si="5"/>
        <v>284549</v>
      </c>
      <c r="X36">
        <f t="shared" si="5"/>
        <v>0</v>
      </c>
      <c r="Y36">
        <f t="shared" si="5"/>
        <v>0</v>
      </c>
      <c r="Z36">
        <f t="shared" si="5"/>
        <v>0</v>
      </c>
      <c r="AA36">
        <f t="shared" si="5"/>
        <v>0</v>
      </c>
      <c r="AB36">
        <f t="shared" si="5"/>
        <v>0</v>
      </c>
      <c r="AC36">
        <f t="shared" si="5"/>
        <v>0</v>
      </c>
      <c r="AD36">
        <f t="shared" si="5"/>
        <v>0</v>
      </c>
      <c r="AE36">
        <f t="shared" si="5"/>
        <v>0</v>
      </c>
      <c r="AF36">
        <f t="shared" si="5"/>
        <v>0</v>
      </c>
      <c r="AG36">
        <f t="shared" si="5"/>
        <v>0</v>
      </c>
      <c r="AH36">
        <f t="shared" si="5"/>
        <v>0</v>
      </c>
      <c r="AI36">
        <f t="shared" si="5"/>
        <v>0</v>
      </c>
      <c r="AJ36">
        <f t="shared" si="5"/>
        <v>0</v>
      </c>
      <c r="AK36">
        <f t="shared" si="5"/>
        <v>0</v>
      </c>
      <c r="AL36">
        <f t="shared" si="5"/>
        <v>0</v>
      </c>
      <c r="AM36">
        <f t="shared" si="5"/>
        <v>0</v>
      </c>
      <c r="AN36">
        <f t="shared" si="5"/>
        <v>0</v>
      </c>
      <c r="AO36">
        <f t="shared" si="5"/>
        <v>0</v>
      </c>
      <c r="AP36">
        <f t="shared" si="5"/>
        <v>0</v>
      </c>
      <c r="AQ36">
        <f t="shared" si="5"/>
        <v>0</v>
      </c>
      <c r="AR36">
        <f t="shared" si="5"/>
        <v>0</v>
      </c>
      <c r="AS36">
        <f t="shared" si="5"/>
        <v>0</v>
      </c>
      <c r="AT36">
        <f t="shared" si="5"/>
        <v>0</v>
      </c>
      <c r="AU36">
        <f t="shared" si="5"/>
        <v>0</v>
      </c>
      <c r="AV36">
        <f t="shared" si="5"/>
        <v>0</v>
      </c>
      <c r="AW36">
        <f t="shared" si="5"/>
        <v>0</v>
      </c>
      <c r="AX36">
        <f t="shared" si="5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36">
    <cfRule type="containsText" dxfId="13" priority="1" stopIfTrue="1" operator="containsText" text=".">
      <formula>NOT(ISERROR(SEARCH(".",A5)))</formula>
    </cfRule>
    <cfRule type="notContainsText" dxfId="12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scale="99" orientation="landscape" r:id="rId1"/>
  <rowBreaks count="2" manualBreakCount="2">
    <brk id="20" max="16383" man="1"/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AY116"/>
  <sheetViews>
    <sheetView view="pageBreakPreview" zoomScale="60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:M2"/>
    </sheetView>
  </sheetViews>
  <sheetFormatPr defaultRowHeight="16.5" x14ac:dyDescent="0.3"/>
  <cols>
    <col min="1" max="2" width="20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8.625" style="4" customWidth="1"/>
    <col min="14" max="51" width="0" hidden="1" customWidth="1"/>
  </cols>
  <sheetData>
    <row r="1" spans="1:51" ht="30" customHeight="1" x14ac:dyDescent="0.3">
      <c r="A1" s="46" t="s">
        <v>442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51" ht="23.1" customHeight="1" x14ac:dyDescent="0.3">
      <c r="A2" s="47" t="s">
        <v>561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51" ht="23.1" customHeight="1" x14ac:dyDescent="0.3">
      <c r="A3" s="55" t="s">
        <v>443</v>
      </c>
      <c r="B3" s="55" t="s">
        <v>444</v>
      </c>
      <c r="C3" s="55" t="s">
        <v>4</v>
      </c>
      <c r="D3" s="55" t="s">
        <v>200</v>
      </c>
      <c r="E3" s="55" t="s">
        <v>253</v>
      </c>
      <c r="F3" s="55"/>
      <c r="G3" s="55" t="s">
        <v>254</v>
      </c>
      <c r="H3" s="55"/>
      <c r="I3" s="55" t="s">
        <v>255</v>
      </c>
      <c r="J3" s="55"/>
      <c r="K3" s="55" t="s">
        <v>256</v>
      </c>
      <c r="L3" s="55"/>
      <c r="M3" s="55" t="s">
        <v>445</v>
      </c>
    </row>
    <row r="4" spans="1:51" ht="23.1" customHeight="1" x14ac:dyDescent="0.3">
      <c r="A4" s="55"/>
      <c r="B4" s="55"/>
      <c r="C4" s="55"/>
      <c r="D4" s="55"/>
      <c r="E4" s="12" t="s">
        <v>206</v>
      </c>
      <c r="F4" s="12" t="s">
        <v>207</v>
      </c>
      <c r="G4" s="12" t="s">
        <v>206</v>
      </c>
      <c r="H4" s="12" t="s">
        <v>207</v>
      </c>
      <c r="I4" s="12" t="s">
        <v>206</v>
      </c>
      <c r="J4" s="12" t="s">
        <v>207</v>
      </c>
      <c r="K4" s="12" t="s">
        <v>206</v>
      </c>
      <c r="L4" s="12" t="s">
        <v>207</v>
      </c>
      <c r="M4" s="55"/>
      <c r="N4" t="s">
        <v>208</v>
      </c>
      <c r="O4" t="s">
        <v>209</v>
      </c>
      <c r="P4" t="s">
        <v>210</v>
      </c>
      <c r="Q4" t="s">
        <v>211</v>
      </c>
      <c r="R4" t="s">
        <v>219</v>
      </c>
      <c r="S4" t="s">
        <v>446</v>
      </c>
      <c r="T4" t="s">
        <v>447</v>
      </c>
      <c r="U4" t="s">
        <v>448</v>
      </c>
      <c r="V4" t="s">
        <v>449</v>
      </c>
      <c r="W4" t="s">
        <v>450</v>
      </c>
      <c r="X4" t="s">
        <v>451</v>
      </c>
      <c r="Y4" t="s">
        <v>452</v>
      </c>
      <c r="Z4" t="s">
        <v>453</v>
      </c>
      <c r="AA4" t="s">
        <v>454</v>
      </c>
      <c r="AB4" t="s">
        <v>455</v>
      </c>
      <c r="AC4" t="s">
        <v>456</v>
      </c>
      <c r="AD4" t="s">
        <v>457</v>
      </c>
      <c r="AE4" t="s">
        <v>458</v>
      </c>
      <c r="AF4" t="s">
        <v>459</v>
      </c>
      <c r="AG4" t="s">
        <v>460</v>
      </c>
      <c r="AH4" t="s">
        <v>461</v>
      </c>
      <c r="AI4" t="s">
        <v>462</v>
      </c>
      <c r="AJ4" t="s">
        <v>463</v>
      </c>
      <c r="AK4" t="s">
        <v>464</v>
      </c>
      <c r="AL4" t="s">
        <v>465</v>
      </c>
      <c r="AM4" t="s">
        <v>466</v>
      </c>
      <c r="AN4" t="s">
        <v>467</v>
      </c>
      <c r="AO4" t="s">
        <v>468</v>
      </c>
      <c r="AP4" t="s">
        <v>469</v>
      </c>
      <c r="AQ4" t="s">
        <v>470</v>
      </c>
      <c r="AR4" t="s">
        <v>471</v>
      </c>
      <c r="AS4" t="s">
        <v>472</v>
      </c>
      <c r="AT4" t="s">
        <v>473</v>
      </c>
      <c r="AU4" t="s">
        <v>474</v>
      </c>
      <c r="AV4" t="s">
        <v>475</v>
      </c>
      <c r="AW4" t="s">
        <v>212</v>
      </c>
      <c r="AX4" t="s">
        <v>213</v>
      </c>
      <c r="AY4" t="s">
        <v>16</v>
      </c>
    </row>
    <row r="5" spans="1:51" ht="23.1" customHeight="1" x14ac:dyDescent="0.3">
      <c r="A5" s="58" t="s">
        <v>476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</row>
    <row r="6" spans="1:51" ht="23.1" customHeight="1" x14ac:dyDescent="0.3">
      <c r="A6" s="14" t="s">
        <v>381</v>
      </c>
      <c r="B6" s="14" t="s">
        <v>382</v>
      </c>
      <c r="C6" s="16" t="s">
        <v>383</v>
      </c>
      <c r="D6" s="17">
        <v>114</v>
      </c>
      <c r="E6" s="17">
        <f>일위대가목록!G5</f>
        <v>455</v>
      </c>
      <c r="F6" s="17">
        <f>ROUNDDOWN(D6*E6, 0)</f>
        <v>51870</v>
      </c>
      <c r="G6" s="17">
        <f>일위대가목록!I5</f>
        <v>14693</v>
      </c>
      <c r="H6" s="17">
        <f>ROUNDDOWN(D6*G6, 0)</f>
        <v>1675002</v>
      </c>
      <c r="I6" s="17">
        <f>일위대가목록!K5</f>
        <v>0</v>
      </c>
      <c r="J6" s="17">
        <f>ROUNDDOWN(D6*I6, 0)</f>
        <v>0</v>
      </c>
      <c r="K6" s="17">
        <f t="shared" ref="K6:L9" si="0">E6+G6+I6</f>
        <v>15148</v>
      </c>
      <c r="L6" s="17">
        <f t="shared" si="0"/>
        <v>1726872</v>
      </c>
      <c r="M6" s="24" t="s">
        <v>380</v>
      </c>
      <c r="O6" t="str">
        <f>""</f>
        <v/>
      </c>
      <c r="P6" s="1" t="s">
        <v>219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IF(P6="사용자항목6",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  <c r="AY6" s="1" t="s">
        <v>384</v>
      </c>
    </row>
    <row r="7" spans="1:51" ht="23.1" customHeight="1" x14ac:dyDescent="0.3">
      <c r="A7" s="14" t="s">
        <v>381</v>
      </c>
      <c r="B7" s="14" t="s">
        <v>386</v>
      </c>
      <c r="C7" s="16" t="s">
        <v>383</v>
      </c>
      <c r="D7" s="17">
        <v>31</v>
      </c>
      <c r="E7" s="17">
        <f>일위대가목록!G6</f>
        <v>555</v>
      </c>
      <c r="F7" s="17">
        <f>ROUNDDOWN(D7*E7, 0)</f>
        <v>17205</v>
      </c>
      <c r="G7" s="17">
        <f>일위대가목록!I6</f>
        <v>17932</v>
      </c>
      <c r="H7" s="17">
        <f>ROUNDDOWN(D7*G7, 0)</f>
        <v>555892</v>
      </c>
      <c r="I7" s="17">
        <f>일위대가목록!K6</f>
        <v>0</v>
      </c>
      <c r="J7" s="17">
        <f>ROUNDDOWN(D7*I7, 0)</f>
        <v>0</v>
      </c>
      <c r="K7" s="17">
        <f t="shared" si="0"/>
        <v>18487</v>
      </c>
      <c r="L7" s="17">
        <f t="shared" si="0"/>
        <v>573097</v>
      </c>
      <c r="M7" s="24" t="s">
        <v>385</v>
      </c>
      <c r="O7" t="str">
        <f>""</f>
        <v/>
      </c>
      <c r="P7" s="1" t="s">
        <v>219</v>
      </c>
      <c r="Q7">
        <v>1</v>
      </c>
      <c r="R7">
        <f>IF(P7="기계경비", J7, 0)</f>
        <v>0</v>
      </c>
      <c r="S7">
        <f>IF(P7="운반비", L7,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J7,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0</v>
      </c>
      <c r="AC7">
        <f>IF(P7="사용자항목1", L7, 0)</f>
        <v>0</v>
      </c>
      <c r="AD7">
        <f>IF(P7="사용자항목2", L7, 0)</f>
        <v>0</v>
      </c>
      <c r="AE7">
        <f>IF(P7="안전관리비", L7, 0)</f>
        <v>0</v>
      </c>
      <c r="AF7">
        <f>IF(P7="품질관리비", L7, 0)</f>
        <v>0</v>
      </c>
      <c r="AG7">
        <f>IF(P7="작업부산물(철거해체)", L7, 0)</f>
        <v>0</v>
      </c>
      <c r="AH7">
        <f>IF(P7="사용자항목6", L7, 0)</f>
        <v>0</v>
      </c>
      <c r="AI7">
        <f>IF(P7="사용자항목7", L7, 0)</f>
        <v>0</v>
      </c>
      <c r="AJ7">
        <f>IF(P7="사용자항목8", L7, 0)</f>
        <v>0</v>
      </c>
      <c r="AK7">
        <f>IF(P7="사용자항목9", L7, 0)</f>
        <v>0</v>
      </c>
      <c r="AL7">
        <f>IF(P7="사용자항목10", L7, 0)</f>
        <v>0</v>
      </c>
      <c r="AM7">
        <f>IF(P7="사용자항목11", L7, 0)</f>
        <v>0</v>
      </c>
      <c r="AN7">
        <f>IF(P7="사용자항목12",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  <c r="AY7" s="1" t="s">
        <v>384</v>
      </c>
    </row>
    <row r="8" spans="1:51" ht="23.1" customHeight="1" x14ac:dyDescent="0.3">
      <c r="A8" s="14" t="s">
        <v>477</v>
      </c>
      <c r="B8" s="14" t="s">
        <v>389</v>
      </c>
      <c r="C8" s="16" t="s">
        <v>390</v>
      </c>
      <c r="D8" s="17">
        <v>1</v>
      </c>
      <c r="E8" s="17">
        <f>일위대가목록!G7</f>
        <v>16273</v>
      </c>
      <c r="F8" s="17">
        <f>ROUNDDOWN(D8*E8, 0)</f>
        <v>16273</v>
      </c>
      <c r="G8" s="17">
        <f>일위대가목록!I7</f>
        <v>158067</v>
      </c>
      <c r="H8" s="17">
        <f>ROUNDDOWN(D8*G8, 0)</f>
        <v>158067</v>
      </c>
      <c r="I8" s="17">
        <f>일위대가목록!K7</f>
        <v>0</v>
      </c>
      <c r="J8" s="17">
        <f>ROUNDDOWN(D8*I8, 0)</f>
        <v>0</v>
      </c>
      <c r="K8" s="17">
        <f t="shared" si="0"/>
        <v>174340</v>
      </c>
      <c r="L8" s="17">
        <f t="shared" si="0"/>
        <v>174340</v>
      </c>
      <c r="M8" s="24" t="s">
        <v>387</v>
      </c>
      <c r="O8" t="str">
        <f>""</f>
        <v/>
      </c>
      <c r="P8" s="1" t="s">
        <v>219</v>
      </c>
      <c r="Q8">
        <v>1</v>
      </c>
      <c r="R8">
        <f>IF(P8="기계경비", J8, 0)</f>
        <v>0</v>
      </c>
      <c r="S8">
        <f>IF(P8="운반비", L8, 0)</f>
        <v>0</v>
      </c>
      <c r="T8">
        <f>IF(P8="작업부산물", F8, 0)</f>
        <v>0</v>
      </c>
      <c r="U8">
        <f>IF(P8="관급", F8, 0)</f>
        <v>0</v>
      </c>
      <c r="V8">
        <f>IF(P8="외주비", J8, 0)</f>
        <v>0</v>
      </c>
      <c r="W8">
        <f>IF(P8="장비비", J8, 0)</f>
        <v>0</v>
      </c>
      <c r="X8">
        <f>IF(P8="폐기물처리비", L8, 0)</f>
        <v>0</v>
      </c>
      <c r="Y8">
        <f>IF(P8="가설비", J8, 0)</f>
        <v>0</v>
      </c>
      <c r="Z8">
        <f>IF(P8="잡비제외분", F8, 0)</f>
        <v>0</v>
      </c>
      <c r="AA8">
        <f>IF(P8="사급자재대", L8, 0)</f>
        <v>0</v>
      </c>
      <c r="AB8">
        <f>IF(P8="관급자재대", L8, 0)</f>
        <v>0</v>
      </c>
      <c r="AC8">
        <f>IF(P8="사용자항목1", L8, 0)</f>
        <v>0</v>
      </c>
      <c r="AD8">
        <f>IF(P8="사용자항목2", L8, 0)</f>
        <v>0</v>
      </c>
      <c r="AE8">
        <f>IF(P8="안전관리비", L8, 0)</f>
        <v>0</v>
      </c>
      <c r="AF8">
        <f>IF(P8="품질관리비", L8, 0)</f>
        <v>0</v>
      </c>
      <c r="AG8">
        <f>IF(P8="작업부산물(철거해체)", L8, 0)</f>
        <v>0</v>
      </c>
      <c r="AH8">
        <f>IF(P8="사용자항목6", L8, 0)</f>
        <v>0</v>
      </c>
      <c r="AI8">
        <f>IF(P8="사용자항목7", L8, 0)</f>
        <v>0</v>
      </c>
      <c r="AJ8">
        <f>IF(P8="사용자항목8", L8, 0)</f>
        <v>0</v>
      </c>
      <c r="AK8">
        <f>IF(P8="사용자항목9", L8, 0)</f>
        <v>0</v>
      </c>
      <c r="AL8">
        <f>IF(P8="사용자항목10", L8, 0)</f>
        <v>0</v>
      </c>
      <c r="AM8">
        <f>IF(P8="사용자항목11", L8, 0)</f>
        <v>0</v>
      </c>
      <c r="AN8">
        <f>IF(P8="사용자항목12", L8, 0)</f>
        <v>0</v>
      </c>
      <c r="AO8">
        <f>IF(P8="사용자항목13", L8, 0)</f>
        <v>0</v>
      </c>
      <c r="AP8">
        <f>IF(P8="사용자항목14", L8, 0)</f>
        <v>0</v>
      </c>
      <c r="AQ8">
        <f>IF(P8="사용자항목15", L8, 0)</f>
        <v>0</v>
      </c>
      <c r="AR8">
        <f>IF(P8="사용자항목16", L8, 0)</f>
        <v>0</v>
      </c>
      <c r="AS8">
        <f>IF(P8="사용자항목17", L8, 0)</f>
        <v>0</v>
      </c>
      <c r="AT8">
        <f>IF(P8="사용자항목18", L8, 0)</f>
        <v>0</v>
      </c>
      <c r="AU8">
        <f>IF(P8="사용자항목19", L8, 0)</f>
        <v>0</v>
      </c>
    </row>
    <row r="9" spans="1:51" ht="23.1" customHeight="1" x14ac:dyDescent="0.3">
      <c r="A9" s="14" t="s">
        <v>263</v>
      </c>
      <c r="B9" s="14" t="s">
        <v>392</v>
      </c>
      <c r="C9" s="16" t="s">
        <v>34</v>
      </c>
      <c r="D9" s="17">
        <v>89</v>
      </c>
      <c r="E9" s="17">
        <f>일위대가목록!G8</f>
        <v>0</v>
      </c>
      <c r="F9" s="17">
        <f>ROUNDDOWN(D9*E9, 0)</f>
        <v>0</v>
      </c>
      <c r="G9" s="17">
        <f>일위대가목록!I8</f>
        <v>1726</v>
      </c>
      <c r="H9" s="17">
        <f>ROUNDDOWN(D9*G9, 0)</f>
        <v>153614</v>
      </c>
      <c r="I9" s="17">
        <f>일위대가목록!K8</f>
        <v>0</v>
      </c>
      <c r="J9" s="17">
        <f>ROUNDDOWN(D9*I9, 0)</f>
        <v>0</v>
      </c>
      <c r="K9" s="17">
        <f t="shared" si="0"/>
        <v>1726</v>
      </c>
      <c r="L9" s="17">
        <f t="shared" si="0"/>
        <v>153614</v>
      </c>
      <c r="M9" s="24" t="s">
        <v>391</v>
      </c>
      <c r="O9" t="str">
        <f>""</f>
        <v/>
      </c>
      <c r="P9" s="1" t="s">
        <v>219</v>
      </c>
      <c r="Q9">
        <v>1</v>
      </c>
      <c r="R9">
        <f>IF(P9="기계경비", J9, 0)</f>
        <v>0</v>
      </c>
      <c r="S9">
        <f>IF(P9="운반비", L9, 0)</f>
        <v>0</v>
      </c>
      <c r="T9">
        <f>IF(P9="작업부산물", F9, 0)</f>
        <v>0</v>
      </c>
      <c r="U9">
        <f>IF(P9="관급", F9, 0)</f>
        <v>0</v>
      </c>
      <c r="V9">
        <f>IF(P9="외주비", J9, 0)</f>
        <v>0</v>
      </c>
      <c r="W9">
        <f>IF(P9="장비비", J9, 0)</f>
        <v>0</v>
      </c>
      <c r="X9">
        <f>IF(P9="폐기물처리비", L9, 0)</f>
        <v>0</v>
      </c>
      <c r="Y9">
        <f>IF(P9="가설비", J9, 0)</f>
        <v>0</v>
      </c>
      <c r="Z9">
        <f>IF(P9="잡비제외분", F9, 0)</f>
        <v>0</v>
      </c>
      <c r="AA9">
        <f>IF(P9="사급자재대", L9, 0)</f>
        <v>0</v>
      </c>
      <c r="AB9">
        <f>IF(P9="관급자재대", L9, 0)</f>
        <v>0</v>
      </c>
      <c r="AC9">
        <f>IF(P9="사용자항목1", L9, 0)</f>
        <v>0</v>
      </c>
      <c r="AD9">
        <f>IF(P9="사용자항목2", L9, 0)</f>
        <v>0</v>
      </c>
      <c r="AE9">
        <f>IF(P9="안전관리비", L9, 0)</f>
        <v>0</v>
      </c>
      <c r="AF9">
        <f>IF(P9="품질관리비", L9, 0)</f>
        <v>0</v>
      </c>
      <c r="AG9">
        <f>IF(P9="작업부산물(철거해체)", L9, 0)</f>
        <v>0</v>
      </c>
      <c r="AH9">
        <f>IF(P9="사용자항목6", L9, 0)</f>
        <v>0</v>
      </c>
      <c r="AI9">
        <f>IF(P9="사용자항목7", L9, 0)</f>
        <v>0</v>
      </c>
      <c r="AJ9">
        <f>IF(P9="사용자항목8", L9, 0)</f>
        <v>0</v>
      </c>
      <c r="AK9">
        <f>IF(P9="사용자항목9", L9, 0)</f>
        <v>0</v>
      </c>
      <c r="AL9">
        <f>IF(P9="사용자항목10", L9, 0)</f>
        <v>0</v>
      </c>
      <c r="AM9">
        <f>IF(P9="사용자항목11", L9, 0)</f>
        <v>0</v>
      </c>
      <c r="AN9">
        <f>IF(P9="사용자항목12", L9, 0)</f>
        <v>0</v>
      </c>
      <c r="AO9">
        <f>IF(P9="사용자항목13", L9, 0)</f>
        <v>0</v>
      </c>
      <c r="AP9">
        <f>IF(P9="사용자항목14", L9, 0)</f>
        <v>0</v>
      </c>
      <c r="AQ9">
        <f>IF(P9="사용자항목15", L9, 0)</f>
        <v>0</v>
      </c>
      <c r="AR9">
        <f>IF(P9="사용자항목16", L9, 0)</f>
        <v>0</v>
      </c>
      <c r="AS9">
        <f>IF(P9="사용자항목17", L9, 0)</f>
        <v>0</v>
      </c>
      <c r="AT9">
        <f>IF(P9="사용자항목18", L9, 0)</f>
        <v>0</v>
      </c>
      <c r="AU9">
        <f>IF(P9="사용자항목19", L9, 0)</f>
        <v>0</v>
      </c>
      <c r="AY9" s="1" t="s">
        <v>393</v>
      </c>
    </row>
    <row r="10" spans="1:51" ht="23.1" customHeight="1" x14ac:dyDescent="0.3">
      <c r="A10" s="15"/>
      <c r="B10" s="15"/>
      <c r="C10" s="22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51" ht="23.1" customHeight="1" x14ac:dyDescent="0.3">
      <c r="A11" s="15"/>
      <c r="B11" s="15"/>
      <c r="C11" s="22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51" ht="23.1" customHeight="1" x14ac:dyDescent="0.3">
      <c r="A12" s="15"/>
      <c r="B12" s="15"/>
      <c r="C12" s="22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51" ht="23.1" customHeight="1" x14ac:dyDescent="0.3">
      <c r="A13" s="15"/>
      <c r="B13" s="15"/>
      <c r="C13" s="22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51" ht="23.1" customHeight="1" x14ac:dyDescent="0.3">
      <c r="A14" s="15"/>
      <c r="B14" s="15"/>
      <c r="C14" s="22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51" ht="23.1" customHeight="1" x14ac:dyDescent="0.3">
      <c r="A15" s="15"/>
      <c r="B15" s="15"/>
      <c r="C15" s="22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51" ht="23.1" customHeight="1" x14ac:dyDescent="0.3">
      <c r="A16" s="15"/>
      <c r="B16" s="15"/>
      <c r="C16" s="22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51" ht="23.1" customHeight="1" x14ac:dyDescent="0.3">
      <c r="A17" s="15"/>
      <c r="B17" s="15"/>
      <c r="C17" s="22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51" ht="23.1" customHeight="1" x14ac:dyDescent="0.3">
      <c r="A18" s="15"/>
      <c r="B18" s="15"/>
      <c r="C18" s="22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51" ht="23.1" customHeight="1" x14ac:dyDescent="0.3">
      <c r="A19" s="15"/>
      <c r="B19" s="15"/>
      <c r="C19" s="22"/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51" ht="23.1" customHeight="1" x14ac:dyDescent="0.3">
      <c r="A20" s="18" t="s">
        <v>231</v>
      </c>
      <c r="B20" s="19"/>
      <c r="C20" s="20"/>
      <c r="D20" s="21"/>
      <c r="E20" s="21"/>
      <c r="F20" s="21">
        <f>ROUNDDOWN(SUMIF(Q6:Q19, "1", F6:F19), 0)</f>
        <v>85348</v>
      </c>
      <c r="G20" s="21"/>
      <c r="H20" s="21">
        <f>ROUNDDOWN(SUMIF(Q6:Q19, "1", H6:H19), 0)</f>
        <v>2542575</v>
      </c>
      <c r="I20" s="21"/>
      <c r="J20" s="21">
        <f>ROUNDDOWN(SUMIF(Q6:Q19, "1", J6:J19), 0)</f>
        <v>0</v>
      </c>
      <c r="K20" s="21"/>
      <c r="L20" s="21">
        <f>F20+H20+J20</f>
        <v>2627923</v>
      </c>
      <c r="M20" s="21"/>
      <c r="R20">
        <f t="shared" ref="R20:AY20" si="1">ROUNDDOWN(SUM(R6:R9), 0)</f>
        <v>0</v>
      </c>
      <c r="S20">
        <f t="shared" si="1"/>
        <v>0</v>
      </c>
      <c r="T20">
        <f t="shared" si="1"/>
        <v>0</v>
      </c>
      <c r="U20">
        <f t="shared" si="1"/>
        <v>0</v>
      </c>
      <c r="V20">
        <f t="shared" si="1"/>
        <v>0</v>
      </c>
      <c r="W20">
        <f t="shared" si="1"/>
        <v>0</v>
      </c>
      <c r="X20">
        <f t="shared" si="1"/>
        <v>0</v>
      </c>
      <c r="Y20">
        <f t="shared" si="1"/>
        <v>0</v>
      </c>
      <c r="Z20">
        <f t="shared" si="1"/>
        <v>0</v>
      </c>
      <c r="AA20">
        <f t="shared" si="1"/>
        <v>0</v>
      </c>
      <c r="AB20">
        <f t="shared" si="1"/>
        <v>0</v>
      </c>
      <c r="AC20">
        <f t="shared" si="1"/>
        <v>0</v>
      </c>
      <c r="AD20">
        <f t="shared" si="1"/>
        <v>0</v>
      </c>
      <c r="AE20">
        <f t="shared" si="1"/>
        <v>0</v>
      </c>
      <c r="AF20">
        <f t="shared" si="1"/>
        <v>0</v>
      </c>
      <c r="AG20">
        <f t="shared" si="1"/>
        <v>0</v>
      </c>
      <c r="AH20">
        <f t="shared" si="1"/>
        <v>0</v>
      </c>
      <c r="AI20">
        <f t="shared" si="1"/>
        <v>0</v>
      </c>
      <c r="AJ20">
        <f t="shared" si="1"/>
        <v>0</v>
      </c>
      <c r="AK20">
        <f t="shared" si="1"/>
        <v>0</v>
      </c>
      <c r="AL20">
        <f t="shared" si="1"/>
        <v>0</v>
      </c>
      <c r="AM20">
        <f t="shared" si="1"/>
        <v>0</v>
      </c>
      <c r="AN20">
        <f t="shared" si="1"/>
        <v>0</v>
      </c>
      <c r="AO20">
        <f t="shared" si="1"/>
        <v>0</v>
      </c>
      <c r="AP20">
        <f t="shared" si="1"/>
        <v>0</v>
      </c>
      <c r="AQ20">
        <f t="shared" si="1"/>
        <v>0</v>
      </c>
      <c r="AR20">
        <f t="shared" si="1"/>
        <v>0</v>
      </c>
      <c r="AS20">
        <f t="shared" si="1"/>
        <v>0</v>
      </c>
      <c r="AT20">
        <f t="shared" si="1"/>
        <v>0</v>
      </c>
      <c r="AU20">
        <f t="shared" si="1"/>
        <v>0</v>
      </c>
      <c r="AV20">
        <f t="shared" si="1"/>
        <v>0</v>
      </c>
      <c r="AW20">
        <f t="shared" si="1"/>
        <v>0</v>
      </c>
      <c r="AX20">
        <f t="shared" si="1"/>
        <v>0</v>
      </c>
      <c r="AY20">
        <f t="shared" si="1"/>
        <v>0</v>
      </c>
    </row>
    <row r="21" spans="1:51" ht="23.1" customHeight="1" x14ac:dyDescent="0.3">
      <c r="A21" s="56" t="s">
        <v>478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</row>
    <row r="22" spans="1:51" ht="23.1" customHeight="1" x14ac:dyDescent="0.3">
      <c r="A22" s="14" t="s">
        <v>112</v>
      </c>
      <c r="B22" s="14" t="s">
        <v>113</v>
      </c>
      <c r="C22" s="16" t="s">
        <v>114</v>
      </c>
      <c r="D22" s="17">
        <v>42</v>
      </c>
      <c r="E22" s="17">
        <f>단가대비표!O30</f>
        <v>9360</v>
      </c>
      <c r="F22" s="17">
        <f t="shared" ref="F22:F27" si="2">ROUNDDOWN(D22*E22, 0)</f>
        <v>393120</v>
      </c>
      <c r="G22" s="17">
        <v>0</v>
      </c>
      <c r="H22" s="17">
        <f t="shared" ref="H22:H27" si="3">ROUNDDOWN(D22*G22, 0)</f>
        <v>0</v>
      </c>
      <c r="I22" s="17">
        <v>0</v>
      </c>
      <c r="J22" s="17">
        <f t="shared" ref="J22:J27" si="4">ROUNDDOWN(D22*I22, 0)</f>
        <v>0</v>
      </c>
      <c r="K22" s="17">
        <f t="shared" ref="K22:L27" si="5">E22+G22+I22</f>
        <v>9360</v>
      </c>
      <c r="L22" s="17">
        <f t="shared" si="5"/>
        <v>393120</v>
      </c>
      <c r="M22" s="24" t="s">
        <v>119</v>
      </c>
      <c r="O22" t="str">
        <f>"01"</f>
        <v>01</v>
      </c>
      <c r="P22" s="1" t="s">
        <v>219</v>
      </c>
      <c r="Q22">
        <v>1</v>
      </c>
      <c r="R22">
        <f t="shared" ref="R22:R27" si="6">IF(P22="기계경비", J22, 0)</f>
        <v>0</v>
      </c>
      <c r="S22">
        <f t="shared" ref="S22:S27" si="7">IF(P22="운반비", L22, 0)</f>
        <v>0</v>
      </c>
      <c r="T22">
        <f t="shared" ref="T22:T27" si="8">IF(P22="작업부산물", F22, 0)</f>
        <v>0</v>
      </c>
      <c r="U22">
        <f t="shared" ref="U22:U27" si="9">IF(P22="관급", F22, 0)</f>
        <v>0</v>
      </c>
      <c r="V22">
        <f t="shared" ref="V22:V27" si="10">IF(P22="외주비", J22, 0)</f>
        <v>0</v>
      </c>
      <c r="W22">
        <f t="shared" ref="W22:W27" si="11">IF(P22="장비비", J22, 0)</f>
        <v>0</v>
      </c>
      <c r="X22">
        <f t="shared" ref="X22:X27" si="12">IF(P22="폐기물처리비", L22, 0)</f>
        <v>0</v>
      </c>
      <c r="Y22">
        <f t="shared" ref="Y22:Y27" si="13">IF(P22="가설비", J22, 0)</f>
        <v>0</v>
      </c>
      <c r="Z22">
        <f t="shared" ref="Z22:Z27" si="14">IF(P22="잡비제외분", F22, 0)</f>
        <v>0</v>
      </c>
      <c r="AA22">
        <f t="shared" ref="AA22:AA27" si="15">IF(P22="사급자재대", L22, 0)</f>
        <v>0</v>
      </c>
      <c r="AB22">
        <f t="shared" ref="AB22:AB27" si="16">IF(P22="관급자재대", L22, 0)</f>
        <v>0</v>
      </c>
      <c r="AC22">
        <f t="shared" ref="AC22:AC27" si="17">IF(P22="사용자항목1", L22, 0)</f>
        <v>0</v>
      </c>
      <c r="AD22">
        <f t="shared" ref="AD22:AD27" si="18">IF(P22="사용자항목2", L22, 0)</f>
        <v>0</v>
      </c>
      <c r="AE22">
        <f t="shared" ref="AE22:AE27" si="19">IF(P22="안전관리비", L22, 0)</f>
        <v>0</v>
      </c>
      <c r="AF22">
        <f t="shared" ref="AF22:AF27" si="20">IF(P22="품질관리비", L22, 0)</f>
        <v>0</v>
      </c>
      <c r="AG22">
        <f t="shared" ref="AG22:AG27" si="21">IF(P22="작업부산물(철거해체)", L22, 0)</f>
        <v>0</v>
      </c>
      <c r="AH22">
        <f t="shared" ref="AH22:AH27" si="22">IF(P22="사용자항목6", L22, 0)</f>
        <v>0</v>
      </c>
      <c r="AI22">
        <f t="shared" ref="AI22:AI27" si="23">IF(P22="사용자항목7", L22, 0)</f>
        <v>0</v>
      </c>
      <c r="AJ22">
        <f t="shared" ref="AJ22:AJ27" si="24">IF(P22="사용자항목8", L22, 0)</f>
        <v>0</v>
      </c>
      <c r="AK22">
        <f t="shared" ref="AK22:AK27" si="25">IF(P22="사용자항목9", L22, 0)</f>
        <v>0</v>
      </c>
      <c r="AL22">
        <f t="shared" ref="AL22:AL27" si="26">IF(P22="사용자항목10", L22, 0)</f>
        <v>0</v>
      </c>
      <c r="AM22">
        <f t="shared" ref="AM22:AM27" si="27">IF(P22="사용자항목11", L22, 0)</f>
        <v>0</v>
      </c>
      <c r="AN22">
        <f t="shared" ref="AN22:AN27" si="28">IF(P22="사용자항목12", L22, 0)</f>
        <v>0</v>
      </c>
      <c r="AO22">
        <f t="shared" ref="AO22:AO27" si="29">IF(P22="사용자항목13", L22, 0)</f>
        <v>0</v>
      </c>
      <c r="AP22">
        <f t="shared" ref="AP22:AP27" si="30">IF(P22="사용자항목14", L22, 0)</f>
        <v>0</v>
      </c>
      <c r="AQ22">
        <f t="shared" ref="AQ22:AQ27" si="31">IF(P22="사용자항목15", L22, 0)</f>
        <v>0</v>
      </c>
      <c r="AR22">
        <f t="shared" ref="AR22:AR27" si="32">IF(P22="사용자항목16", L22, 0)</f>
        <v>0</v>
      </c>
      <c r="AS22">
        <f t="shared" ref="AS22:AS27" si="33">IF(P22="사용자항목17", L22, 0)</f>
        <v>0</v>
      </c>
      <c r="AT22">
        <f t="shared" ref="AT22:AT27" si="34">IF(P22="사용자항목18", L22, 0)</f>
        <v>0</v>
      </c>
      <c r="AU22">
        <f t="shared" ref="AU22:AU27" si="35">IF(P22="사용자항목19", L22, 0)</f>
        <v>0</v>
      </c>
    </row>
    <row r="23" spans="1:51" ht="23.1" customHeight="1" x14ac:dyDescent="0.3">
      <c r="A23" s="14" t="s">
        <v>395</v>
      </c>
      <c r="B23" s="14" t="s">
        <v>396</v>
      </c>
      <c r="C23" s="16" t="s">
        <v>397</v>
      </c>
      <c r="D23" s="17">
        <v>0.28000000000000003</v>
      </c>
      <c r="E23" s="17">
        <f>일위대가목록!G9</f>
        <v>432376</v>
      </c>
      <c r="F23" s="17">
        <f t="shared" si="2"/>
        <v>121065</v>
      </c>
      <c r="G23" s="17">
        <f>일위대가목록!I9</f>
        <v>5404703</v>
      </c>
      <c r="H23" s="17">
        <f t="shared" si="3"/>
        <v>1513316</v>
      </c>
      <c r="I23" s="17">
        <f>일위대가목록!K9</f>
        <v>0</v>
      </c>
      <c r="J23" s="17">
        <f t="shared" si="4"/>
        <v>0</v>
      </c>
      <c r="K23" s="17">
        <f t="shared" si="5"/>
        <v>5837079</v>
      </c>
      <c r="L23" s="17">
        <f t="shared" si="5"/>
        <v>1634381</v>
      </c>
      <c r="M23" s="24" t="s">
        <v>394</v>
      </c>
      <c r="O23" t="str">
        <f>""</f>
        <v/>
      </c>
      <c r="P23" s="1" t="s">
        <v>219</v>
      </c>
      <c r="Q23">
        <v>1</v>
      </c>
      <c r="R23">
        <f t="shared" si="6"/>
        <v>0</v>
      </c>
      <c r="S23">
        <f t="shared" si="7"/>
        <v>0</v>
      </c>
      <c r="T23">
        <f t="shared" si="8"/>
        <v>0</v>
      </c>
      <c r="U23">
        <f t="shared" si="9"/>
        <v>0</v>
      </c>
      <c r="V23">
        <f t="shared" si="10"/>
        <v>0</v>
      </c>
      <c r="W23">
        <f t="shared" si="11"/>
        <v>0</v>
      </c>
      <c r="X23">
        <f t="shared" si="12"/>
        <v>0</v>
      </c>
      <c r="Y23">
        <f t="shared" si="13"/>
        <v>0</v>
      </c>
      <c r="Z23">
        <f t="shared" si="14"/>
        <v>0</v>
      </c>
      <c r="AA23">
        <f t="shared" si="15"/>
        <v>0</v>
      </c>
      <c r="AB23">
        <f t="shared" si="16"/>
        <v>0</v>
      </c>
      <c r="AC23">
        <f t="shared" si="17"/>
        <v>0</v>
      </c>
      <c r="AD23">
        <f t="shared" si="18"/>
        <v>0</v>
      </c>
      <c r="AE23">
        <f t="shared" si="19"/>
        <v>0</v>
      </c>
      <c r="AF23">
        <f t="shared" si="20"/>
        <v>0</v>
      </c>
      <c r="AG23">
        <f t="shared" si="21"/>
        <v>0</v>
      </c>
      <c r="AH23">
        <f t="shared" si="22"/>
        <v>0</v>
      </c>
      <c r="AI23">
        <f t="shared" si="23"/>
        <v>0</v>
      </c>
      <c r="AJ23">
        <f t="shared" si="24"/>
        <v>0</v>
      </c>
      <c r="AK23">
        <f t="shared" si="25"/>
        <v>0</v>
      </c>
      <c r="AL23">
        <f t="shared" si="26"/>
        <v>0</v>
      </c>
      <c r="AM23">
        <f t="shared" si="27"/>
        <v>0</v>
      </c>
      <c r="AN23">
        <f t="shared" si="28"/>
        <v>0</v>
      </c>
      <c r="AO23">
        <f t="shared" si="29"/>
        <v>0</v>
      </c>
      <c r="AP23">
        <f t="shared" si="30"/>
        <v>0</v>
      </c>
      <c r="AQ23">
        <f t="shared" si="31"/>
        <v>0</v>
      </c>
      <c r="AR23">
        <f t="shared" si="32"/>
        <v>0</v>
      </c>
      <c r="AS23">
        <f t="shared" si="33"/>
        <v>0</v>
      </c>
      <c r="AT23">
        <f t="shared" si="34"/>
        <v>0</v>
      </c>
      <c r="AU23">
        <f t="shared" si="35"/>
        <v>0</v>
      </c>
      <c r="AY23" s="1" t="s">
        <v>398</v>
      </c>
    </row>
    <row r="24" spans="1:51" ht="23.1" customHeight="1" x14ac:dyDescent="0.3">
      <c r="A24" s="14" t="s">
        <v>400</v>
      </c>
      <c r="B24" s="14" t="s">
        <v>401</v>
      </c>
      <c r="C24" s="16" t="s">
        <v>34</v>
      </c>
      <c r="D24" s="17">
        <v>12</v>
      </c>
      <c r="E24" s="17">
        <f>일위대가목록!G10</f>
        <v>795</v>
      </c>
      <c r="F24" s="17">
        <f t="shared" si="2"/>
        <v>9540</v>
      </c>
      <c r="G24" s="17">
        <f>일위대가목록!I10</f>
        <v>948</v>
      </c>
      <c r="H24" s="17">
        <f t="shared" si="3"/>
        <v>11376</v>
      </c>
      <c r="I24" s="17">
        <f>일위대가목록!K10</f>
        <v>0</v>
      </c>
      <c r="J24" s="17">
        <f t="shared" si="4"/>
        <v>0</v>
      </c>
      <c r="K24" s="17">
        <f t="shared" si="5"/>
        <v>1743</v>
      </c>
      <c r="L24" s="17">
        <f t="shared" si="5"/>
        <v>20916</v>
      </c>
      <c r="M24" s="24" t="s">
        <v>399</v>
      </c>
      <c r="O24" t="str">
        <f>""</f>
        <v/>
      </c>
      <c r="P24" s="1" t="s">
        <v>219</v>
      </c>
      <c r="Q24">
        <v>1</v>
      </c>
      <c r="R24">
        <f t="shared" si="6"/>
        <v>0</v>
      </c>
      <c r="S24">
        <f t="shared" si="7"/>
        <v>0</v>
      </c>
      <c r="T24">
        <f t="shared" si="8"/>
        <v>0</v>
      </c>
      <c r="U24">
        <f t="shared" si="9"/>
        <v>0</v>
      </c>
      <c r="V24">
        <f t="shared" si="10"/>
        <v>0</v>
      </c>
      <c r="W24">
        <f t="shared" si="11"/>
        <v>0</v>
      </c>
      <c r="X24">
        <f t="shared" si="12"/>
        <v>0</v>
      </c>
      <c r="Y24">
        <f t="shared" si="13"/>
        <v>0</v>
      </c>
      <c r="Z24">
        <f t="shared" si="14"/>
        <v>0</v>
      </c>
      <c r="AA24">
        <f t="shared" si="15"/>
        <v>0</v>
      </c>
      <c r="AB24">
        <f t="shared" si="16"/>
        <v>0</v>
      </c>
      <c r="AC24">
        <f t="shared" si="17"/>
        <v>0</v>
      </c>
      <c r="AD24">
        <f t="shared" si="18"/>
        <v>0</v>
      </c>
      <c r="AE24">
        <f t="shared" si="19"/>
        <v>0</v>
      </c>
      <c r="AF24">
        <f t="shared" si="20"/>
        <v>0</v>
      </c>
      <c r="AG24">
        <f t="shared" si="21"/>
        <v>0</v>
      </c>
      <c r="AH24">
        <f t="shared" si="22"/>
        <v>0</v>
      </c>
      <c r="AI24">
        <f t="shared" si="23"/>
        <v>0</v>
      </c>
      <c r="AJ24">
        <f t="shared" si="24"/>
        <v>0</v>
      </c>
      <c r="AK24">
        <f t="shared" si="25"/>
        <v>0</v>
      </c>
      <c r="AL24">
        <f t="shared" si="26"/>
        <v>0</v>
      </c>
      <c r="AM24">
        <f t="shared" si="27"/>
        <v>0</v>
      </c>
      <c r="AN24">
        <f t="shared" si="28"/>
        <v>0</v>
      </c>
      <c r="AO24">
        <f t="shared" si="29"/>
        <v>0</v>
      </c>
      <c r="AP24">
        <f t="shared" si="30"/>
        <v>0</v>
      </c>
      <c r="AQ24">
        <f t="shared" si="31"/>
        <v>0</v>
      </c>
      <c r="AR24">
        <f t="shared" si="32"/>
        <v>0</v>
      </c>
      <c r="AS24">
        <f t="shared" si="33"/>
        <v>0</v>
      </c>
      <c r="AT24">
        <f t="shared" si="34"/>
        <v>0</v>
      </c>
      <c r="AU24">
        <f t="shared" si="35"/>
        <v>0</v>
      </c>
    </row>
    <row r="25" spans="1:51" ht="23.1" customHeight="1" x14ac:dyDescent="0.3">
      <c r="A25" s="14" t="s">
        <v>403</v>
      </c>
      <c r="B25" s="14" t="s">
        <v>404</v>
      </c>
      <c r="C25" s="16" t="s">
        <v>34</v>
      </c>
      <c r="D25" s="17">
        <v>64</v>
      </c>
      <c r="E25" s="17">
        <f>일위대가목록!G11</f>
        <v>12548</v>
      </c>
      <c r="F25" s="17">
        <f t="shared" si="2"/>
        <v>803072</v>
      </c>
      <c r="G25" s="17">
        <f>일위대가목록!I11</f>
        <v>8423</v>
      </c>
      <c r="H25" s="17">
        <f t="shared" si="3"/>
        <v>539072</v>
      </c>
      <c r="I25" s="17">
        <f>일위대가목록!K11</f>
        <v>336</v>
      </c>
      <c r="J25" s="17">
        <f t="shared" si="4"/>
        <v>21504</v>
      </c>
      <c r="K25" s="17">
        <f t="shared" si="5"/>
        <v>21307</v>
      </c>
      <c r="L25" s="17">
        <f t="shared" si="5"/>
        <v>1363648</v>
      </c>
      <c r="M25" s="24" t="s">
        <v>402</v>
      </c>
      <c r="O25" t="str">
        <f>""</f>
        <v/>
      </c>
      <c r="P25" s="1" t="s">
        <v>219</v>
      </c>
      <c r="Q25">
        <v>1</v>
      </c>
      <c r="R25">
        <f t="shared" si="6"/>
        <v>21504</v>
      </c>
      <c r="S25">
        <f t="shared" si="7"/>
        <v>0</v>
      </c>
      <c r="T25">
        <f t="shared" si="8"/>
        <v>0</v>
      </c>
      <c r="U25">
        <f t="shared" si="9"/>
        <v>0</v>
      </c>
      <c r="V25">
        <f t="shared" si="10"/>
        <v>0</v>
      </c>
      <c r="W25">
        <f t="shared" si="11"/>
        <v>0</v>
      </c>
      <c r="X25">
        <f t="shared" si="12"/>
        <v>0</v>
      </c>
      <c r="Y25">
        <f t="shared" si="13"/>
        <v>0</v>
      </c>
      <c r="Z25">
        <f t="shared" si="14"/>
        <v>0</v>
      </c>
      <c r="AA25">
        <f t="shared" si="15"/>
        <v>0</v>
      </c>
      <c r="AB25">
        <f t="shared" si="16"/>
        <v>0</v>
      </c>
      <c r="AC25">
        <f t="shared" si="17"/>
        <v>0</v>
      </c>
      <c r="AD25">
        <f t="shared" si="18"/>
        <v>0</v>
      </c>
      <c r="AE25">
        <f t="shared" si="19"/>
        <v>0</v>
      </c>
      <c r="AF25">
        <f t="shared" si="20"/>
        <v>0</v>
      </c>
      <c r="AG25">
        <f t="shared" si="21"/>
        <v>0</v>
      </c>
      <c r="AH25">
        <f t="shared" si="22"/>
        <v>0</v>
      </c>
      <c r="AI25">
        <f t="shared" si="23"/>
        <v>0</v>
      </c>
      <c r="AJ25">
        <f t="shared" si="24"/>
        <v>0</v>
      </c>
      <c r="AK25">
        <f t="shared" si="25"/>
        <v>0</v>
      </c>
      <c r="AL25">
        <f t="shared" si="26"/>
        <v>0</v>
      </c>
      <c r="AM25">
        <f t="shared" si="27"/>
        <v>0</v>
      </c>
      <c r="AN25">
        <f t="shared" si="28"/>
        <v>0</v>
      </c>
      <c r="AO25">
        <f t="shared" si="29"/>
        <v>0</v>
      </c>
      <c r="AP25">
        <f t="shared" si="30"/>
        <v>0</v>
      </c>
      <c r="AQ25">
        <f t="shared" si="31"/>
        <v>0</v>
      </c>
      <c r="AR25">
        <f t="shared" si="32"/>
        <v>0</v>
      </c>
      <c r="AS25">
        <f t="shared" si="33"/>
        <v>0</v>
      </c>
      <c r="AT25">
        <f t="shared" si="34"/>
        <v>0</v>
      </c>
      <c r="AU25">
        <f t="shared" si="35"/>
        <v>0</v>
      </c>
      <c r="AY25" s="1" t="s">
        <v>393</v>
      </c>
    </row>
    <row r="26" spans="1:51" ht="23.1" customHeight="1" x14ac:dyDescent="0.3">
      <c r="A26" s="14" t="s">
        <v>406</v>
      </c>
      <c r="B26" s="14" t="s">
        <v>407</v>
      </c>
      <c r="C26" s="16" t="s">
        <v>34</v>
      </c>
      <c r="D26" s="17">
        <v>64</v>
      </c>
      <c r="E26" s="17">
        <f>일위대가목록!G12</f>
        <v>10239</v>
      </c>
      <c r="F26" s="17">
        <f t="shared" si="2"/>
        <v>655296</v>
      </c>
      <c r="G26" s="17">
        <f>일위대가목록!I12</f>
        <v>19170</v>
      </c>
      <c r="H26" s="17">
        <f t="shared" si="3"/>
        <v>1226880</v>
      </c>
      <c r="I26" s="17">
        <f>일위대가목록!K12</f>
        <v>575</v>
      </c>
      <c r="J26" s="17">
        <f t="shared" si="4"/>
        <v>36800</v>
      </c>
      <c r="K26" s="17">
        <f t="shared" si="5"/>
        <v>29984</v>
      </c>
      <c r="L26" s="17">
        <f t="shared" si="5"/>
        <v>1918976</v>
      </c>
      <c r="M26" s="24" t="s">
        <v>405</v>
      </c>
      <c r="O26" t="str">
        <f>""</f>
        <v/>
      </c>
      <c r="P26" s="1" t="s">
        <v>219</v>
      </c>
      <c r="Q26">
        <v>1</v>
      </c>
      <c r="R26">
        <f t="shared" si="6"/>
        <v>36800</v>
      </c>
      <c r="S26">
        <f t="shared" si="7"/>
        <v>0</v>
      </c>
      <c r="T26">
        <f t="shared" si="8"/>
        <v>0</v>
      </c>
      <c r="U26">
        <f t="shared" si="9"/>
        <v>0</v>
      </c>
      <c r="V26">
        <f t="shared" si="10"/>
        <v>0</v>
      </c>
      <c r="W26">
        <f t="shared" si="11"/>
        <v>0</v>
      </c>
      <c r="X26">
        <f t="shared" si="12"/>
        <v>0</v>
      </c>
      <c r="Y26">
        <f t="shared" si="13"/>
        <v>0</v>
      </c>
      <c r="Z26">
        <f t="shared" si="14"/>
        <v>0</v>
      </c>
      <c r="AA26">
        <f t="shared" si="15"/>
        <v>0</v>
      </c>
      <c r="AB26">
        <f t="shared" si="16"/>
        <v>0</v>
      </c>
      <c r="AC26">
        <f t="shared" si="17"/>
        <v>0</v>
      </c>
      <c r="AD26">
        <f t="shared" si="18"/>
        <v>0</v>
      </c>
      <c r="AE26">
        <f t="shared" si="19"/>
        <v>0</v>
      </c>
      <c r="AF26">
        <f t="shared" si="20"/>
        <v>0</v>
      </c>
      <c r="AG26">
        <f t="shared" si="21"/>
        <v>0</v>
      </c>
      <c r="AH26">
        <f t="shared" si="22"/>
        <v>0</v>
      </c>
      <c r="AI26">
        <f t="shared" si="23"/>
        <v>0</v>
      </c>
      <c r="AJ26">
        <f t="shared" si="24"/>
        <v>0</v>
      </c>
      <c r="AK26">
        <f t="shared" si="25"/>
        <v>0</v>
      </c>
      <c r="AL26">
        <f t="shared" si="26"/>
        <v>0</v>
      </c>
      <c r="AM26">
        <f t="shared" si="27"/>
        <v>0</v>
      </c>
      <c r="AN26">
        <f t="shared" si="28"/>
        <v>0</v>
      </c>
      <c r="AO26">
        <f t="shared" si="29"/>
        <v>0</v>
      </c>
      <c r="AP26">
        <f t="shared" si="30"/>
        <v>0</v>
      </c>
      <c r="AQ26">
        <f t="shared" si="31"/>
        <v>0</v>
      </c>
      <c r="AR26">
        <f t="shared" si="32"/>
        <v>0</v>
      </c>
      <c r="AS26">
        <f t="shared" si="33"/>
        <v>0</v>
      </c>
      <c r="AT26">
        <f t="shared" si="34"/>
        <v>0</v>
      </c>
      <c r="AU26">
        <f t="shared" si="35"/>
        <v>0</v>
      </c>
    </row>
    <row r="27" spans="1:51" ht="23.1" customHeight="1" x14ac:dyDescent="0.3">
      <c r="A27" s="14" t="s">
        <v>289</v>
      </c>
      <c r="B27" s="14" t="s">
        <v>409</v>
      </c>
      <c r="C27" s="16" t="s">
        <v>34</v>
      </c>
      <c r="D27" s="17">
        <v>64</v>
      </c>
      <c r="E27" s="17">
        <f>일위대가목록!G13</f>
        <v>24000</v>
      </c>
      <c r="F27" s="17">
        <f t="shared" si="2"/>
        <v>1536000</v>
      </c>
      <c r="G27" s="17">
        <f>일위대가목록!I13</f>
        <v>17586</v>
      </c>
      <c r="H27" s="17">
        <f t="shared" si="3"/>
        <v>1125504</v>
      </c>
      <c r="I27" s="17">
        <f>일위대가목록!K13</f>
        <v>351</v>
      </c>
      <c r="J27" s="17">
        <f t="shared" si="4"/>
        <v>22464</v>
      </c>
      <c r="K27" s="17">
        <f t="shared" si="5"/>
        <v>41937</v>
      </c>
      <c r="L27" s="17">
        <f t="shared" si="5"/>
        <v>2683968</v>
      </c>
      <c r="M27" s="24" t="s">
        <v>408</v>
      </c>
      <c r="O27" t="str">
        <f>""</f>
        <v/>
      </c>
      <c r="P27" s="1" t="s">
        <v>219</v>
      </c>
      <c r="Q27">
        <v>1</v>
      </c>
      <c r="R27">
        <f t="shared" si="6"/>
        <v>22464</v>
      </c>
      <c r="S27">
        <f t="shared" si="7"/>
        <v>0</v>
      </c>
      <c r="T27">
        <f t="shared" si="8"/>
        <v>0</v>
      </c>
      <c r="U27">
        <f t="shared" si="9"/>
        <v>0</v>
      </c>
      <c r="V27">
        <f t="shared" si="10"/>
        <v>0</v>
      </c>
      <c r="W27">
        <f t="shared" si="11"/>
        <v>0</v>
      </c>
      <c r="X27">
        <f t="shared" si="12"/>
        <v>0</v>
      </c>
      <c r="Y27">
        <f t="shared" si="13"/>
        <v>0</v>
      </c>
      <c r="Z27">
        <f t="shared" si="14"/>
        <v>0</v>
      </c>
      <c r="AA27">
        <f t="shared" si="15"/>
        <v>0</v>
      </c>
      <c r="AB27">
        <f t="shared" si="16"/>
        <v>0</v>
      </c>
      <c r="AC27">
        <f t="shared" si="17"/>
        <v>0</v>
      </c>
      <c r="AD27">
        <f t="shared" si="18"/>
        <v>0</v>
      </c>
      <c r="AE27">
        <f t="shared" si="19"/>
        <v>0</v>
      </c>
      <c r="AF27">
        <f t="shared" si="20"/>
        <v>0</v>
      </c>
      <c r="AG27">
        <f t="shared" si="21"/>
        <v>0</v>
      </c>
      <c r="AH27">
        <f t="shared" si="22"/>
        <v>0</v>
      </c>
      <c r="AI27">
        <f t="shared" si="23"/>
        <v>0</v>
      </c>
      <c r="AJ27">
        <f t="shared" si="24"/>
        <v>0</v>
      </c>
      <c r="AK27">
        <f t="shared" si="25"/>
        <v>0</v>
      </c>
      <c r="AL27">
        <f t="shared" si="26"/>
        <v>0</v>
      </c>
      <c r="AM27">
        <f t="shared" si="27"/>
        <v>0</v>
      </c>
      <c r="AN27">
        <f t="shared" si="28"/>
        <v>0</v>
      </c>
      <c r="AO27">
        <f t="shared" si="29"/>
        <v>0</v>
      </c>
      <c r="AP27">
        <f t="shared" si="30"/>
        <v>0</v>
      </c>
      <c r="AQ27">
        <f t="shared" si="31"/>
        <v>0</v>
      </c>
      <c r="AR27">
        <f t="shared" si="32"/>
        <v>0</v>
      </c>
      <c r="AS27">
        <f t="shared" si="33"/>
        <v>0</v>
      </c>
      <c r="AT27">
        <f t="shared" si="34"/>
        <v>0</v>
      </c>
      <c r="AU27">
        <f t="shared" si="35"/>
        <v>0</v>
      </c>
    </row>
    <row r="28" spans="1:51" ht="23.1" customHeight="1" x14ac:dyDescent="0.3">
      <c r="A28" s="15"/>
      <c r="B28" s="15"/>
      <c r="C28" s="22"/>
      <c r="D28" s="17"/>
      <c r="E28" s="17"/>
      <c r="F28" s="17"/>
      <c r="G28" s="17"/>
      <c r="H28" s="17"/>
      <c r="I28" s="17"/>
      <c r="J28" s="17"/>
      <c r="K28" s="17"/>
      <c r="L28" s="17"/>
      <c r="M28" s="17"/>
    </row>
    <row r="29" spans="1:51" ht="23.1" customHeight="1" x14ac:dyDescent="0.3">
      <c r="A29" s="15"/>
      <c r="B29" s="15"/>
      <c r="C29" s="22"/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 spans="1:51" ht="23.1" customHeight="1" x14ac:dyDescent="0.3">
      <c r="A30" s="15"/>
      <c r="B30" s="15"/>
      <c r="C30" s="22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51" ht="23.1" customHeight="1" x14ac:dyDescent="0.3">
      <c r="A31" s="15"/>
      <c r="B31" s="15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</row>
    <row r="32" spans="1:51" ht="23.1" customHeight="1" x14ac:dyDescent="0.3">
      <c r="A32" s="15"/>
      <c r="B32" s="15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3" spans="1:51" ht="23.1" customHeight="1" x14ac:dyDescent="0.3">
      <c r="A33" s="15"/>
      <c r="B33" s="15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</row>
    <row r="34" spans="1:51" ht="23.1" customHeight="1" x14ac:dyDescent="0.3">
      <c r="A34" s="15"/>
      <c r="B34" s="15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</row>
    <row r="35" spans="1:51" ht="23.1" customHeight="1" x14ac:dyDescent="0.3">
      <c r="A35" s="15"/>
      <c r="B35" s="15"/>
      <c r="C35" s="22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51" ht="23.1" customHeight="1" x14ac:dyDescent="0.3">
      <c r="A36" s="18" t="s">
        <v>231</v>
      </c>
      <c r="B36" s="19"/>
      <c r="C36" s="20"/>
      <c r="D36" s="21"/>
      <c r="E36" s="21"/>
      <c r="F36" s="21">
        <f>ROUNDDOWN(SUMIF(Q22:Q35, "1", F22:F35), 0)</f>
        <v>3518093</v>
      </c>
      <c r="G36" s="21"/>
      <c r="H36" s="21">
        <f>ROUNDDOWN(SUMIF(Q22:Q35, "1", H22:H35), 0)</f>
        <v>4416148</v>
      </c>
      <c r="I36" s="21"/>
      <c r="J36" s="21">
        <f>ROUNDDOWN(SUMIF(Q22:Q35, "1", J22:J35), 0)</f>
        <v>80768</v>
      </c>
      <c r="K36" s="21"/>
      <c r="L36" s="21">
        <f>F36+H36+J36</f>
        <v>8015009</v>
      </c>
      <c r="M36" s="21"/>
      <c r="R36">
        <f t="shared" ref="R36:AY36" si="36">ROUNDDOWN(SUM(R22:R27), 0)</f>
        <v>80768</v>
      </c>
      <c r="S36">
        <f t="shared" si="36"/>
        <v>0</v>
      </c>
      <c r="T36">
        <f t="shared" si="36"/>
        <v>0</v>
      </c>
      <c r="U36">
        <f t="shared" si="36"/>
        <v>0</v>
      </c>
      <c r="V36">
        <f t="shared" si="36"/>
        <v>0</v>
      </c>
      <c r="W36">
        <f t="shared" si="36"/>
        <v>0</v>
      </c>
      <c r="X36">
        <f t="shared" si="36"/>
        <v>0</v>
      </c>
      <c r="Y36">
        <f t="shared" si="36"/>
        <v>0</v>
      </c>
      <c r="Z36">
        <f t="shared" si="36"/>
        <v>0</v>
      </c>
      <c r="AA36">
        <f t="shared" si="36"/>
        <v>0</v>
      </c>
      <c r="AB36">
        <f t="shared" si="36"/>
        <v>0</v>
      </c>
      <c r="AC36">
        <f t="shared" si="36"/>
        <v>0</v>
      </c>
      <c r="AD36">
        <f t="shared" si="36"/>
        <v>0</v>
      </c>
      <c r="AE36">
        <f t="shared" si="36"/>
        <v>0</v>
      </c>
      <c r="AF36">
        <f t="shared" si="36"/>
        <v>0</v>
      </c>
      <c r="AG36">
        <f t="shared" si="36"/>
        <v>0</v>
      </c>
      <c r="AH36">
        <f t="shared" si="36"/>
        <v>0</v>
      </c>
      <c r="AI36">
        <f t="shared" si="36"/>
        <v>0</v>
      </c>
      <c r="AJ36">
        <f t="shared" si="36"/>
        <v>0</v>
      </c>
      <c r="AK36">
        <f t="shared" si="36"/>
        <v>0</v>
      </c>
      <c r="AL36">
        <f t="shared" si="36"/>
        <v>0</v>
      </c>
      <c r="AM36">
        <f t="shared" si="36"/>
        <v>0</v>
      </c>
      <c r="AN36">
        <f t="shared" si="36"/>
        <v>0</v>
      </c>
      <c r="AO36">
        <f t="shared" si="36"/>
        <v>0</v>
      </c>
      <c r="AP36">
        <f t="shared" si="36"/>
        <v>0</v>
      </c>
      <c r="AQ36">
        <f t="shared" si="36"/>
        <v>0</v>
      </c>
      <c r="AR36">
        <f t="shared" si="36"/>
        <v>0</v>
      </c>
      <c r="AS36">
        <f t="shared" si="36"/>
        <v>0</v>
      </c>
      <c r="AT36">
        <f t="shared" si="36"/>
        <v>0</v>
      </c>
      <c r="AU36">
        <f t="shared" si="36"/>
        <v>0</v>
      </c>
      <c r="AV36">
        <f t="shared" si="36"/>
        <v>0</v>
      </c>
      <c r="AW36">
        <f t="shared" si="36"/>
        <v>0</v>
      </c>
      <c r="AX36">
        <f t="shared" si="36"/>
        <v>0</v>
      </c>
      <c r="AY36">
        <f t="shared" si="36"/>
        <v>0</v>
      </c>
    </row>
    <row r="37" spans="1:51" ht="23.1" customHeight="1" x14ac:dyDescent="0.3">
      <c r="A37" s="56" t="s">
        <v>479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</row>
    <row r="38" spans="1:51" ht="23.1" customHeight="1" x14ac:dyDescent="0.3">
      <c r="A38" s="14" t="s">
        <v>411</v>
      </c>
      <c r="B38" s="15"/>
      <c r="C38" s="16" t="s">
        <v>34</v>
      </c>
      <c r="D38" s="17">
        <v>454</v>
      </c>
      <c r="E38" s="17">
        <f>일위대가목록!G14</f>
        <v>0</v>
      </c>
      <c r="F38" s="17">
        <f>ROUNDDOWN(D38*E38, 0)</f>
        <v>0</v>
      </c>
      <c r="G38" s="17">
        <f>일위대가목록!I14</f>
        <v>5489</v>
      </c>
      <c r="H38" s="17">
        <f>ROUNDDOWN(D38*G38, 0)</f>
        <v>2492006</v>
      </c>
      <c r="I38" s="17">
        <f>일위대가목록!K14</f>
        <v>109</v>
      </c>
      <c r="J38" s="17">
        <f>ROUNDDOWN(D38*I38, 0)</f>
        <v>49486</v>
      </c>
      <c r="K38" s="17">
        <f t="shared" ref="K38:L40" si="37">E38+G38+I38</f>
        <v>5598</v>
      </c>
      <c r="L38" s="17">
        <f t="shared" si="37"/>
        <v>2541492</v>
      </c>
      <c r="M38" s="24" t="s">
        <v>410</v>
      </c>
      <c r="O38" t="str">
        <f>""</f>
        <v/>
      </c>
      <c r="P38" s="1" t="s">
        <v>219</v>
      </c>
      <c r="Q38">
        <v>1</v>
      </c>
      <c r="R38">
        <f>IF(P38="기계경비", J38, 0)</f>
        <v>49486</v>
      </c>
      <c r="S38">
        <f>IF(P38="운반비", L38, 0)</f>
        <v>0</v>
      </c>
      <c r="T38">
        <f>IF(P38="작업부산물", F38, 0)</f>
        <v>0</v>
      </c>
      <c r="U38">
        <f>IF(P38="관급", F38, 0)</f>
        <v>0</v>
      </c>
      <c r="V38">
        <f>IF(P38="외주비", J38, 0)</f>
        <v>0</v>
      </c>
      <c r="W38">
        <f>IF(P38="장비비", J38, 0)</f>
        <v>0</v>
      </c>
      <c r="X38">
        <f>IF(P38="폐기물처리비", L38, 0)</f>
        <v>0</v>
      </c>
      <c r="Y38">
        <f>IF(P38="가설비", J38, 0)</f>
        <v>0</v>
      </c>
      <c r="Z38">
        <f>IF(P38="잡비제외분", F38, 0)</f>
        <v>0</v>
      </c>
      <c r="AA38">
        <f>IF(P38="사급자재대", L38, 0)</f>
        <v>0</v>
      </c>
      <c r="AB38">
        <f>IF(P38="관급자재대", L38, 0)</f>
        <v>0</v>
      </c>
      <c r="AC38">
        <f>IF(P38="사용자항목1", L38, 0)</f>
        <v>0</v>
      </c>
      <c r="AD38">
        <f>IF(P38="사용자항목2", L38, 0)</f>
        <v>0</v>
      </c>
      <c r="AE38">
        <f>IF(P38="안전관리비", L38, 0)</f>
        <v>0</v>
      </c>
      <c r="AF38">
        <f>IF(P38="품질관리비", L38, 0)</f>
        <v>0</v>
      </c>
      <c r="AG38">
        <f>IF(P38="작업부산물(철거해체)", L38, 0)</f>
        <v>0</v>
      </c>
      <c r="AH38">
        <f>IF(P38="사용자항목6", L38, 0)</f>
        <v>0</v>
      </c>
      <c r="AI38">
        <f>IF(P38="사용자항목7", L38, 0)</f>
        <v>0</v>
      </c>
      <c r="AJ38">
        <f>IF(P38="사용자항목8", L38, 0)</f>
        <v>0</v>
      </c>
      <c r="AK38">
        <f>IF(P38="사용자항목9", L38, 0)</f>
        <v>0</v>
      </c>
      <c r="AL38">
        <f>IF(P38="사용자항목10", L38, 0)</f>
        <v>0</v>
      </c>
      <c r="AM38">
        <f>IF(P38="사용자항목11", L38, 0)</f>
        <v>0</v>
      </c>
      <c r="AN38">
        <f>IF(P38="사용자항목12", L38, 0)</f>
        <v>0</v>
      </c>
      <c r="AO38">
        <f>IF(P38="사용자항목13", L38, 0)</f>
        <v>0</v>
      </c>
      <c r="AP38">
        <f>IF(P38="사용자항목14", L38, 0)</f>
        <v>0</v>
      </c>
      <c r="AQ38">
        <f>IF(P38="사용자항목15", L38, 0)</f>
        <v>0</v>
      </c>
      <c r="AR38">
        <f>IF(P38="사용자항목16", L38, 0)</f>
        <v>0</v>
      </c>
      <c r="AS38">
        <f>IF(P38="사용자항목17", L38, 0)</f>
        <v>0</v>
      </c>
      <c r="AT38">
        <f>IF(P38="사용자항목18", L38, 0)</f>
        <v>0</v>
      </c>
      <c r="AU38">
        <f>IF(P38="사용자항목19", L38, 0)</f>
        <v>0</v>
      </c>
    </row>
    <row r="39" spans="1:51" ht="23.1" customHeight="1" x14ac:dyDescent="0.3">
      <c r="A39" s="14" t="s">
        <v>413</v>
      </c>
      <c r="B39" s="14" t="s">
        <v>414</v>
      </c>
      <c r="C39" s="16" t="s">
        <v>34</v>
      </c>
      <c r="D39" s="17">
        <v>258</v>
      </c>
      <c r="E39" s="17">
        <f>일위대가목록!G15</f>
        <v>1088</v>
      </c>
      <c r="F39" s="17">
        <f>ROUNDDOWN(D39*E39, 0)</f>
        <v>280704</v>
      </c>
      <c r="G39" s="17">
        <f>일위대가목록!I15</f>
        <v>9497</v>
      </c>
      <c r="H39" s="17">
        <f>ROUNDDOWN(D39*G39, 0)</f>
        <v>2450226</v>
      </c>
      <c r="I39" s="17">
        <f>일위대가목록!K15</f>
        <v>0</v>
      </c>
      <c r="J39" s="17">
        <f>ROUNDDOWN(D39*I39, 0)</f>
        <v>0</v>
      </c>
      <c r="K39" s="17">
        <f t="shared" si="37"/>
        <v>10585</v>
      </c>
      <c r="L39" s="17">
        <f t="shared" si="37"/>
        <v>2730930</v>
      </c>
      <c r="M39" s="24" t="s">
        <v>412</v>
      </c>
      <c r="O39" t="str">
        <f>""</f>
        <v/>
      </c>
      <c r="P39" s="1" t="s">
        <v>219</v>
      </c>
      <c r="Q39">
        <v>1</v>
      </c>
      <c r="R39">
        <f>IF(P39="기계경비", J39, 0)</f>
        <v>0</v>
      </c>
      <c r="S39">
        <f>IF(P39="운반비", L39, 0)</f>
        <v>0</v>
      </c>
      <c r="T39">
        <f>IF(P39="작업부산물", F39, 0)</f>
        <v>0</v>
      </c>
      <c r="U39">
        <f>IF(P39="관급", F39, 0)</f>
        <v>0</v>
      </c>
      <c r="V39">
        <f>IF(P39="외주비", J39, 0)</f>
        <v>0</v>
      </c>
      <c r="W39">
        <f>IF(P39="장비비", J39, 0)</f>
        <v>0</v>
      </c>
      <c r="X39">
        <f>IF(P39="폐기물처리비", L39, 0)</f>
        <v>0</v>
      </c>
      <c r="Y39">
        <f>IF(P39="가설비", J39, 0)</f>
        <v>0</v>
      </c>
      <c r="Z39">
        <f>IF(P39="잡비제외분", F39, 0)</f>
        <v>0</v>
      </c>
      <c r="AA39">
        <f>IF(P39="사급자재대", L39, 0)</f>
        <v>0</v>
      </c>
      <c r="AB39">
        <f>IF(P39="관급자재대", L39, 0)</f>
        <v>0</v>
      </c>
      <c r="AC39">
        <f>IF(P39="사용자항목1", L39, 0)</f>
        <v>0</v>
      </c>
      <c r="AD39">
        <f>IF(P39="사용자항목2", L39, 0)</f>
        <v>0</v>
      </c>
      <c r="AE39">
        <f>IF(P39="안전관리비", L39, 0)</f>
        <v>0</v>
      </c>
      <c r="AF39">
        <f>IF(P39="품질관리비", L39, 0)</f>
        <v>0</v>
      </c>
      <c r="AG39">
        <f>IF(P39="작업부산물(철거해체)", L39, 0)</f>
        <v>0</v>
      </c>
      <c r="AH39">
        <f>IF(P39="사용자항목6", L39, 0)</f>
        <v>0</v>
      </c>
      <c r="AI39">
        <f>IF(P39="사용자항목7", L39, 0)</f>
        <v>0</v>
      </c>
      <c r="AJ39">
        <f>IF(P39="사용자항목8", L39, 0)</f>
        <v>0</v>
      </c>
      <c r="AK39">
        <f>IF(P39="사용자항목9", L39, 0)</f>
        <v>0</v>
      </c>
      <c r="AL39">
        <f>IF(P39="사용자항목10", L39, 0)</f>
        <v>0</v>
      </c>
      <c r="AM39">
        <f>IF(P39="사용자항목11", L39, 0)</f>
        <v>0</v>
      </c>
      <c r="AN39">
        <f>IF(P39="사용자항목12", L39, 0)</f>
        <v>0</v>
      </c>
      <c r="AO39">
        <f>IF(P39="사용자항목13", L39, 0)</f>
        <v>0</v>
      </c>
      <c r="AP39">
        <f>IF(P39="사용자항목14", L39, 0)</f>
        <v>0</v>
      </c>
      <c r="AQ39">
        <f>IF(P39="사용자항목15", L39, 0)</f>
        <v>0</v>
      </c>
      <c r="AR39">
        <f>IF(P39="사용자항목16", L39, 0)</f>
        <v>0</v>
      </c>
      <c r="AS39">
        <f>IF(P39="사용자항목17", L39, 0)</f>
        <v>0</v>
      </c>
      <c r="AT39">
        <f>IF(P39="사용자항목18", L39, 0)</f>
        <v>0</v>
      </c>
      <c r="AU39">
        <f>IF(P39="사용자항목19", L39, 0)</f>
        <v>0</v>
      </c>
    </row>
    <row r="40" spans="1:51" ht="23.1" customHeight="1" x14ac:dyDescent="0.3">
      <c r="A40" s="14" t="s">
        <v>105</v>
      </c>
      <c r="B40" s="14" t="s">
        <v>106</v>
      </c>
      <c r="C40" s="16" t="s">
        <v>34</v>
      </c>
      <c r="D40" s="17">
        <v>196</v>
      </c>
      <c r="E40" s="17">
        <f>단가대비표!O28</f>
        <v>49630</v>
      </c>
      <c r="F40" s="17">
        <f>ROUNDDOWN(D40*E40, 0)</f>
        <v>9727480</v>
      </c>
      <c r="G40" s="17">
        <v>0</v>
      </c>
      <c r="H40" s="17">
        <f>ROUNDDOWN(D40*G40, 0)</f>
        <v>0</v>
      </c>
      <c r="I40" s="17">
        <v>0</v>
      </c>
      <c r="J40" s="17">
        <f>ROUNDDOWN(D40*I40, 0)</f>
        <v>0</v>
      </c>
      <c r="K40" s="17">
        <f t="shared" si="37"/>
        <v>49630</v>
      </c>
      <c r="L40" s="17">
        <f t="shared" si="37"/>
        <v>9727480</v>
      </c>
      <c r="M40" s="24" t="s">
        <v>108</v>
      </c>
      <c r="O40" t="str">
        <f>"01"</f>
        <v>01</v>
      </c>
      <c r="P40" s="1" t="s">
        <v>219</v>
      </c>
      <c r="Q40">
        <v>1</v>
      </c>
      <c r="R40">
        <f>IF(P40="기계경비", J40, 0)</f>
        <v>0</v>
      </c>
      <c r="S40">
        <f>IF(P40="운반비", L40, 0)</f>
        <v>0</v>
      </c>
      <c r="T40">
        <f>IF(P40="작업부산물", F40, 0)</f>
        <v>0</v>
      </c>
      <c r="U40">
        <f>IF(P40="관급", F40, 0)</f>
        <v>0</v>
      </c>
      <c r="V40">
        <f>IF(P40="외주비", J40, 0)</f>
        <v>0</v>
      </c>
      <c r="W40">
        <f>IF(P40="장비비", J40, 0)</f>
        <v>0</v>
      </c>
      <c r="X40">
        <f>IF(P40="폐기물처리비", L40, 0)</f>
        <v>0</v>
      </c>
      <c r="Y40">
        <f>IF(P40="가설비", J40, 0)</f>
        <v>0</v>
      </c>
      <c r="Z40">
        <f>IF(P40="잡비제외분", F40, 0)</f>
        <v>0</v>
      </c>
      <c r="AA40">
        <f>IF(P40="사급자재대", L40, 0)</f>
        <v>0</v>
      </c>
      <c r="AB40">
        <f>IF(P40="관급자재대", L40, 0)</f>
        <v>0</v>
      </c>
      <c r="AC40">
        <f>IF(P40="사용자항목1", L40, 0)</f>
        <v>0</v>
      </c>
      <c r="AD40">
        <f>IF(P40="사용자항목2", L40, 0)</f>
        <v>0</v>
      </c>
      <c r="AE40">
        <f>IF(P40="안전관리비", L40, 0)</f>
        <v>0</v>
      </c>
      <c r="AF40">
        <f>IF(P40="품질관리비", L40, 0)</f>
        <v>0</v>
      </c>
      <c r="AG40">
        <f>IF(P40="작업부산물(철거해체)", L40, 0)</f>
        <v>0</v>
      </c>
      <c r="AH40">
        <f>IF(P40="사용자항목6", L40, 0)</f>
        <v>0</v>
      </c>
      <c r="AI40">
        <f>IF(P40="사용자항목7", L40, 0)</f>
        <v>0</v>
      </c>
      <c r="AJ40">
        <f>IF(P40="사용자항목8", L40, 0)</f>
        <v>0</v>
      </c>
      <c r="AK40">
        <f>IF(P40="사용자항목9", L40, 0)</f>
        <v>0</v>
      </c>
      <c r="AL40">
        <f>IF(P40="사용자항목10", L40, 0)</f>
        <v>0</v>
      </c>
      <c r="AM40">
        <f>IF(P40="사용자항목11", L40, 0)</f>
        <v>0</v>
      </c>
      <c r="AN40">
        <f>IF(P40="사용자항목12", L40, 0)</f>
        <v>0</v>
      </c>
      <c r="AO40">
        <f>IF(P40="사용자항목13", L40, 0)</f>
        <v>0</v>
      </c>
      <c r="AP40">
        <f>IF(P40="사용자항목14", L40, 0)</f>
        <v>0</v>
      </c>
      <c r="AQ40">
        <f>IF(P40="사용자항목15", L40, 0)</f>
        <v>0</v>
      </c>
      <c r="AR40">
        <f>IF(P40="사용자항목16", L40, 0)</f>
        <v>0</v>
      </c>
      <c r="AS40">
        <f>IF(P40="사용자항목17", L40, 0)</f>
        <v>0</v>
      </c>
      <c r="AT40">
        <f>IF(P40="사용자항목18", L40, 0)</f>
        <v>0</v>
      </c>
      <c r="AU40">
        <f>IF(P40="사용자항목19", L40, 0)</f>
        <v>0</v>
      </c>
    </row>
    <row r="41" spans="1:51" ht="23.1" customHeight="1" x14ac:dyDescent="0.3">
      <c r="A41" s="15"/>
      <c r="B41" s="15"/>
      <c r="C41" s="22"/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51" ht="23.1" customHeight="1" x14ac:dyDescent="0.3">
      <c r="A42" s="15"/>
      <c r="B42" s="15"/>
      <c r="C42" s="22"/>
      <c r="D42" s="17"/>
      <c r="E42" s="17"/>
      <c r="F42" s="17"/>
      <c r="G42" s="17"/>
      <c r="H42" s="17"/>
      <c r="I42" s="17"/>
      <c r="J42" s="17"/>
      <c r="K42" s="17"/>
      <c r="L42" s="17"/>
      <c r="M42" s="17"/>
    </row>
    <row r="43" spans="1:51" ht="23.1" customHeight="1" x14ac:dyDescent="0.3">
      <c r="A43" s="15"/>
      <c r="B43" s="15"/>
      <c r="C43" s="22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51" ht="23.1" customHeight="1" x14ac:dyDescent="0.3">
      <c r="A44" s="15"/>
      <c r="B44" s="15"/>
      <c r="C44" s="22"/>
      <c r="D44" s="17"/>
      <c r="E44" s="17"/>
      <c r="F44" s="17"/>
      <c r="G44" s="17"/>
      <c r="H44" s="17"/>
      <c r="I44" s="17"/>
      <c r="J44" s="17"/>
      <c r="K44" s="17"/>
      <c r="L44" s="17"/>
      <c r="M44" s="17"/>
    </row>
    <row r="45" spans="1:51" ht="23.1" customHeight="1" x14ac:dyDescent="0.3">
      <c r="A45" s="15"/>
      <c r="B45" s="15"/>
      <c r="C45" s="22"/>
      <c r="D45" s="17"/>
      <c r="E45" s="17"/>
      <c r="F45" s="17"/>
      <c r="G45" s="17"/>
      <c r="H45" s="17"/>
      <c r="I45" s="17"/>
      <c r="J45" s="17"/>
      <c r="K45" s="17"/>
      <c r="L45" s="17"/>
      <c r="M45" s="17"/>
    </row>
    <row r="46" spans="1:51" ht="23.1" customHeight="1" x14ac:dyDescent="0.3">
      <c r="A46" s="15"/>
      <c r="B46" s="15"/>
      <c r="C46" s="22"/>
      <c r="D46" s="17"/>
      <c r="E46" s="17"/>
      <c r="F46" s="17"/>
      <c r="G46" s="17"/>
      <c r="H46" s="17"/>
      <c r="I46" s="17"/>
      <c r="J46" s="17"/>
      <c r="K46" s="17"/>
      <c r="L46" s="17"/>
      <c r="M46" s="17"/>
    </row>
    <row r="47" spans="1:51" ht="23.1" customHeight="1" x14ac:dyDescent="0.3">
      <c r="A47" s="15"/>
      <c r="B47" s="15"/>
      <c r="C47" s="22"/>
      <c r="D47" s="17"/>
      <c r="E47" s="17"/>
      <c r="F47" s="17"/>
      <c r="G47" s="17"/>
      <c r="H47" s="17"/>
      <c r="I47" s="17"/>
      <c r="J47" s="17"/>
      <c r="K47" s="17"/>
      <c r="L47" s="17"/>
      <c r="M47" s="17"/>
    </row>
    <row r="48" spans="1:51" ht="23.1" customHeight="1" x14ac:dyDescent="0.3">
      <c r="A48" s="15"/>
      <c r="B48" s="15"/>
      <c r="C48" s="22"/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1:51" ht="23.1" customHeight="1" x14ac:dyDescent="0.3">
      <c r="A49" s="15"/>
      <c r="B49" s="15"/>
      <c r="C49" s="22"/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51" ht="23.1" customHeight="1" x14ac:dyDescent="0.3">
      <c r="A50" s="15"/>
      <c r="B50" s="15"/>
      <c r="C50" s="22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51" ht="23.1" customHeight="1" x14ac:dyDescent="0.3">
      <c r="A51" s="15"/>
      <c r="B51" s="15"/>
      <c r="C51" s="22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51" ht="23.1" customHeight="1" x14ac:dyDescent="0.3">
      <c r="A52" s="18" t="s">
        <v>231</v>
      </c>
      <c r="B52" s="19"/>
      <c r="C52" s="20"/>
      <c r="D52" s="21"/>
      <c r="E52" s="21"/>
      <c r="F52" s="21">
        <f>ROUNDDOWN(SUMIF(Q38:Q51, "1", F38:F51), 0)</f>
        <v>10008184</v>
      </c>
      <c r="G52" s="21"/>
      <c r="H52" s="21">
        <f>ROUNDDOWN(SUMIF(Q38:Q51, "1", H38:H51), 0)</f>
        <v>4942232</v>
      </c>
      <c r="I52" s="21"/>
      <c r="J52" s="21">
        <f>ROUNDDOWN(SUMIF(Q38:Q51, "1", J38:J51), 0)</f>
        <v>49486</v>
      </c>
      <c r="K52" s="21"/>
      <c r="L52" s="21">
        <f>F52+H52+J52</f>
        <v>14999902</v>
      </c>
      <c r="M52" s="21"/>
      <c r="R52">
        <f t="shared" ref="R52:AY52" si="38">ROUNDDOWN(SUM(R38:R40), 0)</f>
        <v>49486</v>
      </c>
      <c r="S52">
        <f t="shared" si="38"/>
        <v>0</v>
      </c>
      <c r="T52">
        <f t="shared" si="38"/>
        <v>0</v>
      </c>
      <c r="U52">
        <f t="shared" si="38"/>
        <v>0</v>
      </c>
      <c r="V52">
        <f t="shared" si="38"/>
        <v>0</v>
      </c>
      <c r="W52">
        <f t="shared" si="38"/>
        <v>0</v>
      </c>
      <c r="X52">
        <f t="shared" si="38"/>
        <v>0</v>
      </c>
      <c r="Y52">
        <f t="shared" si="38"/>
        <v>0</v>
      </c>
      <c r="Z52">
        <f t="shared" si="38"/>
        <v>0</v>
      </c>
      <c r="AA52">
        <f t="shared" si="38"/>
        <v>0</v>
      </c>
      <c r="AB52">
        <f t="shared" si="38"/>
        <v>0</v>
      </c>
      <c r="AC52">
        <f t="shared" si="38"/>
        <v>0</v>
      </c>
      <c r="AD52">
        <f t="shared" si="38"/>
        <v>0</v>
      </c>
      <c r="AE52">
        <f t="shared" si="38"/>
        <v>0</v>
      </c>
      <c r="AF52">
        <f t="shared" si="38"/>
        <v>0</v>
      </c>
      <c r="AG52">
        <f t="shared" si="38"/>
        <v>0</v>
      </c>
      <c r="AH52">
        <f t="shared" si="38"/>
        <v>0</v>
      </c>
      <c r="AI52">
        <f t="shared" si="38"/>
        <v>0</v>
      </c>
      <c r="AJ52">
        <f t="shared" si="38"/>
        <v>0</v>
      </c>
      <c r="AK52">
        <f t="shared" si="38"/>
        <v>0</v>
      </c>
      <c r="AL52">
        <f t="shared" si="38"/>
        <v>0</v>
      </c>
      <c r="AM52">
        <f t="shared" si="38"/>
        <v>0</v>
      </c>
      <c r="AN52">
        <f t="shared" si="38"/>
        <v>0</v>
      </c>
      <c r="AO52">
        <f t="shared" si="38"/>
        <v>0</v>
      </c>
      <c r="AP52">
        <f t="shared" si="38"/>
        <v>0</v>
      </c>
      <c r="AQ52">
        <f t="shared" si="38"/>
        <v>0</v>
      </c>
      <c r="AR52">
        <f t="shared" si="38"/>
        <v>0</v>
      </c>
      <c r="AS52">
        <f t="shared" si="38"/>
        <v>0</v>
      </c>
      <c r="AT52">
        <f t="shared" si="38"/>
        <v>0</v>
      </c>
      <c r="AU52">
        <f t="shared" si="38"/>
        <v>0</v>
      </c>
      <c r="AV52">
        <f t="shared" si="38"/>
        <v>0</v>
      </c>
      <c r="AW52">
        <f t="shared" si="38"/>
        <v>0</v>
      </c>
      <c r="AX52">
        <f t="shared" si="38"/>
        <v>0</v>
      </c>
      <c r="AY52">
        <f t="shared" si="38"/>
        <v>0</v>
      </c>
    </row>
    <row r="53" spans="1:51" ht="23.1" customHeight="1" x14ac:dyDescent="0.3">
      <c r="A53" s="56" t="s">
        <v>480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</row>
    <row r="54" spans="1:51" ht="23.1" customHeight="1" x14ac:dyDescent="0.3">
      <c r="A54" s="14" t="s">
        <v>416</v>
      </c>
      <c r="B54" s="14" t="s">
        <v>417</v>
      </c>
      <c r="C54" s="16" t="s">
        <v>34</v>
      </c>
      <c r="D54" s="17">
        <v>58</v>
      </c>
      <c r="E54" s="17">
        <f>일위대가목록!G16</f>
        <v>3579</v>
      </c>
      <c r="F54" s="17">
        <f>ROUNDDOWN(D54*E54, 0)</f>
        <v>207582</v>
      </c>
      <c r="G54" s="17">
        <f>일위대가목록!I16</f>
        <v>6726</v>
      </c>
      <c r="H54" s="17">
        <f>ROUNDDOWN(D54*G54, 0)</f>
        <v>390108</v>
      </c>
      <c r="I54" s="17">
        <f>일위대가목록!K16</f>
        <v>0</v>
      </c>
      <c r="J54" s="17">
        <f>ROUNDDOWN(D54*I54, 0)</f>
        <v>0</v>
      </c>
      <c r="K54" s="17">
        <f t="shared" ref="K54:L57" si="39">E54+G54+I54</f>
        <v>10305</v>
      </c>
      <c r="L54" s="17">
        <f t="shared" si="39"/>
        <v>597690</v>
      </c>
      <c r="M54" s="24" t="s">
        <v>415</v>
      </c>
      <c r="O54" t="str">
        <f>""</f>
        <v/>
      </c>
      <c r="P54" s="1" t="s">
        <v>219</v>
      </c>
      <c r="Q54">
        <v>1</v>
      </c>
      <c r="R54">
        <f>IF(P54="기계경비", J54, 0)</f>
        <v>0</v>
      </c>
      <c r="S54">
        <f>IF(P54="운반비", L54, 0)</f>
        <v>0</v>
      </c>
      <c r="T54">
        <f>IF(P54="작업부산물", F54, 0)</f>
        <v>0</v>
      </c>
      <c r="U54">
        <f>IF(P54="관급", F54, 0)</f>
        <v>0</v>
      </c>
      <c r="V54">
        <f>IF(P54="외주비", J54, 0)</f>
        <v>0</v>
      </c>
      <c r="W54">
        <f>IF(P54="장비비", J54, 0)</f>
        <v>0</v>
      </c>
      <c r="X54">
        <f>IF(P54="폐기물처리비", L54, 0)</f>
        <v>0</v>
      </c>
      <c r="Y54">
        <f>IF(P54="가설비", J54, 0)</f>
        <v>0</v>
      </c>
      <c r="Z54">
        <f>IF(P54="잡비제외분", F54, 0)</f>
        <v>0</v>
      </c>
      <c r="AA54">
        <f>IF(P54="사급자재대", L54, 0)</f>
        <v>0</v>
      </c>
      <c r="AB54">
        <f>IF(P54="관급자재대", L54, 0)</f>
        <v>0</v>
      </c>
      <c r="AC54">
        <f>IF(P54="사용자항목1", L54, 0)</f>
        <v>0</v>
      </c>
      <c r="AD54">
        <f>IF(P54="사용자항목2", L54, 0)</f>
        <v>0</v>
      </c>
      <c r="AE54">
        <f>IF(P54="안전관리비", L54, 0)</f>
        <v>0</v>
      </c>
      <c r="AF54">
        <f>IF(P54="품질관리비", L54, 0)</f>
        <v>0</v>
      </c>
      <c r="AG54">
        <f>IF(P54="작업부산물(철거해체)", L54, 0)</f>
        <v>0</v>
      </c>
      <c r="AH54">
        <f>IF(P54="사용자항목6", L54, 0)</f>
        <v>0</v>
      </c>
      <c r="AI54">
        <f>IF(P54="사용자항목7", L54, 0)</f>
        <v>0</v>
      </c>
      <c r="AJ54">
        <f>IF(P54="사용자항목8", L54, 0)</f>
        <v>0</v>
      </c>
      <c r="AK54">
        <f>IF(P54="사용자항목9", L54, 0)</f>
        <v>0</v>
      </c>
      <c r="AL54">
        <f>IF(P54="사용자항목10", L54, 0)</f>
        <v>0</v>
      </c>
      <c r="AM54">
        <f>IF(P54="사용자항목11", L54, 0)</f>
        <v>0</v>
      </c>
      <c r="AN54">
        <f>IF(P54="사용자항목12", L54, 0)</f>
        <v>0</v>
      </c>
      <c r="AO54">
        <f>IF(P54="사용자항목13", L54, 0)</f>
        <v>0</v>
      </c>
      <c r="AP54">
        <f>IF(P54="사용자항목14", L54, 0)</f>
        <v>0</v>
      </c>
      <c r="AQ54">
        <f>IF(P54="사용자항목15", L54, 0)</f>
        <v>0</v>
      </c>
      <c r="AR54">
        <f>IF(P54="사용자항목16", L54, 0)</f>
        <v>0</v>
      </c>
      <c r="AS54">
        <f>IF(P54="사용자항목17", L54, 0)</f>
        <v>0</v>
      </c>
      <c r="AT54">
        <f>IF(P54="사용자항목18", L54, 0)</f>
        <v>0</v>
      </c>
      <c r="AU54">
        <f>IF(P54="사용자항목19", L54, 0)</f>
        <v>0</v>
      </c>
    </row>
    <row r="55" spans="1:51" ht="23.1" customHeight="1" x14ac:dyDescent="0.3">
      <c r="A55" s="14" t="s">
        <v>419</v>
      </c>
      <c r="B55" s="14" t="s">
        <v>420</v>
      </c>
      <c r="C55" s="16" t="s">
        <v>34</v>
      </c>
      <c r="D55" s="17">
        <v>25</v>
      </c>
      <c r="E55" s="17">
        <f>일위대가목록!G17</f>
        <v>3483</v>
      </c>
      <c r="F55" s="17">
        <f>ROUNDDOWN(D55*E55, 0)</f>
        <v>87075</v>
      </c>
      <c r="G55" s="17">
        <f>일위대가목록!I17</f>
        <v>9715</v>
      </c>
      <c r="H55" s="17">
        <f>ROUNDDOWN(D55*G55, 0)</f>
        <v>242875</v>
      </c>
      <c r="I55" s="17">
        <f>일위대가목록!K17</f>
        <v>0</v>
      </c>
      <c r="J55" s="17">
        <f>ROUNDDOWN(D55*I55, 0)</f>
        <v>0</v>
      </c>
      <c r="K55" s="17">
        <f t="shared" si="39"/>
        <v>13198</v>
      </c>
      <c r="L55" s="17">
        <f t="shared" si="39"/>
        <v>329950</v>
      </c>
      <c r="M55" s="24" t="s">
        <v>418</v>
      </c>
      <c r="O55" t="str">
        <f>""</f>
        <v/>
      </c>
      <c r="P55" s="1" t="s">
        <v>219</v>
      </c>
      <c r="Q55">
        <v>1</v>
      </c>
      <c r="R55">
        <f>IF(P55="기계경비", J55, 0)</f>
        <v>0</v>
      </c>
      <c r="S55">
        <f>IF(P55="운반비", L55, 0)</f>
        <v>0</v>
      </c>
      <c r="T55">
        <f>IF(P55="작업부산물", F55, 0)</f>
        <v>0</v>
      </c>
      <c r="U55">
        <f>IF(P55="관급", F55, 0)</f>
        <v>0</v>
      </c>
      <c r="V55">
        <f>IF(P55="외주비", J55, 0)</f>
        <v>0</v>
      </c>
      <c r="W55">
        <f>IF(P55="장비비", J55, 0)</f>
        <v>0</v>
      </c>
      <c r="X55">
        <f>IF(P55="폐기물처리비", L55, 0)</f>
        <v>0</v>
      </c>
      <c r="Y55">
        <f>IF(P55="가설비", J55, 0)</f>
        <v>0</v>
      </c>
      <c r="Z55">
        <f>IF(P55="잡비제외분", F55, 0)</f>
        <v>0</v>
      </c>
      <c r="AA55">
        <f>IF(P55="사급자재대", L55, 0)</f>
        <v>0</v>
      </c>
      <c r="AB55">
        <f>IF(P55="관급자재대", L55, 0)</f>
        <v>0</v>
      </c>
      <c r="AC55">
        <f>IF(P55="사용자항목1", L55, 0)</f>
        <v>0</v>
      </c>
      <c r="AD55">
        <f>IF(P55="사용자항목2", L55, 0)</f>
        <v>0</v>
      </c>
      <c r="AE55">
        <f>IF(P55="안전관리비", L55, 0)</f>
        <v>0</v>
      </c>
      <c r="AF55">
        <f>IF(P55="품질관리비", L55, 0)</f>
        <v>0</v>
      </c>
      <c r="AG55">
        <f>IF(P55="작업부산물(철거해체)", L55, 0)</f>
        <v>0</v>
      </c>
      <c r="AH55">
        <f>IF(P55="사용자항목6", L55, 0)</f>
        <v>0</v>
      </c>
      <c r="AI55">
        <f>IF(P55="사용자항목7", L55, 0)</f>
        <v>0</v>
      </c>
      <c r="AJ55">
        <f>IF(P55="사용자항목8", L55, 0)</f>
        <v>0</v>
      </c>
      <c r="AK55">
        <f>IF(P55="사용자항목9", L55, 0)</f>
        <v>0</v>
      </c>
      <c r="AL55">
        <f>IF(P55="사용자항목10", L55, 0)</f>
        <v>0</v>
      </c>
      <c r="AM55">
        <f>IF(P55="사용자항목11", L55, 0)</f>
        <v>0</v>
      </c>
      <c r="AN55">
        <f>IF(P55="사용자항목12", L55, 0)</f>
        <v>0</v>
      </c>
      <c r="AO55">
        <f>IF(P55="사용자항목13", L55, 0)</f>
        <v>0</v>
      </c>
      <c r="AP55">
        <f>IF(P55="사용자항목14", L55, 0)</f>
        <v>0</v>
      </c>
      <c r="AQ55">
        <f>IF(P55="사용자항목15", L55, 0)</f>
        <v>0</v>
      </c>
      <c r="AR55">
        <f>IF(P55="사용자항목16", L55, 0)</f>
        <v>0</v>
      </c>
      <c r="AS55">
        <f>IF(P55="사용자항목17", L55, 0)</f>
        <v>0</v>
      </c>
      <c r="AT55">
        <f>IF(P55="사용자항목18", L55, 0)</f>
        <v>0</v>
      </c>
      <c r="AU55">
        <f>IF(P55="사용자항목19", L55, 0)</f>
        <v>0</v>
      </c>
    </row>
    <row r="56" spans="1:51" ht="23.1" customHeight="1" x14ac:dyDescent="0.3">
      <c r="A56" s="14" t="s">
        <v>422</v>
      </c>
      <c r="B56" s="14" t="s">
        <v>423</v>
      </c>
      <c r="C56" s="16" t="s">
        <v>34</v>
      </c>
      <c r="D56" s="17">
        <v>25</v>
      </c>
      <c r="E56" s="17">
        <f>일위대가목록!G18</f>
        <v>3110</v>
      </c>
      <c r="F56" s="17">
        <f>ROUNDDOWN(D56*E56, 0)</f>
        <v>77750</v>
      </c>
      <c r="G56" s="17">
        <f>일위대가목록!I18</f>
        <v>15191</v>
      </c>
      <c r="H56" s="17">
        <f>ROUNDDOWN(D56*G56, 0)</f>
        <v>379775</v>
      </c>
      <c r="I56" s="17">
        <f>일위대가목록!K18</f>
        <v>151</v>
      </c>
      <c r="J56" s="17">
        <f>ROUNDDOWN(D56*I56, 0)</f>
        <v>3775</v>
      </c>
      <c r="K56" s="17">
        <f t="shared" si="39"/>
        <v>18452</v>
      </c>
      <c r="L56" s="17">
        <f t="shared" si="39"/>
        <v>461300</v>
      </c>
      <c r="M56" s="24" t="s">
        <v>421</v>
      </c>
      <c r="O56" t="str">
        <f>""</f>
        <v/>
      </c>
      <c r="P56" s="1" t="s">
        <v>219</v>
      </c>
      <c r="Q56">
        <v>1</v>
      </c>
      <c r="R56">
        <f>IF(P56="기계경비", J56, 0)</f>
        <v>3775</v>
      </c>
      <c r="S56">
        <f>IF(P56="운반비", L56, 0)</f>
        <v>0</v>
      </c>
      <c r="T56">
        <f>IF(P56="작업부산물", F56, 0)</f>
        <v>0</v>
      </c>
      <c r="U56">
        <f>IF(P56="관급", F56, 0)</f>
        <v>0</v>
      </c>
      <c r="V56">
        <f>IF(P56="외주비", J56, 0)</f>
        <v>0</v>
      </c>
      <c r="W56">
        <f>IF(P56="장비비", J56, 0)</f>
        <v>0</v>
      </c>
      <c r="X56">
        <f>IF(P56="폐기물처리비", L56, 0)</f>
        <v>0</v>
      </c>
      <c r="Y56">
        <f>IF(P56="가설비", J56, 0)</f>
        <v>0</v>
      </c>
      <c r="Z56">
        <f>IF(P56="잡비제외분", F56, 0)</f>
        <v>0</v>
      </c>
      <c r="AA56">
        <f>IF(P56="사급자재대", L56, 0)</f>
        <v>0</v>
      </c>
      <c r="AB56">
        <f>IF(P56="관급자재대", L56, 0)</f>
        <v>0</v>
      </c>
      <c r="AC56">
        <f>IF(P56="사용자항목1", L56, 0)</f>
        <v>0</v>
      </c>
      <c r="AD56">
        <f>IF(P56="사용자항목2", L56, 0)</f>
        <v>0</v>
      </c>
      <c r="AE56">
        <f>IF(P56="안전관리비", L56, 0)</f>
        <v>0</v>
      </c>
      <c r="AF56">
        <f>IF(P56="품질관리비", L56, 0)</f>
        <v>0</v>
      </c>
      <c r="AG56">
        <f>IF(P56="작업부산물(철거해체)", L56, 0)</f>
        <v>0</v>
      </c>
      <c r="AH56">
        <f>IF(P56="사용자항목6", L56, 0)</f>
        <v>0</v>
      </c>
      <c r="AI56">
        <f>IF(P56="사용자항목7", L56, 0)</f>
        <v>0</v>
      </c>
      <c r="AJ56">
        <f>IF(P56="사용자항목8", L56, 0)</f>
        <v>0</v>
      </c>
      <c r="AK56">
        <f>IF(P56="사용자항목9", L56, 0)</f>
        <v>0</v>
      </c>
      <c r="AL56">
        <f>IF(P56="사용자항목10", L56, 0)</f>
        <v>0</v>
      </c>
      <c r="AM56">
        <f>IF(P56="사용자항목11", L56, 0)</f>
        <v>0</v>
      </c>
      <c r="AN56">
        <f>IF(P56="사용자항목12", L56, 0)</f>
        <v>0</v>
      </c>
      <c r="AO56">
        <f>IF(P56="사용자항목13", L56, 0)</f>
        <v>0</v>
      </c>
      <c r="AP56">
        <f>IF(P56="사용자항목14", L56, 0)</f>
        <v>0</v>
      </c>
      <c r="AQ56">
        <f>IF(P56="사용자항목15", L56, 0)</f>
        <v>0</v>
      </c>
      <c r="AR56">
        <f>IF(P56="사용자항목16", L56, 0)</f>
        <v>0</v>
      </c>
      <c r="AS56">
        <f>IF(P56="사용자항목17", L56, 0)</f>
        <v>0</v>
      </c>
      <c r="AT56">
        <f>IF(P56="사용자항목18", L56, 0)</f>
        <v>0</v>
      </c>
      <c r="AU56">
        <f>IF(P56="사용자항목19", L56, 0)</f>
        <v>0</v>
      </c>
    </row>
    <row r="57" spans="1:51" ht="23.1" customHeight="1" x14ac:dyDescent="0.3">
      <c r="A57" s="14" t="s">
        <v>425</v>
      </c>
      <c r="B57" s="14" t="s">
        <v>426</v>
      </c>
      <c r="C57" s="16" t="s">
        <v>320</v>
      </c>
      <c r="D57" s="17">
        <v>24</v>
      </c>
      <c r="E57" s="17">
        <f>일위대가목록!G19</f>
        <v>2384</v>
      </c>
      <c r="F57" s="17">
        <f>ROUNDDOWN(D57*E57, 0)</f>
        <v>57216</v>
      </c>
      <c r="G57" s="17">
        <f>일위대가목록!I19</f>
        <v>9061</v>
      </c>
      <c r="H57" s="17">
        <f>ROUNDDOWN(D57*G57, 0)</f>
        <v>217464</v>
      </c>
      <c r="I57" s="17">
        <f>일위대가목록!K19</f>
        <v>362</v>
      </c>
      <c r="J57" s="17">
        <f>ROUNDDOWN(D57*I57, 0)</f>
        <v>8688</v>
      </c>
      <c r="K57" s="17">
        <f t="shared" si="39"/>
        <v>11807</v>
      </c>
      <c r="L57" s="17">
        <f t="shared" si="39"/>
        <v>283368</v>
      </c>
      <c r="M57" s="24" t="s">
        <v>424</v>
      </c>
      <c r="O57" t="str">
        <f>""</f>
        <v/>
      </c>
      <c r="P57" s="1" t="s">
        <v>219</v>
      </c>
      <c r="Q57">
        <v>1</v>
      </c>
      <c r="R57">
        <f>IF(P57="기계경비", J57, 0)</f>
        <v>8688</v>
      </c>
      <c r="S57">
        <f>IF(P57="운반비", L57, 0)</f>
        <v>0</v>
      </c>
      <c r="T57">
        <f>IF(P57="작업부산물", F57, 0)</f>
        <v>0</v>
      </c>
      <c r="U57">
        <f>IF(P57="관급", F57, 0)</f>
        <v>0</v>
      </c>
      <c r="V57">
        <f>IF(P57="외주비", J57, 0)</f>
        <v>0</v>
      </c>
      <c r="W57">
        <f>IF(P57="장비비", J57, 0)</f>
        <v>0</v>
      </c>
      <c r="X57">
        <f>IF(P57="폐기물처리비", L57, 0)</f>
        <v>0</v>
      </c>
      <c r="Y57">
        <f>IF(P57="가설비", J57, 0)</f>
        <v>0</v>
      </c>
      <c r="Z57">
        <f>IF(P57="잡비제외분", F57, 0)</f>
        <v>0</v>
      </c>
      <c r="AA57">
        <f>IF(P57="사급자재대", L57, 0)</f>
        <v>0</v>
      </c>
      <c r="AB57">
        <f>IF(P57="관급자재대", L57, 0)</f>
        <v>0</v>
      </c>
      <c r="AC57">
        <f>IF(P57="사용자항목1", L57, 0)</f>
        <v>0</v>
      </c>
      <c r="AD57">
        <f>IF(P57="사용자항목2", L57, 0)</f>
        <v>0</v>
      </c>
      <c r="AE57">
        <f>IF(P57="안전관리비", L57, 0)</f>
        <v>0</v>
      </c>
      <c r="AF57">
        <f>IF(P57="품질관리비", L57, 0)</f>
        <v>0</v>
      </c>
      <c r="AG57">
        <f>IF(P57="작업부산물(철거해체)", L57, 0)</f>
        <v>0</v>
      </c>
      <c r="AH57">
        <f>IF(P57="사용자항목6", L57, 0)</f>
        <v>0</v>
      </c>
      <c r="AI57">
        <f>IF(P57="사용자항목7", L57, 0)</f>
        <v>0</v>
      </c>
      <c r="AJ57">
        <f>IF(P57="사용자항목8", L57, 0)</f>
        <v>0</v>
      </c>
      <c r="AK57">
        <f>IF(P57="사용자항목9", L57, 0)</f>
        <v>0</v>
      </c>
      <c r="AL57">
        <f>IF(P57="사용자항목10", L57, 0)</f>
        <v>0</v>
      </c>
      <c r="AM57">
        <f>IF(P57="사용자항목11", L57, 0)</f>
        <v>0</v>
      </c>
      <c r="AN57">
        <f>IF(P57="사용자항목12", L57, 0)</f>
        <v>0</v>
      </c>
      <c r="AO57">
        <f>IF(P57="사용자항목13", L57, 0)</f>
        <v>0</v>
      </c>
      <c r="AP57">
        <f>IF(P57="사용자항목14", L57, 0)</f>
        <v>0</v>
      </c>
      <c r="AQ57">
        <f>IF(P57="사용자항목15", L57, 0)</f>
        <v>0</v>
      </c>
      <c r="AR57">
        <f>IF(P57="사용자항목16", L57, 0)</f>
        <v>0</v>
      </c>
      <c r="AS57">
        <f>IF(P57="사용자항목17", L57, 0)</f>
        <v>0</v>
      </c>
      <c r="AT57">
        <f>IF(P57="사용자항목18", L57, 0)</f>
        <v>0</v>
      </c>
      <c r="AU57">
        <f>IF(P57="사용자항목19", L57, 0)</f>
        <v>0</v>
      </c>
      <c r="AY57" s="1" t="s">
        <v>393</v>
      </c>
    </row>
    <row r="58" spans="1:51" ht="23.1" customHeight="1" x14ac:dyDescent="0.3">
      <c r="A58" s="15"/>
      <c r="B58" s="15"/>
      <c r="C58" s="22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51" ht="23.1" customHeight="1" x14ac:dyDescent="0.3">
      <c r="A59" s="15"/>
      <c r="B59" s="15"/>
      <c r="C59" s="22"/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1:51" ht="23.1" customHeight="1" x14ac:dyDescent="0.3">
      <c r="A60" s="15"/>
      <c r="B60" s="15"/>
      <c r="C60" s="22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51" ht="23.1" customHeight="1" x14ac:dyDescent="0.3">
      <c r="A61" s="15"/>
      <c r="B61" s="15"/>
      <c r="C61" s="22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51" ht="23.1" customHeight="1" x14ac:dyDescent="0.3">
      <c r="A62" s="15"/>
      <c r="B62" s="15"/>
      <c r="C62" s="22"/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1:51" ht="23.1" customHeight="1" x14ac:dyDescent="0.3">
      <c r="A63" s="15"/>
      <c r="B63" s="15"/>
      <c r="C63" s="22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51" ht="23.1" customHeight="1" x14ac:dyDescent="0.3">
      <c r="A64" s="15"/>
      <c r="B64" s="15"/>
      <c r="C64" s="22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51" ht="23.1" customHeight="1" x14ac:dyDescent="0.3">
      <c r="A65" s="15"/>
      <c r="B65" s="15"/>
      <c r="C65" s="22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51" ht="23.1" customHeight="1" x14ac:dyDescent="0.3">
      <c r="A66" s="15"/>
      <c r="B66" s="15"/>
      <c r="C66" s="22"/>
      <c r="D66" s="17"/>
      <c r="E66" s="17"/>
      <c r="F66" s="17"/>
      <c r="G66" s="17"/>
      <c r="H66" s="17"/>
      <c r="I66" s="17"/>
      <c r="J66" s="17"/>
      <c r="K66" s="17"/>
      <c r="L66" s="17"/>
      <c r="M66" s="17"/>
    </row>
    <row r="67" spans="1:51" ht="23.1" customHeight="1" x14ac:dyDescent="0.3">
      <c r="A67" s="15"/>
      <c r="B67" s="15"/>
      <c r="C67" s="22"/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1:51" ht="23.1" customHeight="1" x14ac:dyDescent="0.3">
      <c r="A68" s="18" t="s">
        <v>231</v>
      </c>
      <c r="B68" s="19"/>
      <c r="C68" s="20"/>
      <c r="D68" s="21"/>
      <c r="E68" s="21"/>
      <c r="F68" s="21">
        <f>ROUNDDOWN(SUMIF(Q54:Q67, "1", F54:F67), 0)</f>
        <v>429623</v>
      </c>
      <c r="G68" s="21"/>
      <c r="H68" s="21">
        <f>ROUNDDOWN(SUMIF(Q54:Q67, "1", H54:H67), 0)</f>
        <v>1230222</v>
      </c>
      <c r="I68" s="21"/>
      <c r="J68" s="21">
        <f>ROUNDDOWN(SUMIF(Q54:Q67, "1", J54:J67), 0)</f>
        <v>12463</v>
      </c>
      <c r="K68" s="21"/>
      <c r="L68" s="21">
        <f>F68+H68+J68</f>
        <v>1672308</v>
      </c>
      <c r="M68" s="21"/>
      <c r="R68">
        <f t="shared" ref="R68:AY68" si="40">ROUNDDOWN(SUM(R54:R57), 0)</f>
        <v>12463</v>
      </c>
      <c r="S68">
        <f t="shared" si="40"/>
        <v>0</v>
      </c>
      <c r="T68">
        <f t="shared" si="40"/>
        <v>0</v>
      </c>
      <c r="U68">
        <f t="shared" si="40"/>
        <v>0</v>
      </c>
      <c r="V68">
        <f t="shared" si="40"/>
        <v>0</v>
      </c>
      <c r="W68">
        <f t="shared" si="40"/>
        <v>0</v>
      </c>
      <c r="X68">
        <f t="shared" si="40"/>
        <v>0</v>
      </c>
      <c r="Y68">
        <f t="shared" si="40"/>
        <v>0</v>
      </c>
      <c r="Z68">
        <f t="shared" si="40"/>
        <v>0</v>
      </c>
      <c r="AA68">
        <f t="shared" si="40"/>
        <v>0</v>
      </c>
      <c r="AB68">
        <f t="shared" si="40"/>
        <v>0</v>
      </c>
      <c r="AC68">
        <f t="shared" si="40"/>
        <v>0</v>
      </c>
      <c r="AD68">
        <f t="shared" si="40"/>
        <v>0</v>
      </c>
      <c r="AE68">
        <f t="shared" si="40"/>
        <v>0</v>
      </c>
      <c r="AF68">
        <f t="shared" si="40"/>
        <v>0</v>
      </c>
      <c r="AG68">
        <f t="shared" si="40"/>
        <v>0</v>
      </c>
      <c r="AH68">
        <f t="shared" si="40"/>
        <v>0</v>
      </c>
      <c r="AI68">
        <f t="shared" si="40"/>
        <v>0</v>
      </c>
      <c r="AJ68">
        <f t="shared" si="40"/>
        <v>0</v>
      </c>
      <c r="AK68">
        <f t="shared" si="40"/>
        <v>0</v>
      </c>
      <c r="AL68">
        <f t="shared" si="40"/>
        <v>0</v>
      </c>
      <c r="AM68">
        <f t="shared" si="40"/>
        <v>0</v>
      </c>
      <c r="AN68">
        <f t="shared" si="40"/>
        <v>0</v>
      </c>
      <c r="AO68">
        <f t="shared" si="40"/>
        <v>0</v>
      </c>
      <c r="AP68">
        <f t="shared" si="40"/>
        <v>0</v>
      </c>
      <c r="AQ68">
        <f t="shared" si="40"/>
        <v>0</v>
      </c>
      <c r="AR68">
        <f t="shared" si="40"/>
        <v>0</v>
      </c>
      <c r="AS68">
        <f t="shared" si="40"/>
        <v>0</v>
      </c>
      <c r="AT68">
        <f t="shared" si="40"/>
        <v>0</v>
      </c>
      <c r="AU68">
        <f t="shared" si="40"/>
        <v>0</v>
      </c>
      <c r="AV68">
        <f t="shared" si="40"/>
        <v>0</v>
      </c>
      <c r="AW68">
        <f t="shared" si="40"/>
        <v>0</v>
      </c>
      <c r="AX68">
        <f t="shared" si="40"/>
        <v>0</v>
      </c>
      <c r="AY68">
        <f t="shared" si="40"/>
        <v>0</v>
      </c>
    </row>
    <row r="69" spans="1:51" ht="23.1" customHeight="1" x14ac:dyDescent="0.3">
      <c r="A69" s="56" t="s">
        <v>481</v>
      </c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</row>
    <row r="70" spans="1:51" ht="23.1" customHeight="1" x14ac:dyDescent="0.3">
      <c r="A70" s="14" t="s">
        <v>482</v>
      </c>
      <c r="B70" s="15"/>
      <c r="C70" s="16" t="s">
        <v>224</v>
      </c>
      <c r="D70" s="17">
        <v>1</v>
      </c>
      <c r="E70" s="17">
        <v>500000</v>
      </c>
      <c r="F70" s="17">
        <f>ROUNDDOWN(D70*E70, 0)</f>
        <v>500000</v>
      </c>
      <c r="G70" s="17"/>
      <c r="H70" s="17">
        <f>ROUNDDOWN(D70*G70, 0)</f>
        <v>0</v>
      </c>
      <c r="I70" s="17"/>
      <c r="J70" s="17">
        <f>ROUNDDOWN(D70*I70, 0)</f>
        <v>0</v>
      </c>
      <c r="K70" s="17">
        <f>E70+G70+I70</f>
        <v>500000</v>
      </c>
      <c r="L70" s="17">
        <f>F70+H70+J70</f>
        <v>500000</v>
      </c>
      <c r="M70" s="17"/>
      <c r="O70" t="str">
        <f>""</f>
        <v/>
      </c>
      <c r="P70" s="1" t="s">
        <v>219</v>
      </c>
      <c r="Q70">
        <v>1</v>
      </c>
      <c r="R70">
        <f>IF(P70="기계경비", J70, 0)</f>
        <v>0</v>
      </c>
      <c r="S70">
        <f>IF(P70="운반비", L70, 0)</f>
        <v>0</v>
      </c>
      <c r="T70">
        <f>IF(P70="작업부산물", F70, 0)</f>
        <v>0</v>
      </c>
      <c r="U70">
        <f>IF(P70="관급", F70, 0)</f>
        <v>0</v>
      </c>
      <c r="V70">
        <f>IF(P70="외주비", J70, 0)</f>
        <v>0</v>
      </c>
      <c r="W70">
        <f>IF(P70="장비비", J70, 0)</f>
        <v>0</v>
      </c>
      <c r="X70">
        <f>IF(P70="폐기물처리비", L70, 0)</f>
        <v>0</v>
      </c>
      <c r="Y70">
        <f>IF(P70="가설비", J70, 0)</f>
        <v>0</v>
      </c>
      <c r="Z70">
        <f>IF(P70="잡비제외분", F70, 0)</f>
        <v>0</v>
      </c>
      <c r="AA70">
        <f>IF(P70="사급자재대", L70, 0)</f>
        <v>0</v>
      </c>
      <c r="AB70">
        <f>IF(P70="관급자재대", L70, 0)</f>
        <v>0</v>
      </c>
      <c r="AC70">
        <f>IF(P70="사용자항목1", L70, 0)</f>
        <v>0</v>
      </c>
      <c r="AD70">
        <f>IF(P70="사용자항목2", L70, 0)</f>
        <v>0</v>
      </c>
      <c r="AE70">
        <f>IF(P70="안전관리비", L70, 0)</f>
        <v>0</v>
      </c>
      <c r="AF70">
        <f>IF(P70="품질관리비", L70, 0)</f>
        <v>0</v>
      </c>
      <c r="AG70">
        <f>IF(P70="작업부산물(철거해체)", L70, 0)</f>
        <v>0</v>
      </c>
      <c r="AH70">
        <f>IF(P70="사용자항목6", L70, 0)</f>
        <v>0</v>
      </c>
      <c r="AI70">
        <f>IF(P70="사용자항목7", L70, 0)</f>
        <v>0</v>
      </c>
      <c r="AJ70">
        <f>IF(P70="사용자항목8", L70, 0)</f>
        <v>0</v>
      </c>
      <c r="AK70">
        <f>IF(P70="사용자항목9", L70, 0)</f>
        <v>0</v>
      </c>
      <c r="AL70">
        <f>IF(P70="사용자항목10", L70, 0)</f>
        <v>0</v>
      </c>
      <c r="AM70">
        <f>IF(P70="사용자항목11", L70, 0)</f>
        <v>0</v>
      </c>
      <c r="AN70">
        <f>IF(P70="사용자항목12", L70, 0)</f>
        <v>0</v>
      </c>
      <c r="AO70">
        <f>IF(P70="사용자항목13", L70, 0)</f>
        <v>0</v>
      </c>
      <c r="AP70">
        <f>IF(P70="사용자항목14", L70, 0)</f>
        <v>0</v>
      </c>
      <c r="AQ70">
        <f>IF(P70="사용자항목15", L70, 0)</f>
        <v>0</v>
      </c>
      <c r="AR70">
        <f>IF(P70="사용자항목16", L70, 0)</f>
        <v>0</v>
      </c>
      <c r="AS70">
        <f>IF(P70="사용자항목17", L70, 0)</f>
        <v>0</v>
      </c>
      <c r="AT70">
        <f>IF(P70="사용자항목18", L70, 0)</f>
        <v>0</v>
      </c>
      <c r="AU70">
        <f>IF(P70="사용자항목19", L70, 0)</f>
        <v>0</v>
      </c>
    </row>
    <row r="71" spans="1:51" ht="23.1" customHeight="1" x14ac:dyDescent="0.3">
      <c r="A71" s="15"/>
      <c r="B71" s="15"/>
      <c r="C71" s="22"/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1:51" ht="23.1" customHeight="1" x14ac:dyDescent="0.3">
      <c r="A72" s="15"/>
      <c r="B72" s="15"/>
      <c r="C72" s="22"/>
      <c r="D72" s="17"/>
      <c r="E72" s="17"/>
      <c r="F72" s="17"/>
      <c r="G72" s="17"/>
      <c r="H72" s="17"/>
      <c r="I72" s="17"/>
      <c r="J72" s="17"/>
      <c r="K72" s="17"/>
      <c r="L72" s="17"/>
      <c r="M72" s="17"/>
    </row>
    <row r="73" spans="1:51" ht="23.1" customHeight="1" x14ac:dyDescent="0.3">
      <c r="A73" s="15"/>
      <c r="B73" s="15"/>
      <c r="C73" s="22"/>
      <c r="D73" s="17"/>
      <c r="E73" s="17"/>
      <c r="F73" s="17"/>
      <c r="G73" s="17"/>
      <c r="H73" s="17"/>
      <c r="I73" s="17"/>
      <c r="J73" s="17"/>
      <c r="K73" s="17"/>
      <c r="L73" s="17"/>
      <c r="M73" s="17"/>
    </row>
    <row r="74" spans="1:51" ht="23.1" customHeight="1" x14ac:dyDescent="0.3">
      <c r="A74" s="15"/>
      <c r="B74" s="15"/>
      <c r="C74" s="22"/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1:51" ht="23.1" customHeight="1" x14ac:dyDescent="0.3">
      <c r="A75" s="15"/>
      <c r="B75" s="15"/>
      <c r="C75" s="22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51" ht="23.1" customHeight="1" x14ac:dyDescent="0.3">
      <c r="A76" s="15"/>
      <c r="B76" s="15"/>
      <c r="C76" s="22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51" ht="23.1" customHeight="1" x14ac:dyDescent="0.3">
      <c r="A77" s="15"/>
      <c r="B77" s="15"/>
      <c r="C77" s="22"/>
      <c r="D77" s="17"/>
      <c r="E77" s="17"/>
      <c r="F77" s="17"/>
      <c r="G77" s="17"/>
      <c r="H77" s="17"/>
      <c r="I77" s="17"/>
      <c r="J77" s="17"/>
      <c r="K77" s="17"/>
      <c r="L77" s="17"/>
      <c r="M77" s="17"/>
    </row>
    <row r="78" spans="1:51" ht="23.1" customHeight="1" x14ac:dyDescent="0.3">
      <c r="A78" s="15"/>
      <c r="B78" s="15"/>
      <c r="C78" s="22"/>
      <c r="D78" s="17"/>
      <c r="E78" s="17"/>
      <c r="F78" s="17"/>
      <c r="G78" s="17"/>
      <c r="H78" s="17"/>
      <c r="I78" s="17"/>
      <c r="J78" s="17"/>
      <c r="K78" s="17"/>
      <c r="L78" s="17"/>
      <c r="M78" s="17"/>
    </row>
    <row r="79" spans="1:51" ht="23.1" customHeight="1" x14ac:dyDescent="0.3">
      <c r="A79" s="15"/>
      <c r="B79" s="15"/>
      <c r="C79" s="22"/>
      <c r="D79" s="17"/>
      <c r="E79" s="17"/>
      <c r="F79" s="17"/>
      <c r="G79" s="17"/>
      <c r="H79" s="17"/>
      <c r="I79" s="17"/>
      <c r="J79" s="17"/>
      <c r="K79" s="17"/>
      <c r="L79" s="17"/>
      <c r="M79" s="17"/>
    </row>
    <row r="80" spans="1:51" ht="23.1" customHeight="1" x14ac:dyDescent="0.3">
      <c r="A80" s="15"/>
      <c r="B80" s="15"/>
      <c r="C80" s="22"/>
      <c r="D80" s="17"/>
      <c r="E80" s="17"/>
      <c r="F80" s="17"/>
      <c r="G80" s="17"/>
      <c r="H80" s="17"/>
      <c r="I80" s="17"/>
      <c r="J80" s="17"/>
      <c r="K80" s="17"/>
      <c r="L80" s="17"/>
      <c r="M80" s="17"/>
    </row>
    <row r="81" spans="1:51" ht="23.1" customHeight="1" x14ac:dyDescent="0.3">
      <c r="A81" s="15"/>
      <c r="B81" s="15"/>
      <c r="C81" s="22"/>
      <c r="D81" s="17"/>
      <c r="E81" s="17"/>
      <c r="F81" s="17"/>
      <c r="G81" s="17"/>
      <c r="H81" s="17"/>
      <c r="I81" s="17"/>
      <c r="J81" s="17"/>
      <c r="K81" s="17"/>
      <c r="L81" s="17"/>
      <c r="M81" s="17"/>
    </row>
    <row r="82" spans="1:51" ht="23.1" customHeight="1" x14ac:dyDescent="0.3">
      <c r="A82" s="15"/>
      <c r="B82" s="15"/>
      <c r="C82" s="22"/>
      <c r="D82" s="17"/>
      <c r="E82" s="17"/>
      <c r="F82" s="17"/>
      <c r="G82" s="17"/>
      <c r="H82" s="17"/>
      <c r="I82" s="17"/>
      <c r="J82" s="17"/>
      <c r="K82" s="17"/>
      <c r="L82" s="17"/>
      <c r="M82" s="17"/>
    </row>
    <row r="83" spans="1:51" ht="23.1" customHeight="1" x14ac:dyDescent="0.3">
      <c r="A83" s="15"/>
      <c r="B83" s="15"/>
      <c r="C83" s="22"/>
      <c r="D83" s="17"/>
      <c r="E83" s="17"/>
      <c r="F83" s="17"/>
      <c r="G83" s="17"/>
      <c r="H83" s="17"/>
      <c r="I83" s="17"/>
      <c r="J83" s="17"/>
      <c r="K83" s="17"/>
      <c r="L83" s="17"/>
      <c r="M83" s="17"/>
    </row>
    <row r="84" spans="1:51" ht="23.1" customHeight="1" x14ac:dyDescent="0.3">
      <c r="A84" s="18" t="s">
        <v>231</v>
      </c>
      <c r="B84" s="19"/>
      <c r="C84" s="20"/>
      <c r="D84" s="21"/>
      <c r="E84" s="21"/>
      <c r="F84" s="21">
        <f>ROUNDDOWN(SUMIF(Q70:Q83, "1", F70:F83), 0)</f>
        <v>500000</v>
      </c>
      <c r="G84" s="21"/>
      <c r="H84" s="21">
        <f>ROUNDDOWN(SUMIF(Q70:Q83, "1", H70:H83), 0)</f>
        <v>0</v>
      </c>
      <c r="I84" s="21"/>
      <c r="J84" s="21">
        <f>ROUNDDOWN(SUMIF(Q70:Q83, "1", J70:J83), 0)</f>
        <v>0</v>
      </c>
      <c r="K84" s="21"/>
      <c r="L84" s="21">
        <f>F84+H84+J84</f>
        <v>500000</v>
      </c>
      <c r="M84" s="21"/>
      <c r="R84">
        <f t="shared" ref="R84:AY84" si="41">ROUNDDOWN(SUM(R70:R70), 0)</f>
        <v>0</v>
      </c>
      <c r="S84">
        <f t="shared" si="41"/>
        <v>0</v>
      </c>
      <c r="T84">
        <f t="shared" si="41"/>
        <v>0</v>
      </c>
      <c r="U84">
        <f t="shared" si="41"/>
        <v>0</v>
      </c>
      <c r="V84">
        <f t="shared" si="41"/>
        <v>0</v>
      </c>
      <c r="W84">
        <f t="shared" si="41"/>
        <v>0</v>
      </c>
      <c r="X84">
        <f t="shared" si="41"/>
        <v>0</v>
      </c>
      <c r="Y84">
        <f t="shared" si="41"/>
        <v>0</v>
      </c>
      <c r="Z84">
        <f t="shared" si="41"/>
        <v>0</v>
      </c>
      <c r="AA84">
        <f t="shared" si="41"/>
        <v>0</v>
      </c>
      <c r="AB84">
        <f t="shared" si="41"/>
        <v>0</v>
      </c>
      <c r="AC84">
        <f t="shared" si="41"/>
        <v>0</v>
      </c>
      <c r="AD84">
        <f t="shared" si="41"/>
        <v>0</v>
      </c>
      <c r="AE84">
        <f t="shared" si="41"/>
        <v>0</v>
      </c>
      <c r="AF84">
        <f t="shared" si="41"/>
        <v>0</v>
      </c>
      <c r="AG84">
        <f t="shared" si="41"/>
        <v>0</v>
      </c>
      <c r="AH84">
        <f t="shared" si="41"/>
        <v>0</v>
      </c>
      <c r="AI84">
        <f t="shared" si="41"/>
        <v>0</v>
      </c>
      <c r="AJ84">
        <f t="shared" si="41"/>
        <v>0</v>
      </c>
      <c r="AK84">
        <f t="shared" si="41"/>
        <v>0</v>
      </c>
      <c r="AL84">
        <f t="shared" si="41"/>
        <v>0</v>
      </c>
      <c r="AM84">
        <f t="shared" si="41"/>
        <v>0</v>
      </c>
      <c r="AN84">
        <f t="shared" si="41"/>
        <v>0</v>
      </c>
      <c r="AO84">
        <f t="shared" si="41"/>
        <v>0</v>
      </c>
      <c r="AP84">
        <f t="shared" si="41"/>
        <v>0</v>
      </c>
      <c r="AQ84">
        <f t="shared" si="41"/>
        <v>0</v>
      </c>
      <c r="AR84">
        <f t="shared" si="41"/>
        <v>0</v>
      </c>
      <c r="AS84">
        <f t="shared" si="41"/>
        <v>0</v>
      </c>
      <c r="AT84">
        <f t="shared" si="41"/>
        <v>0</v>
      </c>
      <c r="AU84">
        <f t="shared" si="41"/>
        <v>0</v>
      </c>
      <c r="AV84">
        <f t="shared" si="41"/>
        <v>0</v>
      </c>
      <c r="AW84">
        <f t="shared" si="41"/>
        <v>0</v>
      </c>
      <c r="AX84">
        <f t="shared" si="41"/>
        <v>0</v>
      </c>
      <c r="AY84">
        <f t="shared" si="41"/>
        <v>0</v>
      </c>
    </row>
    <row r="85" spans="1:51" ht="23.1" customHeight="1" x14ac:dyDescent="0.3">
      <c r="A85" s="56" t="s">
        <v>483</v>
      </c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</row>
    <row r="86" spans="1:51" ht="23.1" customHeight="1" x14ac:dyDescent="0.3">
      <c r="A86" s="14" t="s">
        <v>428</v>
      </c>
      <c r="B86" s="14" t="s">
        <v>429</v>
      </c>
      <c r="C86" s="16" t="s">
        <v>320</v>
      </c>
      <c r="D86" s="17">
        <v>25</v>
      </c>
      <c r="E86" s="17">
        <f>일위대가목록!G20</f>
        <v>989</v>
      </c>
      <c r="F86" s="17">
        <f t="shared" ref="F86:F93" si="42">ROUNDDOWN(D86*E86, 0)</f>
        <v>24725</v>
      </c>
      <c r="G86" s="17">
        <f>일위대가목록!I20</f>
        <v>2669</v>
      </c>
      <c r="H86" s="17">
        <f t="shared" ref="H86:H93" si="43">ROUNDDOWN(D86*G86, 0)</f>
        <v>66725</v>
      </c>
      <c r="I86" s="17">
        <f>일위대가목록!K20</f>
        <v>68</v>
      </c>
      <c r="J86" s="17">
        <f t="shared" ref="J86:J93" si="44">ROUNDDOWN(D86*I86, 0)</f>
        <v>1700</v>
      </c>
      <c r="K86" s="17">
        <f t="shared" ref="K86:L93" si="45">E86+G86+I86</f>
        <v>3726</v>
      </c>
      <c r="L86" s="17">
        <f t="shared" si="45"/>
        <v>93150</v>
      </c>
      <c r="M86" s="24" t="s">
        <v>427</v>
      </c>
      <c r="O86" t="str">
        <f>""</f>
        <v/>
      </c>
      <c r="P86" s="1" t="s">
        <v>219</v>
      </c>
      <c r="Q86">
        <v>1</v>
      </c>
      <c r="R86">
        <f t="shared" ref="R86:R93" si="46">IF(P86="기계경비", J86, 0)</f>
        <v>1700</v>
      </c>
      <c r="S86">
        <f t="shared" ref="S86:S93" si="47">IF(P86="운반비", L86, 0)</f>
        <v>0</v>
      </c>
      <c r="T86">
        <f t="shared" ref="T86:T93" si="48">IF(P86="작업부산물", F86, 0)</f>
        <v>0</v>
      </c>
      <c r="U86">
        <f t="shared" ref="U86:U93" si="49">IF(P86="관급", F86, 0)</f>
        <v>0</v>
      </c>
      <c r="V86">
        <f t="shared" ref="V86:V93" si="50">IF(P86="외주비", J86, 0)</f>
        <v>0</v>
      </c>
      <c r="W86">
        <f t="shared" ref="W86:W93" si="51">IF(P86="장비비", J86, 0)</f>
        <v>0</v>
      </c>
      <c r="X86">
        <f t="shared" ref="X86:X93" si="52">IF(P86="폐기물처리비", L86, 0)</f>
        <v>0</v>
      </c>
      <c r="Y86">
        <f t="shared" ref="Y86:Y93" si="53">IF(P86="가설비", J86, 0)</f>
        <v>0</v>
      </c>
      <c r="Z86">
        <f t="shared" ref="Z86:Z93" si="54">IF(P86="잡비제외분", F86, 0)</f>
        <v>0</v>
      </c>
      <c r="AA86">
        <f t="shared" ref="AA86:AA93" si="55">IF(P86="사급자재대", L86, 0)</f>
        <v>0</v>
      </c>
      <c r="AB86">
        <f t="shared" ref="AB86:AB93" si="56">IF(P86="관급자재대", L86, 0)</f>
        <v>0</v>
      </c>
      <c r="AC86">
        <f t="shared" ref="AC86:AC93" si="57">IF(P86="사용자항목1", L86, 0)</f>
        <v>0</v>
      </c>
      <c r="AD86">
        <f t="shared" ref="AD86:AD93" si="58">IF(P86="사용자항목2", L86, 0)</f>
        <v>0</v>
      </c>
      <c r="AE86">
        <f t="shared" ref="AE86:AE93" si="59">IF(P86="안전관리비", L86, 0)</f>
        <v>0</v>
      </c>
      <c r="AF86">
        <f t="shared" ref="AF86:AF93" si="60">IF(P86="품질관리비", L86, 0)</f>
        <v>0</v>
      </c>
      <c r="AG86">
        <f t="shared" ref="AG86:AG93" si="61">IF(P86="작업부산물(철거해체)", L86, 0)</f>
        <v>0</v>
      </c>
      <c r="AH86">
        <f t="shared" ref="AH86:AH93" si="62">IF(P86="사용자항목6", L86, 0)</f>
        <v>0</v>
      </c>
      <c r="AI86">
        <f t="shared" ref="AI86:AI93" si="63">IF(P86="사용자항목7", L86, 0)</f>
        <v>0</v>
      </c>
      <c r="AJ86">
        <f t="shared" ref="AJ86:AJ93" si="64">IF(P86="사용자항목8", L86, 0)</f>
        <v>0</v>
      </c>
      <c r="AK86">
        <f t="shared" ref="AK86:AK93" si="65">IF(P86="사용자항목9", L86, 0)</f>
        <v>0</v>
      </c>
      <c r="AL86">
        <f t="shared" ref="AL86:AL93" si="66">IF(P86="사용자항목10", L86, 0)</f>
        <v>0</v>
      </c>
      <c r="AM86">
        <f t="shared" ref="AM86:AM93" si="67">IF(P86="사용자항목11", L86, 0)</f>
        <v>0</v>
      </c>
      <c r="AN86">
        <f t="shared" ref="AN86:AN93" si="68">IF(P86="사용자항목12", L86, 0)</f>
        <v>0</v>
      </c>
      <c r="AO86">
        <f t="shared" ref="AO86:AO93" si="69">IF(P86="사용자항목13", L86, 0)</f>
        <v>0</v>
      </c>
      <c r="AP86">
        <f t="shared" ref="AP86:AP93" si="70">IF(P86="사용자항목14", L86, 0)</f>
        <v>0</v>
      </c>
      <c r="AQ86">
        <f t="shared" ref="AQ86:AQ93" si="71">IF(P86="사용자항목15", L86, 0)</f>
        <v>0</v>
      </c>
      <c r="AR86">
        <f t="shared" ref="AR86:AR93" si="72">IF(P86="사용자항목16", L86, 0)</f>
        <v>0</v>
      </c>
      <c r="AS86">
        <f t="shared" ref="AS86:AS93" si="73">IF(P86="사용자항목17", L86, 0)</f>
        <v>0</v>
      </c>
      <c r="AT86">
        <f t="shared" ref="AT86:AT93" si="74">IF(P86="사용자항목18", L86, 0)</f>
        <v>0</v>
      </c>
      <c r="AU86">
        <f t="shared" ref="AU86:AU93" si="75">IF(P86="사용자항목19", L86, 0)</f>
        <v>0</v>
      </c>
    </row>
    <row r="87" spans="1:51" ht="23.1" customHeight="1" x14ac:dyDescent="0.3">
      <c r="A87" s="14" t="s">
        <v>431</v>
      </c>
      <c r="B87" s="14" t="s">
        <v>178</v>
      </c>
      <c r="C87" s="16" t="s">
        <v>432</v>
      </c>
      <c r="D87" s="17">
        <v>0.25</v>
      </c>
      <c r="E87" s="17">
        <f>일위대가목록!G21</f>
        <v>7628</v>
      </c>
      <c r="F87" s="17">
        <f t="shared" si="42"/>
        <v>1907</v>
      </c>
      <c r="G87" s="17">
        <f>일위대가목록!I21</f>
        <v>220660</v>
      </c>
      <c r="H87" s="17">
        <f t="shared" si="43"/>
        <v>55165</v>
      </c>
      <c r="I87" s="17">
        <f>일위대가목록!K21</f>
        <v>1716</v>
      </c>
      <c r="J87" s="17">
        <f t="shared" si="44"/>
        <v>429</v>
      </c>
      <c r="K87" s="17">
        <f t="shared" si="45"/>
        <v>230004</v>
      </c>
      <c r="L87" s="17">
        <f t="shared" si="45"/>
        <v>57501</v>
      </c>
      <c r="M87" s="24" t="s">
        <v>430</v>
      </c>
      <c r="O87" t="str">
        <f>""</f>
        <v/>
      </c>
      <c r="P87" s="1" t="s">
        <v>219</v>
      </c>
      <c r="Q87">
        <v>1</v>
      </c>
      <c r="R87">
        <f t="shared" si="46"/>
        <v>429</v>
      </c>
      <c r="S87">
        <f t="shared" si="47"/>
        <v>0</v>
      </c>
      <c r="T87">
        <f t="shared" si="48"/>
        <v>0</v>
      </c>
      <c r="U87">
        <f t="shared" si="49"/>
        <v>0</v>
      </c>
      <c r="V87">
        <f t="shared" si="50"/>
        <v>0</v>
      </c>
      <c r="W87">
        <f t="shared" si="51"/>
        <v>0</v>
      </c>
      <c r="X87">
        <f t="shared" si="52"/>
        <v>0</v>
      </c>
      <c r="Y87">
        <f t="shared" si="53"/>
        <v>0</v>
      </c>
      <c r="Z87">
        <f t="shared" si="54"/>
        <v>0</v>
      </c>
      <c r="AA87">
        <f t="shared" si="55"/>
        <v>0</v>
      </c>
      <c r="AB87">
        <f t="shared" si="56"/>
        <v>0</v>
      </c>
      <c r="AC87">
        <f t="shared" si="57"/>
        <v>0</v>
      </c>
      <c r="AD87">
        <f t="shared" si="58"/>
        <v>0</v>
      </c>
      <c r="AE87">
        <f t="shared" si="59"/>
        <v>0</v>
      </c>
      <c r="AF87">
        <f t="shared" si="60"/>
        <v>0</v>
      </c>
      <c r="AG87">
        <f t="shared" si="61"/>
        <v>0</v>
      </c>
      <c r="AH87">
        <f t="shared" si="62"/>
        <v>0</v>
      </c>
      <c r="AI87">
        <f t="shared" si="63"/>
        <v>0</v>
      </c>
      <c r="AJ87">
        <f t="shared" si="64"/>
        <v>0</v>
      </c>
      <c r="AK87">
        <f t="shared" si="65"/>
        <v>0</v>
      </c>
      <c r="AL87">
        <f t="shared" si="66"/>
        <v>0</v>
      </c>
      <c r="AM87">
        <f t="shared" si="67"/>
        <v>0</v>
      </c>
      <c r="AN87">
        <f t="shared" si="68"/>
        <v>0</v>
      </c>
      <c r="AO87">
        <f t="shared" si="69"/>
        <v>0</v>
      </c>
      <c r="AP87">
        <f t="shared" si="70"/>
        <v>0</v>
      </c>
      <c r="AQ87">
        <f t="shared" si="71"/>
        <v>0</v>
      </c>
      <c r="AR87">
        <f t="shared" si="72"/>
        <v>0</v>
      </c>
      <c r="AS87">
        <f t="shared" si="73"/>
        <v>0</v>
      </c>
      <c r="AT87">
        <f t="shared" si="74"/>
        <v>0</v>
      </c>
      <c r="AU87">
        <f t="shared" si="75"/>
        <v>0</v>
      </c>
    </row>
    <row r="88" spans="1:51" ht="23.1" customHeight="1" x14ac:dyDescent="0.3">
      <c r="A88" s="14" t="s">
        <v>434</v>
      </c>
      <c r="B88" s="15"/>
      <c r="C88" s="16" t="s">
        <v>34</v>
      </c>
      <c r="D88" s="17">
        <v>58</v>
      </c>
      <c r="E88" s="17">
        <f>일위대가목록!G22</f>
        <v>0</v>
      </c>
      <c r="F88" s="17">
        <f t="shared" si="42"/>
        <v>0</v>
      </c>
      <c r="G88" s="17">
        <f>일위대가목록!I22</f>
        <v>2702</v>
      </c>
      <c r="H88" s="17">
        <f t="shared" si="43"/>
        <v>156716</v>
      </c>
      <c r="I88" s="17">
        <f>일위대가목록!K22</f>
        <v>0</v>
      </c>
      <c r="J88" s="17">
        <f t="shared" si="44"/>
        <v>0</v>
      </c>
      <c r="K88" s="17">
        <f t="shared" si="45"/>
        <v>2702</v>
      </c>
      <c r="L88" s="17">
        <f t="shared" si="45"/>
        <v>156716</v>
      </c>
      <c r="M88" s="24" t="s">
        <v>433</v>
      </c>
      <c r="O88" t="str">
        <f>""</f>
        <v/>
      </c>
      <c r="P88" s="1" t="s">
        <v>219</v>
      </c>
      <c r="Q88">
        <v>1</v>
      </c>
      <c r="R88">
        <f t="shared" si="46"/>
        <v>0</v>
      </c>
      <c r="S88">
        <f t="shared" si="47"/>
        <v>0</v>
      </c>
      <c r="T88">
        <f t="shared" si="48"/>
        <v>0</v>
      </c>
      <c r="U88">
        <f t="shared" si="49"/>
        <v>0</v>
      </c>
      <c r="V88">
        <f t="shared" si="50"/>
        <v>0</v>
      </c>
      <c r="W88">
        <f t="shared" si="51"/>
        <v>0</v>
      </c>
      <c r="X88">
        <f t="shared" si="52"/>
        <v>0</v>
      </c>
      <c r="Y88">
        <f t="shared" si="53"/>
        <v>0</v>
      </c>
      <c r="Z88">
        <f t="shared" si="54"/>
        <v>0</v>
      </c>
      <c r="AA88">
        <f t="shared" si="55"/>
        <v>0</v>
      </c>
      <c r="AB88">
        <f t="shared" si="56"/>
        <v>0</v>
      </c>
      <c r="AC88">
        <f t="shared" si="57"/>
        <v>0</v>
      </c>
      <c r="AD88">
        <f t="shared" si="58"/>
        <v>0</v>
      </c>
      <c r="AE88">
        <f t="shared" si="59"/>
        <v>0</v>
      </c>
      <c r="AF88">
        <f t="shared" si="60"/>
        <v>0</v>
      </c>
      <c r="AG88">
        <f t="shared" si="61"/>
        <v>0</v>
      </c>
      <c r="AH88">
        <f t="shared" si="62"/>
        <v>0</v>
      </c>
      <c r="AI88">
        <f t="shared" si="63"/>
        <v>0</v>
      </c>
      <c r="AJ88">
        <f t="shared" si="64"/>
        <v>0</v>
      </c>
      <c r="AK88">
        <f t="shared" si="65"/>
        <v>0</v>
      </c>
      <c r="AL88">
        <f t="shared" si="66"/>
        <v>0</v>
      </c>
      <c r="AM88">
        <f t="shared" si="67"/>
        <v>0</v>
      </c>
      <c r="AN88">
        <f t="shared" si="68"/>
        <v>0</v>
      </c>
      <c r="AO88">
        <f t="shared" si="69"/>
        <v>0</v>
      </c>
      <c r="AP88">
        <f t="shared" si="70"/>
        <v>0</v>
      </c>
      <c r="AQ88">
        <f t="shared" si="71"/>
        <v>0</v>
      </c>
      <c r="AR88">
        <f t="shared" si="72"/>
        <v>0</v>
      </c>
      <c r="AS88">
        <f t="shared" si="73"/>
        <v>0</v>
      </c>
      <c r="AT88">
        <f t="shared" si="74"/>
        <v>0</v>
      </c>
      <c r="AU88">
        <f t="shared" si="75"/>
        <v>0</v>
      </c>
      <c r="AY88" s="1" t="s">
        <v>393</v>
      </c>
    </row>
    <row r="89" spans="1:51" ht="23.1" customHeight="1" x14ac:dyDescent="0.3">
      <c r="A89" s="14" t="s">
        <v>436</v>
      </c>
      <c r="B89" s="14" t="s">
        <v>337</v>
      </c>
      <c r="C89" s="16" t="s">
        <v>34</v>
      </c>
      <c r="D89" s="17">
        <v>25</v>
      </c>
      <c r="E89" s="17">
        <f>일위대가목록!G23</f>
        <v>0</v>
      </c>
      <c r="F89" s="17">
        <f t="shared" si="42"/>
        <v>0</v>
      </c>
      <c r="G89" s="17">
        <f>일위대가목록!I23</f>
        <v>6042</v>
      </c>
      <c r="H89" s="17">
        <f t="shared" si="43"/>
        <v>151050</v>
      </c>
      <c r="I89" s="17">
        <f>일위대가목록!K23</f>
        <v>0</v>
      </c>
      <c r="J89" s="17">
        <f t="shared" si="44"/>
        <v>0</v>
      </c>
      <c r="K89" s="17">
        <f t="shared" si="45"/>
        <v>6042</v>
      </c>
      <c r="L89" s="17">
        <f t="shared" si="45"/>
        <v>151050</v>
      </c>
      <c r="M89" s="24" t="s">
        <v>435</v>
      </c>
      <c r="O89" t="str">
        <f>""</f>
        <v/>
      </c>
      <c r="P89" s="1" t="s">
        <v>219</v>
      </c>
      <c r="Q89">
        <v>1</v>
      </c>
      <c r="R89">
        <f t="shared" si="46"/>
        <v>0</v>
      </c>
      <c r="S89">
        <f t="shared" si="47"/>
        <v>0</v>
      </c>
      <c r="T89">
        <f t="shared" si="48"/>
        <v>0</v>
      </c>
      <c r="U89">
        <f t="shared" si="49"/>
        <v>0</v>
      </c>
      <c r="V89">
        <f t="shared" si="50"/>
        <v>0</v>
      </c>
      <c r="W89">
        <f t="shared" si="51"/>
        <v>0</v>
      </c>
      <c r="X89">
        <f t="shared" si="52"/>
        <v>0</v>
      </c>
      <c r="Y89">
        <f t="shared" si="53"/>
        <v>0</v>
      </c>
      <c r="Z89">
        <f t="shared" si="54"/>
        <v>0</v>
      </c>
      <c r="AA89">
        <f t="shared" si="55"/>
        <v>0</v>
      </c>
      <c r="AB89">
        <f t="shared" si="56"/>
        <v>0</v>
      </c>
      <c r="AC89">
        <f t="shared" si="57"/>
        <v>0</v>
      </c>
      <c r="AD89">
        <f t="shared" si="58"/>
        <v>0</v>
      </c>
      <c r="AE89">
        <f t="shared" si="59"/>
        <v>0</v>
      </c>
      <c r="AF89">
        <f t="shared" si="60"/>
        <v>0</v>
      </c>
      <c r="AG89">
        <f t="shared" si="61"/>
        <v>0</v>
      </c>
      <c r="AH89">
        <f t="shared" si="62"/>
        <v>0</v>
      </c>
      <c r="AI89">
        <f t="shared" si="63"/>
        <v>0</v>
      </c>
      <c r="AJ89">
        <f t="shared" si="64"/>
        <v>0</v>
      </c>
      <c r="AK89">
        <f t="shared" si="65"/>
        <v>0</v>
      </c>
      <c r="AL89">
        <f t="shared" si="66"/>
        <v>0</v>
      </c>
      <c r="AM89">
        <f t="shared" si="67"/>
        <v>0</v>
      </c>
      <c r="AN89">
        <f t="shared" si="68"/>
        <v>0</v>
      </c>
      <c r="AO89">
        <f t="shared" si="69"/>
        <v>0</v>
      </c>
      <c r="AP89">
        <f t="shared" si="70"/>
        <v>0</v>
      </c>
      <c r="AQ89">
        <f t="shared" si="71"/>
        <v>0</v>
      </c>
      <c r="AR89">
        <f t="shared" si="72"/>
        <v>0</v>
      </c>
      <c r="AS89">
        <f t="shared" si="73"/>
        <v>0</v>
      </c>
      <c r="AT89">
        <f t="shared" si="74"/>
        <v>0</v>
      </c>
      <c r="AU89">
        <f t="shared" si="75"/>
        <v>0</v>
      </c>
      <c r="AY89" s="1" t="s">
        <v>393</v>
      </c>
    </row>
    <row r="90" spans="1:51" ht="23.1" customHeight="1" x14ac:dyDescent="0.3">
      <c r="A90" s="14" t="s">
        <v>438</v>
      </c>
      <c r="B90" s="14" t="s">
        <v>439</v>
      </c>
      <c r="C90" s="16" t="s">
        <v>320</v>
      </c>
      <c r="D90" s="17">
        <v>24</v>
      </c>
      <c r="E90" s="17">
        <f>일위대가목록!G24</f>
        <v>0</v>
      </c>
      <c r="F90" s="17">
        <f t="shared" si="42"/>
        <v>0</v>
      </c>
      <c r="G90" s="17">
        <f>일위대가목록!I24</f>
        <v>302</v>
      </c>
      <c r="H90" s="17">
        <f t="shared" si="43"/>
        <v>7248</v>
      </c>
      <c r="I90" s="17">
        <f>일위대가목록!K24</f>
        <v>0</v>
      </c>
      <c r="J90" s="17">
        <f t="shared" si="44"/>
        <v>0</v>
      </c>
      <c r="K90" s="17">
        <f t="shared" si="45"/>
        <v>302</v>
      </c>
      <c r="L90" s="17">
        <f t="shared" si="45"/>
        <v>7248</v>
      </c>
      <c r="M90" s="24" t="s">
        <v>437</v>
      </c>
      <c r="O90" t="str">
        <f>""</f>
        <v/>
      </c>
      <c r="P90" s="1" t="s">
        <v>219</v>
      </c>
      <c r="Q90">
        <v>1</v>
      </c>
      <c r="R90">
        <f t="shared" si="46"/>
        <v>0</v>
      </c>
      <c r="S90">
        <f t="shared" si="47"/>
        <v>0</v>
      </c>
      <c r="T90">
        <f t="shared" si="48"/>
        <v>0</v>
      </c>
      <c r="U90">
        <f t="shared" si="49"/>
        <v>0</v>
      </c>
      <c r="V90">
        <f t="shared" si="50"/>
        <v>0</v>
      </c>
      <c r="W90">
        <f t="shared" si="51"/>
        <v>0</v>
      </c>
      <c r="X90">
        <f t="shared" si="52"/>
        <v>0</v>
      </c>
      <c r="Y90">
        <f t="shared" si="53"/>
        <v>0</v>
      </c>
      <c r="Z90">
        <f t="shared" si="54"/>
        <v>0</v>
      </c>
      <c r="AA90">
        <f t="shared" si="55"/>
        <v>0</v>
      </c>
      <c r="AB90">
        <f t="shared" si="56"/>
        <v>0</v>
      </c>
      <c r="AC90">
        <f t="shared" si="57"/>
        <v>0</v>
      </c>
      <c r="AD90">
        <f t="shared" si="58"/>
        <v>0</v>
      </c>
      <c r="AE90">
        <f t="shared" si="59"/>
        <v>0</v>
      </c>
      <c r="AF90">
        <f t="shared" si="60"/>
        <v>0</v>
      </c>
      <c r="AG90">
        <f t="shared" si="61"/>
        <v>0</v>
      </c>
      <c r="AH90">
        <f t="shared" si="62"/>
        <v>0</v>
      </c>
      <c r="AI90">
        <f t="shared" si="63"/>
        <v>0</v>
      </c>
      <c r="AJ90">
        <f t="shared" si="64"/>
        <v>0</v>
      </c>
      <c r="AK90">
        <f t="shared" si="65"/>
        <v>0</v>
      </c>
      <c r="AL90">
        <f t="shared" si="66"/>
        <v>0</v>
      </c>
      <c r="AM90">
        <f t="shared" si="67"/>
        <v>0</v>
      </c>
      <c r="AN90">
        <f t="shared" si="68"/>
        <v>0</v>
      </c>
      <c r="AO90">
        <f t="shared" si="69"/>
        <v>0</v>
      </c>
      <c r="AP90">
        <f t="shared" si="70"/>
        <v>0</v>
      </c>
      <c r="AQ90">
        <f t="shared" si="71"/>
        <v>0</v>
      </c>
      <c r="AR90">
        <f t="shared" si="72"/>
        <v>0</v>
      </c>
      <c r="AS90">
        <f t="shared" si="73"/>
        <v>0</v>
      </c>
      <c r="AT90">
        <f t="shared" si="74"/>
        <v>0</v>
      </c>
      <c r="AU90">
        <f t="shared" si="75"/>
        <v>0</v>
      </c>
      <c r="AY90" s="1" t="s">
        <v>393</v>
      </c>
    </row>
    <row r="91" spans="1:51" ht="23.1" customHeight="1" x14ac:dyDescent="0.3">
      <c r="A91" s="14" t="s">
        <v>441</v>
      </c>
      <c r="B91" s="14" t="s">
        <v>337</v>
      </c>
      <c r="C91" s="16" t="s">
        <v>34</v>
      </c>
      <c r="D91" s="17">
        <v>64</v>
      </c>
      <c r="E91" s="17">
        <f>일위대가목록!G25</f>
        <v>0</v>
      </c>
      <c r="F91" s="17">
        <f t="shared" si="42"/>
        <v>0</v>
      </c>
      <c r="G91" s="17">
        <f>일위대가목록!I25</f>
        <v>5951</v>
      </c>
      <c r="H91" s="17">
        <f t="shared" si="43"/>
        <v>380864</v>
      </c>
      <c r="I91" s="17">
        <f>일위대가목록!K25</f>
        <v>0</v>
      </c>
      <c r="J91" s="17">
        <f t="shared" si="44"/>
        <v>0</v>
      </c>
      <c r="K91" s="17">
        <f t="shared" si="45"/>
        <v>5951</v>
      </c>
      <c r="L91" s="17">
        <f t="shared" si="45"/>
        <v>380864</v>
      </c>
      <c r="M91" s="24" t="s">
        <v>440</v>
      </c>
      <c r="O91" t="str">
        <f>""</f>
        <v/>
      </c>
      <c r="P91" s="1" t="s">
        <v>219</v>
      </c>
      <c r="Q91">
        <v>1</v>
      </c>
      <c r="R91">
        <f t="shared" si="46"/>
        <v>0</v>
      </c>
      <c r="S91">
        <f t="shared" si="47"/>
        <v>0</v>
      </c>
      <c r="T91">
        <f t="shared" si="48"/>
        <v>0</v>
      </c>
      <c r="U91">
        <f t="shared" si="49"/>
        <v>0</v>
      </c>
      <c r="V91">
        <f t="shared" si="50"/>
        <v>0</v>
      </c>
      <c r="W91">
        <f t="shared" si="51"/>
        <v>0</v>
      </c>
      <c r="X91">
        <f t="shared" si="52"/>
        <v>0</v>
      </c>
      <c r="Y91">
        <f t="shared" si="53"/>
        <v>0</v>
      </c>
      <c r="Z91">
        <f t="shared" si="54"/>
        <v>0</v>
      </c>
      <c r="AA91">
        <f t="shared" si="55"/>
        <v>0</v>
      </c>
      <c r="AB91">
        <f t="shared" si="56"/>
        <v>0</v>
      </c>
      <c r="AC91">
        <f t="shared" si="57"/>
        <v>0</v>
      </c>
      <c r="AD91">
        <f t="shared" si="58"/>
        <v>0</v>
      </c>
      <c r="AE91">
        <f t="shared" si="59"/>
        <v>0</v>
      </c>
      <c r="AF91">
        <f t="shared" si="60"/>
        <v>0</v>
      </c>
      <c r="AG91">
        <f t="shared" si="61"/>
        <v>0</v>
      </c>
      <c r="AH91">
        <f t="shared" si="62"/>
        <v>0</v>
      </c>
      <c r="AI91">
        <f t="shared" si="63"/>
        <v>0</v>
      </c>
      <c r="AJ91">
        <f t="shared" si="64"/>
        <v>0</v>
      </c>
      <c r="AK91">
        <f t="shared" si="65"/>
        <v>0</v>
      </c>
      <c r="AL91">
        <f t="shared" si="66"/>
        <v>0</v>
      </c>
      <c r="AM91">
        <f t="shared" si="67"/>
        <v>0</v>
      </c>
      <c r="AN91">
        <f t="shared" si="68"/>
        <v>0</v>
      </c>
      <c r="AO91">
        <f t="shared" si="69"/>
        <v>0</v>
      </c>
      <c r="AP91">
        <f t="shared" si="70"/>
        <v>0</v>
      </c>
      <c r="AQ91">
        <f t="shared" si="71"/>
        <v>0</v>
      </c>
      <c r="AR91">
        <f t="shared" si="72"/>
        <v>0</v>
      </c>
      <c r="AS91">
        <f t="shared" si="73"/>
        <v>0</v>
      </c>
      <c r="AT91">
        <f t="shared" si="74"/>
        <v>0</v>
      </c>
      <c r="AU91">
        <f t="shared" si="75"/>
        <v>0</v>
      </c>
      <c r="AY91" s="1" t="s">
        <v>393</v>
      </c>
    </row>
    <row r="92" spans="1:51" ht="23.1" customHeight="1" x14ac:dyDescent="0.3">
      <c r="A92" s="14" t="s">
        <v>163</v>
      </c>
      <c r="B92" s="14" t="s">
        <v>164</v>
      </c>
      <c r="C92" s="16" t="s">
        <v>165</v>
      </c>
      <c r="D92" s="17">
        <v>0.56999999999999995</v>
      </c>
      <c r="E92" s="17">
        <v>0</v>
      </c>
      <c r="F92" s="17">
        <f t="shared" si="42"/>
        <v>0</v>
      </c>
      <c r="G92" s="17">
        <v>0</v>
      </c>
      <c r="H92" s="17">
        <f t="shared" si="43"/>
        <v>0</v>
      </c>
      <c r="I92" s="17">
        <f>단가대비표!O52</f>
        <v>3890</v>
      </c>
      <c r="J92" s="17">
        <f t="shared" si="44"/>
        <v>2217</v>
      </c>
      <c r="K92" s="17">
        <f t="shared" si="45"/>
        <v>3890</v>
      </c>
      <c r="L92" s="17">
        <f t="shared" si="45"/>
        <v>2217</v>
      </c>
      <c r="M92" s="24" t="s">
        <v>169</v>
      </c>
      <c r="O92" t="str">
        <f>"03"</f>
        <v>03</v>
      </c>
      <c r="P92" s="1" t="s">
        <v>219</v>
      </c>
      <c r="Q92">
        <v>1</v>
      </c>
      <c r="R92">
        <f t="shared" si="46"/>
        <v>2217</v>
      </c>
      <c r="S92">
        <f t="shared" si="47"/>
        <v>0</v>
      </c>
      <c r="T92">
        <f t="shared" si="48"/>
        <v>0</v>
      </c>
      <c r="U92">
        <f t="shared" si="49"/>
        <v>0</v>
      </c>
      <c r="V92">
        <f t="shared" si="50"/>
        <v>0</v>
      </c>
      <c r="W92">
        <f t="shared" si="51"/>
        <v>0</v>
      </c>
      <c r="X92">
        <f t="shared" si="52"/>
        <v>0</v>
      </c>
      <c r="Y92">
        <f t="shared" si="53"/>
        <v>0</v>
      </c>
      <c r="Z92">
        <f t="shared" si="54"/>
        <v>0</v>
      </c>
      <c r="AA92">
        <f t="shared" si="55"/>
        <v>0</v>
      </c>
      <c r="AB92">
        <f t="shared" si="56"/>
        <v>0</v>
      </c>
      <c r="AC92">
        <f t="shared" si="57"/>
        <v>0</v>
      </c>
      <c r="AD92">
        <f t="shared" si="58"/>
        <v>0</v>
      </c>
      <c r="AE92">
        <f t="shared" si="59"/>
        <v>0</v>
      </c>
      <c r="AF92">
        <f t="shared" si="60"/>
        <v>0</v>
      </c>
      <c r="AG92">
        <f t="shared" si="61"/>
        <v>0</v>
      </c>
      <c r="AH92">
        <f t="shared" si="62"/>
        <v>0</v>
      </c>
      <c r="AI92">
        <f t="shared" si="63"/>
        <v>0</v>
      </c>
      <c r="AJ92">
        <f t="shared" si="64"/>
        <v>0</v>
      </c>
      <c r="AK92">
        <f t="shared" si="65"/>
        <v>0</v>
      </c>
      <c r="AL92">
        <f t="shared" si="66"/>
        <v>0</v>
      </c>
      <c r="AM92">
        <f t="shared" si="67"/>
        <v>0</v>
      </c>
      <c r="AN92">
        <f t="shared" si="68"/>
        <v>0</v>
      </c>
      <c r="AO92">
        <f t="shared" si="69"/>
        <v>0</v>
      </c>
      <c r="AP92">
        <f t="shared" si="70"/>
        <v>0</v>
      </c>
      <c r="AQ92">
        <f t="shared" si="71"/>
        <v>0</v>
      </c>
      <c r="AR92">
        <f t="shared" si="72"/>
        <v>0</v>
      </c>
      <c r="AS92">
        <f t="shared" si="73"/>
        <v>0</v>
      </c>
      <c r="AT92">
        <f t="shared" si="74"/>
        <v>0</v>
      </c>
      <c r="AU92">
        <f t="shared" si="75"/>
        <v>0</v>
      </c>
    </row>
    <row r="93" spans="1:51" ht="23.1" customHeight="1" x14ac:dyDescent="0.3">
      <c r="A93" s="14" t="s">
        <v>163</v>
      </c>
      <c r="B93" s="14" t="s">
        <v>170</v>
      </c>
      <c r="C93" s="16" t="s">
        <v>165</v>
      </c>
      <c r="D93" s="17">
        <v>0.78</v>
      </c>
      <c r="E93" s="17">
        <v>0</v>
      </c>
      <c r="F93" s="17">
        <f t="shared" si="42"/>
        <v>0</v>
      </c>
      <c r="G93" s="17">
        <v>0</v>
      </c>
      <c r="H93" s="17">
        <f t="shared" si="43"/>
        <v>0</v>
      </c>
      <c r="I93" s="17">
        <f>단가대비표!O53</f>
        <v>6420</v>
      </c>
      <c r="J93" s="17">
        <f t="shared" si="44"/>
        <v>5007</v>
      </c>
      <c r="K93" s="17">
        <f t="shared" si="45"/>
        <v>6420</v>
      </c>
      <c r="L93" s="17">
        <f t="shared" si="45"/>
        <v>5007</v>
      </c>
      <c r="M93" s="24" t="s">
        <v>169</v>
      </c>
      <c r="O93" t="str">
        <f>"03"</f>
        <v>03</v>
      </c>
      <c r="P93" s="1" t="s">
        <v>219</v>
      </c>
      <c r="Q93">
        <v>1</v>
      </c>
      <c r="R93">
        <f t="shared" si="46"/>
        <v>5007</v>
      </c>
      <c r="S93">
        <f t="shared" si="47"/>
        <v>0</v>
      </c>
      <c r="T93">
        <f t="shared" si="48"/>
        <v>0</v>
      </c>
      <c r="U93">
        <f t="shared" si="49"/>
        <v>0</v>
      </c>
      <c r="V93">
        <f t="shared" si="50"/>
        <v>0</v>
      </c>
      <c r="W93">
        <f t="shared" si="51"/>
        <v>0</v>
      </c>
      <c r="X93">
        <f t="shared" si="52"/>
        <v>0</v>
      </c>
      <c r="Y93">
        <f t="shared" si="53"/>
        <v>0</v>
      </c>
      <c r="Z93">
        <f t="shared" si="54"/>
        <v>0</v>
      </c>
      <c r="AA93">
        <f t="shared" si="55"/>
        <v>0</v>
      </c>
      <c r="AB93">
        <f t="shared" si="56"/>
        <v>0</v>
      </c>
      <c r="AC93">
        <f t="shared" si="57"/>
        <v>0</v>
      </c>
      <c r="AD93">
        <f t="shared" si="58"/>
        <v>0</v>
      </c>
      <c r="AE93">
        <f t="shared" si="59"/>
        <v>0</v>
      </c>
      <c r="AF93">
        <f t="shared" si="60"/>
        <v>0</v>
      </c>
      <c r="AG93">
        <f t="shared" si="61"/>
        <v>0</v>
      </c>
      <c r="AH93">
        <f t="shared" si="62"/>
        <v>0</v>
      </c>
      <c r="AI93">
        <f t="shared" si="63"/>
        <v>0</v>
      </c>
      <c r="AJ93">
        <f t="shared" si="64"/>
        <v>0</v>
      </c>
      <c r="AK93">
        <f t="shared" si="65"/>
        <v>0</v>
      </c>
      <c r="AL93">
        <f t="shared" si="66"/>
        <v>0</v>
      </c>
      <c r="AM93">
        <f t="shared" si="67"/>
        <v>0</v>
      </c>
      <c r="AN93">
        <f t="shared" si="68"/>
        <v>0</v>
      </c>
      <c r="AO93">
        <f t="shared" si="69"/>
        <v>0</v>
      </c>
      <c r="AP93">
        <f t="shared" si="70"/>
        <v>0</v>
      </c>
      <c r="AQ93">
        <f t="shared" si="71"/>
        <v>0</v>
      </c>
      <c r="AR93">
        <f t="shared" si="72"/>
        <v>0</v>
      </c>
      <c r="AS93">
        <f t="shared" si="73"/>
        <v>0</v>
      </c>
      <c r="AT93">
        <f t="shared" si="74"/>
        <v>0</v>
      </c>
      <c r="AU93">
        <f t="shared" si="75"/>
        <v>0</v>
      </c>
    </row>
    <row r="94" spans="1:51" ht="23.1" customHeight="1" x14ac:dyDescent="0.3">
      <c r="A94" s="15"/>
      <c r="B94" s="15"/>
      <c r="C94" s="22"/>
      <c r="D94" s="17"/>
      <c r="E94" s="17"/>
      <c r="F94" s="17"/>
      <c r="G94" s="17"/>
      <c r="H94" s="17"/>
      <c r="I94" s="17"/>
      <c r="J94" s="17"/>
      <c r="K94" s="17"/>
      <c r="L94" s="17"/>
      <c r="M94" s="17"/>
    </row>
    <row r="95" spans="1:51" ht="23.1" customHeight="1" x14ac:dyDescent="0.3">
      <c r="A95" s="15"/>
      <c r="B95" s="15"/>
      <c r="C95" s="22"/>
      <c r="D95" s="17"/>
      <c r="E95" s="17"/>
      <c r="F95" s="17"/>
      <c r="G95" s="17"/>
      <c r="H95" s="17"/>
      <c r="I95" s="17"/>
      <c r="J95" s="17"/>
      <c r="K95" s="17"/>
      <c r="L95" s="17"/>
      <c r="M95" s="17"/>
    </row>
    <row r="96" spans="1:51" ht="23.1" customHeight="1" x14ac:dyDescent="0.3">
      <c r="A96" s="15"/>
      <c r="B96" s="15"/>
      <c r="C96" s="22"/>
      <c r="D96" s="17"/>
      <c r="E96" s="17"/>
      <c r="F96" s="17"/>
      <c r="G96" s="17"/>
      <c r="H96" s="17"/>
      <c r="I96" s="17"/>
      <c r="J96" s="17"/>
      <c r="K96" s="17"/>
      <c r="L96" s="17"/>
      <c r="M96" s="17"/>
    </row>
    <row r="97" spans="1:51" ht="23.1" customHeight="1" x14ac:dyDescent="0.3">
      <c r="A97" s="15"/>
      <c r="B97" s="15"/>
      <c r="C97" s="22"/>
      <c r="D97" s="17"/>
      <c r="E97" s="17"/>
      <c r="F97" s="17"/>
      <c r="G97" s="17"/>
      <c r="H97" s="17"/>
      <c r="I97" s="17"/>
      <c r="J97" s="17"/>
      <c r="K97" s="17"/>
      <c r="L97" s="17"/>
      <c r="M97" s="17"/>
    </row>
    <row r="98" spans="1:51" ht="23.1" customHeight="1" x14ac:dyDescent="0.3">
      <c r="A98" s="15"/>
      <c r="B98" s="15"/>
      <c r="C98" s="22"/>
      <c r="D98" s="17"/>
      <c r="E98" s="17"/>
      <c r="F98" s="17"/>
      <c r="G98" s="17"/>
      <c r="H98" s="17"/>
      <c r="I98" s="17"/>
      <c r="J98" s="17"/>
      <c r="K98" s="17"/>
      <c r="L98" s="17"/>
      <c r="M98" s="17"/>
    </row>
    <row r="99" spans="1:51" ht="23.1" customHeight="1" x14ac:dyDescent="0.3">
      <c r="A99" s="15"/>
      <c r="B99" s="15"/>
      <c r="C99" s="22"/>
      <c r="D99" s="17"/>
      <c r="E99" s="17"/>
      <c r="F99" s="17"/>
      <c r="G99" s="17"/>
      <c r="H99" s="17"/>
      <c r="I99" s="17"/>
      <c r="J99" s="17"/>
      <c r="K99" s="17"/>
      <c r="L99" s="17"/>
      <c r="M99" s="17"/>
    </row>
    <row r="100" spans="1:51" ht="23.1" customHeight="1" x14ac:dyDescent="0.3">
      <c r="A100" s="18" t="s">
        <v>231</v>
      </c>
      <c r="B100" s="19"/>
      <c r="C100" s="20"/>
      <c r="D100" s="21"/>
      <c r="E100" s="21"/>
      <c r="F100" s="21">
        <f>ROUNDDOWN(SUMIF(Q86:Q99, "1", F86:F99), 0)</f>
        <v>26632</v>
      </c>
      <c r="G100" s="21"/>
      <c r="H100" s="21">
        <f>ROUNDDOWN(SUMIF(Q86:Q99, "1", H86:H99), 0)</f>
        <v>817768</v>
      </c>
      <c r="I100" s="21"/>
      <c r="J100" s="21">
        <f>ROUNDDOWN(SUMIF(Q86:Q99, "1", J86:J99), 0)</f>
        <v>9353</v>
      </c>
      <c r="K100" s="21"/>
      <c r="L100" s="21">
        <f>F100+H100+J100</f>
        <v>853753</v>
      </c>
      <c r="M100" s="21"/>
      <c r="R100">
        <f t="shared" ref="R100:AY100" si="76">ROUNDDOWN(SUM(R86:R93), 0)</f>
        <v>9353</v>
      </c>
      <c r="S100">
        <f t="shared" si="76"/>
        <v>0</v>
      </c>
      <c r="T100">
        <f t="shared" si="76"/>
        <v>0</v>
      </c>
      <c r="U100">
        <f t="shared" si="76"/>
        <v>0</v>
      </c>
      <c r="V100">
        <f t="shared" si="76"/>
        <v>0</v>
      </c>
      <c r="W100">
        <f t="shared" si="76"/>
        <v>0</v>
      </c>
      <c r="X100">
        <f t="shared" si="76"/>
        <v>0</v>
      </c>
      <c r="Y100">
        <f t="shared" si="76"/>
        <v>0</v>
      </c>
      <c r="Z100">
        <f t="shared" si="76"/>
        <v>0</v>
      </c>
      <c r="AA100">
        <f t="shared" si="76"/>
        <v>0</v>
      </c>
      <c r="AB100">
        <f t="shared" si="76"/>
        <v>0</v>
      </c>
      <c r="AC100">
        <f t="shared" si="76"/>
        <v>0</v>
      </c>
      <c r="AD100">
        <f t="shared" si="76"/>
        <v>0</v>
      </c>
      <c r="AE100">
        <f t="shared" si="76"/>
        <v>0</v>
      </c>
      <c r="AF100">
        <f t="shared" si="76"/>
        <v>0</v>
      </c>
      <c r="AG100">
        <f t="shared" si="76"/>
        <v>0</v>
      </c>
      <c r="AH100">
        <f t="shared" si="76"/>
        <v>0</v>
      </c>
      <c r="AI100">
        <f t="shared" si="76"/>
        <v>0</v>
      </c>
      <c r="AJ100">
        <f t="shared" si="76"/>
        <v>0</v>
      </c>
      <c r="AK100">
        <f t="shared" si="76"/>
        <v>0</v>
      </c>
      <c r="AL100">
        <f t="shared" si="76"/>
        <v>0</v>
      </c>
      <c r="AM100">
        <f t="shared" si="76"/>
        <v>0</v>
      </c>
      <c r="AN100">
        <f t="shared" si="76"/>
        <v>0</v>
      </c>
      <c r="AO100">
        <f t="shared" si="76"/>
        <v>0</v>
      </c>
      <c r="AP100">
        <f t="shared" si="76"/>
        <v>0</v>
      </c>
      <c r="AQ100">
        <f t="shared" si="76"/>
        <v>0</v>
      </c>
      <c r="AR100">
        <f t="shared" si="76"/>
        <v>0</v>
      </c>
      <c r="AS100">
        <f t="shared" si="76"/>
        <v>0</v>
      </c>
      <c r="AT100">
        <f t="shared" si="76"/>
        <v>0</v>
      </c>
      <c r="AU100">
        <f t="shared" si="76"/>
        <v>0</v>
      </c>
      <c r="AV100">
        <f t="shared" si="76"/>
        <v>0</v>
      </c>
      <c r="AW100">
        <f t="shared" si="76"/>
        <v>0</v>
      </c>
      <c r="AX100">
        <f t="shared" si="76"/>
        <v>0</v>
      </c>
      <c r="AY100">
        <f t="shared" si="76"/>
        <v>0</v>
      </c>
    </row>
    <row r="101" spans="1:51" ht="23.1" customHeight="1" x14ac:dyDescent="0.3">
      <c r="A101" s="56" t="s">
        <v>484</v>
      </c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</row>
    <row r="102" spans="1:51" ht="23.1" customHeight="1" x14ac:dyDescent="0.3">
      <c r="A102" s="14" t="s">
        <v>184</v>
      </c>
      <c r="B102" s="14" t="s">
        <v>185</v>
      </c>
      <c r="C102" s="16" t="s">
        <v>186</v>
      </c>
      <c r="D102" s="17">
        <v>0.56999999999999995</v>
      </c>
      <c r="E102" s="17">
        <v>0</v>
      </c>
      <c r="F102" s="17">
        <f>ROUNDDOWN(D102*E102, 0)</f>
        <v>0</v>
      </c>
      <c r="G102" s="17">
        <v>0</v>
      </c>
      <c r="H102" s="17">
        <f>ROUNDDOWN(D102*G102, 0)</f>
        <v>0</v>
      </c>
      <c r="I102" s="17">
        <f>단가대비표!O59</f>
        <v>49571</v>
      </c>
      <c r="J102" s="17">
        <f>ROUNDDOWN(D102*I102, 0)</f>
        <v>28255</v>
      </c>
      <c r="K102" s="17">
        <f t="shared" ref="K102:L106" si="77">E102+G102+I102</f>
        <v>49571</v>
      </c>
      <c r="L102" s="17">
        <f t="shared" si="77"/>
        <v>28255</v>
      </c>
      <c r="M102" s="24" t="s">
        <v>189</v>
      </c>
      <c r="O102" t="str">
        <f>"03"</f>
        <v>03</v>
      </c>
      <c r="P102" t="s">
        <v>451</v>
      </c>
      <c r="Q102">
        <v>1</v>
      </c>
      <c r="R102">
        <f>IF(P102="기계경비", J102, 0)</f>
        <v>0</v>
      </c>
      <c r="S102">
        <f>IF(P102="운반비", L102, 0)</f>
        <v>0</v>
      </c>
      <c r="T102">
        <f>IF(P102="작업부산물", F102, 0)</f>
        <v>0</v>
      </c>
      <c r="U102">
        <f>IF(P102="관급", F102, 0)</f>
        <v>0</v>
      </c>
      <c r="V102">
        <f>IF(P102="외주비", J102, 0)</f>
        <v>0</v>
      </c>
      <c r="W102">
        <f>IF(P102="장비비", J102, 0)</f>
        <v>0</v>
      </c>
      <c r="X102">
        <f>IF(P102="폐기물처리비", L102, 0)</f>
        <v>28255</v>
      </c>
      <c r="Y102">
        <f>IF(P102="가설비", J102, 0)</f>
        <v>0</v>
      </c>
      <c r="Z102">
        <f>IF(P102="잡비제외분", F102, 0)</f>
        <v>0</v>
      </c>
      <c r="AA102">
        <f>IF(P102="사급자재대", L102, 0)</f>
        <v>0</v>
      </c>
      <c r="AB102">
        <f>IF(P102="관급자재대", L102, 0)</f>
        <v>0</v>
      </c>
      <c r="AC102">
        <f>IF(P102="사용자항목1", L102, 0)</f>
        <v>0</v>
      </c>
      <c r="AD102">
        <f>IF(P102="사용자항목2", L102, 0)</f>
        <v>0</v>
      </c>
      <c r="AE102">
        <f>IF(P102="안전관리비", L102, 0)</f>
        <v>0</v>
      </c>
      <c r="AF102">
        <f>IF(P102="품질관리비", L102, 0)</f>
        <v>0</v>
      </c>
      <c r="AG102">
        <f>IF(P102="작업부산물(철거해체)", L102, 0)</f>
        <v>0</v>
      </c>
      <c r="AH102">
        <f>IF(P102="사용자항목6", L102, 0)</f>
        <v>0</v>
      </c>
      <c r="AI102">
        <f>IF(P102="사용자항목7", L102, 0)</f>
        <v>0</v>
      </c>
      <c r="AJ102">
        <f>IF(P102="사용자항목8", L102, 0)</f>
        <v>0</v>
      </c>
      <c r="AK102">
        <f>IF(P102="사용자항목9", L102, 0)</f>
        <v>0</v>
      </c>
      <c r="AL102">
        <f>IF(P102="사용자항목10", L102, 0)</f>
        <v>0</v>
      </c>
      <c r="AM102">
        <f>IF(P102="사용자항목11", L102, 0)</f>
        <v>0</v>
      </c>
      <c r="AN102">
        <f>IF(P102="사용자항목12", L102, 0)</f>
        <v>0</v>
      </c>
      <c r="AO102">
        <f>IF(P102="사용자항목13", L102, 0)</f>
        <v>0</v>
      </c>
      <c r="AP102">
        <f>IF(P102="사용자항목14", L102, 0)</f>
        <v>0</v>
      </c>
      <c r="AQ102">
        <f>IF(P102="사용자항목15", L102, 0)</f>
        <v>0</v>
      </c>
      <c r="AR102">
        <f>IF(P102="사용자항목16", L102, 0)</f>
        <v>0</v>
      </c>
      <c r="AS102">
        <f>IF(P102="사용자항목17", L102, 0)</f>
        <v>0</v>
      </c>
      <c r="AT102">
        <f>IF(P102="사용자항목18", L102, 0)</f>
        <v>0</v>
      </c>
      <c r="AU102">
        <f>IF(P102="사용자항목19", L102, 0)</f>
        <v>0</v>
      </c>
    </row>
    <row r="103" spans="1:51" ht="23.1" customHeight="1" x14ac:dyDescent="0.3">
      <c r="A103" s="14" t="s">
        <v>193</v>
      </c>
      <c r="B103" s="14" t="s">
        <v>194</v>
      </c>
      <c r="C103" s="16" t="s">
        <v>165</v>
      </c>
      <c r="D103" s="17">
        <v>0.33</v>
      </c>
      <c r="E103" s="17">
        <v>0</v>
      </c>
      <c r="F103" s="17">
        <f>ROUNDDOWN(D103*E103, 0)</f>
        <v>0</v>
      </c>
      <c r="G103" s="17">
        <v>0</v>
      </c>
      <c r="H103" s="17">
        <f>ROUNDDOWN(D103*G103, 0)</f>
        <v>0</v>
      </c>
      <c r="I103" s="17">
        <f>단가대비표!O61</f>
        <v>192887</v>
      </c>
      <c r="J103" s="17">
        <f>ROUNDDOWN(D103*I103, 0)</f>
        <v>63652</v>
      </c>
      <c r="K103" s="17">
        <f t="shared" si="77"/>
        <v>192887</v>
      </c>
      <c r="L103" s="17">
        <f t="shared" si="77"/>
        <v>63652</v>
      </c>
      <c r="M103" s="24" t="s">
        <v>196</v>
      </c>
      <c r="O103" t="str">
        <f>"03"</f>
        <v>03</v>
      </c>
      <c r="P103" t="s">
        <v>451</v>
      </c>
      <c r="Q103">
        <v>1</v>
      </c>
      <c r="R103">
        <f>IF(P103="기계경비", J103, 0)</f>
        <v>0</v>
      </c>
      <c r="S103">
        <f>IF(P103="운반비", L103, 0)</f>
        <v>0</v>
      </c>
      <c r="T103">
        <f>IF(P103="작업부산물", F103, 0)</f>
        <v>0</v>
      </c>
      <c r="U103">
        <f>IF(P103="관급", F103, 0)</f>
        <v>0</v>
      </c>
      <c r="V103">
        <f>IF(P103="외주비", J103, 0)</f>
        <v>0</v>
      </c>
      <c r="W103">
        <f>IF(P103="장비비", J103, 0)</f>
        <v>0</v>
      </c>
      <c r="X103">
        <f>IF(P103="폐기물처리비", L103, 0)</f>
        <v>63652</v>
      </c>
      <c r="Y103">
        <f>IF(P103="가설비", J103, 0)</f>
        <v>0</v>
      </c>
      <c r="Z103">
        <f>IF(P103="잡비제외분", F103, 0)</f>
        <v>0</v>
      </c>
      <c r="AA103">
        <f>IF(P103="사급자재대", L103, 0)</f>
        <v>0</v>
      </c>
      <c r="AB103">
        <f>IF(P103="관급자재대", L103, 0)</f>
        <v>0</v>
      </c>
      <c r="AC103">
        <f>IF(P103="사용자항목1", L103, 0)</f>
        <v>0</v>
      </c>
      <c r="AD103">
        <f>IF(P103="사용자항목2", L103, 0)</f>
        <v>0</v>
      </c>
      <c r="AE103">
        <f>IF(P103="안전관리비", L103, 0)</f>
        <v>0</v>
      </c>
      <c r="AF103">
        <f>IF(P103="품질관리비", L103, 0)</f>
        <v>0</v>
      </c>
      <c r="AG103">
        <f>IF(P103="작업부산물(철거해체)", L103, 0)</f>
        <v>0</v>
      </c>
      <c r="AH103">
        <f>IF(P103="사용자항목6", L103, 0)</f>
        <v>0</v>
      </c>
      <c r="AI103">
        <f>IF(P103="사용자항목7", L103, 0)</f>
        <v>0</v>
      </c>
      <c r="AJ103">
        <f>IF(P103="사용자항목8", L103, 0)</f>
        <v>0</v>
      </c>
      <c r="AK103">
        <f>IF(P103="사용자항목9", L103, 0)</f>
        <v>0</v>
      </c>
      <c r="AL103">
        <f>IF(P103="사용자항목10", L103, 0)</f>
        <v>0</v>
      </c>
      <c r="AM103">
        <f>IF(P103="사용자항목11", L103, 0)</f>
        <v>0</v>
      </c>
      <c r="AN103">
        <f>IF(P103="사용자항목12", L103, 0)</f>
        <v>0</v>
      </c>
      <c r="AO103">
        <f>IF(P103="사용자항목13", L103, 0)</f>
        <v>0</v>
      </c>
      <c r="AP103">
        <f>IF(P103="사용자항목14", L103, 0)</f>
        <v>0</v>
      </c>
      <c r="AQ103">
        <f>IF(P103="사용자항목15", L103, 0)</f>
        <v>0</v>
      </c>
      <c r="AR103">
        <f>IF(P103="사용자항목16", L103, 0)</f>
        <v>0</v>
      </c>
      <c r="AS103">
        <f>IF(P103="사용자항목17", L103, 0)</f>
        <v>0</v>
      </c>
      <c r="AT103">
        <f>IF(P103="사용자항목18", L103, 0)</f>
        <v>0</v>
      </c>
      <c r="AU103">
        <f>IF(P103="사용자항목19", L103, 0)</f>
        <v>0</v>
      </c>
    </row>
    <row r="104" spans="1:51" ht="23.1" customHeight="1" x14ac:dyDescent="0.3">
      <c r="A104" s="14" t="s">
        <v>190</v>
      </c>
      <c r="B104" s="14" t="s">
        <v>191</v>
      </c>
      <c r="C104" s="16" t="s">
        <v>165</v>
      </c>
      <c r="D104" s="17">
        <v>0.45</v>
      </c>
      <c r="E104" s="17">
        <v>0</v>
      </c>
      <c r="F104" s="17">
        <f>ROUNDDOWN(D104*E104, 0)</f>
        <v>0</v>
      </c>
      <c r="G104" s="17">
        <v>0</v>
      </c>
      <c r="H104" s="17">
        <f>ROUNDDOWN(D104*G104, 0)</f>
        <v>0</v>
      </c>
      <c r="I104" s="17">
        <f>단가대비표!O60</f>
        <v>300000</v>
      </c>
      <c r="J104" s="17">
        <f>ROUNDDOWN(D104*I104, 0)</f>
        <v>135000</v>
      </c>
      <c r="K104" s="17">
        <f t="shared" si="77"/>
        <v>300000</v>
      </c>
      <c r="L104" s="17">
        <f t="shared" si="77"/>
        <v>135000</v>
      </c>
      <c r="M104" s="17"/>
      <c r="O104" t="str">
        <f>"03"</f>
        <v>03</v>
      </c>
      <c r="P104" t="s">
        <v>451</v>
      </c>
      <c r="Q104">
        <v>1</v>
      </c>
      <c r="R104">
        <f>IF(P104="기계경비", J104, 0)</f>
        <v>0</v>
      </c>
      <c r="S104">
        <f>IF(P104="운반비", L104, 0)</f>
        <v>0</v>
      </c>
      <c r="T104">
        <f>IF(P104="작업부산물", F104, 0)</f>
        <v>0</v>
      </c>
      <c r="U104">
        <f>IF(P104="관급", F104, 0)</f>
        <v>0</v>
      </c>
      <c r="V104">
        <f>IF(P104="외주비", J104, 0)</f>
        <v>0</v>
      </c>
      <c r="W104">
        <f>IF(P104="장비비", J104, 0)</f>
        <v>0</v>
      </c>
      <c r="X104">
        <f>IF(P104="폐기물처리비", L104, 0)</f>
        <v>135000</v>
      </c>
      <c r="Y104">
        <f>IF(P104="가설비", J104, 0)</f>
        <v>0</v>
      </c>
      <c r="Z104">
        <f>IF(P104="잡비제외분", F104, 0)</f>
        <v>0</v>
      </c>
      <c r="AA104">
        <f>IF(P104="사급자재대", L104, 0)</f>
        <v>0</v>
      </c>
      <c r="AB104">
        <f>IF(P104="관급자재대", L104, 0)</f>
        <v>0</v>
      </c>
      <c r="AC104">
        <f>IF(P104="사용자항목1", L104, 0)</f>
        <v>0</v>
      </c>
      <c r="AD104">
        <f>IF(P104="사용자항목2", L104, 0)</f>
        <v>0</v>
      </c>
      <c r="AE104">
        <f>IF(P104="안전관리비", L104, 0)</f>
        <v>0</v>
      </c>
      <c r="AF104">
        <f>IF(P104="품질관리비", L104, 0)</f>
        <v>0</v>
      </c>
      <c r="AG104">
        <f>IF(P104="작업부산물(철거해체)", L104, 0)</f>
        <v>0</v>
      </c>
      <c r="AH104">
        <f>IF(P104="사용자항목6", L104, 0)</f>
        <v>0</v>
      </c>
      <c r="AI104">
        <f>IF(P104="사용자항목7", L104, 0)</f>
        <v>0</v>
      </c>
      <c r="AJ104">
        <f>IF(P104="사용자항목8", L104, 0)</f>
        <v>0</v>
      </c>
      <c r="AK104">
        <f>IF(P104="사용자항목9", L104, 0)</f>
        <v>0</v>
      </c>
      <c r="AL104">
        <f>IF(P104="사용자항목10", L104, 0)</f>
        <v>0</v>
      </c>
      <c r="AM104">
        <f>IF(P104="사용자항목11", L104, 0)</f>
        <v>0</v>
      </c>
      <c r="AN104">
        <f>IF(P104="사용자항목12", L104, 0)</f>
        <v>0</v>
      </c>
      <c r="AO104">
        <f>IF(P104="사용자항목13", L104, 0)</f>
        <v>0</v>
      </c>
      <c r="AP104">
        <f>IF(P104="사용자항목14", L104, 0)</f>
        <v>0</v>
      </c>
      <c r="AQ104">
        <f>IF(P104="사용자항목15", L104, 0)</f>
        <v>0</v>
      </c>
      <c r="AR104">
        <f>IF(P104="사용자항목16", L104, 0)</f>
        <v>0</v>
      </c>
      <c r="AS104">
        <f>IF(P104="사용자항목17", L104, 0)</f>
        <v>0</v>
      </c>
      <c r="AT104">
        <f>IF(P104="사용자항목18", L104, 0)</f>
        <v>0</v>
      </c>
      <c r="AU104">
        <f>IF(P104="사용자항목19", L104, 0)</f>
        <v>0</v>
      </c>
    </row>
    <row r="105" spans="1:51" ht="23.1" customHeight="1" x14ac:dyDescent="0.3">
      <c r="A105" s="14" t="s">
        <v>171</v>
      </c>
      <c r="B105" s="14" t="s">
        <v>172</v>
      </c>
      <c r="C105" s="16" t="s">
        <v>165</v>
      </c>
      <c r="D105" s="17">
        <v>0.56999999999999995</v>
      </c>
      <c r="E105" s="17">
        <v>0</v>
      </c>
      <c r="F105" s="17">
        <f>ROUNDDOWN(D105*E105, 0)</f>
        <v>0</v>
      </c>
      <c r="G105" s="17">
        <v>0</v>
      </c>
      <c r="H105" s="17">
        <f>ROUNDDOWN(D105*G105, 0)</f>
        <v>0</v>
      </c>
      <c r="I105" s="17">
        <f>단가대비표!O54</f>
        <v>16450</v>
      </c>
      <c r="J105" s="17">
        <f>ROUNDDOWN(D105*I105, 0)</f>
        <v>9376</v>
      </c>
      <c r="K105" s="17">
        <f t="shared" si="77"/>
        <v>16450</v>
      </c>
      <c r="L105" s="17">
        <f t="shared" si="77"/>
        <v>9376</v>
      </c>
      <c r="M105" s="24" t="s">
        <v>169</v>
      </c>
      <c r="O105" t="str">
        <f>"03"</f>
        <v>03</v>
      </c>
      <c r="P105" t="s">
        <v>451</v>
      </c>
      <c r="Q105">
        <v>1</v>
      </c>
      <c r="R105">
        <f>IF(P105="기계경비", J105, 0)</f>
        <v>0</v>
      </c>
      <c r="S105">
        <f>IF(P105="운반비", L105, 0)</f>
        <v>0</v>
      </c>
      <c r="T105">
        <f>IF(P105="작업부산물", F105, 0)</f>
        <v>0</v>
      </c>
      <c r="U105">
        <f>IF(P105="관급", F105, 0)</f>
        <v>0</v>
      </c>
      <c r="V105">
        <f>IF(P105="외주비", J105, 0)</f>
        <v>0</v>
      </c>
      <c r="W105">
        <f>IF(P105="장비비", J105, 0)</f>
        <v>0</v>
      </c>
      <c r="X105">
        <f>IF(P105="폐기물처리비", L105, 0)</f>
        <v>9376</v>
      </c>
      <c r="Y105">
        <f>IF(P105="가설비", J105, 0)</f>
        <v>0</v>
      </c>
      <c r="Z105">
        <f>IF(P105="잡비제외분", F105, 0)</f>
        <v>0</v>
      </c>
      <c r="AA105">
        <f>IF(P105="사급자재대", L105, 0)</f>
        <v>0</v>
      </c>
      <c r="AB105">
        <f>IF(P105="관급자재대", L105, 0)</f>
        <v>0</v>
      </c>
      <c r="AC105">
        <f>IF(P105="사용자항목1", L105, 0)</f>
        <v>0</v>
      </c>
      <c r="AD105">
        <f>IF(P105="사용자항목2", L105, 0)</f>
        <v>0</v>
      </c>
      <c r="AE105">
        <f>IF(P105="안전관리비", L105, 0)</f>
        <v>0</v>
      </c>
      <c r="AF105">
        <f>IF(P105="품질관리비", L105, 0)</f>
        <v>0</v>
      </c>
      <c r="AG105">
        <f>IF(P105="작업부산물(철거해체)", L105, 0)</f>
        <v>0</v>
      </c>
      <c r="AH105">
        <f>IF(P105="사용자항목6", L105, 0)</f>
        <v>0</v>
      </c>
      <c r="AI105">
        <f>IF(P105="사용자항목7", L105, 0)</f>
        <v>0</v>
      </c>
      <c r="AJ105">
        <f>IF(P105="사용자항목8", L105, 0)</f>
        <v>0</v>
      </c>
      <c r="AK105">
        <f>IF(P105="사용자항목9", L105, 0)</f>
        <v>0</v>
      </c>
      <c r="AL105">
        <f>IF(P105="사용자항목10", L105, 0)</f>
        <v>0</v>
      </c>
      <c r="AM105">
        <f>IF(P105="사용자항목11", L105, 0)</f>
        <v>0</v>
      </c>
      <c r="AN105">
        <f>IF(P105="사용자항목12", L105, 0)</f>
        <v>0</v>
      </c>
      <c r="AO105">
        <f>IF(P105="사용자항목13", L105, 0)</f>
        <v>0</v>
      </c>
      <c r="AP105">
        <f>IF(P105="사용자항목14", L105, 0)</f>
        <v>0</v>
      </c>
      <c r="AQ105">
        <f>IF(P105="사용자항목15", L105, 0)</f>
        <v>0</v>
      </c>
      <c r="AR105">
        <f>IF(P105="사용자항목16", L105, 0)</f>
        <v>0</v>
      </c>
      <c r="AS105">
        <f>IF(P105="사용자항목17", L105, 0)</f>
        <v>0</v>
      </c>
      <c r="AT105">
        <f>IF(P105="사용자항목18", L105, 0)</f>
        <v>0</v>
      </c>
      <c r="AU105">
        <f>IF(P105="사용자항목19", L105, 0)</f>
        <v>0</v>
      </c>
    </row>
    <row r="106" spans="1:51" ht="23.1" customHeight="1" x14ac:dyDescent="0.3">
      <c r="A106" s="14" t="s">
        <v>171</v>
      </c>
      <c r="B106" s="14" t="s">
        <v>173</v>
      </c>
      <c r="C106" s="16" t="s">
        <v>165</v>
      </c>
      <c r="D106" s="17">
        <v>0.78</v>
      </c>
      <c r="E106" s="17">
        <v>0</v>
      </c>
      <c r="F106" s="17">
        <f>ROUNDDOWN(D106*E106, 0)</f>
        <v>0</v>
      </c>
      <c r="G106" s="17">
        <v>0</v>
      </c>
      <c r="H106" s="17">
        <f>ROUNDDOWN(D106*G106, 0)</f>
        <v>0</v>
      </c>
      <c r="I106" s="17">
        <f>단가대비표!O55</f>
        <v>61880</v>
      </c>
      <c r="J106" s="17">
        <f>ROUNDDOWN(D106*I106, 0)</f>
        <v>48266</v>
      </c>
      <c r="K106" s="17">
        <f t="shared" si="77"/>
        <v>61880</v>
      </c>
      <c r="L106" s="17">
        <f t="shared" si="77"/>
        <v>48266</v>
      </c>
      <c r="M106" s="24" t="s">
        <v>169</v>
      </c>
      <c r="O106" t="str">
        <f>"03"</f>
        <v>03</v>
      </c>
      <c r="P106" t="s">
        <v>451</v>
      </c>
      <c r="Q106">
        <v>1</v>
      </c>
      <c r="R106">
        <f>IF(P106="기계경비", J106, 0)</f>
        <v>0</v>
      </c>
      <c r="S106">
        <f>IF(P106="운반비", L106, 0)</f>
        <v>0</v>
      </c>
      <c r="T106">
        <f>IF(P106="작업부산물", F106, 0)</f>
        <v>0</v>
      </c>
      <c r="U106">
        <f>IF(P106="관급", F106, 0)</f>
        <v>0</v>
      </c>
      <c r="V106">
        <f>IF(P106="외주비", J106, 0)</f>
        <v>0</v>
      </c>
      <c r="W106">
        <f>IF(P106="장비비", J106, 0)</f>
        <v>0</v>
      </c>
      <c r="X106">
        <f>IF(P106="폐기물처리비", L106, 0)</f>
        <v>48266</v>
      </c>
      <c r="Y106">
        <f>IF(P106="가설비", J106, 0)</f>
        <v>0</v>
      </c>
      <c r="Z106">
        <f>IF(P106="잡비제외분", F106, 0)</f>
        <v>0</v>
      </c>
      <c r="AA106">
        <f>IF(P106="사급자재대", L106, 0)</f>
        <v>0</v>
      </c>
      <c r="AB106">
        <f>IF(P106="관급자재대", L106, 0)</f>
        <v>0</v>
      </c>
      <c r="AC106">
        <f>IF(P106="사용자항목1", L106, 0)</f>
        <v>0</v>
      </c>
      <c r="AD106">
        <f>IF(P106="사용자항목2", L106, 0)</f>
        <v>0</v>
      </c>
      <c r="AE106">
        <f>IF(P106="안전관리비", L106, 0)</f>
        <v>0</v>
      </c>
      <c r="AF106">
        <f>IF(P106="품질관리비", L106, 0)</f>
        <v>0</v>
      </c>
      <c r="AG106">
        <f>IF(P106="작업부산물(철거해체)", L106, 0)</f>
        <v>0</v>
      </c>
      <c r="AH106">
        <f>IF(P106="사용자항목6", L106, 0)</f>
        <v>0</v>
      </c>
      <c r="AI106">
        <f>IF(P106="사용자항목7", L106, 0)</f>
        <v>0</v>
      </c>
      <c r="AJ106">
        <f>IF(P106="사용자항목8", L106, 0)</f>
        <v>0</v>
      </c>
      <c r="AK106">
        <f>IF(P106="사용자항목9", L106, 0)</f>
        <v>0</v>
      </c>
      <c r="AL106">
        <f>IF(P106="사용자항목10", L106, 0)</f>
        <v>0</v>
      </c>
      <c r="AM106">
        <f>IF(P106="사용자항목11", L106, 0)</f>
        <v>0</v>
      </c>
      <c r="AN106">
        <f>IF(P106="사용자항목12", L106, 0)</f>
        <v>0</v>
      </c>
      <c r="AO106">
        <f>IF(P106="사용자항목13", L106, 0)</f>
        <v>0</v>
      </c>
      <c r="AP106">
        <f>IF(P106="사용자항목14", L106, 0)</f>
        <v>0</v>
      </c>
      <c r="AQ106">
        <f>IF(P106="사용자항목15", L106, 0)</f>
        <v>0</v>
      </c>
      <c r="AR106">
        <f>IF(P106="사용자항목16", L106, 0)</f>
        <v>0</v>
      </c>
      <c r="AS106">
        <f>IF(P106="사용자항목17", L106, 0)</f>
        <v>0</v>
      </c>
      <c r="AT106">
        <f>IF(P106="사용자항목18", L106, 0)</f>
        <v>0</v>
      </c>
      <c r="AU106">
        <f>IF(P106="사용자항목19", L106, 0)</f>
        <v>0</v>
      </c>
    </row>
    <row r="107" spans="1:51" ht="23.1" customHeight="1" x14ac:dyDescent="0.3">
      <c r="A107" s="15"/>
      <c r="B107" s="15"/>
      <c r="C107" s="22"/>
      <c r="D107" s="17"/>
      <c r="E107" s="17"/>
      <c r="F107" s="17"/>
      <c r="G107" s="17"/>
      <c r="H107" s="17"/>
      <c r="I107" s="17"/>
      <c r="J107" s="17"/>
      <c r="K107" s="17"/>
      <c r="L107" s="17"/>
      <c r="M107" s="17"/>
    </row>
    <row r="108" spans="1:51" ht="23.1" customHeight="1" x14ac:dyDescent="0.3">
      <c r="A108" s="15"/>
      <c r="B108" s="15"/>
      <c r="C108" s="22"/>
      <c r="D108" s="17"/>
      <c r="E108" s="17"/>
      <c r="F108" s="17"/>
      <c r="G108" s="17"/>
      <c r="H108" s="17"/>
      <c r="I108" s="17"/>
      <c r="J108" s="17"/>
      <c r="K108" s="17"/>
      <c r="L108" s="17"/>
      <c r="M108" s="17"/>
    </row>
    <row r="109" spans="1:51" ht="23.1" customHeight="1" x14ac:dyDescent="0.3">
      <c r="A109" s="15"/>
      <c r="B109" s="15"/>
      <c r="C109" s="22"/>
      <c r="D109" s="17"/>
      <c r="E109" s="17"/>
      <c r="F109" s="17"/>
      <c r="G109" s="17"/>
      <c r="H109" s="17"/>
      <c r="I109" s="17"/>
      <c r="J109" s="17"/>
      <c r="K109" s="17"/>
      <c r="L109" s="17"/>
      <c r="M109" s="17"/>
    </row>
    <row r="110" spans="1:51" ht="23.1" customHeight="1" x14ac:dyDescent="0.3">
      <c r="A110" s="15"/>
      <c r="B110" s="15"/>
      <c r="C110" s="22"/>
      <c r="D110" s="17"/>
      <c r="E110" s="17"/>
      <c r="F110" s="17"/>
      <c r="G110" s="17"/>
      <c r="H110" s="17"/>
      <c r="I110" s="17"/>
      <c r="J110" s="17"/>
      <c r="K110" s="17"/>
      <c r="L110" s="17"/>
      <c r="M110" s="17"/>
    </row>
    <row r="111" spans="1:51" ht="23.1" customHeight="1" x14ac:dyDescent="0.3">
      <c r="A111" s="15"/>
      <c r="B111" s="15"/>
      <c r="C111" s="22"/>
      <c r="D111" s="17"/>
      <c r="E111" s="17"/>
      <c r="F111" s="17"/>
      <c r="G111" s="17"/>
      <c r="H111" s="17"/>
      <c r="I111" s="17"/>
      <c r="J111" s="17"/>
      <c r="K111" s="17"/>
      <c r="L111" s="17"/>
      <c r="M111" s="17"/>
    </row>
    <row r="112" spans="1:51" ht="23.1" customHeight="1" x14ac:dyDescent="0.3">
      <c r="A112" s="15"/>
      <c r="B112" s="15"/>
      <c r="C112" s="22"/>
      <c r="D112" s="17"/>
      <c r="E112" s="17"/>
      <c r="F112" s="17"/>
      <c r="G112" s="17"/>
      <c r="H112" s="17"/>
      <c r="I112" s="17"/>
      <c r="J112" s="17"/>
      <c r="K112" s="17"/>
      <c r="L112" s="17"/>
      <c r="M112" s="17"/>
    </row>
    <row r="113" spans="1:51" ht="23.1" customHeight="1" x14ac:dyDescent="0.3">
      <c r="A113" s="15"/>
      <c r="B113" s="15"/>
      <c r="C113" s="22"/>
      <c r="D113" s="17"/>
      <c r="E113" s="17"/>
      <c r="F113" s="17"/>
      <c r="G113" s="17"/>
      <c r="H113" s="17"/>
      <c r="I113" s="17"/>
      <c r="J113" s="17"/>
      <c r="K113" s="17"/>
      <c r="L113" s="17"/>
      <c r="M113" s="17"/>
    </row>
    <row r="114" spans="1:51" ht="23.1" customHeight="1" x14ac:dyDescent="0.3">
      <c r="A114" s="15"/>
      <c r="B114" s="15"/>
      <c r="C114" s="22"/>
      <c r="D114" s="17"/>
      <c r="E114" s="17"/>
      <c r="F114" s="17"/>
      <c r="G114" s="17"/>
      <c r="H114" s="17"/>
      <c r="I114" s="17"/>
      <c r="J114" s="17"/>
      <c r="K114" s="17"/>
      <c r="L114" s="17"/>
      <c r="M114" s="17"/>
    </row>
    <row r="115" spans="1:51" ht="23.1" customHeight="1" x14ac:dyDescent="0.3">
      <c r="A115" s="15"/>
      <c r="B115" s="15"/>
      <c r="C115" s="22"/>
      <c r="D115" s="17"/>
      <c r="E115" s="17"/>
      <c r="F115" s="17"/>
      <c r="G115" s="17"/>
      <c r="H115" s="17"/>
      <c r="I115" s="17"/>
      <c r="J115" s="17"/>
      <c r="K115" s="17"/>
      <c r="L115" s="17"/>
      <c r="M115" s="17"/>
    </row>
    <row r="116" spans="1:51" ht="23.1" customHeight="1" x14ac:dyDescent="0.3">
      <c r="A116" s="18" t="s">
        <v>231</v>
      </c>
      <c r="B116" s="19"/>
      <c r="C116" s="20"/>
      <c r="D116" s="21"/>
      <c r="E116" s="21"/>
      <c r="F116" s="21">
        <f>ROUNDDOWN(SUMIF(Q102:Q115, "1", F102:F115), 0)</f>
        <v>0</v>
      </c>
      <c r="G116" s="21"/>
      <c r="H116" s="21">
        <f>ROUNDDOWN(SUMIF(Q102:Q115, "1", H102:H115), 0)</f>
        <v>0</v>
      </c>
      <c r="I116" s="21"/>
      <c r="J116" s="21">
        <f>ROUNDDOWN(SUMIF(Q102:Q115, "1", J102:J115), 0)</f>
        <v>284549</v>
      </c>
      <c r="K116" s="21"/>
      <c r="L116" s="21">
        <f>F116+H116+J116</f>
        <v>284549</v>
      </c>
      <c r="M116" s="21"/>
      <c r="R116">
        <f t="shared" ref="R116:AY116" si="78">ROUNDDOWN(SUM(R102:R106), 0)</f>
        <v>0</v>
      </c>
      <c r="S116">
        <f t="shared" si="78"/>
        <v>0</v>
      </c>
      <c r="T116">
        <f t="shared" si="78"/>
        <v>0</v>
      </c>
      <c r="U116">
        <f t="shared" si="78"/>
        <v>0</v>
      </c>
      <c r="V116">
        <f t="shared" si="78"/>
        <v>0</v>
      </c>
      <c r="W116">
        <f t="shared" si="78"/>
        <v>0</v>
      </c>
      <c r="X116">
        <f t="shared" si="78"/>
        <v>284549</v>
      </c>
      <c r="Y116">
        <f t="shared" si="78"/>
        <v>0</v>
      </c>
      <c r="Z116">
        <f t="shared" si="78"/>
        <v>0</v>
      </c>
      <c r="AA116">
        <f t="shared" si="78"/>
        <v>0</v>
      </c>
      <c r="AB116">
        <f t="shared" si="78"/>
        <v>0</v>
      </c>
      <c r="AC116">
        <f t="shared" si="78"/>
        <v>0</v>
      </c>
      <c r="AD116">
        <f t="shared" si="78"/>
        <v>0</v>
      </c>
      <c r="AE116">
        <f t="shared" si="78"/>
        <v>0</v>
      </c>
      <c r="AF116">
        <f t="shared" si="78"/>
        <v>0</v>
      </c>
      <c r="AG116">
        <f t="shared" si="78"/>
        <v>0</v>
      </c>
      <c r="AH116">
        <f t="shared" si="78"/>
        <v>0</v>
      </c>
      <c r="AI116">
        <f t="shared" si="78"/>
        <v>0</v>
      </c>
      <c r="AJ116">
        <f t="shared" si="78"/>
        <v>0</v>
      </c>
      <c r="AK116">
        <f t="shared" si="78"/>
        <v>0</v>
      </c>
      <c r="AL116">
        <f t="shared" si="78"/>
        <v>0</v>
      </c>
      <c r="AM116">
        <f t="shared" si="78"/>
        <v>0</v>
      </c>
      <c r="AN116">
        <f t="shared" si="78"/>
        <v>0</v>
      </c>
      <c r="AO116">
        <f t="shared" si="78"/>
        <v>0</v>
      </c>
      <c r="AP116">
        <f t="shared" si="78"/>
        <v>0</v>
      </c>
      <c r="AQ116">
        <f t="shared" si="78"/>
        <v>0</v>
      </c>
      <c r="AR116">
        <f t="shared" si="78"/>
        <v>0</v>
      </c>
      <c r="AS116">
        <f t="shared" si="78"/>
        <v>0</v>
      </c>
      <c r="AT116">
        <f t="shared" si="78"/>
        <v>0</v>
      </c>
      <c r="AU116">
        <f t="shared" si="78"/>
        <v>0</v>
      </c>
      <c r="AV116">
        <f t="shared" si="78"/>
        <v>0</v>
      </c>
      <c r="AW116">
        <f t="shared" si="78"/>
        <v>0</v>
      </c>
      <c r="AX116">
        <f t="shared" si="78"/>
        <v>0</v>
      </c>
      <c r="AY116">
        <f t="shared" si="78"/>
        <v>0</v>
      </c>
    </row>
  </sheetData>
  <mergeCells count="18">
    <mergeCell ref="A85:M85"/>
    <mergeCell ref="A101:M101"/>
    <mergeCell ref="K3:L3"/>
    <mergeCell ref="A5:M5"/>
    <mergeCell ref="A21:M21"/>
    <mergeCell ref="A37:M37"/>
    <mergeCell ref="A53:M53"/>
    <mergeCell ref="A69:M69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 A6:M116">
    <cfRule type="containsText" dxfId="11" priority="1" stopIfTrue="1" operator="containsText" text=".">
      <formula>NOT(ISERROR(SEARCH(".",A5)))</formula>
    </cfRule>
    <cfRule type="notContainsText" dxfId="10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  <rowBreaks count="7" manualBreakCount="7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O52"/>
  <sheetViews>
    <sheetView view="pageBreakPreview" zoomScale="60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:N2"/>
    </sheetView>
  </sheetViews>
  <sheetFormatPr defaultRowHeight="16.5" x14ac:dyDescent="0.3"/>
  <cols>
    <col min="1" max="1" width="6.625" style="3" customWidth="1"/>
    <col min="2" max="3" width="20.625" style="2" customWidth="1"/>
    <col min="4" max="4" width="4.625" style="3" customWidth="1"/>
    <col min="5" max="5" width="6.625" style="3" customWidth="1"/>
    <col min="6" max="6" width="6.625" style="4" customWidth="1"/>
    <col min="7" max="7" width="7.625" style="4" customWidth="1"/>
    <col min="8" max="8" width="6.625" style="4" customWidth="1"/>
    <col min="9" max="9" width="7.625" style="4" customWidth="1"/>
    <col min="10" max="10" width="6.625" style="4" customWidth="1"/>
    <col min="11" max="11" width="7.625" style="4" customWidth="1"/>
    <col min="12" max="12" width="6.625" style="4" customWidth="1"/>
    <col min="13" max="13" width="7.625" style="4" customWidth="1"/>
    <col min="14" max="14" width="6.625" style="2" customWidth="1"/>
    <col min="15" max="18" width="0" hidden="1" customWidth="1"/>
  </cols>
  <sheetData>
    <row r="1" spans="1:15" ht="30" customHeight="1" x14ac:dyDescent="0.3">
      <c r="A1" s="46" t="s">
        <v>378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5" ht="23.1" customHeight="1" x14ac:dyDescent="0.3">
      <c r="A2" s="47" t="s">
        <v>561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5" ht="23.1" customHeight="1" x14ac:dyDescent="0.3">
      <c r="A3" s="55" t="s">
        <v>237</v>
      </c>
      <c r="B3" s="55" t="s">
        <v>251</v>
      </c>
      <c r="C3" s="55" t="s">
        <v>252</v>
      </c>
      <c r="D3" s="55" t="s">
        <v>4</v>
      </c>
      <c r="E3" s="55" t="s">
        <v>238</v>
      </c>
      <c r="F3" s="55" t="s">
        <v>239</v>
      </c>
      <c r="G3" s="55"/>
      <c r="H3" s="55" t="s">
        <v>240</v>
      </c>
      <c r="I3" s="55"/>
      <c r="J3" s="55" t="s">
        <v>241</v>
      </c>
      <c r="K3" s="55"/>
      <c r="L3" s="55" t="s">
        <v>242</v>
      </c>
      <c r="M3" s="55"/>
      <c r="N3" s="55" t="s">
        <v>205</v>
      </c>
    </row>
    <row r="4" spans="1:15" ht="23.1" customHeight="1" x14ac:dyDescent="0.3">
      <c r="A4" s="55"/>
      <c r="B4" s="55"/>
      <c r="C4" s="55"/>
      <c r="D4" s="55"/>
      <c r="E4" s="55"/>
      <c r="F4" s="12" t="s">
        <v>206</v>
      </c>
      <c r="G4" s="12" t="s">
        <v>379</v>
      </c>
      <c r="H4" s="12" t="s">
        <v>206</v>
      </c>
      <c r="I4" s="12" t="s">
        <v>379</v>
      </c>
      <c r="J4" s="12" t="s">
        <v>206</v>
      </c>
      <c r="K4" s="12" t="s">
        <v>379</v>
      </c>
      <c r="L4" s="12" t="s">
        <v>206</v>
      </c>
      <c r="M4" s="12" t="s">
        <v>379</v>
      </c>
      <c r="N4" s="55"/>
      <c r="O4" t="s">
        <v>16</v>
      </c>
    </row>
    <row r="5" spans="1:15" ht="23.1" customHeight="1" x14ac:dyDescent="0.3">
      <c r="A5" s="16" t="s">
        <v>380</v>
      </c>
      <c r="B5" s="14" t="s">
        <v>381</v>
      </c>
      <c r="C5" s="14" t="s">
        <v>382</v>
      </c>
      <c r="D5" s="16" t="s">
        <v>383</v>
      </c>
      <c r="E5" s="22">
        <v>1</v>
      </c>
      <c r="F5" s="17">
        <f>일위대가표!F6</f>
        <v>455</v>
      </c>
      <c r="G5" s="17">
        <f t="shared" ref="G5:G42" si="0">E5*F5</f>
        <v>455</v>
      </c>
      <c r="H5" s="17">
        <f>일위대가표!H6</f>
        <v>14693</v>
      </c>
      <c r="I5" s="17">
        <f t="shared" ref="I5:I42" si="1">E5*H5</f>
        <v>14693</v>
      </c>
      <c r="J5" s="17">
        <f>일위대가표!J6</f>
        <v>0</v>
      </c>
      <c r="K5" s="17">
        <f t="shared" ref="K5:K42" si="2">E5*J5</f>
        <v>0</v>
      </c>
      <c r="L5" s="17">
        <f t="shared" ref="L5:L42" si="3">F5+H5+J5</f>
        <v>15148</v>
      </c>
      <c r="M5" s="17">
        <f t="shared" ref="M5:M42" si="4">G5+I5+K5</f>
        <v>15148</v>
      </c>
      <c r="N5" s="14" t="s">
        <v>258</v>
      </c>
      <c r="O5" s="1" t="s">
        <v>384</v>
      </c>
    </row>
    <row r="6" spans="1:15" ht="23.1" customHeight="1" x14ac:dyDescent="0.3">
      <c r="A6" s="16" t="s">
        <v>385</v>
      </c>
      <c r="B6" s="14" t="s">
        <v>381</v>
      </c>
      <c r="C6" s="14" t="s">
        <v>386</v>
      </c>
      <c r="D6" s="16" t="s">
        <v>383</v>
      </c>
      <c r="E6" s="22">
        <v>1</v>
      </c>
      <c r="F6" s="17">
        <f>일위대가표!F9</f>
        <v>555</v>
      </c>
      <c r="G6" s="17">
        <f t="shared" si="0"/>
        <v>555</v>
      </c>
      <c r="H6" s="17">
        <f>일위대가표!H9</f>
        <v>17932</v>
      </c>
      <c r="I6" s="17">
        <f t="shared" si="1"/>
        <v>17932</v>
      </c>
      <c r="J6" s="17">
        <f>일위대가표!J9</f>
        <v>0</v>
      </c>
      <c r="K6" s="17">
        <f t="shared" si="2"/>
        <v>0</v>
      </c>
      <c r="L6" s="17">
        <f t="shared" si="3"/>
        <v>18487</v>
      </c>
      <c r="M6" s="17">
        <f t="shared" si="4"/>
        <v>18487</v>
      </c>
      <c r="N6" s="14" t="s">
        <v>258</v>
      </c>
      <c r="O6" s="1" t="s">
        <v>384</v>
      </c>
    </row>
    <row r="7" spans="1:15" ht="23.1" customHeight="1" x14ac:dyDescent="0.3">
      <c r="A7" s="16" t="s">
        <v>387</v>
      </c>
      <c r="B7" s="14" t="s">
        <v>388</v>
      </c>
      <c r="C7" s="14" t="s">
        <v>389</v>
      </c>
      <c r="D7" s="16" t="s">
        <v>390</v>
      </c>
      <c r="E7" s="22">
        <v>1</v>
      </c>
      <c r="F7" s="17">
        <f>일위대가표!F24</f>
        <v>16273</v>
      </c>
      <c r="G7" s="17">
        <f t="shared" si="0"/>
        <v>16273</v>
      </c>
      <c r="H7" s="17">
        <f>일위대가표!H24</f>
        <v>158067</v>
      </c>
      <c r="I7" s="17">
        <f t="shared" si="1"/>
        <v>158067</v>
      </c>
      <c r="J7" s="17">
        <f>일위대가표!J24</f>
        <v>0</v>
      </c>
      <c r="K7" s="17">
        <f t="shared" si="2"/>
        <v>0</v>
      </c>
      <c r="L7" s="17">
        <f t="shared" si="3"/>
        <v>174340</v>
      </c>
      <c r="M7" s="17">
        <f t="shared" si="4"/>
        <v>174340</v>
      </c>
      <c r="N7" s="14" t="s">
        <v>261</v>
      </c>
    </row>
    <row r="8" spans="1:15" ht="23.1" customHeight="1" x14ac:dyDescent="0.3">
      <c r="A8" s="16" t="s">
        <v>391</v>
      </c>
      <c r="B8" s="14" t="s">
        <v>263</v>
      </c>
      <c r="C8" s="14" t="s">
        <v>392</v>
      </c>
      <c r="D8" s="16" t="s">
        <v>34</v>
      </c>
      <c r="E8" s="22">
        <v>1</v>
      </c>
      <c r="F8" s="17">
        <f>일위대가표!F28</f>
        <v>0</v>
      </c>
      <c r="G8" s="17">
        <f t="shared" si="0"/>
        <v>0</v>
      </c>
      <c r="H8" s="17">
        <f>일위대가표!H28</f>
        <v>1726</v>
      </c>
      <c r="I8" s="17">
        <f t="shared" si="1"/>
        <v>1726</v>
      </c>
      <c r="J8" s="17">
        <f>일위대가표!J28</f>
        <v>0</v>
      </c>
      <c r="K8" s="17">
        <f t="shared" si="2"/>
        <v>0</v>
      </c>
      <c r="L8" s="17">
        <f t="shared" si="3"/>
        <v>1726</v>
      </c>
      <c r="M8" s="17">
        <f t="shared" si="4"/>
        <v>1726</v>
      </c>
      <c r="N8" s="15"/>
      <c r="O8" s="1" t="s">
        <v>393</v>
      </c>
    </row>
    <row r="9" spans="1:15" ht="23.1" customHeight="1" x14ac:dyDescent="0.3">
      <c r="A9" s="16" t="s">
        <v>394</v>
      </c>
      <c r="B9" s="14" t="s">
        <v>395</v>
      </c>
      <c r="C9" s="14" t="s">
        <v>396</v>
      </c>
      <c r="D9" s="16" t="s">
        <v>397</v>
      </c>
      <c r="E9" s="22">
        <v>1</v>
      </c>
      <c r="F9" s="17">
        <f>일위대가표!F37</f>
        <v>432376</v>
      </c>
      <c r="G9" s="17">
        <f t="shared" si="0"/>
        <v>432376</v>
      </c>
      <c r="H9" s="17">
        <f>일위대가표!H37</f>
        <v>5404703</v>
      </c>
      <c r="I9" s="17">
        <f t="shared" si="1"/>
        <v>5404703</v>
      </c>
      <c r="J9" s="17">
        <f>일위대가표!J37</f>
        <v>0</v>
      </c>
      <c r="K9" s="17">
        <f t="shared" si="2"/>
        <v>0</v>
      </c>
      <c r="L9" s="17">
        <f t="shared" si="3"/>
        <v>5837079</v>
      </c>
      <c r="M9" s="17">
        <f t="shared" si="4"/>
        <v>5837079</v>
      </c>
      <c r="N9" s="14" t="s">
        <v>268</v>
      </c>
      <c r="O9" s="1" t="s">
        <v>398</v>
      </c>
    </row>
    <row r="10" spans="1:15" ht="23.1" customHeight="1" x14ac:dyDescent="0.3">
      <c r="A10" s="16" t="s">
        <v>399</v>
      </c>
      <c r="B10" s="14" t="s">
        <v>400</v>
      </c>
      <c r="C10" s="14" t="s">
        <v>401</v>
      </c>
      <c r="D10" s="16" t="s">
        <v>34</v>
      </c>
      <c r="E10" s="22">
        <v>1</v>
      </c>
      <c r="F10" s="17">
        <f>일위대가표!F43</f>
        <v>795</v>
      </c>
      <c r="G10" s="17">
        <f t="shared" si="0"/>
        <v>795</v>
      </c>
      <c r="H10" s="17">
        <f>일위대가표!H43</f>
        <v>948</v>
      </c>
      <c r="I10" s="17">
        <f t="shared" si="1"/>
        <v>948</v>
      </c>
      <c r="J10" s="17">
        <f>일위대가표!J43</f>
        <v>0</v>
      </c>
      <c r="K10" s="17">
        <f t="shared" si="2"/>
        <v>0</v>
      </c>
      <c r="L10" s="17">
        <f t="shared" si="3"/>
        <v>1743</v>
      </c>
      <c r="M10" s="17">
        <f t="shared" si="4"/>
        <v>1743</v>
      </c>
      <c r="N10" s="15"/>
    </row>
    <row r="11" spans="1:15" ht="23.1" customHeight="1" x14ac:dyDescent="0.3">
      <c r="A11" s="16" t="s">
        <v>402</v>
      </c>
      <c r="B11" s="14" t="s">
        <v>403</v>
      </c>
      <c r="C11" s="14" t="s">
        <v>404</v>
      </c>
      <c r="D11" s="16" t="s">
        <v>34</v>
      </c>
      <c r="E11" s="22">
        <v>1</v>
      </c>
      <c r="F11" s="17">
        <f>일위대가표!F49</f>
        <v>12548</v>
      </c>
      <c r="G11" s="17">
        <f t="shared" si="0"/>
        <v>12548</v>
      </c>
      <c r="H11" s="17">
        <f>일위대가표!H49</f>
        <v>8423</v>
      </c>
      <c r="I11" s="17">
        <f t="shared" si="1"/>
        <v>8423</v>
      </c>
      <c r="J11" s="17">
        <f>일위대가표!J49</f>
        <v>336</v>
      </c>
      <c r="K11" s="17">
        <f t="shared" si="2"/>
        <v>336</v>
      </c>
      <c r="L11" s="17">
        <f t="shared" si="3"/>
        <v>21307</v>
      </c>
      <c r="M11" s="17">
        <f t="shared" si="4"/>
        <v>21307</v>
      </c>
      <c r="N11" s="15"/>
      <c r="O11" s="1" t="s">
        <v>393</v>
      </c>
    </row>
    <row r="12" spans="1:15" ht="23.1" customHeight="1" x14ac:dyDescent="0.3">
      <c r="A12" s="16" t="s">
        <v>405</v>
      </c>
      <c r="B12" s="14" t="s">
        <v>406</v>
      </c>
      <c r="C12" s="14" t="s">
        <v>407</v>
      </c>
      <c r="D12" s="16" t="s">
        <v>34</v>
      </c>
      <c r="E12" s="22">
        <v>1</v>
      </c>
      <c r="F12" s="17">
        <f>일위대가표!F58</f>
        <v>10239</v>
      </c>
      <c r="G12" s="17">
        <f t="shared" si="0"/>
        <v>10239</v>
      </c>
      <c r="H12" s="17">
        <f>일위대가표!H58</f>
        <v>19170</v>
      </c>
      <c r="I12" s="17">
        <f t="shared" si="1"/>
        <v>19170</v>
      </c>
      <c r="J12" s="17">
        <f>일위대가표!J58</f>
        <v>575</v>
      </c>
      <c r="K12" s="17">
        <f t="shared" si="2"/>
        <v>575</v>
      </c>
      <c r="L12" s="17">
        <f t="shared" si="3"/>
        <v>29984</v>
      </c>
      <c r="M12" s="17">
        <f t="shared" si="4"/>
        <v>29984</v>
      </c>
      <c r="N12" s="14" t="s">
        <v>282</v>
      </c>
    </row>
    <row r="13" spans="1:15" ht="23.1" customHeight="1" x14ac:dyDescent="0.3">
      <c r="A13" s="16" t="s">
        <v>408</v>
      </c>
      <c r="B13" s="14" t="s">
        <v>289</v>
      </c>
      <c r="C13" s="14" t="s">
        <v>409</v>
      </c>
      <c r="D13" s="16" t="s">
        <v>34</v>
      </c>
      <c r="E13" s="22">
        <v>1</v>
      </c>
      <c r="F13" s="17">
        <f>일위대가표!F64</f>
        <v>24000</v>
      </c>
      <c r="G13" s="17">
        <f t="shared" si="0"/>
        <v>24000</v>
      </c>
      <c r="H13" s="17">
        <f>일위대가표!H64</f>
        <v>17586</v>
      </c>
      <c r="I13" s="17">
        <f t="shared" si="1"/>
        <v>17586</v>
      </c>
      <c r="J13" s="17">
        <f>일위대가표!J64</f>
        <v>351</v>
      </c>
      <c r="K13" s="17">
        <f t="shared" si="2"/>
        <v>351</v>
      </c>
      <c r="L13" s="17">
        <f t="shared" si="3"/>
        <v>41937</v>
      </c>
      <c r="M13" s="17">
        <f t="shared" si="4"/>
        <v>41937</v>
      </c>
      <c r="N13" s="14" t="s">
        <v>287</v>
      </c>
    </row>
    <row r="14" spans="1:15" ht="23.1" customHeight="1" x14ac:dyDescent="0.3">
      <c r="A14" s="16" t="s">
        <v>410</v>
      </c>
      <c r="B14" s="14" t="s">
        <v>411</v>
      </c>
      <c r="C14" s="14" t="s">
        <v>217</v>
      </c>
      <c r="D14" s="16" t="s">
        <v>34</v>
      </c>
      <c r="E14" s="22">
        <v>1</v>
      </c>
      <c r="F14" s="17">
        <f>일위대가표!F69</f>
        <v>0</v>
      </c>
      <c r="G14" s="17">
        <f t="shared" si="0"/>
        <v>0</v>
      </c>
      <c r="H14" s="17">
        <f>일위대가표!H69</f>
        <v>5489</v>
      </c>
      <c r="I14" s="17">
        <f t="shared" si="1"/>
        <v>5489</v>
      </c>
      <c r="J14" s="17">
        <f>일위대가표!J69</f>
        <v>109</v>
      </c>
      <c r="K14" s="17">
        <f t="shared" si="2"/>
        <v>109</v>
      </c>
      <c r="L14" s="17">
        <f t="shared" si="3"/>
        <v>5598</v>
      </c>
      <c r="M14" s="17">
        <f t="shared" si="4"/>
        <v>5598</v>
      </c>
      <c r="N14" s="15"/>
    </row>
    <row r="15" spans="1:15" ht="23.1" customHeight="1" x14ac:dyDescent="0.3">
      <c r="A15" s="16" t="s">
        <v>412</v>
      </c>
      <c r="B15" s="14" t="s">
        <v>413</v>
      </c>
      <c r="C15" s="14" t="s">
        <v>414</v>
      </c>
      <c r="D15" s="16" t="s">
        <v>34</v>
      </c>
      <c r="E15" s="22">
        <v>1</v>
      </c>
      <c r="F15" s="17">
        <f>일위대가표!F76</f>
        <v>1088</v>
      </c>
      <c r="G15" s="17">
        <f t="shared" si="0"/>
        <v>1088</v>
      </c>
      <c r="H15" s="17">
        <f>일위대가표!H76</f>
        <v>9497</v>
      </c>
      <c r="I15" s="17">
        <f t="shared" si="1"/>
        <v>9497</v>
      </c>
      <c r="J15" s="17">
        <f>일위대가표!J76</f>
        <v>0</v>
      </c>
      <c r="K15" s="17">
        <f t="shared" si="2"/>
        <v>0</v>
      </c>
      <c r="L15" s="17">
        <f t="shared" si="3"/>
        <v>10585</v>
      </c>
      <c r="M15" s="17">
        <f t="shared" si="4"/>
        <v>10585</v>
      </c>
      <c r="N15" s="14" t="s">
        <v>297</v>
      </c>
    </row>
    <row r="16" spans="1:15" ht="23.1" customHeight="1" x14ac:dyDescent="0.3">
      <c r="A16" s="16" t="s">
        <v>415</v>
      </c>
      <c r="B16" s="14" t="s">
        <v>416</v>
      </c>
      <c r="C16" s="14" t="s">
        <v>417</v>
      </c>
      <c r="D16" s="16" t="s">
        <v>34</v>
      </c>
      <c r="E16" s="22">
        <v>1</v>
      </c>
      <c r="F16" s="17">
        <f>일위대가표!F84</f>
        <v>3579</v>
      </c>
      <c r="G16" s="17">
        <f t="shared" si="0"/>
        <v>3579</v>
      </c>
      <c r="H16" s="17">
        <f>일위대가표!H84</f>
        <v>6726</v>
      </c>
      <c r="I16" s="17">
        <f t="shared" si="1"/>
        <v>6726</v>
      </c>
      <c r="J16" s="17">
        <f>일위대가표!J84</f>
        <v>0</v>
      </c>
      <c r="K16" s="17">
        <f t="shared" si="2"/>
        <v>0</v>
      </c>
      <c r="L16" s="17">
        <f t="shared" si="3"/>
        <v>10305</v>
      </c>
      <c r="M16" s="17">
        <f t="shared" si="4"/>
        <v>10305</v>
      </c>
      <c r="N16" s="14" t="s">
        <v>310</v>
      </c>
    </row>
    <row r="17" spans="1:15" ht="23.1" customHeight="1" x14ac:dyDescent="0.3">
      <c r="A17" s="16" t="s">
        <v>418</v>
      </c>
      <c r="B17" s="14" t="s">
        <v>419</v>
      </c>
      <c r="C17" s="14" t="s">
        <v>420</v>
      </c>
      <c r="D17" s="16" t="s">
        <v>34</v>
      </c>
      <c r="E17" s="22">
        <v>1</v>
      </c>
      <c r="F17" s="17">
        <f>일위대가표!F92</f>
        <v>3483</v>
      </c>
      <c r="G17" s="17">
        <f t="shared" si="0"/>
        <v>3483</v>
      </c>
      <c r="H17" s="17">
        <f>일위대가표!H92</f>
        <v>9715</v>
      </c>
      <c r="I17" s="17">
        <f t="shared" si="1"/>
        <v>9715</v>
      </c>
      <c r="J17" s="17">
        <f>일위대가표!J92</f>
        <v>0</v>
      </c>
      <c r="K17" s="17">
        <f t="shared" si="2"/>
        <v>0</v>
      </c>
      <c r="L17" s="17">
        <f t="shared" si="3"/>
        <v>13198</v>
      </c>
      <c r="M17" s="17">
        <f t="shared" si="4"/>
        <v>13198</v>
      </c>
      <c r="N17" s="14" t="s">
        <v>310</v>
      </c>
    </row>
    <row r="18" spans="1:15" ht="23.1" customHeight="1" x14ac:dyDescent="0.3">
      <c r="A18" s="16" t="s">
        <v>421</v>
      </c>
      <c r="B18" s="14" t="s">
        <v>422</v>
      </c>
      <c r="C18" s="14" t="s">
        <v>423</v>
      </c>
      <c r="D18" s="16" t="s">
        <v>34</v>
      </c>
      <c r="E18" s="22">
        <v>1</v>
      </c>
      <c r="F18" s="17">
        <f>일위대가표!F97</f>
        <v>3110</v>
      </c>
      <c r="G18" s="17">
        <f t="shared" si="0"/>
        <v>3110</v>
      </c>
      <c r="H18" s="17">
        <f>일위대가표!H97</f>
        <v>15191</v>
      </c>
      <c r="I18" s="17">
        <f t="shared" si="1"/>
        <v>15191</v>
      </c>
      <c r="J18" s="17">
        <f>일위대가표!J97</f>
        <v>151</v>
      </c>
      <c r="K18" s="17">
        <f t="shared" si="2"/>
        <v>151</v>
      </c>
      <c r="L18" s="17">
        <f t="shared" si="3"/>
        <v>18452</v>
      </c>
      <c r="M18" s="17">
        <f t="shared" si="4"/>
        <v>18452</v>
      </c>
      <c r="N18" s="14" t="s">
        <v>313</v>
      </c>
    </row>
    <row r="19" spans="1:15" ht="23.1" customHeight="1" x14ac:dyDescent="0.3">
      <c r="A19" s="16" t="s">
        <v>424</v>
      </c>
      <c r="B19" s="14" t="s">
        <v>425</v>
      </c>
      <c r="C19" s="14" t="s">
        <v>426</v>
      </c>
      <c r="D19" s="16" t="s">
        <v>320</v>
      </c>
      <c r="E19" s="22">
        <v>1</v>
      </c>
      <c r="F19" s="17">
        <f>일위대가표!F103</f>
        <v>2384</v>
      </c>
      <c r="G19" s="17">
        <f t="shared" si="0"/>
        <v>2384</v>
      </c>
      <c r="H19" s="17">
        <f>일위대가표!H103</f>
        <v>9061</v>
      </c>
      <c r="I19" s="17">
        <f t="shared" si="1"/>
        <v>9061</v>
      </c>
      <c r="J19" s="17">
        <f>일위대가표!J103</f>
        <v>362</v>
      </c>
      <c r="K19" s="17">
        <f t="shared" si="2"/>
        <v>362</v>
      </c>
      <c r="L19" s="17">
        <f t="shared" si="3"/>
        <v>11807</v>
      </c>
      <c r="M19" s="17">
        <f t="shared" si="4"/>
        <v>11807</v>
      </c>
      <c r="N19" s="15"/>
      <c r="O19" s="1" t="s">
        <v>393</v>
      </c>
    </row>
    <row r="20" spans="1:15" ht="23.1" customHeight="1" x14ac:dyDescent="0.3">
      <c r="A20" s="16" t="s">
        <v>427</v>
      </c>
      <c r="B20" s="14" t="s">
        <v>428</v>
      </c>
      <c r="C20" s="14" t="s">
        <v>429</v>
      </c>
      <c r="D20" s="16" t="s">
        <v>320</v>
      </c>
      <c r="E20" s="22">
        <v>1</v>
      </c>
      <c r="F20" s="17">
        <f>일위대가표!F111</f>
        <v>989</v>
      </c>
      <c r="G20" s="17">
        <f t="shared" si="0"/>
        <v>989</v>
      </c>
      <c r="H20" s="17">
        <f>일위대가표!H111</f>
        <v>2669</v>
      </c>
      <c r="I20" s="17">
        <f t="shared" si="1"/>
        <v>2669</v>
      </c>
      <c r="J20" s="17">
        <f>일위대가표!J111</f>
        <v>68</v>
      </c>
      <c r="K20" s="17">
        <f t="shared" si="2"/>
        <v>68</v>
      </c>
      <c r="L20" s="17">
        <f t="shared" si="3"/>
        <v>3726</v>
      </c>
      <c r="M20" s="17">
        <f t="shared" si="4"/>
        <v>3726</v>
      </c>
      <c r="N20" s="15"/>
    </row>
    <row r="21" spans="1:15" ht="23.1" customHeight="1" x14ac:dyDescent="0.3">
      <c r="A21" s="16" t="s">
        <v>430</v>
      </c>
      <c r="B21" s="14" t="s">
        <v>431</v>
      </c>
      <c r="C21" s="14" t="s">
        <v>178</v>
      </c>
      <c r="D21" s="16" t="s">
        <v>432</v>
      </c>
      <c r="E21" s="22">
        <v>1</v>
      </c>
      <c r="F21" s="17">
        <f>일위대가표!F119</f>
        <v>7628</v>
      </c>
      <c r="G21" s="17">
        <f t="shared" si="0"/>
        <v>7628</v>
      </c>
      <c r="H21" s="17">
        <f>일위대가표!H119</f>
        <v>220660</v>
      </c>
      <c r="I21" s="17">
        <f t="shared" si="1"/>
        <v>220660</v>
      </c>
      <c r="J21" s="17">
        <f>일위대가표!J119</f>
        <v>1716</v>
      </c>
      <c r="K21" s="17">
        <f t="shared" si="2"/>
        <v>1716</v>
      </c>
      <c r="L21" s="17">
        <f t="shared" si="3"/>
        <v>230004</v>
      </c>
      <c r="M21" s="17">
        <f t="shared" si="4"/>
        <v>230004</v>
      </c>
      <c r="N21" s="15"/>
    </row>
    <row r="22" spans="1:15" ht="23.1" customHeight="1" x14ac:dyDescent="0.3">
      <c r="A22" s="16" t="s">
        <v>433</v>
      </c>
      <c r="B22" s="14" t="s">
        <v>434</v>
      </c>
      <c r="C22" s="14" t="s">
        <v>217</v>
      </c>
      <c r="D22" s="16" t="s">
        <v>34</v>
      </c>
      <c r="E22" s="22">
        <v>1</v>
      </c>
      <c r="F22" s="17">
        <f>일위대가표!F123</f>
        <v>0</v>
      </c>
      <c r="G22" s="17">
        <f t="shared" si="0"/>
        <v>0</v>
      </c>
      <c r="H22" s="17">
        <f>일위대가표!H123</f>
        <v>2702</v>
      </c>
      <c r="I22" s="17">
        <f t="shared" si="1"/>
        <v>2702</v>
      </c>
      <c r="J22" s="17">
        <f>일위대가표!J123</f>
        <v>0</v>
      </c>
      <c r="K22" s="17">
        <f t="shared" si="2"/>
        <v>0</v>
      </c>
      <c r="L22" s="17">
        <f t="shared" si="3"/>
        <v>2702</v>
      </c>
      <c r="M22" s="17">
        <f t="shared" si="4"/>
        <v>2702</v>
      </c>
      <c r="N22" s="14" t="s">
        <v>325</v>
      </c>
      <c r="O22" s="1" t="s">
        <v>393</v>
      </c>
    </row>
    <row r="23" spans="1:15" ht="23.1" customHeight="1" x14ac:dyDescent="0.3">
      <c r="A23" s="16" t="s">
        <v>435</v>
      </c>
      <c r="B23" s="14" t="s">
        <v>436</v>
      </c>
      <c r="C23" s="14" t="s">
        <v>337</v>
      </c>
      <c r="D23" s="16" t="s">
        <v>34</v>
      </c>
      <c r="E23" s="22">
        <v>1</v>
      </c>
      <c r="F23" s="17">
        <f>일위대가표!F127</f>
        <v>0</v>
      </c>
      <c r="G23" s="17">
        <f t="shared" si="0"/>
        <v>0</v>
      </c>
      <c r="H23" s="17">
        <f>일위대가표!H127</f>
        <v>6042</v>
      </c>
      <c r="I23" s="17">
        <f t="shared" si="1"/>
        <v>6042</v>
      </c>
      <c r="J23" s="17">
        <f>일위대가표!J127</f>
        <v>0</v>
      </c>
      <c r="K23" s="17">
        <f t="shared" si="2"/>
        <v>0</v>
      </c>
      <c r="L23" s="17">
        <f t="shared" si="3"/>
        <v>6042</v>
      </c>
      <c r="M23" s="17">
        <f t="shared" si="4"/>
        <v>6042</v>
      </c>
      <c r="N23" s="15"/>
      <c r="O23" s="1" t="s">
        <v>393</v>
      </c>
    </row>
    <row r="24" spans="1:15" ht="23.1" customHeight="1" x14ac:dyDescent="0.3">
      <c r="A24" s="16" t="s">
        <v>437</v>
      </c>
      <c r="B24" s="14" t="s">
        <v>438</v>
      </c>
      <c r="C24" s="14" t="s">
        <v>439</v>
      </c>
      <c r="D24" s="16" t="s">
        <v>320</v>
      </c>
      <c r="E24" s="22">
        <v>1</v>
      </c>
      <c r="F24" s="17">
        <f>일위대가표!F131</f>
        <v>0</v>
      </c>
      <c r="G24" s="17">
        <f t="shared" si="0"/>
        <v>0</v>
      </c>
      <c r="H24" s="17">
        <f>일위대가표!H131</f>
        <v>302</v>
      </c>
      <c r="I24" s="17">
        <f t="shared" si="1"/>
        <v>302</v>
      </c>
      <c r="J24" s="17">
        <f>일위대가표!J131</f>
        <v>0</v>
      </c>
      <c r="K24" s="17">
        <f t="shared" si="2"/>
        <v>0</v>
      </c>
      <c r="L24" s="17">
        <f t="shared" si="3"/>
        <v>302</v>
      </c>
      <c r="M24" s="17">
        <f t="shared" si="4"/>
        <v>302</v>
      </c>
      <c r="N24" s="14" t="s">
        <v>325</v>
      </c>
      <c r="O24" s="1" t="s">
        <v>393</v>
      </c>
    </row>
    <row r="25" spans="1:15" ht="23.1" customHeight="1" x14ac:dyDescent="0.3">
      <c r="A25" s="16" t="s">
        <v>440</v>
      </c>
      <c r="B25" s="14" t="s">
        <v>441</v>
      </c>
      <c r="C25" s="14" t="s">
        <v>337</v>
      </c>
      <c r="D25" s="16" t="s">
        <v>34</v>
      </c>
      <c r="E25" s="22">
        <v>1</v>
      </c>
      <c r="F25" s="17">
        <f>일위대가표!F135</f>
        <v>0</v>
      </c>
      <c r="G25" s="17">
        <f t="shared" si="0"/>
        <v>0</v>
      </c>
      <c r="H25" s="17">
        <f>일위대가표!H135</f>
        <v>5951</v>
      </c>
      <c r="I25" s="17">
        <f t="shared" si="1"/>
        <v>5951</v>
      </c>
      <c r="J25" s="17">
        <f>일위대가표!J135</f>
        <v>0</v>
      </c>
      <c r="K25" s="17">
        <f t="shared" si="2"/>
        <v>0</v>
      </c>
      <c r="L25" s="17">
        <f t="shared" si="3"/>
        <v>5951</v>
      </c>
      <c r="M25" s="17">
        <f t="shared" si="4"/>
        <v>5951</v>
      </c>
      <c r="N25" s="15"/>
      <c r="O25" s="1" t="s">
        <v>393</v>
      </c>
    </row>
    <row r="26" spans="1:15" ht="23.1" customHeight="1" x14ac:dyDescent="0.3">
      <c r="A26" s="16" t="s">
        <v>328</v>
      </c>
      <c r="B26" s="14" t="s">
        <v>326</v>
      </c>
      <c r="C26" s="14" t="s">
        <v>327</v>
      </c>
      <c r="D26" s="16" t="s">
        <v>34</v>
      </c>
      <c r="E26" s="22">
        <v>1</v>
      </c>
      <c r="F26" s="17">
        <f>일위대가표!F140</f>
        <v>0</v>
      </c>
      <c r="G26" s="17">
        <f t="shared" si="0"/>
        <v>0</v>
      </c>
      <c r="H26" s="17">
        <f>일위대가표!H140</f>
        <v>2702</v>
      </c>
      <c r="I26" s="17">
        <f t="shared" si="1"/>
        <v>2702</v>
      </c>
      <c r="J26" s="17">
        <f>일위대가표!J140</f>
        <v>0</v>
      </c>
      <c r="K26" s="17">
        <f t="shared" si="2"/>
        <v>0</v>
      </c>
      <c r="L26" s="17">
        <f t="shared" si="3"/>
        <v>2702</v>
      </c>
      <c r="M26" s="17">
        <f t="shared" si="4"/>
        <v>2702</v>
      </c>
      <c r="N26" s="14" t="s">
        <v>341</v>
      </c>
      <c r="O26" s="1" t="s">
        <v>329</v>
      </c>
    </row>
    <row r="27" spans="1:15" ht="23.1" customHeight="1" x14ac:dyDescent="0.3">
      <c r="A27" s="16" t="s">
        <v>333</v>
      </c>
      <c r="B27" s="14" t="s">
        <v>331</v>
      </c>
      <c r="C27" s="14" t="s">
        <v>332</v>
      </c>
      <c r="D27" s="16" t="s">
        <v>34</v>
      </c>
      <c r="E27" s="22">
        <v>1</v>
      </c>
      <c r="F27" s="17">
        <f>일위대가표!F145</f>
        <v>0</v>
      </c>
      <c r="G27" s="17">
        <f t="shared" si="0"/>
        <v>0</v>
      </c>
      <c r="H27" s="17">
        <f>일위대가표!H145</f>
        <v>6042</v>
      </c>
      <c r="I27" s="17">
        <f t="shared" si="1"/>
        <v>6042</v>
      </c>
      <c r="J27" s="17">
        <f>일위대가표!J145</f>
        <v>0</v>
      </c>
      <c r="K27" s="17">
        <f t="shared" si="2"/>
        <v>0</v>
      </c>
      <c r="L27" s="17">
        <f t="shared" si="3"/>
        <v>6042</v>
      </c>
      <c r="M27" s="17">
        <f t="shared" si="4"/>
        <v>6042</v>
      </c>
      <c r="N27" s="15"/>
    </row>
    <row r="28" spans="1:15" ht="23.1" customHeight="1" x14ac:dyDescent="0.3">
      <c r="A28" s="16" t="s">
        <v>338</v>
      </c>
      <c r="B28" s="14" t="s">
        <v>336</v>
      </c>
      <c r="C28" s="14" t="s">
        <v>337</v>
      </c>
      <c r="D28" s="16" t="s">
        <v>34</v>
      </c>
      <c r="E28" s="22">
        <v>1</v>
      </c>
      <c r="F28" s="17">
        <f>일위대가표!F150</f>
        <v>0</v>
      </c>
      <c r="G28" s="17">
        <f t="shared" si="0"/>
        <v>0</v>
      </c>
      <c r="H28" s="17">
        <f>일위대가표!H150</f>
        <v>5951</v>
      </c>
      <c r="I28" s="17">
        <f t="shared" si="1"/>
        <v>5951</v>
      </c>
      <c r="J28" s="17">
        <f>일위대가표!J150</f>
        <v>0</v>
      </c>
      <c r="K28" s="17">
        <f t="shared" si="2"/>
        <v>0</v>
      </c>
      <c r="L28" s="17">
        <f t="shared" si="3"/>
        <v>5951</v>
      </c>
      <c r="M28" s="17">
        <f t="shared" si="4"/>
        <v>5951</v>
      </c>
      <c r="N28" s="15"/>
      <c r="O28" s="1" t="s">
        <v>339</v>
      </c>
    </row>
    <row r="29" spans="1:15" ht="23.1" customHeight="1" x14ac:dyDescent="0.3">
      <c r="A29" s="16" t="s">
        <v>316</v>
      </c>
      <c r="B29" s="14" t="s">
        <v>314</v>
      </c>
      <c r="C29" s="14" t="s">
        <v>315</v>
      </c>
      <c r="D29" s="16" t="s">
        <v>34</v>
      </c>
      <c r="E29" s="22">
        <v>1</v>
      </c>
      <c r="F29" s="17">
        <f>일위대가표!F156</f>
        <v>0</v>
      </c>
      <c r="G29" s="17">
        <f t="shared" si="0"/>
        <v>0</v>
      </c>
      <c r="H29" s="17">
        <f>일위대가표!H156</f>
        <v>15191</v>
      </c>
      <c r="I29" s="17">
        <f t="shared" si="1"/>
        <v>15191</v>
      </c>
      <c r="J29" s="17">
        <f>일위대가표!J156</f>
        <v>151</v>
      </c>
      <c r="K29" s="17">
        <f t="shared" si="2"/>
        <v>151</v>
      </c>
      <c r="L29" s="17">
        <f t="shared" si="3"/>
        <v>15342</v>
      </c>
      <c r="M29" s="17">
        <f t="shared" si="4"/>
        <v>15342</v>
      </c>
      <c r="N29" s="14" t="s">
        <v>346</v>
      </c>
    </row>
    <row r="30" spans="1:15" ht="23.1" customHeight="1" x14ac:dyDescent="0.3">
      <c r="A30" s="16" t="s">
        <v>321</v>
      </c>
      <c r="B30" s="14" t="s">
        <v>318</v>
      </c>
      <c r="C30" s="14" t="s">
        <v>319</v>
      </c>
      <c r="D30" s="16" t="s">
        <v>320</v>
      </c>
      <c r="E30" s="22">
        <v>1</v>
      </c>
      <c r="F30" s="17">
        <f>일위대가표!F161</f>
        <v>0</v>
      </c>
      <c r="G30" s="17">
        <f t="shared" si="0"/>
        <v>0</v>
      </c>
      <c r="H30" s="17">
        <f>일위대가표!H161</f>
        <v>9061</v>
      </c>
      <c r="I30" s="17">
        <f t="shared" si="1"/>
        <v>9061</v>
      </c>
      <c r="J30" s="17">
        <f>일위대가표!J161</f>
        <v>362</v>
      </c>
      <c r="K30" s="17">
        <f t="shared" si="2"/>
        <v>362</v>
      </c>
      <c r="L30" s="17">
        <f t="shared" si="3"/>
        <v>9423</v>
      </c>
      <c r="M30" s="17">
        <f t="shared" si="4"/>
        <v>9423</v>
      </c>
      <c r="N30" s="14" t="s">
        <v>348</v>
      </c>
    </row>
    <row r="31" spans="1:15" ht="23.1" customHeight="1" x14ac:dyDescent="0.3">
      <c r="A31" s="16" t="s">
        <v>280</v>
      </c>
      <c r="B31" s="14" t="s">
        <v>279</v>
      </c>
      <c r="C31" s="14" t="s">
        <v>217</v>
      </c>
      <c r="D31" s="16" t="s">
        <v>34</v>
      </c>
      <c r="E31" s="22">
        <v>1</v>
      </c>
      <c r="F31" s="17">
        <f>일위대가표!F167</f>
        <v>0</v>
      </c>
      <c r="G31" s="17">
        <f t="shared" si="0"/>
        <v>0</v>
      </c>
      <c r="H31" s="17">
        <f>일위대가표!H167</f>
        <v>8423</v>
      </c>
      <c r="I31" s="17">
        <f t="shared" si="1"/>
        <v>8423</v>
      </c>
      <c r="J31" s="17">
        <f>일위대가표!J167</f>
        <v>336</v>
      </c>
      <c r="K31" s="17">
        <f t="shared" si="2"/>
        <v>336</v>
      </c>
      <c r="L31" s="17">
        <f t="shared" si="3"/>
        <v>8759</v>
      </c>
      <c r="M31" s="17">
        <f t="shared" si="4"/>
        <v>8759</v>
      </c>
      <c r="N31" s="14" t="s">
        <v>350</v>
      </c>
    </row>
    <row r="32" spans="1:15" ht="23.1" customHeight="1" x14ac:dyDescent="0.3">
      <c r="A32" s="16" t="s">
        <v>291</v>
      </c>
      <c r="B32" s="14" t="s">
        <v>289</v>
      </c>
      <c r="C32" s="14" t="s">
        <v>290</v>
      </c>
      <c r="D32" s="16" t="s">
        <v>34</v>
      </c>
      <c r="E32" s="22">
        <v>1</v>
      </c>
      <c r="F32" s="17">
        <f>일위대가표!F174</f>
        <v>0</v>
      </c>
      <c r="G32" s="17">
        <f t="shared" si="0"/>
        <v>0</v>
      </c>
      <c r="H32" s="17">
        <f>일위대가표!H174</f>
        <v>17586</v>
      </c>
      <c r="I32" s="17">
        <f t="shared" si="1"/>
        <v>17586</v>
      </c>
      <c r="J32" s="17">
        <f>일위대가표!J174</f>
        <v>351</v>
      </c>
      <c r="K32" s="17">
        <f t="shared" si="2"/>
        <v>351</v>
      </c>
      <c r="L32" s="17">
        <f t="shared" si="3"/>
        <v>17937</v>
      </c>
      <c r="M32" s="17">
        <f t="shared" si="4"/>
        <v>17937</v>
      </c>
      <c r="N32" s="14" t="s">
        <v>352</v>
      </c>
    </row>
    <row r="33" spans="1:15" ht="23.1" customHeight="1" x14ac:dyDescent="0.3">
      <c r="A33" s="16" t="s">
        <v>300</v>
      </c>
      <c r="B33" s="14" t="s">
        <v>298</v>
      </c>
      <c r="C33" s="14" t="s">
        <v>299</v>
      </c>
      <c r="D33" s="16" t="s">
        <v>34</v>
      </c>
      <c r="E33" s="22">
        <v>1</v>
      </c>
      <c r="F33" s="17">
        <f>일위대가표!F179</f>
        <v>236</v>
      </c>
      <c r="G33" s="17">
        <f t="shared" si="0"/>
        <v>236</v>
      </c>
      <c r="H33" s="17">
        <f>일위대가표!H179</f>
        <v>2854</v>
      </c>
      <c r="I33" s="17">
        <f t="shared" si="1"/>
        <v>2854</v>
      </c>
      <c r="J33" s="17">
        <f>일위대가표!J179</f>
        <v>0</v>
      </c>
      <c r="K33" s="17">
        <f t="shared" si="2"/>
        <v>0</v>
      </c>
      <c r="L33" s="17">
        <f t="shared" si="3"/>
        <v>3090</v>
      </c>
      <c r="M33" s="17">
        <f t="shared" si="4"/>
        <v>3090</v>
      </c>
      <c r="N33" s="14" t="s">
        <v>355</v>
      </c>
    </row>
    <row r="34" spans="1:15" ht="23.1" customHeight="1" x14ac:dyDescent="0.3">
      <c r="A34" s="16" t="s">
        <v>308</v>
      </c>
      <c r="B34" s="14" t="s">
        <v>307</v>
      </c>
      <c r="C34" s="14" t="s">
        <v>299</v>
      </c>
      <c r="D34" s="16" t="s">
        <v>34</v>
      </c>
      <c r="E34" s="22">
        <v>1</v>
      </c>
      <c r="F34" s="17">
        <f>일위대가표!F184</f>
        <v>226</v>
      </c>
      <c r="G34" s="17">
        <f t="shared" si="0"/>
        <v>226</v>
      </c>
      <c r="H34" s="17">
        <f>일위대가표!H184</f>
        <v>1513</v>
      </c>
      <c r="I34" s="17">
        <f t="shared" si="1"/>
        <v>1513</v>
      </c>
      <c r="J34" s="17">
        <f>일위대가표!J184</f>
        <v>0</v>
      </c>
      <c r="K34" s="17">
        <f t="shared" si="2"/>
        <v>0</v>
      </c>
      <c r="L34" s="17">
        <f t="shared" si="3"/>
        <v>1739</v>
      </c>
      <c r="M34" s="17">
        <f t="shared" si="4"/>
        <v>1739</v>
      </c>
      <c r="N34" s="14" t="s">
        <v>362</v>
      </c>
    </row>
    <row r="35" spans="1:15" ht="23.1" customHeight="1" x14ac:dyDescent="0.3">
      <c r="A35" s="16" t="s">
        <v>363</v>
      </c>
      <c r="B35" s="14" t="s">
        <v>307</v>
      </c>
      <c r="C35" s="14" t="s">
        <v>357</v>
      </c>
      <c r="D35" s="16" t="s">
        <v>34</v>
      </c>
      <c r="E35" s="22">
        <v>1</v>
      </c>
      <c r="F35" s="17">
        <f>일위대가표!F190</f>
        <v>45</v>
      </c>
      <c r="G35" s="17">
        <f t="shared" si="0"/>
        <v>45</v>
      </c>
      <c r="H35" s="17">
        <f>일위대가표!H190</f>
        <v>1513</v>
      </c>
      <c r="I35" s="17">
        <f t="shared" si="1"/>
        <v>1513</v>
      </c>
      <c r="J35" s="17">
        <f>일위대가표!J190</f>
        <v>0</v>
      </c>
      <c r="K35" s="17">
        <f t="shared" si="2"/>
        <v>0</v>
      </c>
      <c r="L35" s="17">
        <f t="shared" si="3"/>
        <v>1558</v>
      </c>
      <c r="M35" s="17">
        <f t="shared" si="4"/>
        <v>1558</v>
      </c>
      <c r="N35" s="14" t="s">
        <v>362</v>
      </c>
    </row>
    <row r="36" spans="1:15" ht="23.1" customHeight="1" x14ac:dyDescent="0.3">
      <c r="A36" s="16" t="s">
        <v>358</v>
      </c>
      <c r="B36" s="14" t="s">
        <v>356</v>
      </c>
      <c r="C36" s="14" t="s">
        <v>357</v>
      </c>
      <c r="D36" s="16" t="s">
        <v>34</v>
      </c>
      <c r="E36" s="22">
        <v>1</v>
      </c>
      <c r="F36" s="17">
        <f>일위대가표!F196</f>
        <v>85</v>
      </c>
      <c r="G36" s="17">
        <f t="shared" si="0"/>
        <v>85</v>
      </c>
      <c r="H36" s="17">
        <f>일위대가표!H196</f>
        <v>2854</v>
      </c>
      <c r="I36" s="17">
        <f t="shared" si="1"/>
        <v>2854</v>
      </c>
      <c r="J36" s="17">
        <f>일위대가표!J196</f>
        <v>0</v>
      </c>
      <c r="K36" s="17">
        <f t="shared" si="2"/>
        <v>0</v>
      </c>
      <c r="L36" s="17">
        <f t="shared" si="3"/>
        <v>2939</v>
      </c>
      <c r="M36" s="17">
        <f t="shared" si="4"/>
        <v>2939</v>
      </c>
      <c r="N36" s="14" t="s">
        <v>355</v>
      </c>
    </row>
    <row r="37" spans="1:15" ht="23.1" customHeight="1" x14ac:dyDescent="0.3">
      <c r="A37" s="16" t="s">
        <v>360</v>
      </c>
      <c r="B37" s="14" t="s">
        <v>359</v>
      </c>
      <c r="C37" s="14" t="s">
        <v>217</v>
      </c>
      <c r="D37" s="16" t="s">
        <v>34</v>
      </c>
      <c r="E37" s="22">
        <v>1</v>
      </c>
      <c r="F37" s="17">
        <f>일위대가표!F200</f>
        <v>151</v>
      </c>
      <c r="G37" s="17">
        <f t="shared" si="0"/>
        <v>151</v>
      </c>
      <c r="H37" s="17">
        <f>일위대가표!H200</f>
        <v>0</v>
      </c>
      <c r="I37" s="17">
        <f t="shared" si="1"/>
        <v>0</v>
      </c>
      <c r="J37" s="17">
        <f>일위대가표!J200</f>
        <v>0</v>
      </c>
      <c r="K37" s="17">
        <f t="shared" si="2"/>
        <v>0</v>
      </c>
      <c r="L37" s="17">
        <f t="shared" si="3"/>
        <v>151</v>
      </c>
      <c r="M37" s="17">
        <f t="shared" si="4"/>
        <v>151</v>
      </c>
      <c r="N37" s="15"/>
    </row>
    <row r="38" spans="1:15" ht="23.1" customHeight="1" x14ac:dyDescent="0.3">
      <c r="A38" s="16" t="s">
        <v>366</v>
      </c>
      <c r="B38" s="14" t="s">
        <v>364</v>
      </c>
      <c r="C38" s="14" t="s">
        <v>365</v>
      </c>
      <c r="D38" s="16" t="s">
        <v>34</v>
      </c>
      <c r="E38" s="22">
        <v>1</v>
      </c>
      <c r="F38" s="17">
        <f>일위대가표!F204</f>
        <v>181</v>
      </c>
      <c r="G38" s="17">
        <f t="shared" si="0"/>
        <v>181</v>
      </c>
      <c r="H38" s="17">
        <f>일위대가표!H204</f>
        <v>0</v>
      </c>
      <c r="I38" s="17">
        <f t="shared" si="1"/>
        <v>0</v>
      </c>
      <c r="J38" s="17">
        <f>일위대가표!J204</f>
        <v>0</v>
      </c>
      <c r="K38" s="17">
        <f t="shared" si="2"/>
        <v>0</v>
      </c>
      <c r="L38" s="17">
        <f t="shared" si="3"/>
        <v>181</v>
      </c>
      <c r="M38" s="17">
        <f t="shared" si="4"/>
        <v>181</v>
      </c>
      <c r="N38" s="15"/>
    </row>
    <row r="39" spans="1:15" ht="23.1" customHeight="1" x14ac:dyDescent="0.3">
      <c r="A39" s="16" t="s">
        <v>306</v>
      </c>
      <c r="B39" s="14" t="s">
        <v>304</v>
      </c>
      <c r="C39" s="14" t="s">
        <v>305</v>
      </c>
      <c r="D39" s="16" t="s">
        <v>34</v>
      </c>
      <c r="E39" s="22">
        <v>1</v>
      </c>
      <c r="F39" s="17">
        <f>일위대가표!F212</f>
        <v>142</v>
      </c>
      <c r="G39" s="17">
        <f t="shared" si="0"/>
        <v>142</v>
      </c>
      <c r="H39" s="17">
        <f>일위대가표!H212</f>
        <v>7128</v>
      </c>
      <c r="I39" s="17">
        <f t="shared" si="1"/>
        <v>7128</v>
      </c>
      <c r="J39" s="17">
        <f>일위대가표!J212</f>
        <v>0</v>
      </c>
      <c r="K39" s="17">
        <f t="shared" si="2"/>
        <v>0</v>
      </c>
      <c r="L39" s="17">
        <f t="shared" si="3"/>
        <v>7270</v>
      </c>
      <c r="M39" s="17">
        <f t="shared" si="4"/>
        <v>7270</v>
      </c>
      <c r="N39" s="14" t="s">
        <v>373</v>
      </c>
    </row>
    <row r="40" spans="1:15" ht="23.1" customHeight="1" x14ac:dyDescent="0.3">
      <c r="A40" s="16" t="s">
        <v>303</v>
      </c>
      <c r="B40" s="14" t="s">
        <v>301</v>
      </c>
      <c r="C40" s="14" t="s">
        <v>302</v>
      </c>
      <c r="D40" s="16" t="s">
        <v>34</v>
      </c>
      <c r="E40" s="22">
        <v>1</v>
      </c>
      <c r="F40" s="17">
        <f>일위대가표!F216</f>
        <v>650</v>
      </c>
      <c r="G40" s="17">
        <f t="shared" si="0"/>
        <v>650</v>
      </c>
      <c r="H40" s="17">
        <f>일위대가표!H216</f>
        <v>0</v>
      </c>
      <c r="I40" s="17">
        <f t="shared" si="1"/>
        <v>0</v>
      </c>
      <c r="J40" s="17">
        <f>일위대가표!J216</f>
        <v>0</v>
      </c>
      <c r="K40" s="17">
        <f t="shared" si="2"/>
        <v>0</v>
      </c>
      <c r="L40" s="17">
        <f t="shared" si="3"/>
        <v>650</v>
      </c>
      <c r="M40" s="17">
        <f t="shared" si="4"/>
        <v>650</v>
      </c>
      <c r="N40" s="15"/>
    </row>
    <row r="41" spans="1:15" ht="23.1" customHeight="1" x14ac:dyDescent="0.3">
      <c r="A41" s="16" t="s">
        <v>276</v>
      </c>
      <c r="B41" s="14" t="s">
        <v>274</v>
      </c>
      <c r="C41" s="14" t="s">
        <v>275</v>
      </c>
      <c r="D41" s="16" t="s">
        <v>34</v>
      </c>
      <c r="E41" s="22">
        <v>1</v>
      </c>
      <c r="F41" s="17">
        <f>일위대가표!F222</f>
        <v>113</v>
      </c>
      <c r="G41" s="17">
        <f t="shared" si="0"/>
        <v>113</v>
      </c>
      <c r="H41" s="17">
        <f>일위대가표!H222</f>
        <v>948</v>
      </c>
      <c r="I41" s="17">
        <f t="shared" si="1"/>
        <v>948</v>
      </c>
      <c r="J41" s="17">
        <f>일위대가표!J222</f>
        <v>0</v>
      </c>
      <c r="K41" s="17">
        <f t="shared" si="2"/>
        <v>0</v>
      </c>
      <c r="L41" s="17">
        <f t="shared" si="3"/>
        <v>1061</v>
      </c>
      <c r="M41" s="17">
        <f t="shared" si="4"/>
        <v>1061</v>
      </c>
      <c r="N41" s="14" t="s">
        <v>376</v>
      </c>
      <c r="O41" s="1" t="s">
        <v>277</v>
      </c>
    </row>
    <row r="42" spans="1:15" ht="23.1" customHeight="1" x14ac:dyDescent="0.3">
      <c r="A42" s="16" t="s">
        <v>265</v>
      </c>
      <c r="B42" s="14" t="s">
        <v>263</v>
      </c>
      <c r="C42" s="14" t="s">
        <v>264</v>
      </c>
      <c r="D42" s="16" t="s">
        <v>34</v>
      </c>
      <c r="E42" s="22">
        <v>1</v>
      </c>
      <c r="F42" s="17">
        <f>일위대가표!F226</f>
        <v>0</v>
      </c>
      <c r="G42" s="17">
        <f t="shared" si="0"/>
        <v>0</v>
      </c>
      <c r="H42" s="17">
        <f>일위대가표!H226</f>
        <v>8634</v>
      </c>
      <c r="I42" s="17">
        <f t="shared" si="1"/>
        <v>8634</v>
      </c>
      <c r="J42" s="17">
        <f>일위대가표!J226</f>
        <v>0</v>
      </c>
      <c r="K42" s="17">
        <f t="shared" si="2"/>
        <v>0</v>
      </c>
      <c r="L42" s="17">
        <f t="shared" si="3"/>
        <v>8634</v>
      </c>
      <c r="M42" s="17">
        <f t="shared" si="4"/>
        <v>8634</v>
      </c>
      <c r="N42" s="15"/>
      <c r="O42" s="1" t="s">
        <v>266</v>
      </c>
    </row>
    <row r="43" spans="1:15" ht="23.1" customHeight="1" x14ac:dyDescent="0.3">
      <c r="A43" s="22"/>
      <c r="B43" s="15"/>
      <c r="C43" s="15"/>
      <c r="D43" s="22"/>
      <c r="E43" s="22"/>
      <c r="F43" s="17"/>
      <c r="G43" s="17"/>
      <c r="H43" s="17"/>
      <c r="I43" s="17"/>
      <c r="J43" s="17"/>
      <c r="K43" s="17"/>
      <c r="L43" s="17"/>
      <c r="M43" s="17"/>
      <c r="N43" s="15"/>
    </row>
    <row r="44" spans="1:15" ht="23.1" customHeight="1" x14ac:dyDescent="0.3">
      <c r="A44" s="22"/>
      <c r="B44" s="15"/>
      <c r="C44" s="15"/>
      <c r="D44" s="22"/>
      <c r="E44" s="22"/>
      <c r="F44" s="17"/>
      <c r="G44" s="17"/>
      <c r="H44" s="17"/>
      <c r="I44" s="17"/>
      <c r="J44" s="17"/>
      <c r="K44" s="17"/>
      <c r="L44" s="17"/>
      <c r="M44" s="17"/>
      <c r="N44" s="15"/>
    </row>
    <row r="45" spans="1:15" ht="23.1" customHeight="1" x14ac:dyDescent="0.3">
      <c r="A45" s="22"/>
      <c r="B45" s="15"/>
      <c r="C45" s="15"/>
      <c r="D45" s="22"/>
      <c r="E45" s="22"/>
      <c r="F45" s="17"/>
      <c r="G45" s="17"/>
      <c r="H45" s="17"/>
      <c r="I45" s="17"/>
      <c r="J45" s="17"/>
      <c r="K45" s="17"/>
      <c r="L45" s="17"/>
      <c r="M45" s="17"/>
      <c r="N45" s="15"/>
    </row>
    <row r="46" spans="1:15" ht="23.1" customHeight="1" x14ac:dyDescent="0.3">
      <c r="A46" s="22"/>
      <c r="B46" s="15"/>
      <c r="C46" s="15"/>
      <c r="D46" s="22"/>
      <c r="E46" s="22"/>
      <c r="F46" s="17"/>
      <c r="G46" s="17"/>
      <c r="H46" s="17"/>
      <c r="I46" s="17"/>
      <c r="J46" s="17"/>
      <c r="K46" s="17"/>
      <c r="L46" s="17"/>
      <c r="M46" s="17"/>
      <c r="N46" s="15"/>
    </row>
    <row r="47" spans="1:15" ht="23.1" customHeight="1" x14ac:dyDescent="0.3">
      <c r="A47" s="22"/>
      <c r="B47" s="15"/>
      <c r="C47" s="15"/>
      <c r="D47" s="22"/>
      <c r="E47" s="22"/>
      <c r="F47" s="17"/>
      <c r="G47" s="17"/>
      <c r="H47" s="17"/>
      <c r="I47" s="17"/>
      <c r="J47" s="17"/>
      <c r="K47" s="17"/>
      <c r="L47" s="17"/>
      <c r="M47" s="17"/>
      <c r="N47" s="15"/>
    </row>
    <row r="48" spans="1:15" ht="23.1" customHeight="1" x14ac:dyDescent="0.3">
      <c r="A48" s="22"/>
      <c r="B48" s="15"/>
      <c r="C48" s="15"/>
      <c r="D48" s="22"/>
      <c r="E48" s="22"/>
      <c r="F48" s="17"/>
      <c r="G48" s="17"/>
      <c r="H48" s="17"/>
      <c r="I48" s="17"/>
      <c r="J48" s="17"/>
      <c r="K48" s="17"/>
      <c r="L48" s="17"/>
      <c r="M48" s="17"/>
      <c r="N48" s="15"/>
    </row>
    <row r="49" spans="1:14" ht="23.1" customHeight="1" x14ac:dyDescent="0.3">
      <c r="A49" s="22"/>
      <c r="B49" s="15"/>
      <c r="C49" s="15"/>
      <c r="D49" s="22"/>
      <c r="E49" s="22"/>
      <c r="F49" s="17"/>
      <c r="G49" s="17"/>
      <c r="H49" s="17"/>
      <c r="I49" s="17"/>
      <c r="J49" s="17"/>
      <c r="K49" s="17"/>
      <c r="L49" s="17"/>
      <c r="M49" s="17"/>
      <c r="N49" s="15"/>
    </row>
    <row r="50" spans="1:14" ht="23.1" customHeight="1" x14ac:dyDescent="0.3">
      <c r="A50" s="22"/>
      <c r="B50" s="15"/>
      <c r="C50" s="15"/>
      <c r="D50" s="22"/>
      <c r="E50" s="22"/>
      <c r="F50" s="17"/>
      <c r="G50" s="17"/>
      <c r="H50" s="17"/>
      <c r="I50" s="17"/>
      <c r="J50" s="17"/>
      <c r="K50" s="17"/>
      <c r="L50" s="17"/>
      <c r="M50" s="17"/>
      <c r="N50" s="15"/>
    </row>
    <row r="51" spans="1:14" ht="23.1" customHeight="1" x14ac:dyDescent="0.3">
      <c r="A51" s="22"/>
      <c r="B51" s="15"/>
      <c r="C51" s="15"/>
      <c r="D51" s="22"/>
      <c r="E51" s="22"/>
      <c r="F51" s="17"/>
      <c r="G51" s="17"/>
      <c r="H51" s="17"/>
      <c r="I51" s="17"/>
      <c r="J51" s="17"/>
      <c r="K51" s="17"/>
      <c r="L51" s="17"/>
      <c r="M51" s="17"/>
      <c r="N51" s="15"/>
    </row>
    <row r="52" spans="1:14" ht="23.1" customHeight="1" x14ac:dyDescent="0.3">
      <c r="A52" s="22"/>
      <c r="B52" s="15"/>
      <c r="C52" s="15"/>
      <c r="D52" s="22"/>
      <c r="E52" s="22"/>
      <c r="F52" s="17"/>
      <c r="G52" s="17"/>
      <c r="H52" s="17"/>
      <c r="I52" s="17"/>
      <c r="J52" s="17"/>
      <c r="K52" s="17"/>
      <c r="L52" s="17"/>
      <c r="M52" s="17"/>
      <c r="N52" s="15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conditionalFormatting sqref="A5:N52">
    <cfRule type="containsText" dxfId="9" priority="1" stopIfTrue="1" operator="containsText" text=".">
      <formula>NOT(ISERROR(SEARCH(".",A5)))</formula>
    </cfRule>
    <cfRule type="notContainsText" dxfId="8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  <rowBreaks count="3" manualBreakCount="3">
    <brk id="20" max="16383" man="1"/>
    <brk id="36" max="16383" man="1"/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T228"/>
  <sheetViews>
    <sheetView view="pageBreakPreview" zoomScale="60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:M2"/>
    </sheetView>
  </sheetViews>
  <sheetFormatPr defaultRowHeight="16.5" x14ac:dyDescent="0.3"/>
  <cols>
    <col min="1" max="2" width="20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8.625" style="2" customWidth="1"/>
    <col min="14" max="20" width="0" hidden="1" customWidth="1"/>
  </cols>
  <sheetData>
    <row r="1" spans="1:20" ht="30" customHeight="1" x14ac:dyDescent="0.3">
      <c r="A1" s="46" t="s">
        <v>250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0" ht="23.1" customHeight="1" x14ac:dyDescent="0.3">
      <c r="A2" s="47" t="s">
        <v>561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20" ht="23.1" customHeight="1" x14ac:dyDescent="0.3">
      <c r="A3" s="55" t="s">
        <v>251</v>
      </c>
      <c r="B3" s="55" t="s">
        <v>252</v>
      </c>
      <c r="C3" s="55" t="s">
        <v>4</v>
      </c>
      <c r="D3" s="55" t="s">
        <v>200</v>
      </c>
      <c r="E3" s="55" t="s">
        <v>253</v>
      </c>
      <c r="F3" s="55"/>
      <c r="G3" s="55" t="s">
        <v>254</v>
      </c>
      <c r="H3" s="55"/>
      <c r="I3" s="55" t="s">
        <v>255</v>
      </c>
      <c r="J3" s="55"/>
      <c r="K3" s="55" t="s">
        <v>256</v>
      </c>
      <c r="L3" s="55"/>
      <c r="M3" s="55" t="s">
        <v>205</v>
      </c>
    </row>
    <row r="4" spans="1:20" ht="23.1" customHeight="1" x14ac:dyDescent="0.3">
      <c r="A4" s="55"/>
      <c r="B4" s="55"/>
      <c r="C4" s="55"/>
      <c r="D4" s="55"/>
      <c r="E4" s="12" t="s">
        <v>206</v>
      </c>
      <c r="F4" s="12" t="s">
        <v>207</v>
      </c>
      <c r="G4" s="12" t="s">
        <v>206</v>
      </c>
      <c r="H4" s="12" t="s">
        <v>207</v>
      </c>
      <c r="I4" s="12" t="s">
        <v>206</v>
      </c>
      <c r="J4" s="12" t="s">
        <v>207</v>
      </c>
      <c r="K4" s="12" t="s">
        <v>206</v>
      </c>
      <c r="L4" s="12" t="s">
        <v>207</v>
      </c>
      <c r="M4" s="55"/>
      <c r="N4" t="s">
        <v>208</v>
      </c>
      <c r="O4" t="s">
        <v>209</v>
      </c>
      <c r="P4" t="s">
        <v>210</v>
      </c>
      <c r="Q4" t="s">
        <v>211</v>
      </c>
      <c r="R4" t="s">
        <v>212</v>
      </c>
      <c r="S4" t="s">
        <v>213</v>
      </c>
      <c r="T4" t="s">
        <v>16</v>
      </c>
    </row>
    <row r="5" spans="1:20" ht="23.1" customHeight="1" x14ac:dyDescent="0.3">
      <c r="A5" s="63" t="s">
        <v>257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5"/>
      <c r="M5" s="13" t="s">
        <v>258</v>
      </c>
    </row>
    <row r="6" spans="1:20" ht="23.1" customHeight="1" x14ac:dyDescent="0.3">
      <c r="A6" s="18" t="s">
        <v>231</v>
      </c>
      <c r="B6" s="19"/>
      <c r="C6" s="20"/>
      <c r="D6" s="21"/>
      <c r="E6" s="21"/>
      <c r="F6" s="21">
        <v>455</v>
      </c>
      <c r="G6" s="21"/>
      <c r="H6" s="21">
        <v>14693</v>
      </c>
      <c r="I6" s="21"/>
      <c r="J6" s="21">
        <v>0</v>
      </c>
      <c r="K6" s="21"/>
      <c r="L6" s="21">
        <f>F6+H6+J6</f>
        <v>15148</v>
      </c>
      <c r="M6" s="19"/>
    </row>
    <row r="7" spans="1:20" ht="23.1" customHeight="1" x14ac:dyDescent="0.3">
      <c r="A7" s="15"/>
      <c r="B7" s="15"/>
      <c r="C7" s="22"/>
      <c r="D7" s="17"/>
      <c r="E7" s="17"/>
      <c r="F7" s="17"/>
      <c r="G7" s="17"/>
      <c r="H7" s="17"/>
      <c r="I7" s="17"/>
      <c r="J7" s="17"/>
      <c r="K7" s="17"/>
      <c r="L7" s="17"/>
      <c r="M7" s="15"/>
    </row>
    <row r="8" spans="1:20" ht="23.1" customHeight="1" x14ac:dyDescent="0.3">
      <c r="A8" s="61" t="s">
        <v>259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13" t="s">
        <v>258</v>
      </c>
    </row>
    <row r="9" spans="1:20" ht="23.1" customHeight="1" x14ac:dyDescent="0.3">
      <c r="A9" s="18" t="s">
        <v>231</v>
      </c>
      <c r="B9" s="19"/>
      <c r="C9" s="20"/>
      <c r="D9" s="21"/>
      <c r="E9" s="21"/>
      <c r="F9" s="21">
        <v>555</v>
      </c>
      <c r="G9" s="21"/>
      <c r="H9" s="21">
        <v>17932</v>
      </c>
      <c r="I9" s="21"/>
      <c r="J9" s="21">
        <v>0</v>
      </c>
      <c r="K9" s="21"/>
      <c r="L9" s="21">
        <f>F9+H9+J9</f>
        <v>18487</v>
      </c>
      <c r="M9" s="19"/>
    </row>
    <row r="10" spans="1:20" ht="23.1" customHeight="1" x14ac:dyDescent="0.3">
      <c r="A10" s="15"/>
      <c r="B10" s="15"/>
      <c r="C10" s="22"/>
      <c r="D10" s="17"/>
      <c r="E10" s="17"/>
      <c r="F10" s="17"/>
      <c r="G10" s="17"/>
      <c r="H10" s="17"/>
      <c r="I10" s="17"/>
      <c r="J10" s="17"/>
      <c r="K10" s="17"/>
      <c r="L10" s="17"/>
      <c r="M10" s="15"/>
    </row>
    <row r="11" spans="1:20" ht="23.1" customHeight="1" x14ac:dyDescent="0.3">
      <c r="A11" s="61" t="s">
        <v>260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13" t="s">
        <v>261</v>
      </c>
    </row>
    <row r="12" spans="1:20" ht="23.1" customHeight="1" x14ac:dyDescent="0.3">
      <c r="A12" s="14" t="s">
        <v>52</v>
      </c>
      <c r="B12" s="14" t="s">
        <v>61</v>
      </c>
      <c r="C12" s="16" t="s">
        <v>58</v>
      </c>
      <c r="D12" s="17">
        <v>9.3332999999999999E-2</v>
      </c>
      <c r="E12" s="17">
        <f>ROUNDDOWN(단가대비표!O14, 0)</f>
        <v>27402</v>
      </c>
      <c r="F12" s="17">
        <f t="shared" ref="F12:F23" si="0">ROUNDDOWN(D12*E12, 1)</f>
        <v>2557.5</v>
      </c>
      <c r="G12" s="17">
        <v>0</v>
      </c>
      <c r="H12" s="17">
        <f t="shared" ref="H12:H23" si="1">ROUNDDOWN(D12*G12, 1)</f>
        <v>0</v>
      </c>
      <c r="I12" s="17">
        <v>0</v>
      </c>
      <c r="J12" s="17">
        <f t="shared" ref="J12:J23" si="2">ROUNDDOWN(D12*I12, 1)</f>
        <v>0</v>
      </c>
      <c r="K12" s="17">
        <f t="shared" ref="K12:K23" si="3">E12+G12+I12</f>
        <v>27402</v>
      </c>
      <c r="L12" s="17">
        <f t="shared" ref="L12:L23" si="4">F12+H12+J12</f>
        <v>2557.5</v>
      </c>
      <c r="M12" s="14" t="s">
        <v>63</v>
      </c>
      <c r="O12" s="1" t="s">
        <v>222</v>
      </c>
      <c r="P12" s="1" t="s">
        <v>219</v>
      </c>
      <c r="Q12">
        <v>1</v>
      </c>
    </row>
    <row r="13" spans="1:20" ht="23.1" customHeight="1" x14ac:dyDescent="0.3">
      <c r="A13" s="14" t="s">
        <v>52</v>
      </c>
      <c r="B13" s="14" t="s">
        <v>53</v>
      </c>
      <c r="C13" s="16" t="s">
        <v>54</v>
      </c>
      <c r="D13" s="17">
        <v>9.3332999999999999E-2</v>
      </c>
      <c r="E13" s="17">
        <f>ROUNDDOWN(단가대비표!O12, 0)</f>
        <v>18180</v>
      </c>
      <c r="F13" s="17">
        <f t="shared" si="0"/>
        <v>1696.7</v>
      </c>
      <c r="G13" s="17">
        <v>0</v>
      </c>
      <c r="H13" s="17">
        <f t="shared" si="1"/>
        <v>0</v>
      </c>
      <c r="I13" s="17">
        <v>0</v>
      </c>
      <c r="J13" s="17">
        <f t="shared" si="2"/>
        <v>0</v>
      </c>
      <c r="K13" s="17">
        <f t="shared" si="3"/>
        <v>18180</v>
      </c>
      <c r="L13" s="17">
        <f t="shared" si="4"/>
        <v>1696.7</v>
      </c>
      <c r="M13" s="15"/>
      <c r="O13" s="1" t="s">
        <v>222</v>
      </c>
      <c r="P13" s="1" t="s">
        <v>219</v>
      </c>
      <c r="Q13">
        <v>1</v>
      </c>
    </row>
    <row r="14" spans="1:20" ht="23.1" customHeight="1" x14ac:dyDescent="0.3">
      <c r="A14" s="14" t="s">
        <v>52</v>
      </c>
      <c r="B14" s="14" t="s">
        <v>67</v>
      </c>
      <c r="C14" s="16" t="s">
        <v>58</v>
      </c>
      <c r="D14" s="17">
        <v>0.186666</v>
      </c>
      <c r="E14" s="17">
        <f>ROUNDDOWN(단가대비표!O18, 0)</f>
        <v>25000</v>
      </c>
      <c r="F14" s="17">
        <f t="shared" si="0"/>
        <v>4666.6000000000004</v>
      </c>
      <c r="G14" s="17">
        <v>0</v>
      </c>
      <c r="H14" s="17">
        <f t="shared" si="1"/>
        <v>0</v>
      </c>
      <c r="I14" s="17">
        <v>0</v>
      </c>
      <c r="J14" s="17">
        <f t="shared" si="2"/>
        <v>0</v>
      </c>
      <c r="K14" s="17">
        <f t="shared" si="3"/>
        <v>25000</v>
      </c>
      <c r="L14" s="17">
        <f t="shared" si="4"/>
        <v>4666.6000000000004</v>
      </c>
      <c r="M14" s="14" t="s">
        <v>68</v>
      </c>
      <c r="O14" s="1" t="s">
        <v>222</v>
      </c>
      <c r="P14" s="1" t="s">
        <v>219</v>
      </c>
      <c r="Q14">
        <v>1</v>
      </c>
    </row>
    <row r="15" spans="1:20" ht="23.1" customHeight="1" x14ac:dyDescent="0.3">
      <c r="A15" s="14" t="s">
        <v>52</v>
      </c>
      <c r="B15" s="14" t="s">
        <v>66</v>
      </c>
      <c r="C15" s="16" t="s">
        <v>58</v>
      </c>
      <c r="D15" s="17">
        <v>9.3332999999999999E-2</v>
      </c>
      <c r="E15" s="17">
        <f>ROUNDDOWN(단가대비표!O17, 0)</f>
        <v>5700</v>
      </c>
      <c r="F15" s="17">
        <f t="shared" si="0"/>
        <v>531.9</v>
      </c>
      <c r="G15" s="17">
        <v>0</v>
      </c>
      <c r="H15" s="17">
        <f t="shared" si="1"/>
        <v>0</v>
      </c>
      <c r="I15" s="17">
        <v>0</v>
      </c>
      <c r="J15" s="17">
        <f t="shared" si="2"/>
        <v>0</v>
      </c>
      <c r="K15" s="17">
        <f t="shared" si="3"/>
        <v>5700</v>
      </c>
      <c r="L15" s="17">
        <f t="shared" si="4"/>
        <v>531.9</v>
      </c>
      <c r="M15" s="15"/>
      <c r="O15" s="1" t="s">
        <v>222</v>
      </c>
      <c r="P15" s="1" t="s">
        <v>219</v>
      </c>
      <c r="Q15">
        <v>1</v>
      </c>
    </row>
    <row r="16" spans="1:20" ht="23.1" customHeight="1" x14ac:dyDescent="0.3">
      <c r="A16" s="14" t="s">
        <v>52</v>
      </c>
      <c r="B16" s="14" t="s">
        <v>64</v>
      </c>
      <c r="C16" s="16" t="s">
        <v>58</v>
      </c>
      <c r="D16" s="17">
        <v>4.6665999999999999E-2</v>
      </c>
      <c r="E16" s="17">
        <f>ROUNDDOWN(단가대비표!O15, 0)</f>
        <v>1440</v>
      </c>
      <c r="F16" s="17">
        <f t="shared" si="0"/>
        <v>67.099999999999994</v>
      </c>
      <c r="G16" s="17">
        <v>0</v>
      </c>
      <c r="H16" s="17">
        <f t="shared" si="1"/>
        <v>0</v>
      </c>
      <c r="I16" s="17">
        <v>0</v>
      </c>
      <c r="J16" s="17">
        <f t="shared" si="2"/>
        <v>0</v>
      </c>
      <c r="K16" s="17">
        <f t="shared" si="3"/>
        <v>1440</v>
      </c>
      <c r="L16" s="17">
        <f t="shared" si="4"/>
        <v>67.099999999999994</v>
      </c>
      <c r="M16" s="15"/>
      <c r="O16" s="1" t="s">
        <v>222</v>
      </c>
      <c r="P16" s="1" t="s">
        <v>219</v>
      </c>
      <c r="Q16">
        <v>1</v>
      </c>
    </row>
    <row r="17" spans="1:20" ht="23.1" customHeight="1" x14ac:dyDescent="0.3">
      <c r="A17" s="14" t="s">
        <v>52</v>
      </c>
      <c r="B17" s="14" t="s">
        <v>65</v>
      </c>
      <c r="C17" s="16" t="s">
        <v>58</v>
      </c>
      <c r="D17" s="17">
        <v>9.3332999999999999E-2</v>
      </c>
      <c r="E17" s="17">
        <f>ROUNDDOWN(단가대비표!O16, 0)</f>
        <v>2100</v>
      </c>
      <c r="F17" s="17">
        <f t="shared" si="0"/>
        <v>195.9</v>
      </c>
      <c r="G17" s="17">
        <v>0</v>
      </c>
      <c r="H17" s="17">
        <f t="shared" si="1"/>
        <v>0</v>
      </c>
      <c r="I17" s="17">
        <v>0</v>
      </c>
      <c r="J17" s="17">
        <f t="shared" si="2"/>
        <v>0</v>
      </c>
      <c r="K17" s="17">
        <f t="shared" si="3"/>
        <v>2100</v>
      </c>
      <c r="L17" s="17">
        <f t="shared" si="4"/>
        <v>195.9</v>
      </c>
      <c r="M17" s="15"/>
      <c r="O17" s="1" t="s">
        <v>222</v>
      </c>
      <c r="P17" s="1" t="s">
        <v>219</v>
      </c>
      <c r="Q17">
        <v>1</v>
      </c>
    </row>
    <row r="18" spans="1:20" ht="23.1" customHeight="1" x14ac:dyDescent="0.3">
      <c r="A18" s="14" t="s">
        <v>52</v>
      </c>
      <c r="B18" s="14" t="s">
        <v>69</v>
      </c>
      <c r="C18" s="16" t="s">
        <v>58</v>
      </c>
      <c r="D18" s="17">
        <v>0.16</v>
      </c>
      <c r="E18" s="17">
        <f>ROUNDDOWN(단가대비표!O19, 0)</f>
        <v>1330</v>
      </c>
      <c r="F18" s="17">
        <f t="shared" si="0"/>
        <v>212.8</v>
      </c>
      <c r="G18" s="17">
        <v>0</v>
      </c>
      <c r="H18" s="17">
        <f t="shared" si="1"/>
        <v>0</v>
      </c>
      <c r="I18" s="17">
        <v>0</v>
      </c>
      <c r="J18" s="17">
        <f t="shared" si="2"/>
        <v>0</v>
      </c>
      <c r="K18" s="17">
        <f t="shared" si="3"/>
        <v>1330</v>
      </c>
      <c r="L18" s="17">
        <f t="shared" si="4"/>
        <v>212.8</v>
      </c>
      <c r="M18" s="15"/>
      <c r="O18" s="1" t="s">
        <v>222</v>
      </c>
      <c r="P18" s="1" t="s">
        <v>219</v>
      </c>
      <c r="Q18">
        <v>1</v>
      </c>
    </row>
    <row r="19" spans="1:20" ht="23.1" customHeight="1" x14ac:dyDescent="0.3">
      <c r="A19" s="14" t="s">
        <v>52</v>
      </c>
      <c r="B19" s="14" t="s">
        <v>57</v>
      </c>
      <c r="C19" s="16" t="s">
        <v>58</v>
      </c>
      <c r="D19" s="17">
        <v>0.12</v>
      </c>
      <c r="E19" s="17">
        <f>ROUNDDOWN(단가대비표!O13, 0)</f>
        <v>9500</v>
      </c>
      <c r="F19" s="17">
        <f t="shared" si="0"/>
        <v>1140</v>
      </c>
      <c r="G19" s="17">
        <v>0</v>
      </c>
      <c r="H19" s="17">
        <f t="shared" si="1"/>
        <v>0</v>
      </c>
      <c r="I19" s="17">
        <v>0</v>
      </c>
      <c r="J19" s="17">
        <f t="shared" si="2"/>
        <v>0</v>
      </c>
      <c r="K19" s="17">
        <f t="shared" si="3"/>
        <v>9500</v>
      </c>
      <c r="L19" s="17">
        <f t="shared" si="4"/>
        <v>1140</v>
      </c>
      <c r="M19" s="14" t="s">
        <v>60</v>
      </c>
      <c r="O19" s="1" t="s">
        <v>222</v>
      </c>
      <c r="P19" s="1" t="s">
        <v>219</v>
      </c>
      <c r="Q19">
        <v>1</v>
      </c>
    </row>
    <row r="20" spans="1:20" ht="23.1" customHeight="1" x14ac:dyDescent="0.3">
      <c r="A20" s="14" t="s">
        <v>52</v>
      </c>
      <c r="B20" s="14" t="s">
        <v>70</v>
      </c>
      <c r="C20" s="16" t="s">
        <v>58</v>
      </c>
      <c r="D20" s="17">
        <v>0.12</v>
      </c>
      <c r="E20" s="17">
        <f>ROUNDDOWN(단가대비표!O20, 0)</f>
        <v>11000</v>
      </c>
      <c r="F20" s="17">
        <f t="shared" si="0"/>
        <v>1320</v>
      </c>
      <c r="G20" s="17">
        <v>0</v>
      </c>
      <c r="H20" s="17">
        <f t="shared" si="1"/>
        <v>0</v>
      </c>
      <c r="I20" s="17">
        <v>0</v>
      </c>
      <c r="J20" s="17">
        <f t="shared" si="2"/>
        <v>0</v>
      </c>
      <c r="K20" s="17">
        <f t="shared" si="3"/>
        <v>11000</v>
      </c>
      <c r="L20" s="17">
        <f t="shared" si="4"/>
        <v>1320</v>
      </c>
      <c r="M20" s="14" t="s">
        <v>71</v>
      </c>
      <c r="O20" s="1" t="s">
        <v>222</v>
      </c>
      <c r="P20" s="1" t="s">
        <v>219</v>
      </c>
      <c r="Q20">
        <v>1</v>
      </c>
    </row>
    <row r="21" spans="1:20" ht="23.1" customHeight="1" x14ac:dyDescent="0.3">
      <c r="A21" s="14" t="s">
        <v>23</v>
      </c>
      <c r="B21" s="14" t="s">
        <v>24</v>
      </c>
      <c r="C21" s="16" t="s">
        <v>25</v>
      </c>
      <c r="D21" s="17">
        <v>0.21</v>
      </c>
      <c r="E21" s="17">
        <f>ROUNDDOWN(단가대비표!O6, 0)</f>
        <v>18500</v>
      </c>
      <c r="F21" s="17">
        <f t="shared" si="0"/>
        <v>3885</v>
      </c>
      <c r="G21" s="17">
        <v>0</v>
      </c>
      <c r="H21" s="17">
        <f t="shared" si="1"/>
        <v>0</v>
      </c>
      <c r="I21" s="17">
        <v>0</v>
      </c>
      <c r="J21" s="17">
        <f t="shared" si="2"/>
        <v>0</v>
      </c>
      <c r="K21" s="17">
        <f t="shared" si="3"/>
        <v>18500</v>
      </c>
      <c r="L21" s="17">
        <f t="shared" si="4"/>
        <v>3885</v>
      </c>
      <c r="M21" s="14" t="s">
        <v>28</v>
      </c>
      <c r="O21" s="1" t="s">
        <v>222</v>
      </c>
      <c r="P21" s="1" t="s">
        <v>219</v>
      </c>
      <c r="Q21">
        <v>1</v>
      </c>
    </row>
    <row r="22" spans="1:20" ht="23.1" customHeight="1" x14ac:dyDescent="0.3">
      <c r="A22" s="14" t="s">
        <v>154</v>
      </c>
      <c r="B22" s="14" t="s">
        <v>143</v>
      </c>
      <c r="C22" s="16" t="s">
        <v>144</v>
      </c>
      <c r="D22" s="17">
        <v>0.41</v>
      </c>
      <c r="E22" s="17">
        <v>0</v>
      </c>
      <c r="F22" s="17">
        <f t="shared" si="0"/>
        <v>0</v>
      </c>
      <c r="G22" s="17">
        <f>ROUNDDOWN(단가대비표!O45, 0)</f>
        <v>284440</v>
      </c>
      <c r="H22" s="17">
        <f t="shared" si="1"/>
        <v>116620.4</v>
      </c>
      <c r="I22" s="17">
        <v>0</v>
      </c>
      <c r="J22" s="17">
        <f t="shared" si="2"/>
        <v>0</v>
      </c>
      <c r="K22" s="17">
        <f t="shared" si="3"/>
        <v>284440</v>
      </c>
      <c r="L22" s="17">
        <f t="shared" si="4"/>
        <v>116620.4</v>
      </c>
      <c r="M22" s="15"/>
      <c r="O22" s="1" t="s">
        <v>230</v>
      </c>
      <c r="P22" s="1" t="s">
        <v>219</v>
      </c>
      <c r="Q22">
        <v>1</v>
      </c>
    </row>
    <row r="23" spans="1:20" ht="23.1" customHeight="1" x14ac:dyDescent="0.3">
      <c r="A23" s="14" t="s">
        <v>153</v>
      </c>
      <c r="B23" s="14" t="s">
        <v>143</v>
      </c>
      <c r="C23" s="16" t="s">
        <v>144</v>
      </c>
      <c r="D23" s="17">
        <v>0.24</v>
      </c>
      <c r="E23" s="17">
        <v>0</v>
      </c>
      <c r="F23" s="17">
        <f t="shared" si="0"/>
        <v>0</v>
      </c>
      <c r="G23" s="17">
        <f>ROUNDDOWN(단가대비표!O44, 0)</f>
        <v>172698</v>
      </c>
      <c r="H23" s="17">
        <f t="shared" si="1"/>
        <v>41447.5</v>
      </c>
      <c r="I23" s="17">
        <v>0</v>
      </c>
      <c r="J23" s="17">
        <f t="shared" si="2"/>
        <v>0</v>
      </c>
      <c r="K23" s="17">
        <f t="shared" si="3"/>
        <v>172698</v>
      </c>
      <c r="L23" s="17">
        <f t="shared" si="4"/>
        <v>41447.5</v>
      </c>
      <c r="M23" s="15"/>
      <c r="O23" s="1" t="s">
        <v>230</v>
      </c>
      <c r="P23" s="1" t="s">
        <v>219</v>
      </c>
      <c r="Q23">
        <v>1</v>
      </c>
    </row>
    <row r="24" spans="1:20" ht="23.1" customHeight="1" x14ac:dyDescent="0.3">
      <c r="A24" s="18" t="s">
        <v>231</v>
      </c>
      <c r="B24" s="19"/>
      <c r="C24" s="20"/>
      <c r="D24" s="21"/>
      <c r="E24" s="21"/>
      <c r="F24" s="21">
        <f>ROUNDDOWN(SUMIF(Q12:Q23, "1", F12:F23), 0)</f>
        <v>16273</v>
      </c>
      <c r="G24" s="21"/>
      <c r="H24" s="21">
        <f>ROUNDDOWN(SUMIF(Q12:Q23, "1", H12:H23), 0)</f>
        <v>158067</v>
      </c>
      <c r="I24" s="21"/>
      <c r="J24" s="21">
        <f>ROUNDDOWN(SUMIF(Q12:Q23, "1", J12:J23), 0)</f>
        <v>0</v>
      </c>
      <c r="K24" s="21"/>
      <c r="L24" s="21">
        <f>F24+H24+J24</f>
        <v>174340</v>
      </c>
      <c r="M24" s="19"/>
    </row>
    <row r="25" spans="1:20" ht="23.1" customHeight="1" x14ac:dyDescent="0.3">
      <c r="A25" s="15"/>
      <c r="B25" s="15"/>
      <c r="C25" s="22"/>
      <c r="D25" s="17"/>
      <c r="E25" s="17"/>
      <c r="F25" s="17"/>
      <c r="G25" s="17"/>
      <c r="H25" s="17"/>
      <c r="I25" s="17"/>
      <c r="J25" s="17"/>
      <c r="K25" s="17"/>
      <c r="L25" s="17"/>
      <c r="M25" s="15"/>
    </row>
    <row r="26" spans="1:20" ht="23.1" customHeight="1" x14ac:dyDescent="0.3">
      <c r="A26" s="61" t="s">
        <v>262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23"/>
    </row>
    <row r="27" spans="1:20" ht="23.1" customHeight="1" x14ac:dyDescent="0.3">
      <c r="A27" s="14" t="s">
        <v>263</v>
      </c>
      <c r="B27" s="14" t="s">
        <v>264</v>
      </c>
      <c r="C27" s="16" t="s">
        <v>34</v>
      </c>
      <c r="D27" s="17">
        <v>0.2</v>
      </c>
      <c r="E27" s="17">
        <f>ROUNDDOWN(일위대가목록!G42, 2)</f>
        <v>0</v>
      </c>
      <c r="F27" s="17">
        <f>ROUNDDOWN(D27*E27, 1)</f>
        <v>0</v>
      </c>
      <c r="G27" s="17">
        <f>ROUNDDOWN(일위대가목록!I42, 0)</f>
        <v>8634</v>
      </c>
      <c r="H27" s="17">
        <f>ROUNDDOWN(D27*G27, 1)</f>
        <v>1726.8</v>
      </c>
      <c r="I27" s="17">
        <f>ROUNDDOWN(일위대가목록!K42, 2)</f>
        <v>0</v>
      </c>
      <c r="J27" s="17">
        <f>ROUNDDOWN(D27*I27, 1)</f>
        <v>0</v>
      </c>
      <c r="K27" s="17">
        <f>E27+G27+I27</f>
        <v>8634</v>
      </c>
      <c r="L27" s="17">
        <f>F27+H27+J27</f>
        <v>1726.8</v>
      </c>
      <c r="M27" s="14" t="s">
        <v>265</v>
      </c>
      <c r="P27" s="1" t="s">
        <v>219</v>
      </c>
      <c r="Q27">
        <v>1</v>
      </c>
      <c r="T27" s="1" t="s">
        <v>266</v>
      </c>
    </row>
    <row r="28" spans="1:20" ht="23.1" customHeight="1" x14ac:dyDescent="0.3">
      <c r="A28" s="18" t="s">
        <v>231</v>
      </c>
      <c r="B28" s="19"/>
      <c r="C28" s="20"/>
      <c r="D28" s="21"/>
      <c r="E28" s="21"/>
      <c r="F28" s="21">
        <f>ROUNDDOWN(SUMIF(Q27:Q27, "1", F27:F27), 0)</f>
        <v>0</v>
      </c>
      <c r="G28" s="21"/>
      <c r="H28" s="21">
        <f>ROUNDDOWN(SUMIF(Q27:Q27, "1", H27:H27), 0)</f>
        <v>1726</v>
      </c>
      <c r="I28" s="21"/>
      <c r="J28" s="21">
        <f>ROUNDDOWN(SUMIF(Q27:Q27, "1", J27:J27), 0)</f>
        <v>0</v>
      </c>
      <c r="K28" s="21"/>
      <c r="L28" s="21">
        <f>F28+H28+J28</f>
        <v>1726</v>
      </c>
      <c r="M28" s="19"/>
    </row>
    <row r="29" spans="1:20" ht="23.1" customHeight="1" x14ac:dyDescent="0.3">
      <c r="A29" s="15"/>
      <c r="B29" s="15"/>
      <c r="C29" s="22"/>
      <c r="D29" s="17"/>
      <c r="E29" s="17"/>
      <c r="F29" s="17"/>
      <c r="G29" s="17"/>
      <c r="H29" s="17"/>
      <c r="I29" s="17"/>
      <c r="J29" s="17"/>
      <c r="K29" s="17"/>
      <c r="L29" s="17"/>
      <c r="M29" s="15"/>
    </row>
    <row r="30" spans="1:20" ht="23.1" customHeight="1" x14ac:dyDescent="0.3">
      <c r="A30" s="61" t="s">
        <v>267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13" t="s">
        <v>268</v>
      </c>
    </row>
    <row r="31" spans="1:20" ht="23.1" customHeight="1" x14ac:dyDescent="0.3">
      <c r="A31" s="14" t="s">
        <v>161</v>
      </c>
      <c r="B31" s="14" t="s">
        <v>143</v>
      </c>
      <c r="C31" s="16" t="s">
        <v>144</v>
      </c>
      <c r="D31" s="17">
        <v>12.38</v>
      </c>
      <c r="E31" s="17">
        <v>0</v>
      </c>
      <c r="F31" s="17">
        <f>ROUNDDOWN(D31*E31, 1)</f>
        <v>0</v>
      </c>
      <c r="G31" s="17">
        <f>ROUNDDOWN(단가대비표!O50, 0)</f>
        <v>243870</v>
      </c>
      <c r="H31" s="17">
        <f>ROUNDDOWN(D31*G31, 1)</f>
        <v>3019110.6</v>
      </c>
      <c r="I31" s="17">
        <v>0</v>
      </c>
      <c r="J31" s="17">
        <f>ROUNDDOWN(D31*I31, 1)</f>
        <v>0</v>
      </c>
      <c r="K31" s="17">
        <f t="shared" ref="K31:L36" si="5">E31+G31+I31</f>
        <v>243870</v>
      </c>
      <c r="L31" s="17">
        <f t="shared" si="5"/>
        <v>3019110.6</v>
      </c>
      <c r="M31" s="15"/>
      <c r="O31" s="1" t="s">
        <v>222</v>
      </c>
      <c r="P31" s="1" t="s">
        <v>219</v>
      </c>
      <c r="Q31">
        <v>1</v>
      </c>
    </row>
    <row r="32" spans="1:20" ht="23.1" customHeight="1" x14ac:dyDescent="0.3">
      <c r="A32" s="14" t="s">
        <v>155</v>
      </c>
      <c r="B32" s="14" t="s">
        <v>143</v>
      </c>
      <c r="C32" s="16" t="s">
        <v>144</v>
      </c>
      <c r="D32" s="17">
        <v>3.38</v>
      </c>
      <c r="E32" s="17">
        <v>0</v>
      </c>
      <c r="F32" s="17">
        <f>ROUNDDOWN(D32*E32, 1)</f>
        <v>0</v>
      </c>
      <c r="G32" s="17">
        <f>ROUNDDOWN(단가대비표!O46, 0)</f>
        <v>286330</v>
      </c>
      <c r="H32" s="17">
        <f>ROUNDDOWN(D32*G32, 1)</f>
        <v>967795.4</v>
      </c>
      <c r="I32" s="17">
        <v>0</v>
      </c>
      <c r="J32" s="17">
        <f>ROUNDDOWN(D32*I32, 1)</f>
        <v>0</v>
      </c>
      <c r="K32" s="17">
        <f t="shared" si="5"/>
        <v>286330</v>
      </c>
      <c r="L32" s="17">
        <f t="shared" si="5"/>
        <v>967795.4</v>
      </c>
      <c r="M32" s="14" t="s">
        <v>156</v>
      </c>
      <c r="O32" s="1" t="s">
        <v>222</v>
      </c>
      <c r="P32" s="1" t="s">
        <v>219</v>
      </c>
      <c r="Q32">
        <v>1</v>
      </c>
    </row>
    <row r="33" spans="1:20" ht="23.1" customHeight="1" x14ac:dyDescent="0.3">
      <c r="A33" s="14" t="s">
        <v>162</v>
      </c>
      <c r="B33" s="14" t="s">
        <v>143</v>
      </c>
      <c r="C33" s="16" t="s">
        <v>144</v>
      </c>
      <c r="D33" s="17">
        <v>4.5</v>
      </c>
      <c r="E33" s="17">
        <v>0</v>
      </c>
      <c r="F33" s="17">
        <f>ROUNDDOWN(D33*E33, 1)</f>
        <v>0</v>
      </c>
      <c r="G33" s="17">
        <f>ROUNDDOWN(단가대비표!O51, 0)</f>
        <v>228717</v>
      </c>
      <c r="H33" s="17">
        <f>ROUNDDOWN(D33*G33, 1)</f>
        <v>1029226.5</v>
      </c>
      <c r="I33" s="17">
        <v>0</v>
      </c>
      <c r="J33" s="17">
        <f>ROUNDDOWN(D33*I33, 1)</f>
        <v>0</v>
      </c>
      <c r="K33" s="17">
        <f t="shared" si="5"/>
        <v>228717</v>
      </c>
      <c r="L33" s="17">
        <f t="shared" si="5"/>
        <v>1029226.5</v>
      </c>
      <c r="M33" s="15"/>
      <c r="O33" s="1" t="s">
        <v>222</v>
      </c>
      <c r="P33" s="1" t="s">
        <v>219</v>
      </c>
      <c r="Q33">
        <v>1</v>
      </c>
    </row>
    <row r="34" spans="1:20" ht="23.1" customHeight="1" x14ac:dyDescent="0.3">
      <c r="A34" s="14" t="s">
        <v>153</v>
      </c>
      <c r="B34" s="14" t="s">
        <v>143</v>
      </c>
      <c r="C34" s="16" t="s">
        <v>144</v>
      </c>
      <c r="D34" s="17">
        <v>2.25</v>
      </c>
      <c r="E34" s="17">
        <v>0</v>
      </c>
      <c r="F34" s="17">
        <f>ROUNDDOWN(D34*E34, 1)</f>
        <v>0</v>
      </c>
      <c r="G34" s="17">
        <f>ROUNDDOWN(단가대비표!O44, 0)</f>
        <v>172698</v>
      </c>
      <c r="H34" s="17">
        <f>ROUNDDOWN(D34*G34, 1)</f>
        <v>388570.5</v>
      </c>
      <c r="I34" s="17">
        <v>0</v>
      </c>
      <c r="J34" s="17">
        <f>ROUNDDOWN(D34*I34, 1)</f>
        <v>0</v>
      </c>
      <c r="K34" s="17">
        <f t="shared" si="5"/>
        <v>172698</v>
      </c>
      <c r="L34" s="17">
        <f t="shared" si="5"/>
        <v>388570.5</v>
      </c>
      <c r="M34" s="15"/>
      <c r="O34" s="1" t="s">
        <v>222</v>
      </c>
      <c r="P34" s="1" t="s">
        <v>219</v>
      </c>
      <c r="Q34">
        <v>1</v>
      </c>
    </row>
    <row r="35" spans="1:20" ht="23.1" customHeight="1" x14ac:dyDescent="0.3">
      <c r="A35" s="14" t="s">
        <v>269</v>
      </c>
      <c r="B35" s="15" t="str">
        <f>"노무비의 " &amp; N35*100 &amp; "%"</f>
        <v>노무비의 5%</v>
      </c>
      <c r="C35" s="16" t="s">
        <v>224</v>
      </c>
      <c r="D35" s="17">
        <v>1</v>
      </c>
      <c r="E35" s="17">
        <f>SUMIF(O31:O36, "01", H31:H36)</f>
        <v>5404703</v>
      </c>
      <c r="F35" s="17">
        <f>ROUNDDOWN((E35)*N35, 1)</f>
        <v>270235.09999999998</v>
      </c>
      <c r="G35" s="17">
        <v>0</v>
      </c>
      <c r="H35" s="17">
        <v>0</v>
      </c>
      <c r="I35" s="17">
        <v>0</v>
      </c>
      <c r="J35" s="17">
        <v>0</v>
      </c>
      <c r="K35" s="17">
        <f t="shared" si="5"/>
        <v>5404703</v>
      </c>
      <c r="L35" s="17">
        <f t="shared" si="5"/>
        <v>270235.09999999998</v>
      </c>
      <c r="M35" s="15"/>
      <c r="N35">
        <v>0.05</v>
      </c>
      <c r="P35" s="1" t="s">
        <v>219</v>
      </c>
      <c r="Q35">
        <v>1</v>
      </c>
      <c r="R35" s="1" t="s">
        <v>270</v>
      </c>
      <c r="S35" s="1" t="s">
        <v>227</v>
      </c>
    </row>
    <row r="36" spans="1:20" ht="23.1" customHeight="1" x14ac:dyDescent="0.3">
      <c r="A36" s="14" t="s">
        <v>271</v>
      </c>
      <c r="B36" s="15" t="str">
        <f>"노무비의 " &amp; N36*100 &amp; "%"</f>
        <v>노무비의 3%</v>
      </c>
      <c r="C36" s="16" t="s">
        <v>224</v>
      </c>
      <c r="D36" s="17">
        <v>1</v>
      </c>
      <c r="E36" s="17">
        <f>SUMIF(O31:O36, "01", H31:H36)</f>
        <v>5404703</v>
      </c>
      <c r="F36" s="17">
        <f>ROUNDDOWN((E36)*N36, 1)</f>
        <v>162141</v>
      </c>
      <c r="G36" s="17">
        <v>0</v>
      </c>
      <c r="H36" s="17">
        <v>0</v>
      </c>
      <c r="I36" s="17">
        <v>0</v>
      </c>
      <c r="J36" s="17">
        <v>0</v>
      </c>
      <c r="K36" s="17">
        <f t="shared" si="5"/>
        <v>5404703</v>
      </c>
      <c r="L36" s="17">
        <f t="shared" si="5"/>
        <v>162141</v>
      </c>
      <c r="M36" s="15"/>
      <c r="N36">
        <v>0.03</v>
      </c>
      <c r="P36" s="1" t="s">
        <v>219</v>
      </c>
      <c r="Q36">
        <v>1</v>
      </c>
      <c r="R36" s="1" t="s">
        <v>270</v>
      </c>
      <c r="S36" s="1" t="s">
        <v>227</v>
      </c>
    </row>
    <row r="37" spans="1:20" ht="23.1" customHeight="1" x14ac:dyDescent="0.3">
      <c r="A37" s="18" t="s">
        <v>231</v>
      </c>
      <c r="B37" s="19"/>
      <c r="C37" s="20"/>
      <c r="D37" s="21"/>
      <c r="E37" s="21"/>
      <c r="F37" s="21">
        <f>ROUNDDOWN(SUMIF(Q31:Q36, "1", F31:F36), 0)</f>
        <v>432376</v>
      </c>
      <c r="G37" s="21"/>
      <c r="H37" s="21">
        <f>ROUNDDOWN(SUMIF(Q31:Q36, "1", H31:H36), 0)</f>
        <v>5404703</v>
      </c>
      <c r="I37" s="21"/>
      <c r="J37" s="21">
        <f>ROUNDDOWN(SUMIF(Q31:Q36, "1", J31:J36), 0)</f>
        <v>0</v>
      </c>
      <c r="K37" s="21"/>
      <c r="L37" s="21">
        <f>F37+H37+J37</f>
        <v>5837079</v>
      </c>
      <c r="M37" s="19"/>
    </row>
    <row r="38" spans="1:20" ht="23.1" customHeight="1" x14ac:dyDescent="0.3">
      <c r="A38" s="15"/>
      <c r="B38" s="15"/>
      <c r="C38" s="22"/>
      <c r="D38" s="17"/>
      <c r="E38" s="17"/>
      <c r="F38" s="17"/>
      <c r="G38" s="17"/>
      <c r="H38" s="17"/>
      <c r="I38" s="17"/>
      <c r="J38" s="17"/>
      <c r="K38" s="17"/>
      <c r="L38" s="17"/>
      <c r="M38" s="15"/>
    </row>
    <row r="39" spans="1:20" ht="23.1" customHeight="1" x14ac:dyDescent="0.3">
      <c r="A39" s="61" t="s">
        <v>272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23"/>
    </row>
    <row r="40" spans="1:20" ht="23.1" customHeight="1" x14ac:dyDescent="0.3">
      <c r="A40" s="14" t="s">
        <v>42</v>
      </c>
      <c r="B40" s="14" t="s">
        <v>43</v>
      </c>
      <c r="C40" s="16" t="s">
        <v>19</v>
      </c>
      <c r="D40" s="17">
        <v>0.08</v>
      </c>
      <c r="E40" s="17">
        <f>ROUNDDOWN(단가대비표!O10, 0)</f>
        <v>8400</v>
      </c>
      <c r="F40" s="17">
        <f>ROUNDDOWN(D40*E40, 1)</f>
        <v>672</v>
      </c>
      <c r="G40" s="17">
        <v>0</v>
      </c>
      <c r="H40" s="17">
        <f>ROUNDDOWN(D40*G40, 1)</f>
        <v>0</v>
      </c>
      <c r="I40" s="17">
        <v>0</v>
      </c>
      <c r="J40" s="17">
        <f>ROUNDDOWN(D40*I40, 1)</f>
        <v>0</v>
      </c>
      <c r="K40" s="17">
        <f t="shared" ref="K40:L42" si="6">E40+G40+I40</f>
        <v>8400</v>
      </c>
      <c r="L40" s="17">
        <f t="shared" si="6"/>
        <v>672</v>
      </c>
      <c r="M40" s="15"/>
      <c r="O40" s="1" t="s">
        <v>273</v>
      </c>
      <c r="P40" s="1" t="s">
        <v>219</v>
      </c>
      <c r="Q40">
        <v>1</v>
      </c>
    </row>
    <row r="41" spans="1:20" ht="23.1" customHeight="1" x14ac:dyDescent="0.3">
      <c r="A41" s="14" t="s">
        <v>87</v>
      </c>
      <c r="B41" s="14" t="s">
        <v>88</v>
      </c>
      <c r="C41" s="16" t="s">
        <v>19</v>
      </c>
      <c r="D41" s="17">
        <v>4.0000000000000001E-3</v>
      </c>
      <c r="E41" s="17">
        <f>ROUNDDOWN(단가대비표!O24, 0)</f>
        <v>2708</v>
      </c>
      <c r="F41" s="17">
        <f>ROUNDDOWN(D41*E41, 1)</f>
        <v>10.8</v>
      </c>
      <c r="G41" s="17">
        <v>0</v>
      </c>
      <c r="H41" s="17">
        <f>ROUNDDOWN(D41*G41, 1)</f>
        <v>0</v>
      </c>
      <c r="I41" s="17">
        <v>0</v>
      </c>
      <c r="J41" s="17">
        <f>ROUNDDOWN(D41*I41, 1)</f>
        <v>0</v>
      </c>
      <c r="K41" s="17">
        <f t="shared" si="6"/>
        <v>2708</v>
      </c>
      <c r="L41" s="17">
        <f t="shared" si="6"/>
        <v>10.8</v>
      </c>
      <c r="M41" s="15"/>
      <c r="O41" s="1" t="s">
        <v>273</v>
      </c>
      <c r="P41" s="1" t="s">
        <v>219</v>
      </c>
      <c r="Q41">
        <v>1</v>
      </c>
    </row>
    <row r="42" spans="1:20" ht="23.1" customHeight="1" x14ac:dyDescent="0.3">
      <c r="A42" s="14" t="s">
        <v>274</v>
      </c>
      <c r="B42" s="14" t="s">
        <v>275</v>
      </c>
      <c r="C42" s="16" t="s">
        <v>34</v>
      </c>
      <c r="D42" s="17">
        <v>1</v>
      </c>
      <c r="E42" s="17">
        <f>ROUNDDOWN(일위대가목록!G41, 0)</f>
        <v>113</v>
      </c>
      <c r="F42" s="17">
        <f>ROUNDDOWN(D42*E42, 1)</f>
        <v>113</v>
      </c>
      <c r="G42" s="17">
        <f>ROUNDDOWN(일위대가목록!I41, 0)</f>
        <v>948</v>
      </c>
      <c r="H42" s="17">
        <f>ROUNDDOWN(D42*G42, 1)</f>
        <v>948</v>
      </c>
      <c r="I42" s="17">
        <f>ROUNDDOWN(일위대가목록!K41, 2)</f>
        <v>0</v>
      </c>
      <c r="J42" s="17">
        <f>ROUNDDOWN(D42*I42, 1)</f>
        <v>0</v>
      </c>
      <c r="K42" s="17">
        <f t="shared" si="6"/>
        <v>1061</v>
      </c>
      <c r="L42" s="17">
        <f t="shared" si="6"/>
        <v>1061</v>
      </c>
      <c r="M42" s="14" t="s">
        <v>276</v>
      </c>
      <c r="P42" s="1" t="s">
        <v>219</v>
      </c>
      <c r="Q42">
        <v>1</v>
      </c>
      <c r="T42" s="1" t="s">
        <v>277</v>
      </c>
    </row>
    <row r="43" spans="1:20" ht="23.1" customHeight="1" x14ac:dyDescent="0.3">
      <c r="A43" s="18" t="s">
        <v>231</v>
      </c>
      <c r="B43" s="19"/>
      <c r="C43" s="20"/>
      <c r="D43" s="21"/>
      <c r="E43" s="21"/>
      <c r="F43" s="21">
        <f>ROUNDDOWN(SUMIF(Q40:Q42, "1", F40:F42), 0)</f>
        <v>795</v>
      </c>
      <c r="G43" s="21"/>
      <c r="H43" s="21">
        <f>ROUNDDOWN(SUMIF(Q40:Q42, "1", H40:H42), 0)</f>
        <v>948</v>
      </c>
      <c r="I43" s="21"/>
      <c r="J43" s="21">
        <f>ROUNDDOWN(SUMIF(Q40:Q42, "1", J40:J42), 0)</f>
        <v>0</v>
      </c>
      <c r="K43" s="21"/>
      <c r="L43" s="21">
        <f>F43+H43+J43</f>
        <v>1743</v>
      </c>
      <c r="M43" s="19"/>
    </row>
    <row r="44" spans="1:20" ht="23.1" customHeight="1" x14ac:dyDescent="0.3">
      <c r="A44" s="15"/>
      <c r="B44" s="15"/>
      <c r="C44" s="22"/>
      <c r="D44" s="17"/>
      <c r="E44" s="17"/>
      <c r="F44" s="17"/>
      <c r="G44" s="17"/>
      <c r="H44" s="17"/>
      <c r="I44" s="17"/>
      <c r="J44" s="17"/>
      <c r="K44" s="17"/>
      <c r="L44" s="17"/>
      <c r="M44" s="15"/>
    </row>
    <row r="45" spans="1:20" ht="23.1" customHeight="1" x14ac:dyDescent="0.3">
      <c r="A45" s="61" t="s">
        <v>278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23"/>
    </row>
    <row r="46" spans="1:20" ht="23.1" customHeight="1" x14ac:dyDescent="0.3">
      <c r="A46" s="14" t="s">
        <v>32</v>
      </c>
      <c r="B46" s="14" t="s">
        <v>33</v>
      </c>
      <c r="C46" s="16" t="s">
        <v>34</v>
      </c>
      <c r="D46" s="17">
        <v>1.03</v>
      </c>
      <c r="E46" s="17">
        <f>ROUNDDOWN(단가대비표!O8, 0)</f>
        <v>12059</v>
      </c>
      <c r="F46" s="17">
        <f>ROUNDDOWN(D46*E46, 1)</f>
        <v>12420.7</v>
      </c>
      <c r="G46" s="17">
        <v>0</v>
      </c>
      <c r="H46" s="17">
        <f>ROUNDDOWN(D46*G46, 1)</f>
        <v>0</v>
      </c>
      <c r="I46" s="17">
        <v>0</v>
      </c>
      <c r="J46" s="17">
        <f>ROUNDDOWN(D46*I46, 1)</f>
        <v>0</v>
      </c>
      <c r="K46" s="17">
        <f t="shared" ref="K46:L48" si="7">E46+G46+I46</f>
        <v>12059</v>
      </c>
      <c r="L46" s="17">
        <f t="shared" si="7"/>
        <v>12420.7</v>
      </c>
      <c r="M46" s="15"/>
      <c r="O46" s="1" t="s">
        <v>222</v>
      </c>
      <c r="P46" s="1" t="s">
        <v>219</v>
      </c>
      <c r="Q46">
        <v>1</v>
      </c>
    </row>
    <row r="47" spans="1:20" ht="23.1" customHeight="1" x14ac:dyDescent="0.3">
      <c r="A47" s="14" t="s">
        <v>120</v>
      </c>
      <c r="B47" s="14" t="s">
        <v>121</v>
      </c>
      <c r="C47" s="16" t="s">
        <v>122</v>
      </c>
      <c r="D47" s="17">
        <v>0.12</v>
      </c>
      <c r="E47" s="17">
        <f>ROUNDDOWN(단가대비표!O31, 0)</f>
        <v>1067</v>
      </c>
      <c r="F47" s="17">
        <f>ROUNDDOWN(D47*E47, 1)</f>
        <v>128</v>
      </c>
      <c r="G47" s="17">
        <v>0</v>
      </c>
      <c r="H47" s="17">
        <f>ROUNDDOWN(D47*G47, 1)</f>
        <v>0</v>
      </c>
      <c r="I47" s="17">
        <v>0</v>
      </c>
      <c r="J47" s="17">
        <f>ROUNDDOWN(D47*I47, 1)</f>
        <v>0</v>
      </c>
      <c r="K47" s="17">
        <f t="shared" si="7"/>
        <v>1067</v>
      </c>
      <c r="L47" s="17">
        <f t="shared" si="7"/>
        <v>128</v>
      </c>
      <c r="M47" s="15"/>
      <c r="O47" s="1" t="s">
        <v>222</v>
      </c>
      <c r="P47" s="1" t="s">
        <v>219</v>
      </c>
      <c r="Q47">
        <v>1</v>
      </c>
    </row>
    <row r="48" spans="1:20" ht="23.1" customHeight="1" x14ac:dyDescent="0.3">
      <c r="A48" s="14" t="s">
        <v>279</v>
      </c>
      <c r="B48" s="15"/>
      <c r="C48" s="16" t="s">
        <v>34</v>
      </c>
      <c r="D48" s="17">
        <v>1</v>
      </c>
      <c r="E48" s="17">
        <f>ROUNDDOWN(일위대가목록!G31, 2)</f>
        <v>0</v>
      </c>
      <c r="F48" s="17">
        <f>ROUNDDOWN(D48*E48, 1)</f>
        <v>0</v>
      </c>
      <c r="G48" s="17">
        <f>ROUNDDOWN(일위대가목록!I31, 0)</f>
        <v>8423</v>
      </c>
      <c r="H48" s="17">
        <f>ROUNDDOWN(D48*G48, 1)</f>
        <v>8423</v>
      </c>
      <c r="I48" s="17">
        <f>ROUNDDOWN(일위대가목록!K31, 0)</f>
        <v>336</v>
      </c>
      <c r="J48" s="17">
        <f>ROUNDDOWN(D48*I48, 1)</f>
        <v>336</v>
      </c>
      <c r="K48" s="17">
        <f t="shared" si="7"/>
        <v>8759</v>
      </c>
      <c r="L48" s="17">
        <f t="shared" si="7"/>
        <v>8759</v>
      </c>
      <c r="M48" s="14" t="s">
        <v>280</v>
      </c>
      <c r="P48" s="1" t="s">
        <v>219</v>
      </c>
      <c r="Q48">
        <v>1</v>
      </c>
    </row>
    <row r="49" spans="1:20" ht="23.1" customHeight="1" x14ac:dyDescent="0.3">
      <c r="A49" s="18" t="s">
        <v>231</v>
      </c>
      <c r="B49" s="19"/>
      <c r="C49" s="20"/>
      <c r="D49" s="21"/>
      <c r="E49" s="21"/>
      <c r="F49" s="21">
        <f>ROUNDDOWN(SUMIF(Q46:Q48, "1", F46:F48), 0)</f>
        <v>12548</v>
      </c>
      <c r="G49" s="21"/>
      <c r="H49" s="21">
        <f>ROUNDDOWN(SUMIF(Q46:Q48, "1", H46:H48), 0)</f>
        <v>8423</v>
      </c>
      <c r="I49" s="21"/>
      <c r="J49" s="21">
        <f>ROUNDDOWN(SUMIF(Q46:Q48, "1", J46:J48), 0)</f>
        <v>336</v>
      </c>
      <c r="K49" s="21"/>
      <c r="L49" s="21">
        <f>F49+H49+J49</f>
        <v>21307</v>
      </c>
      <c r="M49" s="19"/>
    </row>
    <row r="50" spans="1:20" ht="23.1" customHeight="1" x14ac:dyDescent="0.3">
      <c r="A50" s="15"/>
      <c r="B50" s="15"/>
      <c r="C50" s="22"/>
      <c r="D50" s="17"/>
      <c r="E50" s="17"/>
      <c r="F50" s="17"/>
      <c r="G50" s="17"/>
      <c r="H50" s="17"/>
      <c r="I50" s="17"/>
      <c r="J50" s="17"/>
      <c r="K50" s="17"/>
      <c r="L50" s="17"/>
      <c r="M50" s="15"/>
    </row>
    <row r="51" spans="1:20" ht="23.1" customHeight="1" x14ac:dyDescent="0.3">
      <c r="A51" s="61" t="s">
        <v>281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13" t="s">
        <v>282</v>
      </c>
    </row>
    <row r="52" spans="1:20" ht="23.1" customHeight="1" x14ac:dyDescent="0.3">
      <c r="A52" s="14" t="s">
        <v>135</v>
      </c>
      <c r="B52" s="14" t="s">
        <v>136</v>
      </c>
      <c r="C52" s="16" t="s">
        <v>74</v>
      </c>
      <c r="D52" s="17">
        <v>1.2</v>
      </c>
      <c r="E52" s="17">
        <f>ROUNDDOWN(단가대비표!O35, 0)</f>
        <v>7500</v>
      </c>
      <c r="F52" s="17">
        <f>ROUNDDOWN(D52*E52, 1)</f>
        <v>9000</v>
      </c>
      <c r="G52" s="17">
        <v>0</v>
      </c>
      <c r="H52" s="17">
        <f>ROUNDDOWN(D52*G52, 1)</f>
        <v>0</v>
      </c>
      <c r="I52" s="17">
        <v>0</v>
      </c>
      <c r="J52" s="17">
        <f>ROUNDDOWN(D52*I52, 1)</f>
        <v>0</v>
      </c>
      <c r="K52" s="17">
        <f t="shared" ref="K52:L57" si="8">E52+G52+I52</f>
        <v>7500</v>
      </c>
      <c r="L52" s="17">
        <f t="shared" si="8"/>
        <v>9000</v>
      </c>
      <c r="M52" s="15"/>
      <c r="O52" s="1" t="s">
        <v>222</v>
      </c>
      <c r="P52" s="1" t="s">
        <v>219</v>
      </c>
      <c r="Q52">
        <v>1</v>
      </c>
    </row>
    <row r="53" spans="1:20" ht="23.1" customHeight="1" x14ac:dyDescent="0.3">
      <c r="A53" s="14" t="s">
        <v>90</v>
      </c>
      <c r="B53" s="14" t="s">
        <v>91</v>
      </c>
      <c r="C53" s="16" t="s">
        <v>92</v>
      </c>
      <c r="D53" s="17">
        <v>0.3</v>
      </c>
      <c r="E53" s="17">
        <f>ROUNDDOWN(단가대비표!O25, 0)</f>
        <v>3500</v>
      </c>
      <c r="F53" s="17">
        <f>ROUNDDOWN(D53*E53, 1)</f>
        <v>1050</v>
      </c>
      <c r="G53" s="17">
        <v>0</v>
      </c>
      <c r="H53" s="17">
        <f>ROUNDDOWN(D53*G53, 1)</f>
        <v>0</v>
      </c>
      <c r="I53" s="17">
        <v>0</v>
      </c>
      <c r="J53" s="17">
        <f>ROUNDDOWN(D53*I53, 1)</f>
        <v>0</v>
      </c>
      <c r="K53" s="17">
        <f t="shared" si="8"/>
        <v>3500</v>
      </c>
      <c r="L53" s="17">
        <f t="shared" si="8"/>
        <v>1050</v>
      </c>
      <c r="M53" s="15"/>
      <c r="O53" s="1" t="s">
        <v>222</v>
      </c>
      <c r="P53" s="1" t="s">
        <v>219</v>
      </c>
      <c r="Q53">
        <v>1</v>
      </c>
    </row>
    <row r="54" spans="1:20" ht="23.1" customHeight="1" x14ac:dyDescent="0.3">
      <c r="A54" s="14" t="s">
        <v>102</v>
      </c>
      <c r="B54" s="14" t="s">
        <v>103</v>
      </c>
      <c r="C54" s="16" t="s">
        <v>104</v>
      </c>
      <c r="D54" s="17">
        <v>0.08</v>
      </c>
      <c r="E54" s="17">
        <f>ROUNDDOWN(단가대비표!O27, 0)</f>
        <v>2373</v>
      </c>
      <c r="F54" s="17">
        <f>ROUNDDOWN(D54*E54, 1)</f>
        <v>189.8</v>
      </c>
      <c r="G54" s="17">
        <v>0</v>
      </c>
      <c r="H54" s="17">
        <f>ROUNDDOWN(D54*G54, 1)</f>
        <v>0</v>
      </c>
      <c r="I54" s="17">
        <v>0</v>
      </c>
      <c r="J54" s="17">
        <f>ROUNDDOWN(D54*I54, 1)</f>
        <v>0</v>
      </c>
      <c r="K54" s="17">
        <f t="shared" si="8"/>
        <v>2373</v>
      </c>
      <c r="L54" s="17">
        <f t="shared" si="8"/>
        <v>189.8</v>
      </c>
      <c r="M54" s="15"/>
      <c r="O54" s="1" t="s">
        <v>222</v>
      </c>
      <c r="P54" s="1" t="s">
        <v>219</v>
      </c>
      <c r="Q54">
        <v>1</v>
      </c>
    </row>
    <row r="55" spans="1:20" ht="23.1" customHeight="1" x14ac:dyDescent="0.3">
      <c r="A55" s="14" t="s">
        <v>152</v>
      </c>
      <c r="B55" s="14" t="s">
        <v>143</v>
      </c>
      <c r="C55" s="16" t="s">
        <v>144</v>
      </c>
      <c r="D55" s="17">
        <v>0.06</v>
      </c>
      <c r="E55" s="17">
        <v>0</v>
      </c>
      <c r="F55" s="17">
        <f>ROUNDDOWN(D55*E55, 1)</f>
        <v>0</v>
      </c>
      <c r="G55" s="17">
        <f>ROUNDDOWN(단가대비표!O43, 0)</f>
        <v>233163</v>
      </c>
      <c r="H55" s="17">
        <f>ROUNDDOWN(D55*G55, 1)</f>
        <v>13989.7</v>
      </c>
      <c r="I55" s="17">
        <v>0</v>
      </c>
      <c r="J55" s="17">
        <f>ROUNDDOWN(D55*I55, 1)</f>
        <v>0</v>
      </c>
      <c r="K55" s="17">
        <f t="shared" si="8"/>
        <v>233163</v>
      </c>
      <c r="L55" s="17">
        <f t="shared" si="8"/>
        <v>13989.7</v>
      </c>
      <c r="M55" s="15"/>
      <c r="O55" s="1" t="s">
        <v>230</v>
      </c>
      <c r="P55" s="1" t="s">
        <v>219</v>
      </c>
      <c r="Q55">
        <v>1</v>
      </c>
    </row>
    <row r="56" spans="1:20" ht="23.1" customHeight="1" x14ac:dyDescent="0.3">
      <c r="A56" s="14" t="s">
        <v>153</v>
      </c>
      <c r="B56" s="14" t="s">
        <v>143</v>
      </c>
      <c r="C56" s="16" t="s">
        <v>144</v>
      </c>
      <c r="D56" s="17">
        <v>0.03</v>
      </c>
      <c r="E56" s="17">
        <v>0</v>
      </c>
      <c r="F56" s="17">
        <f>ROUNDDOWN(D56*E56, 1)</f>
        <v>0</v>
      </c>
      <c r="G56" s="17">
        <f>ROUNDDOWN(단가대비표!O44, 0)</f>
        <v>172698</v>
      </c>
      <c r="H56" s="17">
        <f>ROUNDDOWN(D56*G56, 1)</f>
        <v>5180.8999999999996</v>
      </c>
      <c r="I56" s="17">
        <v>0</v>
      </c>
      <c r="J56" s="17">
        <f>ROUNDDOWN(D56*I56, 1)</f>
        <v>0</v>
      </c>
      <c r="K56" s="17">
        <f t="shared" si="8"/>
        <v>172698</v>
      </c>
      <c r="L56" s="17">
        <f t="shared" si="8"/>
        <v>5180.8999999999996</v>
      </c>
      <c r="M56" s="15"/>
      <c r="O56" s="1" t="s">
        <v>230</v>
      </c>
      <c r="P56" s="1" t="s">
        <v>219</v>
      </c>
      <c r="Q56">
        <v>1</v>
      </c>
    </row>
    <row r="57" spans="1:20" ht="23.1" customHeight="1" x14ac:dyDescent="0.3">
      <c r="A57" s="14" t="s">
        <v>283</v>
      </c>
      <c r="B57" s="15" t="str">
        <f>"인력품의 " &amp; N57*100 &amp; "%"</f>
        <v>인력품의 3%</v>
      </c>
      <c r="C57" s="16" t="s">
        <v>224</v>
      </c>
      <c r="D57" s="17">
        <v>1</v>
      </c>
      <c r="E57" s="17">
        <v>0</v>
      </c>
      <c r="F57" s="17">
        <v>0</v>
      </c>
      <c r="G57" s="17">
        <v>0</v>
      </c>
      <c r="H57" s="17">
        <v>0</v>
      </c>
      <c r="I57" s="17">
        <f>SUMIF(O52:O57, "02", H52:H57)</f>
        <v>19170.599999999999</v>
      </c>
      <c r="J57" s="17">
        <f>ROUNDDOWN((I57)*N57, 1)</f>
        <v>575.1</v>
      </c>
      <c r="K57" s="17">
        <f t="shared" si="8"/>
        <v>19170.599999999999</v>
      </c>
      <c r="L57" s="17">
        <f t="shared" si="8"/>
        <v>575.1</v>
      </c>
      <c r="M57" s="15"/>
      <c r="N57">
        <v>0.03</v>
      </c>
      <c r="P57" s="1" t="s">
        <v>219</v>
      </c>
      <c r="Q57">
        <v>1</v>
      </c>
      <c r="R57" s="1" t="s">
        <v>115</v>
      </c>
      <c r="S57" s="1" t="s">
        <v>284</v>
      </c>
      <c r="T57" s="1" t="s">
        <v>285</v>
      </c>
    </row>
    <row r="58" spans="1:20" ht="23.1" customHeight="1" x14ac:dyDescent="0.3">
      <c r="A58" s="18" t="s">
        <v>231</v>
      </c>
      <c r="B58" s="19"/>
      <c r="C58" s="20"/>
      <c r="D58" s="21"/>
      <c r="E58" s="21"/>
      <c r="F58" s="21">
        <f>ROUNDDOWN(SUMIF(Q52:Q57, "1", F52:F57), 0)</f>
        <v>10239</v>
      </c>
      <c r="G58" s="21"/>
      <c r="H58" s="21">
        <f>ROUNDDOWN(SUMIF(Q52:Q57, "1", H52:H57), 0)</f>
        <v>19170</v>
      </c>
      <c r="I58" s="21"/>
      <c r="J58" s="21">
        <f>ROUNDDOWN(SUMIF(Q52:Q57, "1", J52:J57), 0)</f>
        <v>575</v>
      </c>
      <c r="K58" s="21"/>
      <c r="L58" s="21">
        <f>F58+H58+J58</f>
        <v>29984</v>
      </c>
      <c r="M58" s="19"/>
    </row>
    <row r="59" spans="1:20" ht="23.1" customHeight="1" x14ac:dyDescent="0.3">
      <c r="A59" s="15"/>
      <c r="B59" s="15"/>
      <c r="C59" s="22"/>
      <c r="D59" s="17"/>
      <c r="E59" s="17"/>
      <c r="F59" s="17"/>
      <c r="G59" s="17"/>
      <c r="H59" s="17"/>
      <c r="I59" s="17"/>
      <c r="J59" s="17"/>
      <c r="K59" s="17"/>
      <c r="L59" s="17"/>
      <c r="M59" s="15"/>
    </row>
    <row r="60" spans="1:20" ht="23.1" customHeight="1" x14ac:dyDescent="0.3">
      <c r="A60" s="61" t="s">
        <v>286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13" t="s">
        <v>287</v>
      </c>
    </row>
    <row r="61" spans="1:20" ht="23.1" customHeight="1" x14ac:dyDescent="0.3">
      <c r="A61" s="14" t="s">
        <v>97</v>
      </c>
      <c r="B61" s="14" t="s">
        <v>98</v>
      </c>
      <c r="C61" s="16" t="s">
        <v>25</v>
      </c>
      <c r="D61" s="17">
        <v>7.3</v>
      </c>
      <c r="E61" s="17">
        <f>ROUNDDOWN(단가대비표!O26, 0)</f>
        <v>3192</v>
      </c>
      <c r="F61" s="17">
        <f>ROUNDDOWN(D61*E61, 1)</f>
        <v>23301.599999999999</v>
      </c>
      <c r="G61" s="17">
        <v>0</v>
      </c>
      <c r="H61" s="17">
        <f>ROUNDDOWN(D61*G61, 1)</f>
        <v>0</v>
      </c>
      <c r="I61" s="17">
        <v>0</v>
      </c>
      <c r="J61" s="17">
        <f>ROUNDDOWN(D61*I61, 1)</f>
        <v>0</v>
      </c>
      <c r="K61" s="17">
        <f t="shared" ref="K61:L63" si="9">E61+G61+I61</f>
        <v>3192</v>
      </c>
      <c r="L61" s="17">
        <f t="shared" si="9"/>
        <v>23301.599999999999</v>
      </c>
      <c r="M61" s="14" t="s">
        <v>101</v>
      </c>
      <c r="O61" s="1" t="s">
        <v>222</v>
      </c>
      <c r="P61" s="1" t="s">
        <v>219</v>
      </c>
      <c r="Q61">
        <v>1</v>
      </c>
    </row>
    <row r="62" spans="1:20" ht="23.1" customHeight="1" x14ac:dyDescent="0.3">
      <c r="A62" s="14" t="s">
        <v>288</v>
      </c>
      <c r="B62" s="15" t="str">
        <f>"주재료비의 " &amp; N62*100 &amp; "%"</f>
        <v>주재료비의 3%</v>
      </c>
      <c r="C62" s="16" t="s">
        <v>224</v>
      </c>
      <c r="D62" s="17">
        <v>1</v>
      </c>
      <c r="E62" s="17">
        <f>SUMIF(O61:O63, "01", F61:F63)</f>
        <v>23301.599999999999</v>
      </c>
      <c r="F62" s="17">
        <f>ROUNDDOWN((E62)*N62, 1)</f>
        <v>699</v>
      </c>
      <c r="G62" s="17">
        <v>0</v>
      </c>
      <c r="H62" s="17">
        <v>0</v>
      </c>
      <c r="I62" s="17">
        <v>0</v>
      </c>
      <c r="J62" s="17">
        <v>0</v>
      </c>
      <c r="K62" s="17">
        <f t="shared" si="9"/>
        <v>23301.599999999999</v>
      </c>
      <c r="L62" s="17">
        <f t="shared" si="9"/>
        <v>699</v>
      </c>
      <c r="M62" s="15"/>
      <c r="N62">
        <v>0.03</v>
      </c>
      <c r="P62" s="1" t="s">
        <v>219</v>
      </c>
      <c r="Q62">
        <v>1</v>
      </c>
      <c r="R62" s="1" t="s">
        <v>226</v>
      </c>
      <c r="S62" s="1" t="s">
        <v>227</v>
      </c>
      <c r="T62" s="1" t="s">
        <v>228</v>
      </c>
    </row>
    <row r="63" spans="1:20" ht="23.1" customHeight="1" x14ac:dyDescent="0.3">
      <c r="A63" s="14" t="s">
        <v>289</v>
      </c>
      <c r="B63" s="14" t="s">
        <v>290</v>
      </c>
      <c r="C63" s="16" t="s">
        <v>34</v>
      </c>
      <c r="D63" s="17">
        <v>1</v>
      </c>
      <c r="E63" s="17">
        <f>ROUNDDOWN(일위대가목록!G32, 2)</f>
        <v>0</v>
      </c>
      <c r="F63" s="17">
        <f>ROUNDDOWN(D63*E63, 1)</f>
        <v>0</v>
      </c>
      <c r="G63" s="17">
        <f>ROUNDDOWN(일위대가목록!I32, 0)</f>
        <v>17586</v>
      </c>
      <c r="H63" s="17">
        <f>ROUNDDOWN(D63*G63, 1)</f>
        <v>17586</v>
      </c>
      <c r="I63" s="17">
        <f>ROUNDDOWN(일위대가목록!K32, 0)</f>
        <v>351</v>
      </c>
      <c r="J63" s="17">
        <f>ROUNDDOWN(D63*I63, 1)</f>
        <v>351</v>
      </c>
      <c r="K63" s="17">
        <f t="shared" si="9"/>
        <v>17937</v>
      </c>
      <c r="L63" s="17">
        <f t="shared" si="9"/>
        <v>17937</v>
      </c>
      <c r="M63" s="14" t="s">
        <v>291</v>
      </c>
      <c r="P63" s="1" t="s">
        <v>219</v>
      </c>
      <c r="Q63">
        <v>1</v>
      </c>
    </row>
    <row r="64" spans="1:20" ht="23.1" customHeight="1" x14ac:dyDescent="0.3">
      <c r="A64" s="18" t="s">
        <v>231</v>
      </c>
      <c r="B64" s="19"/>
      <c r="C64" s="20"/>
      <c r="D64" s="21"/>
      <c r="E64" s="21"/>
      <c r="F64" s="21">
        <f>ROUNDDOWN(SUMIF(Q61:Q63, "1", F61:F63), 0)</f>
        <v>24000</v>
      </c>
      <c r="G64" s="21"/>
      <c r="H64" s="21">
        <f>ROUNDDOWN(SUMIF(Q61:Q63, "1", H61:H63), 0)</f>
        <v>17586</v>
      </c>
      <c r="I64" s="21"/>
      <c r="J64" s="21">
        <f>ROUNDDOWN(SUMIF(Q61:Q63, "1", J61:J63), 0)</f>
        <v>351</v>
      </c>
      <c r="K64" s="21"/>
      <c r="L64" s="21">
        <f>F64+H64+J64</f>
        <v>41937</v>
      </c>
      <c r="M64" s="19"/>
    </row>
    <row r="65" spans="1:19" ht="23.1" customHeight="1" x14ac:dyDescent="0.3">
      <c r="A65" s="15"/>
      <c r="B65" s="15"/>
      <c r="C65" s="22"/>
      <c r="D65" s="17"/>
      <c r="E65" s="17"/>
      <c r="F65" s="17"/>
      <c r="G65" s="17"/>
      <c r="H65" s="17"/>
      <c r="I65" s="17"/>
      <c r="J65" s="17"/>
      <c r="K65" s="17"/>
      <c r="L65" s="17"/>
      <c r="M65" s="15"/>
    </row>
    <row r="66" spans="1:19" ht="23.1" customHeight="1" x14ac:dyDescent="0.3">
      <c r="A66" s="61" t="s">
        <v>292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23"/>
    </row>
    <row r="67" spans="1:19" ht="23.1" customHeight="1" x14ac:dyDescent="0.3">
      <c r="A67" s="14" t="s">
        <v>162</v>
      </c>
      <c r="B67" s="14" t="s">
        <v>143</v>
      </c>
      <c r="C67" s="16" t="s">
        <v>144</v>
      </c>
      <c r="D67" s="17">
        <v>2.4E-2</v>
      </c>
      <c r="E67" s="17">
        <v>0</v>
      </c>
      <c r="F67" s="17">
        <f>ROUNDDOWN(D67*E67, 1)</f>
        <v>0</v>
      </c>
      <c r="G67" s="17">
        <f>ROUNDDOWN(단가대비표!O51, 0)</f>
        <v>228717</v>
      </c>
      <c r="H67" s="17">
        <f>ROUNDDOWN(D67*G67, 1)</f>
        <v>5489.2</v>
      </c>
      <c r="I67" s="17">
        <v>0</v>
      </c>
      <c r="J67" s="17">
        <f>ROUNDDOWN(D67*I67, 1)</f>
        <v>0</v>
      </c>
      <c r="K67" s="17">
        <f>E67+G67+I67</f>
        <v>228717</v>
      </c>
      <c r="L67" s="17">
        <f>F67+H67+J67</f>
        <v>5489.2</v>
      </c>
      <c r="M67" s="15"/>
      <c r="O67" s="1" t="s">
        <v>293</v>
      </c>
      <c r="P67" s="1" t="s">
        <v>219</v>
      </c>
      <c r="Q67">
        <v>1</v>
      </c>
    </row>
    <row r="68" spans="1:19" ht="23.1" customHeight="1" x14ac:dyDescent="0.3">
      <c r="A68" s="14" t="s">
        <v>294</v>
      </c>
      <c r="B68" s="15" t="str">
        <f>"인력품의 " &amp; N68*100 &amp; "%"</f>
        <v>인력품의 2%</v>
      </c>
      <c r="C68" s="16" t="s">
        <v>224</v>
      </c>
      <c r="D68" s="17">
        <v>1</v>
      </c>
      <c r="E68" s="17">
        <v>0</v>
      </c>
      <c r="F68" s="17">
        <v>0</v>
      </c>
      <c r="G68" s="17">
        <v>0</v>
      </c>
      <c r="H68" s="17">
        <v>0</v>
      </c>
      <c r="I68" s="17">
        <f>SUMIF(O67:O68, "04", H67:H68)</f>
        <v>5489.2</v>
      </c>
      <c r="J68" s="17">
        <f>ROUNDDOWN((I68)*N68, 1)</f>
        <v>109.7</v>
      </c>
      <c r="K68" s="17">
        <f>E68+G68+I68</f>
        <v>5489.2</v>
      </c>
      <c r="L68" s="17">
        <f>F68+H68+J68</f>
        <v>109.7</v>
      </c>
      <c r="M68" s="15"/>
      <c r="N68">
        <v>0.02</v>
      </c>
      <c r="P68" s="1" t="s">
        <v>219</v>
      </c>
      <c r="Q68">
        <v>1</v>
      </c>
      <c r="R68" s="1" t="s">
        <v>115</v>
      </c>
      <c r="S68" s="1" t="s">
        <v>295</v>
      </c>
    </row>
    <row r="69" spans="1:19" ht="23.1" customHeight="1" x14ac:dyDescent="0.3">
      <c r="A69" s="18" t="s">
        <v>231</v>
      </c>
      <c r="B69" s="19"/>
      <c r="C69" s="20"/>
      <c r="D69" s="21"/>
      <c r="E69" s="21"/>
      <c r="F69" s="21">
        <f>ROUNDDOWN(SUMIF(Q67:Q68, "1", F67:F68), 0)</f>
        <v>0</v>
      </c>
      <c r="G69" s="21"/>
      <c r="H69" s="21">
        <f>ROUNDDOWN(SUMIF(Q67:Q68, "1", H67:H68), 0)</f>
        <v>5489</v>
      </c>
      <c r="I69" s="21"/>
      <c r="J69" s="21">
        <f>ROUNDDOWN(SUMIF(Q67:Q68, "1", J67:J68), 0)</f>
        <v>109</v>
      </c>
      <c r="K69" s="21"/>
      <c r="L69" s="21">
        <f>F69+H69+J69</f>
        <v>5598</v>
      </c>
      <c r="M69" s="19"/>
    </row>
    <row r="70" spans="1:19" ht="23.1" customHeight="1" x14ac:dyDescent="0.3">
      <c r="A70" s="15"/>
      <c r="B70" s="15"/>
      <c r="C70" s="22"/>
      <c r="D70" s="17"/>
      <c r="E70" s="17"/>
      <c r="F70" s="17"/>
      <c r="G70" s="17"/>
      <c r="H70" s="17"/>
      <c r="I70" s="17"/>
      <c r="J70" s="17"/>
      <c r="K70" s="17"/>
      <c r="L70" s="17"/>
      <c r="M70" s="15"/>
    </row>
    <row r="71" spans="1:19" ht="23.1" customHeight="1" x14ac:dyDescent="0.3">
      <c r="A71" s="61" t="s">
        <v>296</v>
      </c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13" t="s">
        <v>297</v>
      </c>
    </row>
    <row r="72" spans="1:19" ht="23.1" customHeight="1" x14ac:dyDescent="0.3">
      <c r="A72" s="14" t="s">
        <v>298</v>
      </c>
      <c r="B72" s="14" t="s">
        <v>299</v>
      </c>
      <c r="C72" s="16" t="s">
        <v>34</v>
      </c>
      <c r="D72" s="17">
        <v>0.3</v>
      </c>
      <c r="E72" s="17">
        <f>ROUNDDOWN(일위대가목록!G33, 0)</f>
        <v>236</v>
      </c>
      <c r="F72" s="17">
        <f>ROUNDDOWN(D72*E72, 1)</f>
        <v>70.8</v>
      </c>
      <c r="G72" s="17">
        <f>ROUNDDOWN(일위대가목록!I33, 0)</f>
        <v>2854</v>
      </c>
      <c r="H72" s="17">
        <f>ROUNDDOWN(D72*G72, 1)</f>
        <v>856.2</v>
      </c>
      <c r="I72" s="17">
        <f>ROUNDDOWN(일위대가목록!K33, 2)</f>
        <v>0</v>
      </c>
      <c r="J72" s="17">
        <f>ROUNDDOWN(D72*I72, 1)</f>
        <v>0</v>
      </c>
      <c r="K72" s="17">
        <f t="shared" ref="K72:L75" si="10">E72+G72+I72</f>
        <v>3090</v>
      </c>
      <c r="L72" s="17">
        <f t="shared" si="10"/>
        <v>927</v>
      </c>
      <c r="M72" s="14" t="s">
        <v>300</v>
      </c>
      <c r="P72" s="1" t="s">
        <v>219</v>
      </c>
      <c r="Q72">
        <v>1</v>
      </c>
    </row>
    <row r="73" spans="1:19" ht="23.1" customHeight="1" x14ac:dyDescent="0.3">
      <c r="A73" s="14" t="s">
        <v>301</v>
      </c>
      <c r="B73" s="14" t="s">
        <v>302</v>
      </c>
      <c r="C73" s="16" t="s">
        <v>34</v>
      </c>
      <c r="D73" s="17">
        <v>1</v>
      </c>
      <c r="E73" s="17">
        <f>ROUNDDOWN(일위대가목록!G40, 0)</f>
        <v>650</v>
      </c>
      <c r="F73" s="17">
        <f>ROUNDDOWN(D73*E73, 1)</f>
        <v>650</v>
      </c>
      <c r="G73" s="17">
        <f>ROUNDDOWN(일위대가목록!I40, 2)</f>
        <v>0</v>
      </c>
      <c r="H73" s="17">
        <f>ROUNDDOWN(D73*G73, 1)</f>
        <v>0</v>
      </c>
      <c r="I73" s="17">
        <f>ROUNDDOWN(일위대가목록!K40, 2)</f>
        <v>0</v>
      </c>
      <c r="J73" s="17">
        <f>ROUNDDOWN(D73*I73, 1)</f>
        <v>0</v>
      </c>
      <c r="K73" s="17">
        <f t="shared" si="10"/>
        <v>650</v>
      </c>
      <c r="L73" s="17">
        <f t="shared" si="10"/>
        <v>650</v>
      </c>
      <c r="M73" s="14" t="s">
        <v>303</v>
      </c>
      <c r="P73" s="1" t="s">
        <v>219</v>
      </c>
      <c r="Q73">
        <v>1</v>
      </c>
    </row>
    <row r="74" spans="1:19" ht="23.1" customHeight="1" x14ac:dyDescent="0.3">
      <c r="A74" s="14" t="s">
        <v>304</v>
      </c>
      <c r="B74" s="14" t="s">
        <v>305</v>
      </c>
      <c r="C74" s="16" t="s">
        <v>34</v>
      </c>
      <c r="D74" s="17">
        <v>1</v>
      </c>
      <c r="E74" s="17">
        <f>ROUNDDOWN(일위대가목록!G39, 0)</f>
        <v>142</v>
      </c>
      <c r="F74" s="17">
        <f>ROUNDDOWN(D74*E74, 1)</f>
        <v>142</v>
      </c>
      <c r="G74" s="17">
        <f>ROUNDDOWN(일위대가목록!I39, 0)</f>
        <v>7128</v>
      </c>
      <c r="H74" s="17">
        <f>ROUNDDOWN(D74*G74, 1)</f>
        <v>7128</v>
      </c>
      <c r="I74" s="17">
        <f>ROUNDDOWN(일위대가목록!K39, 2)</f>
        <v>0</v>
      </c>
      <c r="J74" s="17">
        <f>ROUNDDOWN(D74*I74, 1)</f>
        <v>0</v>
      </c>
      <c r="K74" s="17">
        <f t="shared" si="10"/>
        <v>7270</v>
      </c>
      <c r="L74" s="17">
        <f t="shared" si="10"/>
        <v>7270</v>
      </c>
      <c r="M74" s="14" t="s">
        <v>306</v>
      </c>
      <c r="P74" s="1" t="s">
        <v>219</v>
      </c>
      <c r="Q74">
        <v>1</v>
      </c>
    </row>
    <row r="75" spans="1:19" ht="23.1" customHeight="1" x14ac:dyDescent="0.3">
      <c r="A75" s="14" t="s">
        <v>307</v>
      </c>
      <c r="B75" s="14" t="s">
        <v>299</v>
      </c>
      <c r="C75" s="16" t="s">
        <v>34</v>
      </c>
      <c r="D75" s="17">
        <v>1</v>
      </c>
      <c r="E75" s="17">
        <f>ROUNDDOWN(일위대가목록!G34, 0)</f>
        <v>226</v>
      </c>
      <c r="F75" s="17">
        <f>ROUNDDOWN(D75*E75, 1)</f>
        <v>226</v>
      </c>
      <c r="G75" s="17">
        <f>ROUNDDOWN(일위대가목록!I34, 0)</f>
        <v>1513</v>
      </c>
      <c r="H75" s="17">
        <f>ROUNDDOWN(D75*G75, 1)</f>
        <v>1513</v>
      </c>
      <c r="I75" s="17">
        <f>ROUNDDOWN(일위대가목록!K34, 2)</f>
        <v>0</v>
      </c>
      <c r="J75" s="17">
        <f>ROUNDDOWN(D75*I75, 1)</f>
        <v>0</v>
      </c>
      <c r="K75" s="17">
        <f t="shared" si="10"/>
        <v>1739</v>
      </c>
      <c r="L75" s="17">
        <f t="shared" si="10"/>
        <v>1739</v>
      </c>
      <c r="M75" s="14" t="s">
        <v>308</v>
      </c>
      <c r="P75" s="1" t="s">
        <v>219</v>
      </c>
      <c r="Q75">
        <v>1</v>
      </c>
    </row>
    <row r="76" spans="1:19" ht="23.1" customHeight="1" x14ac:dyDescent="0.3">
      <c r="A76" s="18" t="s">
        <v>231</v>
      </c>
      <c r="B76" s="19"/>
      <c r="C76" s="20"/>
      <c r="D76" s="21"/>
      <c r="E76" s="21"/>
      <c r="F76" s="21">
        <f>ROUNDDOWN(SUMIF(Q72:Q75, "1", F72:F75), 0)</f>
        <v>1088</v>
      </c>
      <c r="G76" s="21"/>
      <c r="H76" s="21">
        <f>ROUNDDOWN(SUMIF(Q72:Q75, "1", H72:H75), 0)</f>
        <v>9497</v>
      </c>
      <c r="I76" s="21"/>
      <c r="J76" s="21">
        <f>ROUNDDOWN(SUMIF(Q72:Q75, "1", J72:J75), 0)</f>
        <v>0</v>
      </c>
      <c r="K76" s="21"/>
      <c r="L76" s="21">
        <f>F76+H76+J76</f>
        <v>10585</v>
      </c>
      <c r="M76" s="19"/>
    </row>
    <row r="77" spans="1:19" ht="23.1" customHeight="1" x14ac:dyDescent="0.3">
      <c r="A77" s="15"/>
      <c r="B77" s="15"/>
      <c r="C77" s="22"/>
      <c r="D77" s="17"/>
      <c r="E77" s="17"/>
      <c r="F77" s="17"/>
      <c r="G77" s="17"/>
      <c r="H77" s="17"/>
      <c r="I77" s="17"/>
      <c r="J77" s="17"/>
      <c r="K77" s="17"/>
      <c r="L77" s="17"/>
      <c r="M77" s="15"/>
    </row>
    <row r="78" spans="1:19" ht="23.1" customHeight="1" x14ac:dyDescent="0.3">
      <c r="A78" s="61" t="s">
        <v>309</v>
      </c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13" t="s">
        <v>310</v>
      </c>
    </row>
    <row r="79" spans="1:19" ht="23.1" customHeight="1" x14ac:dyDescent="0.3">
      <c r="A79" s="14" t="s">
        <v>123</v>
      </c>
      <c r="B79" s="14" t="s">
        <v>124</v>
      </c>
      <c r="C79" s="16" t="s">
        <v>74</v>
      </c>
      <c r="D79" s="17">
        <v>1.2</v>
      </c>
      <c r="E79" s="17">
        <f>ROUNDDOWN(단가대비표!O32, 0)</f>
        <v>242</v>
      </c>
      <c r="F79" s="17">
        <f>ROUNDDOWN(D79*E79, 1)</f>
        <v>290.39999999999998</v>
      </c>
      <c r="G79" s="17">
        <v>0</v>
      </c>
      <c r="H79" s="17">
        <f>ROUNDDOWN(D79*G79, 1)</f>
        <v>0</v>
      </c>
      <c r="I79" s="17">
        <v>0</v>
      </c>
      <c r="J79" s="17">
        <f>ROUNDDOWN(D79*I79, 1)</f>
        <v>0</v>
      </c>
      <c r="K79" s="17">
        <f t="shared" ref="K79:L83" si="11">E79+G79+I79</f>
        <v>242</v>
      </c>
      <c r="L79" s="17">
        <f t="shared" si="11"/>
        <v>290.39999999999998</v>
      </c>
      <c r="M79" s="15"/>
      <c r="O79" s="1" t="s">
        <v>222</v>
      </c>
      <c r="P79" s="1" t="s">
        <v>219</v>
      </c>
      <c r="Q79">
        <v>1</v>
      </c>
    </row>
    <row r="80" spans="1:19" ht="23.1" customHeight="1" x14ac:dyDescent="0.3">
      <c r="A80" s="14" t="s">
        <v>72</v>
      </c>
      <c r="B80" s="14" t="s">
        <v>73</v>
      </c>
      <c r="C80" s="16" t="s">
        <v>74</v>
      </c>
      <c r="D80" s="17">
        <v>1.2</v>
      </c>
      <c r="E80" s="17">
        <f>ROUNDDOWN(단가대비표!O21, 0)</f>
        <v>2400</v>
      </c>
      <c r="F80" s="17">
        <f>ROUNDDOWN(D80*E80, 1)</f>
        <v>2880</v>
      </c>
      <c r="G80" s="17">
        <v>0</v>
      </c>
      <c r="H80" s="17">
        <f>ROUNDDOWN(D80*G80, 1)</f>
        <v>0</v>
      </c>
      <c r="I80" s="17">
        <v>0</v>
      </c>
      <c r="J80" s="17">
        <f>ROUNDDOWN(D80*I80, 1)</f>
        <v>0</v>
      </c>
      <c r="K80" s="17">
        <f t="shared" si="11"/>
        <v>2400</v>
      </c>
      <c r="L80" s="17">
        <f t="shared" si="11"/>
        <v>2880</v>
      </c>
      <c r="M80" s="14" t="s">
        <v>77</v>
      </c>
      <c r="O80" s="1" t="s">
        <v>222</v>
      </c>
      <c r="P80" s="1" t="s">
        <v>219</v>
      </c>
      <c r="Q80">
        <v>1</v>
      </c>
    </row>
    <row r="81" spans="1:17" ht="23.1" customHeight="1" x14ac:dyDescent="0.3">
      <c r="A81" s="14" t="s">
        <v>126</v>
      </c>
      <c r="B81" s="14" t="s">
        <v>127</v>
      </c>
      <c r="C81" s="16" t="s">
        <v>104</v>
      </c>
      <c r="D81" s="17">
        <v>0.3</v>
      </c>
      <c r="E81" s="17">
        <f>ROUNDDOWN(단가대비표!O33, 0)</f>
        <v>1365</v>
      </c>
      <c r="F81" s="17">
        <f>ROUNDDOWN(D81*E81, 1)</f>
        <v>409.5</v>
      </c>
      <c r="G81" s="17">
        <v>0</v>
      </c>
      <c r="H81" s="17">
        <f>ROUNDDOWN(D81*G81, 1)</f>
        <v>0</v>
      </c>
      <c r="I81" s="17">
        <v>0</v>
      </c>
      <c r="J81" s="17">
        <f>ROUNDDOWN(D81*I81, 1)</f>
        <v>0</v>
      </c>
      <c r="K81" s="17">
        <f t="shared" si="11"/>
        <v>1365</v>
      </c>
      <c r="L81" s="17">
        <f t="shared" si="11"/>
        <v>409.5</v>
      </c>
      <c r="M81" s="14" t="s">
        <v>130</v>
      </c>
      <c r="O81" s="1" t="s">
        <v>222</v>
      </c>
      <c r="P81" s="1" t="s">
        <v>219</v>
      </c>
      <c r="Q81">
        <v>1</v>
      </c>
    </row>
    <row r="82" spans="1:17" ht="23.1" customHeight="1" x14ac:dyDescent="0.3">
      <c r="A82" s="14" t="s">
        <v>150</v>
      </c>
      <c r="B82" s="14" t="s">
        <v>143</v>
      </c>
      <c r="C82" s="16" t="s">
        <v>144</v>
      </c>
      <c r="D82" s="17">
        <v>2.1000000000000001E-2</v>
      </c>
      <c r="E82" s="17">
        <v>0</v>
      </c>
      <c r="F82" s="17">
        <f>ROUNDDOWN(D82*E82, 1)</f>
        <v>0</v>
      </c>
      <c r="G82" s="17">
        <f>ROUNDDOWN(단가대비표!O41, 0)</f>
        <v>229833</v>
      </c>
      <c r="H82" s="17">
        <f>ROUNDDOWN(D82*G82, 1)</f>
        <v>4826.3999999999996</v>
      </c>
      <c r="I82" s="17">
        <v>0</v>
      </c>
      <c r="J82" s="17">
        <f>ROUNDDOWN(D82*I82, 1)</f>
        <v>0</v>
      </c>
      <c r="K82" s="17">
        <f t="shared" si="11"/>
        <v>229833</v>
      </c>
      <c r="L82" s="17">
        <f t="shared" si="11"/>
        <v>4826.3999999999996</v>
      </c>
      <c r="M82" s="15"/>
      <c r="O82" s="1" t="s">
        <v>230</v>
      </c>
      <c r="P82" s="1" t="s">
        <v>219</v>
      </c>
      <c r="Q82">
        <v>1</v>
      </c>
    </row>
    <row r="83" spans="1:17" ht="23.1" customHeight="1" x14ac:dyDescent="0.3">
      <c r="A83" s="14" t="s">
        <v>153</v>
      </c>
      <c r="B83" s="14" t="s">
        <v>143</v>
      </c>
      <c r="C83" s="16" t="s">
        <v>144</v>
      </c>
      <c r="D83" s="17">
        <v>1.0999999999999999E-2</v>
      </c>
      <c r="E83" s="17">
        <v>0</v>
      </c>
      <c r="F83" s="17">
        <f>ROUNDDOWN(D83*E83, 1)</f>
        <v>0</v>
      </c>
      <c r="G83" s="17">
        <f>ROUNDDOWN(단가대비표!O44, 0)</f>
        <v>172698</v>
      </c>
      <c r="H83" s="17">
        <f>ROUNDDOWN(D83*G83, 1)</f>
        <v>1899.6</v>
      </c>
      <c r="I83" s="17">
        <v>0</v>
      </c>
      <c r="J83" s="17">
        <f>ROUNDDOWN(D83*I83, 1)</f>
        <v>0</v>
      </c>
      <c r="K83" s="17">
        <f t="shared" si="11"/>
        <v>172698</v>
      </c>
      <c r="L83" s="17">
        <f t="shared" si="11"/>
        <v>1899.6</v>
      </c>
      <c r="M83" s="15"/>
      <c r="O83" s="1" t="s">
        <v>230</v>
      </c>
      <c r="P83" s="1" t="s">
        <v>219</v>
      </c>
      <c r="Q83">
        <v>1</v>
      </c>
    </row>
    <row r="84" spans="1:17" ht="23.1" customHeight="1" x14ac:dyDescent="0.3">
      <c r="A84" s="18" t="s">
        <v>231</v>
      </c>
      <c r="B84" s="19"/>
      <c r="C84" s="20"/>
      <c r="D84" s="21"/>
      <c r="E84" s="21"/>
      <c r="F84" s="21">
        <f>ROUNDDOWN(SUMIF(Q79:Q83, "1", F79:F83), 0)</f>
        <v>3579</v>
      </c>
      <c r="G84" s="21"/>
      <c r="H84" s="21">
        <f>ROUNDDOWN(SUMIF(Q79:Q83, "1", H79:H83), 0)</f>
        <v>6726</v>
      </c>
      <c r="I84" s="21"/>
      <c r="J84" s="21">
        <f>ROUNDDOWN(SUMIF(Q79:Q83, "1", J79:J83), 0)</f>
        <v>0</v>
      </c>
      <c r="K84" s="21"/>
      <c r="L84" s="21">
        <f>F84+H84+J84</f>
        <v>10305</v>
      </c>
      <c r="M84" s="19"/>
    </row>
    <row r="85" spans="1:17" ht="23.1" customHeight="1" x14ac:dyDescent="0.3">
      <c r="A85" s="15"/>
      <c r="B85" s="15"/>
      <c r="C85" s="22"/>
      <c r="D85" s="17"/>
      <c r="E85" s="17"/>
      <c r="F85" s="17"/>
      <c r="G85" s="17"/>
      <c r="H85" s="17"/>
      <c r="I85" s="17"/>
      <c r="J85" s="17"/>
      <c r="K85" s="17"/>
      <c r="L85" s="17"/>
      <c r="M85" s="15"/>
    </row>
    <row r="86" spans="1:17" ht="23.1" customHeight="1" x14ac:dyDescent="0.3">
      <c r="A86" s="61" t="s">
        <v>311</v>
      </c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13" t="s">
        <v>310</v>
      </c>
    </row>
    <row r="87" spans="1:17" ht="23.1" customHeight="1" x14ac:dyDescent="0.3">
      <c r="A87" s="14" t="s">
        <v>123</v>
      </c>
      <c r="B87" s="14" t="s">
        <v>124</v>
      </c>
      <c r="C87" s="16" t="s">
        <v>74</v>
      </c>
      <c r="D87" s="17">
        <v>0.8</v>
      </c>
      <c r="E87" s="17">
        <f>ROUNDDOWN(단가대비표!O32, 0)</f>
        <v>242</v>
      </c>
      <c r="F87" s="17">
        <f>ROUNDDOWN(D87*E87, 1)</f>
        <v>193.6</v>
      </c>
      <c r="G87" s="17">
        <v>0</v>
      </c>
      <c r="H87" s="17">
        <f>ROUNDDOWN(D87*G87, 1)</f>
        <v>0</v>
      </c>
      <c r="I87" s="17">
        <v>0</v>
      </c>
      <c r="J87" s="17">
        <f>ROUNDDOWN(D87*I87, 1)</f>
        <v>0</v>
      </c>
      <c r="K87" s="17">
        <f t="shared" ref="K87:L91" si="12">E87+G87+I87</f>
        <v>242</v>
      </c>
      <c r="L87" s="17">
        <f t="shared" si="12"/>
        <v>193.6</v>
      </c>
      <c r="M87" s="15"/>
      <c r="O87" s="1" t="s">
        <v>222</v>
      </c>
      <c r="P87" s="1" t="s">
        <v>219</v>
      </c>
      <c r="Q87">
        <v>1</v>
      </c>
    </row>
    <row r="88" spans="1:17" ht="23.1" customHeight="1" x14ac:dyDescent="0.3">
      <c r="A88" s="14" t="s">
        <v>72</v>
      </c>
      <c r="B88" s="14" t="s">
        <v>73</v>
      </c>
      <c r="C88" s="16" t="s">
        <v>74</v>
      </c>
      <c r="D88" s="17">
        <v>1.2</v>
      </c>
      <c r="E88" s="17">
        <f>ROUNDDOWN(단가대비표!O21, 0)</f>
        <v>2400</v>
      </c>
      <c r="F88" s="17">
        <f>ROUNDDOWN(D88*E88, 1)</f>
        <v>2880</v>
      </c>
      <c r="G88" s="17">
        <v>0</v>
      </c>
      <c r="H88" s="17">
        <f>ROUNDDOWN(D88*G88, 1)</f>
        <v>0</v>
      </c>
      <c r="I88" s="17">
        <v>0</v>
      </c>
      <c r="J88" s="17">
        <f>ROUNDDOWN(D88*I88, 1)</f>
        <v>0</v>
      </c>
      <c r="K88" s="17">
        <f t="shared" si="12"/>
        <v>2400</v>
      </c>
      <c r="L88" s="17">
        <f t="shared" si="12"/>
        <v>2880</v>
      </c>
      <c r="M88" s="14" t="s">
        <v>77</v>
      </c>
      <c r="O88" s="1" t="s">
        <v>222</v>
      </c>
      <c r="P88" s="1" t="s">
        <v>219</v>
      </c>
      <c r="Q88">
        <v>1</v>
      </c>
    </row>
    <row r="89" spans="1:17" ht="23.1" customHeight="1" x14ac:dyDescent="0.3">
      <c r="A89" s="14" t="s">
        <v>126</v>
      </c>
      <c r="B89" s="14" t="s">
        <v>127</v>
      </c>
      <c r="C89" s="16" t="s">
        <v>104</v>
      </c>
      <c r="D89" s="17">
        <v>0.3</v>
      </c>
      <c r="E89" s="17">
        <f>ROUNDDOWN(단가대비표!O33, 0)</f>
        <v>1365</v>
      </c>
      <c r="F89" s="17">
        <f>ROUNDDOWN(D89*E89, 1)</f>
        <v>409.5</v>
      </c>
      <c r="G89" s="17">
        <v>0</v>
      </c>
      <c r="H89" s="17">
        <f>ROUNDDOWN(D89*G89, 1)</f>
        <v>0</v>
      </c>
      <c r="I89" s="17">
        <v>0</v>
      </c>
      <c r="J89" s="17">
        <f>ROUNDDOWN(D89*I89, 1)</f>
        <v>0</v>
      </c>
      <c r="K89" s="17">
        <f t="shared" si="12"/>
        <v>1365</v>
      </c>
      <c r="L89" s="17">
        <f t="shared" si="12"/>
        <v>409.5</v>
      </c>
      <c r="M89" s="14" t="s">
        <v>130</v>
      </c>
      <c r="O89" s="1" t="s">
        <v>222</v>
      </c>
      <c r="P89" s="1" t="s">
        <v>219</v>
      </c>
      <c r="Q89">
        <v>1</v>
      </c>
    </row>
    <row r="90" spans="1:17" ht="23.1" customHeight="1" x14ac:dyDescent="0.3">
      <c r="A90" s="14" t="s">
        <v>150</v>
      </c>
      <c r="B90" s="14" t="s">
        <v>143</v>
      </c>
      <c r="C90" s="16" t="s">
        <v>144</v>
      </c>
      <c r="D90" s="17">
        <v>3.1E-2</v>
      </c>
      <c r="E90" s="17">
        <v>0</v>
      </c>
      <c r="F90" s="17">
        <f>ROUNDDOWN(D90*E90, 1)</f>
        <v>0</v>
      </c>
      <c r="G90" s="17">
        <f>ROUNDDOWN(단가대비표!O41, 0)</f>
        <v>229833</v>
      </c>
      <c r="H90" s="17">
        <f>ROUNDDOWN(D90*G90, 1)</f>
        <v>7124.8</v>
      </c>
      <c r="I90" s="17">
        <v>0</v>
      </c>
      <c r="J90" s="17">
        <f>ROUNDDOWN(D90*I90, 1)</f>
        <v>0</v>
      </c>
      <c r="K90" s="17">
        <f t="shared" si="12"/>
        <v>229833</v>
      </c>
      <c r="L90" s="17">
        <f t="shared" si="12"/>
        <v>7124.8</v>
      </c>
      <c r="M90" s="15"/>
      <c r="O90" s="1" t="s">
        <v>230</v>
      </c>
      <c r="P90" s="1" t="s">
        <v>219</v>
      </c>
      <c r="Q90">
        <v>1</v>
      </c>
    </row>
    <row r="91" spans="1:17" ht="23.1" customHeight="1" x14ac:dyDescent="0.3">
      <c r="A91" s="14" t="s">
        <v>153</v>
      </c>
      <c r="B91" s="14" t="s">
        <v>143</v>
      </c>
      <c r="C91" s="16" t="s">
        <v>144</v>
      </c>
      <c r="D91" s="17">
        <v>1.4999999999999999E-2</v>
      </c>
      <c r="E91" s="17">
        <v>0</v>
      </c>
      <c r="F91" s="17">
        <f>ROUNDDOWN(D91*E91, 1)</f>
        <v>0</v>
      </c>
      <c r="G91" s="17">
        <f>ROUNDDOWN(단가대비표!O44, 0)</f>
        <v>172698</v>
      </c>
      <c r="H91" s="17">
        <f>ROUNDDOWN(D91*G91, 1)</f>
        <v>2590.4</v>
      </c>
      <c r="I91" s="17">
        <v>0</v>
      </c>
      <c r="J91" s="17">
        <f>ROUNDDOWN(D91*I91, 1)</f>
        <v>0</v>
      </c>
      <c r="K91" s="17">
        <f t="shared" si="12"/>
        <v>172698</v>
      </c>
      <c r="L91" s="17">
        <f t="shared" si="12"/>
        <v>2590.4</v>
      </c>
      <c r="M91" s="15"/>
      <c r="O91" s="1" t="s">
        <v>230</v>
      </c>
      <c r="P91" s="1" t="s">
        <v>219</v>
      </c>
      <c r="Q91">
        <v>1</v>
      </c>
    </row>
    <row r="92" spans="1:17" ht="23.1" customHeight="1" x14ac:dyDescent="0.3">
      <c r="A92" s="18" t="s">
        <v>231</v>
      </c>
      <c r="B92" s="19"/>
      <c r="C92" s="20"/>
      <c r="D92" s="21"/>
      <c r="E92" s="21"/>
      <c r="F92" s="21">
        <f>ROUNDDOWN(SUMIF(Q87:Q91, "1", F87:F91), 0)</f>
        <v>3483</v>
      </c>
      <c r="G92" s="21"/>
      <c r="H92" s="21">
        <f>ROUNDDOWN(SUMIF(Q87:Q91, "1", H87:H91), 0)</f>
        <v>9715</v>
      </c>
      <c r="I92" s="21"/>
      <c r="J92" s="21">
        <f>ROUNDDOWN(SUMIF(Q87:Q91, "1", J87:J91), 0)</f>
        <v>0</v>
      </c>
      <c r="K92" s="21"/>
      <c r="L92" s="21">
        <f>F92+H92+J92</f>
        <v>13198</v>
      </c>
      <c r="M92" s="19"/>
    </row>
    <row r="93" spans="1:17" ht="23.1" customHeight="1" x14ac:dyDescent="0.3">
      <c r="A93" s="15"/>
      <c r="B93" s="15"/>
      <c r="C93" s="22"/>
      <c r="D93" s="17"/>
      <c r="E93" s="17"/>
      <c r="F93" s="17"/>
      <c r="G93" s="17"/>
      <c r="H93" s="17"/>
      <c r="I93" s="17"/>
      <c r="J93" s="17"/>
      <c r="K93" s="17"/>
      <c r="L93" s="17"/>
      <c r="M93" s="15"/>
    </row>
    <row r="94" spans="1:17" ht="23.1" customHeight="1" x14ac:dyDescent="0.3">
      <c r="A94" s="61" t="s">
        <v>312</v>
      </c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13" t="s">
        <v>313</v>
      </c>
    </row>
    <row r="95" spans="1:17" ht="23.1" customHeight="1" x14ac:dyDescent="0.3">
      <c r="A95" s="14" t="s">
        <v>78</v>
      </c>
      <c r="B95" s="14" t="s">
        <v>79</v>
      </c>
      <c r="C95" s="16" t="s">
        <v>74</v>
      </c>
      <c r="D95" s="17">
        <v>1.05</v>
      </c>
      <c r="E95" s="17">
        <f>ROUNDDOWN(단가대비표!O22, 0)</f>
        <v>2962</v>
      </c>
      <c r="F95" s="17">
        <f>ROUNDDOWN(D95*E95, 1)</f>
        <v>3110.1</v>
      </c>
      <c r="G95" s="17">
        <v>0</v>
      </c>
      <c r="H95" s="17">
        <f>ROUNDDOWN(D95*G95, 1)</f>
        <v>0</v>
      </c>
      <c r="I95" s="17">
        <v>0</v>
      </c>
      <c r="J95" s="17">
        <f>ROUNDDOWN(D95*I95, 1)</f>
        <v>0</v>
      </c>
      <c r="K95" s="17">
        <f>E95+G95+I95</f>
        <v>2962</v>
      </c>
      <c r="L95" s="17">
        <f>F95+H95+J95</f>
        <v>3110.1</v>
      </c>
      <c r="M95" s="15"/>
      <c r="O95" s="1" t="s">
        <v>222</v>
      </c>
      <c r="P95" s="1" t="s">
        <v>219</v>
      </c>
      <c r="Q95">
        <v>1</v>
      </c>
    </row>
    <row r="96" spans="1:17" ht="23.1" customHeight="1" x14ac:dyDescent="0.3">
      <c r="A96" s="14" t="s">
        <v>314</v>
      </c>
      <c r="B96" s="14" t="s">
        <v>315</v>
      </c>
      <c r="C96" s="16" t="s">
        <v>34</v>
      </c>
      <c r="D96" s="17">
        <v>1</v>
      </c>
      <c r="E96" s="17">
        <f>ROUNDDOWN(일위대가목록!G29, 2)</f>
        <v>0</v>
      </c>
      <c r="F96" s="17">
        <f>ROUNDDOWN(D96*E96, 1)</f>
        <v>0</v>
      </c>
      <c r="G96" s="17">
        <f>ROUNDDOWN(일위대가목록!I29, 0)</f>
        <v>15191</v>
      </c>
      <c r="H96" s="17">
        <f>ROUNDDOWN(D96*G96, 1)</f>
        <v>15191</v>
      </c>
      <c r="I96" s="17">
        <f>ROUNDDOWN(일위대가목록!K29, 0)</f>
        <v>151</v>
      </c>
      <c r="J96" s="17">
        <f>ROUNDDOWN(D96*I96, 1)</f>
        <v>151</v>
      </c>
      <c r="K96" s="17">
        <f>E96+G96+I96</f>
        <v>15342</v>
      </c>
      <c r="L96" s="17">
        <f>F96+H96+J96</f>
        <v>15342</v>
      </c>
      <c r="M96" s="14" t="s">
        <v>316</v>
      </c>
      <c r="P96" s="1" t="s">
        <v>219</v>
      </c>
      <c r="Q96">
        <v>1</v>
      </c>
    </row>
    <row r="97" spans="1:20" ht="23.1" customHeight="1" x14ac:dyDescent="0.3">
      <c r="A97" s="18" t="s">
        <v>231</v>
      </c>
      <c r="B97" s="19"/>
      <c r="C97" s="20"/>
      <c r="D97" s="21"/>
      <c r="E97" s="21"/>
      <c r="F97" s="21">
        <f>ROUNDDOWN(SUMIF(Q95:Q96, "1", F95:F96), 0)</f>
        <v>3110</v>
      </c>
      <c r="G97" s="21"/>
      <c r="H97" s="21">
        <f>ROUNDDOWN(SUMIF(Q95:Q96, "1", H95:H96), 0)</f>
        <v>15191</v>
      </c>
      <c r="I97" s="21"/>
      <c r="J97" s="21">
        <f>ROUNDDOWN(SUMIF(Q95:Q96, "1", J95:J96), 0)</f>
        <v>151</v>
      </c>
      <c r="K97" s="21"/>
      <c r="L97" s="21">
        <f>F97+H97+J97</f>
        <v>18452</v>
      </c>
      <c r="M97" s="19"/>
    </row>
    <row r="98" spans="1:20" ht="23.1" customHeight="1" x14ac:dyDescent="0.3">
      <c r="A98" s="15"/>
      <c r="B98" s="15"/>
      <c r="C98" s="22"/>
      <c r="D98" s="17"/>
      <c r="E98" s="17"/>
      <c r="F98" s="17"/>
      <c r="G98" s="17"/>
      <c r="H98" s="17"/>
      <c r="I98" s="17"/>
      <c r="J98" s="17"/>
      <c r="K98" s="17"/>
      <c r="L98" s="17"/>
      <c r="M98" s="15"/>
    </row>
    <row r="99" spans="1:20" ht="23.1" customHeight="1" x14ac:dyDescent="0.3">
      <c r="A99" s="61" t="s">
        <v>317</v>
      </c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23"/>
    </row>
    <row r="100" spans="1:20" ht="23.1" customHeight="1" x14ac:dyDescent="0.3">
      <c r="A100" s="14" t="s">
        <v>139</v>
      </c>
      <c r="B100" s="14" t="s">
        <v>140</v>
      </c>
      <c r="C100" s="16" t="s">
        <v>34</v>
      </c>
      <c r="D100" s="17">
        <v>6.6000000000000003E-2</v>
      </c>
      <c r="E100" s="17">
        <f>ROUNDDOWN(단가대비표!O36, 0)</f>
        <v>4770</v>
      </c>
      <c r="F100" s="17">
        <f>ROUNDDOWN(D100*E100, 1)</f>
        <v>314.8</v>
      </c>
      <c r="G100" s="17">
        <v>0</v>
      </c>
      <c r="H100" s="17">
        <f>ROUNDDOWN(D100*G100, 1)</f>
        <v>0</v>
      </c>
      <c r="I100" s="17">
        <v>0</v>
      </c>
      <c r="J100" s="17">
        <f>ROUNDDOWN(D100*I100, 1)</f>
        <v>0</v>
      </c>
      <c r="K100" s="17">
        <f t="shared" ref="K100:L102" si="13">E100+G100+I100</f>
        <v>4770</v>
      </c>
      <c r="L100" s="17">
        <f t="shared" si="13"/>
        <v>314.8</v>
      </c>
      <c r="M100" s="15"/>
      <c r="O100" s="1" t="s">
        <v>222</v>
      </c>
      <c r="P100" s="1" t="s">
        <v>219</v>
      </c>
      <c r="Q100">
        <v>1</v>
      </c>
    </row>
    <row r="101" spans="1:20" ht="23.1" customHeight="1" x14ac:dyDescent="0.3">
      <c r="A101" s="14" t="s">
        <v>318</v>
      </c>
      <c r="B101" s="14" t="s">
        <v>319</v>
      </c>
      <c r="C101" s="16" t="s">
        <v>320</v>
      </c>
      <c r="D101" s="17">
        <v>1</v>
      </c>
      <c r="E101" s="17">
        <f>ROUNDDOWN(일위대가목록!G30, 2)</f>
        <v>0</v>
      </c>
      <c r="F101" s="17">
        <f>ROUNDDOWN(D101*E101, 1)</f>
        <v>0</v>
      </c>
      <c r="G101" s="17">
        <f>ROUNDDOWN(일위대가목록!I30, 0)</f>
        <v>9061</v>
      </c>
      <c r="H101" s="17">
        <f>ROUNDDOWN(D101*G101, 1)</f>
        <v>9061</v>
      </c>
      <c r="I101" s="17">
        <f>ROUNDDOWN(일위대가목록!K30, 0)</f>
        <v>362</v>
      </c>
      <c r="J101" s="17">
        <f>ROUNDDOWN(D101*I101, 1)</f>
        <v>362</v>
      </c>
      <c r="K101" s="17">
        <f t="shared" si="13"/>
        <v>9423</v>
      </c>
      <c r="L101" s="17">
        <f t="shared" si="13"/>
        <v>9423</v>
      </c>
      <c r="M101" s="14" t="s">
        <v>321</v>
      </c>
      <c r="P101" s="1" t="s">
        <v>219</v>
      </c>
      <c r="Q101">
        <v>1</v>
      </c>
    </row>
    <row r="102" spans="1:20" ht="23.1" customHeight="1" x14ac:dyDescent="0.3">
      <c r="A102" s="14" t="s">
        <v>109</v>
      </c>
      <c r="B102" s="14" t="s">
        <v>110</v>
      </c>
      <c r="C102" s="16" t="s">
        <v>34</v>
      </c>
      <c r="D102" s="17">
        <v>6.9000000000000006E-2</v>
      </c>
      <c r="E102" s="17">
        <f>ROUNDDOWN(단가대비표!O29, 0)</f>
        <v>30000</v>
      </c>
      <c r="F102" s="17">
        <f>ROUNDDOWN(D102*E102, 1)</f>
        <v>2070</v>
      </c>
      <c r="G102" s="17">
        <v>0</v>
      </c>
      <c r="H102" s="17">
        <f>ROUNDDOWN(D102*G102, 1)</f>
        <v>0</v>
      </c>
      <c r="I102" s="17">
        <v>0</v>
      </c>
      <c r="J102" s="17">
        <f>ROUNDDOWN(D102*I102, 1)</f>
        <v>0</v>
      </c>
      <c r="K102" s="17">
        <f t="shared" si="13"/>
        <v>30000</v>
      </c>
      <c r="L102" s="17">
        <f t="shared" si="13"/>
        <v>2070</v>
      </c>
      <c r="M102" s="15"/>
      <c r="O102" s="1" t="s">
        <v>222</v>
      </c>
      <c r="P102" s="1" t="s">
        <v>219</v>
      </c>
      <c r="Q102">
        <v>1</v>
      </c>
    </row>
    <row r="103" spans="1:20" ht="23.1" customHeight="1" x14ac:dyDescent="0.3">
      <c r="A103" s="18" t="s">
        <v>231</v>
      </c>
      <c r="B103" s="19"/>
      <c r="C103" s="20"/>
      <c r="D103" s="21"/>
      <c r="E103" s="21"/>
      <c r="F103" s="21">
        <f>ROUNDDOWN(SUMIF(Q100:Q102, "1", F100:F102), 0)</f>
        <v>2384</v>
      </c>
      <c r="G103" s="21"/>
      <c r="H103" s="21">
        <f>ROUNDDOWN(SUMIF(Q100:Q102, "1", H100:H102), 0)</f>
        <v>9061</v>
      </c>
      <c r="I103" s="21"/>
      <c r="J103" s="21">
        <f>ROUNDDOWN(SUMIF(Q100:Q102, "1", J100:J102), 0)</f>
        <v>362</v>
      </c>
      <c r="K103" s="21"/>
      <c r="L103" s="21">
        <f>F103+H103+J103</f>
        <v>11807</v>
      </c>
      <c r="M103" s="19"/>
    </row>
    <row r="104" spans="1:20" ht="23.1" customHeight="1" x14ac:dyDescent="0.3">
      <c r="A104" s="15"/>
      <c r="B104" s="15"/>
      <c r="C104" s="22"/>
      <c r="D104" s="17"/>
      <c r="E104" s="17"/>
      <c r="F104" s="17"/>
      <c r="G104" s="17"/>
      <c r="H104" s="17"/>
      <c r="I104" s="17"/>
      <c r="J104" s="17"/>
      <c r="K104" s="17"/>
      <c r="L104" s="17"/>
      <c r="M104" s="15"/>
    </row>
    <row r="105" spans="1:20" ht="23.1" customHeight="1" x14ac:dyDescent="0.3">
      <c r="A105" s="61" t="s">
        <v>322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23"/>
    </row>
    <row r="106" spans="1:20" ht="23.1" customHeight="1" x14ac:dyDescent="0.3">
      <c r="A106" s="14" t="s">
        <v>46</v>
      </c>
      <c r="B106" s="14" t="s">
        <v>47</v>
      </c>
      <c r="C106" s="16" t="s">
        <v>48</v>
      </c>
      <c r="D106" s="17">
        <v>3.0999999999999999E-3</v>
      </c>
      <c r="E106" s="17">
        <f>ROUNDDOWN(단가대비표!O11, 0)</f>
        <v>169800</v>
      </c>
      <c r="F106" s="17">
        <f>ROUNDDOWN(D106*E106, 1)</f>
        <v>526.29999999999995</v>
      </c>
      <c r="G106" s="17">
        <v>0</v>
      </c>
      <c r="H106" s="17">
        <f>ROUNDDOWN(D106*G106, 1)</f>
        <v>0</v>
      </c>
      <c r="I106" s="17">
        <v>0</v>
      </c>
      <c r="J106" s="17">
        <f>ROUNDDOWN(D106*I106, 1)</f>
        <v>0</v>
      </c>
      <c r="K106" s="17">
        <f t="shared" ref="K106:L110" si="14">E106+G106+I106</f>
        <v>169800</v>
      </c>
      <c r="L106" s="17">
        <f t="shared" si="14"/>
        <v>526.29999999999995</v>
      </c>
      <c r="M106" s="15"/>
      <c r="O106" s="1" t="s">
        <v>222</v>
      </c>
      <c r="P106" s="1" t="s">
        <v>219</v>
      </c>
      <c r="Q106">
        <v>1</v>
      </c>
    </row>
    <row r="107" spans="1:20" ht="23.1" customHeight="1" x14ac:dyDescent="0.3">
      <c r="A107" s="14" t="s">
        <v>37</v>
      </c>
      <c r="B107" s="14" t="s">
        <v>38</v>
      </c>
      <c r="C107" s="16" t="s">
        <v>19</v>
      </c>
      <c r="D107" s="17">
        <v>30</v>
      </c>
      <c r="E107" s="17">
        <f>ROUNDDOWN(단가대비표!O9, 0)</f>
        <v>1</v>
      </c>
      <c r="F107" s="17">
        <f>ROUNDDOWN(D107*E107, 1)</f>
        <v>30</v>
      </c>
      <c r="G107" s="17">
        <v>0</v>
      </c>
      <c r="H107" s="17">
        <f>ROUNDDOWN(D107*G107, 1)</f>
        <v>0</v>
      </c>
      <c r="I107" s="17">
        <v>0</v>
      </c>
      <c r="J107" s="17">
        <f>ROUNDDOWN(D107*I107, 1)</f>
        <v>0</v>
      </c>
      <c r="K107" s="17">
        <f t="shared" si="14"/>
        <v>1</v>
      </c>
      <c r="L107" s="17">
        <f t="shared" si="14"/>
        <v>30</v>
      </c>
      <c r="M107" s="14" t="s">
        <v>41</v>
      </c>
      <c r="O107" s="1" t="s">
        <v>222</v>
      </c>
      <c r="P107" s="1" t="s">
        <v>219</v>
      </c>
      <c r="Q107">
        <v>1</v>
      </c>
    </row>
    <row r="108" spans="1:20" ht="23.1" customHeight="1" x14ac:dyDescent="0.3">
      <c r="A108" s="14" t="s">
        <v>153</v>
      </c>
      <c r="B108" s="14" t="s">
        <v>143</v>
      </c>
      <c r="C108" s="16" t="s">
        <v>144</v>
      </c>
      <c r="D108" s="17">
        <v>8.3999999999999995E-3</v>
      </c>
      <c r="E108" s="17">
        <v>0</v>
      </c>
      <c r="F108" s="17">
        <f>ROUNDDOWN(D108*E108, 1)</f>
        <v>0</v>
      </c>
      <c r="G108" s="17">
        <f>ROUNDDOWN(단가대비표!O44, 0)</f>
        <v>172698</v>
      </c>
      <c r="H108" s="17">
        <f>ROUNDDOWN(D108*G108, 1)</f>
        <v>1450.6</v>
      </c>
      <c r="I108" s="17">
        <v>0</v>
      </c>
      <c r="J108" s="17">
        <f>ROUNDDOWN(D108*I108, 1)</f>
        <v>0</v>
      </c>
      <c r="K108" s="17">
        <f t="shared" si="14"/>
        <v>172698</v>
      </c>
      <c r="L108" s="17">
        <f t="shared" si="14"/>
        <v>1450.6</v>
      </c>
      <c r="M108" s="15"/>
      <c r="O108" s="1" t="s">
        <v>230</v>
      </c>
      <c r="P108" s="1" t="s">
        <v>219</v>
      </c>
      <c r="Q108">
        <v>1</v>
      </c>
    </row>
    <row r="109" spans="1:20" ht="23.1" customHeight="1" x14ac:dyDescent="0.3">
      <c r="A109" s="14" t="s">
        <v>269</v>
      </c>
      <c r="B109" s="15" t="str">
        <f>"인력품의 " &amp; N109*100 &amp; "%"</f>
        <v>인력품의 5%</v>
      </c>
      <c r="C109" s="16" t="s">
        <v>224</v>
      </c>
      <c r="D109" s="17">
        <v>1</v>
      </c>
      <c r="E109" s="17">
        <f>SUMIF(O106:O110, "02", H106:H110)</f>
        <v>1450.6</v>
      </c>
      <c r="F109" s="17">
        <f>ROUNDDOWN((E109)*N109, 1)</f>
        <v>72.5</v>
      </c>
      <c r="G109" s="17">
        <v>0</v>
      </c>
      <c r="H109" s="17">
        <v>0</v>
      </c>
      <c r="I109" s="17">
        <v>0</v>
      </c>
      <c r="J109" s="17">
        <v>0</v>
      </c>
      <c r="K109" s="17">
        <f t="shared" si="14"/>
        <v>1450.6</v>
      </c>
      <c r="L109" s="17">
        <f t="shared" si="14"/>
        <v>72.5</v>
      </c>
      <c r="M109" s="15"/>
      <c r="N109">
        <v>0.05</v>
      </c>
      <c r="P109" s="1" t="s">
        <v>219</v>
      </c>
      <c r="Q109">
        <v>1</v>
      </c>
      <c r="R109" s="1" t="s">
        <v>270</v>
      </c>
      <c r="S109" s="1" t="s">
        <v>284</v>
      </c>
      <c r="T109" s="1" t="s">
        <v>228</v>
      </c>
    </row>
    <row r="110" spans="1:20" ht="23.1" customHeight="1" x14ac:dyDescent="0.3">
      <c r="A110" s="14" t="s">
        <v>248</v>
      </c>
      <c r="B110" s="14" t="s">
        <v>249</v>
      </c>
      <c r="C110" s="16" t="s">
        <v>245</v>
      </c>
      <c r="D110" s="17">
        <v>3.3300000000000003E-2</v>
      </c>
      <c r="E110" s="17">
        <f>ROUNDDOWN(중기경비목록!G7, 0)</f>
        <v>10832</v>
      </c>
      <c r="F110" s="17">
        <f>ROUNDDOWN(D110*E110, 1)</f>
        <v>360.7</v>
      </c>
      <c r="G110" s="17">
        <f>ROUNDDOWN(중기경비목록!I7, 0)</f>
        <v>36604</v>
      </c>
      <c r="H110" s="17">
        <f>ROUNDDOWN(D110*G110, 1)</f>
        <v>1218.9000000000001</v>
      </c>
      <c r="I110" s="17">
        <f>ROUNDDOWN(중기경비목록!K7, 0)</f>
        <v>2064</v>
      </c>
      <c r="J110" s="17">
        <f>ROUNDDOWN(D110*I110, 1)</f>
        <v>68.7</v>
      </c>
      <c r="K110" s="17">
        <f t="shared" si="14"/>
        <v>49500</v>
      </c>
      <c r="L110" s="17">
        <f t="shared" si="14"/>
        <v>1648.3000000000002</v>
      </c>
      <c r="M110" s="14" t="s">
        <v>247</v>
      </c>
      <c r="P110" s="1" t="s">
        <v>219</v>
      </c>
      <c r="Q110">
        <v>1</v>
      </c>
    </row>
    <row r="111" spans="1:20" ht="23.1" customHeight="1" x14ac:dyDescent="0.3">
      <c r="A111" s="18" t="s">
        <v>231</v>
      </c>
      <c r="B111" s="19"/>
      <c r="C111" s="20"/>
      <c r="D111" s="21"/>
      <c r="E111" s="21"/>
      <c r="F111" s="21">
        <f>ROUNDDOWN(SUMIF(Q106:Q110, "1", F106:F110), 0)</f>
        <v>989</v>
      </c>
      <c r="G111" s="21"/>
      <c r="H111" s="21">
        <f>ROUNDDOWN(SUMIF(Q106:Q110, "1", H106:H110), 0)</f>
        <v>2669</v>
      </c>
      <c r="I111" s="21"/>
      <c r="J111" s="21">
        <f>ROUNDDOWN(SUMIF(Q106:Q110, "1", J106:J110), 0)</f>
        <v>68</v>
      </c>
      <c r="K111" s="21"/>
      <c r="L111" s="21">
        <f>F111+H111+J111</f>
        <v>3726</v>
      </c>
      <c r="M111" s="19"/>
    </row>
    <row r="112" spans="1:20" ht="23.1" customHeight="1" x14ac:dyDescent="0.3">
      <c r="A112" s="15"/>
      <c r="B112" s="15"/>
      <c r="C112" s="22"/>
      <c r="D112" s="17"/>
      <c r="E112" s="17"/>
      <c r="F112" s="17"/>
      <c r="G112" s="17"/>
      <c r="H112" s="17"/>
      <c r="I112" s="17"/>
      <c r="J112" s="17"/>
      <c r="K112" s="17"/>
      <c r="L112" s="17"/>
      <c r="M112" s="15"/>
    </row>
    <row r="113" spans="1:20" ht="23.1" customHeight="1" x14ac:dyDescent="0.3">
      <c r="A113" s="61" t="s">
        <v>323</v>
      </c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23"/>
    </row>
    <row r="114" spans="1:20" ht="23.1" customHeight="1" x14ac:dyDescent="0.3">
      <c r="A114" s="14" t="s">
        <v>160</v>
      </c>
      <c r="B114" s="14" t="s">
        <v>143</v>
      </c>
      <c r="C114" s="16" t="s">
        <v>144</v>
      </c>
      <c r="D114" s="17">
        <v>0.56999999999999995</v>
      </c>
      <c r="E114" s="17">
        <v>0</v>
      </c>
      <c r="F114" s="17">
        <f>ROUNDDOWN(D114*E114, 1)</f>
        <v>0</v>
      </c>
      <c r="G114" s="17">
        <f>ROUNDDOWN(단가대비표!O49, 0)</f>
        <v>223246</v>
      </c>
      <c r="H114" s="17">
        <f>ROUNDDOWN(D114*G114, 1)</f>
        <v>127250.2</v>
      </c>
      <c r="I114" s="17">
        <v>0</v>
      </c>
      <c r="J114" s="17">
        <f>ROUNDDOWN(D114*I114, 1)</f>
        <v>0</v>
      </c>
      <c r="K114" s="17">
        <f t="shared" ref="K114:L118" si="15">E114+G114+I114</f>
        <v>223246</v>
      </c>
      <c r="L114" s="17">
        <f t="shared" si="15"/>
        <v>127250.2</v>
      </c>
      <c r="M114" s="15"/>
      <c r="O114" s="1" t="s">
        <v>230</v>
      </c>
      <c r="P114" s="1" t="s">
        <v>219</v>
      </c>
      <c r="Q114">
        <v>1</v>
      </c>
    </row>
    <row r="115" spans="1:20" ht="23.1" customHeight="1" x14ac:dyDescent="0.3">
      <c r="A115" s="14" t="s">
        <v>153</v>
      </c>
      <c r="B115" s="14" t="s">
        <v>143</v>
      </c>
      <c r="C115" s="16" t="s">
        <v>144</v>
      </c>
      <c r="D115" s="17">
        <v>0.37</v>
      </c>
      <c r="E115" s="17">
        <v>0</v>
      </c>
      <c r="F115" s="17">
        <f>ROUNDDOWN(D115*E115, 1)</f>
        <v>0</v>
      </c>
      <c r="G115" s="17">
        <f>ROUNDDOWN(단가대비표!O44, 0)</f>
        <v>172698</v>
      </c>
      <c r="H115" s="17">
        <f>ROUNDDOWN(D115*G115, 1)</f>
        <v>63898.2</v>
      </c>
      <c r="I115" s="17">
        <v>0</v>
      </c>
      <c r="J115" s="17">
        <f>ROUNDDOWN(D115*I115, 1)</f>
        <v>0</v>
      </c>
      <c r="K115" s="17">
        <f t="shared" si="15"/>
        <v>172698</v>
      </c>
      <c r="L115" s="17">
        <f t="shared" si="15"/>
        <v>63898.2</v>
      </c>
      <c r="M115" s="15"/>
      <c r="O115" s="1" t="s">
        <v>230</v>
      </c>
      <c r="P115" s="1" t="s">
        <v>219</v>
      </c>
      <c r="Q115">
        <v>1</v>
      </c>
    </row>
    <row r="116" spans="1:20" ht="23.1" customHeight="1" x14ac:dyDescent="0.3">
      <c r="A116" s="14" t="s">
        <v>288</v>
      </c>
      <c r="B116" s="15" t="str">
        <f>"노무비의 " &amp; N116*100 &amp; "%"</f>
        <v>노무비의 1%</v>
      </c>
      <c r="C116" s="16" t="s">
        <v>224</v>
      </c>
      <c r="D116" s="17">
        <v>1</v>
      </c>
      <c r="E116" s="17">
        <f>SUMIF(O114:O118, "02", H114:H118)</f>
        <v>191148.4</v>
      </c>
      <c r="F116" s="17">
        <f>ROUNDDOWN((E116)*N116, 1)</f>
        <v>1911.4</v>
      </c>
      <c r="G116" s="17">
        <v>0</v>
      </c>
      <c r="H116" s="17">
        <v>0</v>
      </c>
      <c r="I116" s="17">
        <v>0</v>
      </c>
      <c r="J116" s="17">
        <v>0</v>
      </c>
      <c r="K116" s="17">
        <f t="shared" si="15"/>
        <v>191148.4</v>
      </c>
      <c r="L116" s="17">
        <f t="shared" si="15"/>
        <v>1911.4</v>
      </c>
      <c r="M116" s="15"/>
      <c r="N116">
        <v>0.01</v>
      </c>
      <c r="P116" s="1" t="s">
        <v>219</v>
      </c>
      <c r="Q116">
        <v>1</v>
      </c>
      <c r="R116" s="1" t="s">
        <v>270</v>
      </c>
      <c r="S116" s="1" t="s">
        <v>284</v>
      </c>
      <c r="T116" s="1" t="s">
        <v>228</v>
      </c>
    </row>
    <row r="117" spans="1:20" ht="23.1" customHeight="1" x14ac:dyDescent="0.3">
      <c r="A117" s="14" t="s">
        <v>178</v>
      </c>
      <c r="B117" s="14" t="s">
        <v>179</v>
      </c>
      <c r="C117" s="16" t="s">
        <v>245</v>
      </c>
      <c r="D117" s="17">
        <v>1</v>
      </c>
      <c r="E117" s="17">
        <f>ROUNDDOWN(중기경비목록!G6, 2)</f>
        <v>0</v>
      </c>
      <c r="F117" s="17">
        <f>ROUNDDOWN(D117*E117, 1)</f>
        <v>0</v>
      </c>
      <c r="G117" s="17">
        <f>ROUNDDOWN(중기경비목록!I6, 2)</f>
        <v>0</v>
      </c>
      <c r="H117" s="17">
        <f>ROUNDDOWN(D117*G117, 1)</f>
        <v>0</v>
      </c>
      <c r="I117" s="17">
        <f>ROUNDDOWN(중기경비목록!K6, 0)</f>
        <v>494</v>
      </c>
      <c r="J117" s="17">
        <f>ROUNDDOWN(D117*I117, 1)</f>
        <v>494</v>
      </c>
      <c r="K117" s="17">
        <f t="shared" si="15"/>
        <v>494</v>
      </c>
      <c r="L117" s="17">
        <f t="shared" si="15"/>
        <v>494</v>
      </c>
      <c r="M117" s="14" t="s">
        <v>246</v>
      </c>
      <c r="P117" s="1" t="s">
        <v>219</v>
      </c>
      <c r="Q117">
        <v>1</v>
      </c>
    </row>
    <row r="118" spans="1:20" ht="23.1" customHeight="1" x14ac:dyDescent="0.3">
      <c r="A118" s="14" t="s">
        <v>174</v>
      </c>
      <c r="B118" s="14" t="s">
        <v>244</v>
      </c>
      <c r="C118" s="16" t="s">
        <v>245</v>
      </c>
      <c r="D118" s="17">
        <v>0.5</v>
      </c>
      <c r="E118" s="17">
        <f>ROUNDDOWN(중기경비목록!G5, 0)</f>
        <v>11435</v>
      </c>
      <c r="F118" s="17">
        <f>ROUNDDOWN(D118*E118, 1)</f>
        <v>5717.5</v>
      </c>
      <c r="G118" s="17">
        <f>ROUNDDOWN(중기경비목록!I5, 0)</f>
        <v>59025</v>
      </c>
      <c r="H118" s="17">
        <f>ROUNDDOWN(D118*G118, 1)</f>
        <v>29512.5</v>
      </c>
      <c r="I118" s="17">
        <f>ROUNDDOWN(중기경비목록!K5, 0)</f>
        <v>2445</v>
      </c>
      <c r="J118" s="17">
        <f>ROUNDDOWN(D118*I118, 1)</f>
        <v>1222.5</v>
      </c>
      <c r="K118" s="17">
        <f t="shared" si="15"/>
        <v>72905</v>
      </c>
      <c r="L118" s="17">
        <f t="shared" si="15"/>
        <v>36452.5</v>
      </c>
      <c r="M118" s="14" t="s">
        <v>243</v>
      </c>
      <c r="P118" s="1" t="s">
        <v>219</v>
      </c>
      <c r="Q118">
        <v>1</v>
      </c>
    </row>
    <row r="119" spans="1:20" ht="23.1" customHeight="1" x14ac:dyDescent="0.3">
      <c r="A119" s="18" t="s">
        <v>231</v>
      </c>
      <c r="B119" s="19"/>
      <c r="C119" s="20"/>
      <c r="D119" s="21"/>
      <c r="E119" s="21"/>
      <c r="F119" s="21">
        <f>ROUNDDOWN(SUMIF(Q114:Q118, "1", F114:F118), 0)</f>
        <v>7628</v>
      </c>
      <c r="G119" s="21"/>
      <c r="H119" s="21">
        <f>ROUNDDOWN(SUMIF(Q114:Q118, "1", H114:H118), 0)</f>
        <v>220660</v>
      </c>
      <c r="I119" s="21"/>
      <c r="J119" s="21">
        <f>ROUNDDOWN(SUMIF(Q114:Q118, "1", J114:J118), 0)</f>
        <v>1716</v>
      </c>
      <c r="K119" s="21"/>
      <c r="L119" s="21">
        <f>F119+H119+J119</f>
        <v>230004</v>
      </c>
      <c r="M119" s="19"/>
    </row>
    <row r="120" spans="1:20" ht="23.1" customHeight="1" x14ac:dyDescent="0.3">
      <c r="A120" s="15"/>
      <c r="B120" s="15"/>
      <c r="C120" s="22"/>
      <c r="D120" s="17"/>
      <c r="E120" s="17"/>
      <c r="F120" s="17"/>
      <c r="G120" s="17"/>
      <c r="H120" s="17"/>
      <c r="I120" s="17"/>
      <c r="J120" s="17"/>
      <c r="K120" s="17"/>
      <c r="L120" s="17"/>
      <c r="M120" s="15"/>
    </row>
    <row r="121" spans="1:20" ht="23.1" customHeight="1" x14ac:dyDescent="0.3">
      <c r="A121" s="61" t="s">
        <v>324</v>
      </c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13" t="s">
        <v>325</v>
      </c>
    </row>
    <row r="122" spans="1:20" ht="23.1" customHeight="1" x14ac:dyDescent="0.3">
      <c r="A122" s="14" t="s">
        <v>326</v>
      </c>
      <c r="B122" s="14" t="s">
        <v>327</v>
      </c>
      <c r="C122" s="16" t="s">
        <v>34</v>
      </c>
      <c r="D122" s="17">
        <v>1</v>
      </c>
      <c r="E122" s="17">
        <f>ROUNDDOWN(일위대가목록!G26, 2)</f>
        <v>0</v>
      </c>
      <c r="F122" s="17">
        <f>ROUNDDOWN(D122*E122, 1)</f>
        <v>0</v>
      </c>
      <c r="G122" s="17">
        <f>ROUNDDOWN(일위대가목록!I26, 0)</f>
        <v>2702</v>
      </c>
      <c r="H122" s="17">
        <f>ROUNDDOWN(D122*G122, 1)</f>
        <v>2702</v>
      </c>
      <c r="I122" s="17">
        <f>ROUNDDOWN(일위대가목록!K26, 2)</f>
        <v>0</v>
      </c>
      <c r="J122" s="17">
        <f>ROUNDDOWN(D122*I122, 1)</f>
        <v>0</v>
      </c>
      <c r="K122" s="17">
        <f>E122+G122+I122</f>
        <v>2702</v>
      </c>
      <c r="L122" s="17">
        <f>F122+H122+J122</f>
        <v>2702</v>
      </c>
      <c r="M122" s="14" t="s">
        <v>328</v>
      </c>
      <c r="P122" s="1" t="s">
        <v>219</v>
      </c>
      <c r="Q122">
        <v>1</v>
      </c>
      <c r="T122" s="1" t="s">
        <v>329</v>
      </c>
    </row>
    <row r="123" spans="1:20" ht="23.1" customHeight="1" x14ac:dyDescent="0.3">
      <c r="A123" s="18" t="s">
        <v>231</v>
      </c>
      <c r="B123" s="19"/>
      <c r="C123" s="20"/>
      <c r="D123" s="21"/>
      <c r="E123" s="21"/>
      <c r="F123" s="21">
        <f>ROUNDDOWN(SUMIF(Q122:Q122, "1", F122:F122), 0)</f>
        <v>0</v>
      </c>
      <c r="G123" s="21"/>
      <c r="H123" s="21">
        <f>ROUNDDOWN(SUMIF(Q122:Q122, "1", H122:H122), 0)</f>
        <v>2702</v>
      </c>
      <c r="I123" s="21"/>
      <c r="J123" s="21">
        <f>ROUNDDOWN(SUMIF(Q122:Q122, "1", J122:J122), 0)</f>
        <v>0</v>
      </c>
      <c r="K123" s="21"/>
      <c r="L123" s="21">
        <f>F123+H123+J123</f>
        <v>2702</v>
      </c>
      <c r="M123" s="19"/>
    </row>
    <row r="124" spans="1:20" ht="23.1" customHeight="1" x14ac:dyDescent="0.3">
      <c r="A124" s="15"/>
      <c r="B124" s="15"/>
      <c r="C124" s="22"/>
      <c r="D124" s="17"/>
      <c r="E124" s="17"/>
      <c r="F124" s="17"/>
      <c r="G124" s="17"/>
      <c r="H124" s="17"/>
      <c r="I124" s="17"/>
      <c r="J124" s="17"/>
      <c r="K124" s="17"/>
      <c r="L124" s="17"/>
      <c r="M124" s="15"/>
    </row>
    <row r="125" spans="1:20" ht="23.1" customHeight="1" x14ac:dyDescent="0.3">
      <c r="A125" s="61" t="s">
        <v>330</v>
      </c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23"/>
    </row>
    <row r="126" spans="1:20" ht="23.1" customHeight="1" x14ac:dyDescent="0.3">
      <c r="A126" s="14" t="s">
        <v>331</v>
      </c>
      <c r="B126" s="14" t="s">
        <v>332</v>
      </c>
      <c r="C126" s="16" t="s">
        <v>34</v>
      </c>
      <c r="D126" s="17">
        <v>1</v>
      </c>
      <c r="E126" s="17">
        <f>ROUNDDOWN(일위대가목록!G27, 2)</f>
        <v>0</v>
      </c>
      <c r="F126" s="17">
        <f>ROUNDDOWN(D126*E126, 1)</f>
        <v>0</v>
      </c>
      <c r="G126" s="17">
        <f>ROUNDDOWN(일위대가목록!I27, 0)</f>
        <v>6042</v>
      </c>
      <c r="H126" s="17">
        <f>ROUNDDOWN(D126*G126, 1)</f>
        <v>6042</v>
      </c>
      <c r="I126" s="17">
        <f>ROUNDDOWN(일위대가목록!K27, 2)</f>
        <v>0</v>
      </c>
      <c r="J126" s="17">
        <f>ROUNDDOWN(D126*I126, 1)</f>
        <v>0</v>
      </c>
      <c r="K126" s="17">
        <f>E126+G126+I126</f>
        <v>6042</v>
      </c>
      <c r="L126" s="17">
        <f>F126+H126+J126</f>
        <v>6042</v>
      </c>
      <c r="M126" s="14" t="s">
        <v>333</v>
      </c>
      <c r="P126" s="1" t="s">
        <v>219</v>
      </c>
      <c r="Q126">
        <v>1</v>
      </c>
    </row>
    <row r="127" spans="1:20" ht="23.1" customHeight="1" x14ac:dyDescent="0.3">
      <c r="A127" s="18" t="s">
        <v>231</v>
      </c>
      <c r="B127" s="19"/>
      <c r="C127" s="20"/>
      <c r="D127" s="21"/>
      <c r="E127" s="21"/>
      <c r="F127" s="21">
        <f>ROUNDDOWN(SUMIF(Q126:Q126, "1", F126:F126), 0)</f>
        <v>0</v>
      </c>
      <c r="G127" s="21"/>
      <c r="H127" s="21">
        <f>ROUNDDOWN(SUMIF(Q126:Q126, "1", H126:H126), 0)</f>
        <v>6042</v>
      </c>
      <c r="I127" s="21"/>
      <c r="J127" s="21">
        <f>ROUNDDOWN(SUMIF(Q126:Q126, "1", J126:J126), 0)</f>
        <v>0</v>
      </c>
      <c r="K127" s="21"/>
      <c r="L127" s="21">
        <f>F127+H127+J127</f>
        <v>6042</v>
      </c>
      <c r="M127" s="19"/>
    </row>
    <row r="128" spans="1:20" ht="23.1" customHeight="1" x14ac:dyDescent="0.3">
      <c r="A128" s="15"/>
      <c r="B128" s="15"/>
      <c r="C128" s="22"/>
      <c r="D128" s="17"/>
      <c r="E128" s="17"/>
      <c r="F128" s="17"/>
      <c r="G128" s="17"/>
      <c r="H128" s="17"/>
      <c r="I128" s="17"/>
      <c r="J128" s="17"/>
      <c r="K128" s="17"/>
      <c r="L128" s="17"/>
      <c r="M128" s="15"/>
    </row>
    <row r="129" spans="1:20" ht="23.1" customHeight="1" x14ac:dyDescent="0.3">
      <c r="A129" s="61" t="s">
        <v>334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13" t="s">
        <v>325</v>
      </c>
    </row>
    <row r="130" spans="1:20" ht="23.1" customHeight="1" x14ac:dyDescent="0.3">
      <c r="A130" s="14" t="s">
        <v>331</v>
      </c>
      <c r="B130" s="14" t="s">
        <v>332</v>
      </c>
      <c r="C130" s="16" t="s">
        <v>34</v>
      </c>
      <c r="D130" s="17">
        <v>0.05</v>
      </c>
      <c r="E130" s="17">
        <f>ROUNDDOWN(일위대가목록!G27, 2)</f>
        <v>0</v>
      </c>
      <c r="F130" s="17">
        <f>ROUNDDOWN(D130*E130, 1)</f>
        <v>0</v>
      </c>
      <c r="G130" s="17">
        <f>ROUNDDOWN(일위대가목록!I27, 0)</f>
        <v>6042</v>
      </c>
      <c r="H130" s="17">
        <f>ROUNDDOWN(D130*G130, 1)</f>
        <v>302.10000000000002</v>
      </c>
      <c r="I130" s="17">
        <f>ROUNDDOWN(일위대가목록!K27, 2)</f>
        <v>0</v>
      </c>
      <c r="J130" s="17">
        <f>ROUNDDOWN(D130*I130, 1)</f>
        <v>0</v>
      </c>
      <c r="K130" s="17">
        <f>E130+G130+I130</f>
        <v>6042</v>
      </c>
      <c r="L130" s="17">
        <f>F130+H130+J130</f>
        <v>302.10000000000002</v>
      </c>
      <c r="M130" s="14" t="s">
        <v>333</v>
      </c>
      <c r="P130" s="1" t="s">
        <v>219</v>
      </c>
      <c r="Q130">
        <v>1</v>
      </c>
    </row>
    <row r="131" spans="1:20" ht="23.1" customHeight="1" x14ac:dyDescent="0.3">
      <c r="A131" s="18" t="s">
        <v>231</v>
      </c>
      <c r="B131" s="19"/>
      <c r="C131" s="20"/>
      <c r="D131" s="21"/>
      <c r="E131" s="21"/>
      <c r="F131" s="21">
        <f>ROUNDDOWN(SUMIF(Q130:Q130, "1", F130:F130), 0)</f>
        <v>0</v>
      </c>
      <c r="G131" s="21"/>
      <c r="H131" s="21">
        <f>ROUNDDOWN(SUMIF(Q130:Q130, "1", H130:H130), 0)</f>
        <v>302</v>
      </c>
      <c r="I131" s="21"/>
      <c r="J131" s="21">
        <f>ROUNDDOWN(SUMIF(Q130:Q130, "1", J130:J130), 0)</f>
        <v>0</v>
      </c>
      <c r="K131" s="21"/>
      <c r="L131" s="21">
        <f>F131+H131+J131</f>
        <v>302</v>
      </c>
      <c r="M131" s="19"/>
    </row>
    <row r="132" spans="1:20" ht="23.1" customHeight="1" x14ac:dyDescent="0.3">
      <c r="A132" s="15"/>
      <c r="B132" s="15"/>
      <c r="C132" s="22"/>
      <c r="D132" s="17"/>
      <c r="E132" s="17"/>
      <c r="F132" s="17"/>
      <c r="G132" s="17"/>
      <c r="H132" s="17"/>
      <c r="I132" s="17"/>
      <c r="J132" s="17"/>
      <c r="K132" s="17"/>
      <c r="L132" s="17"/>
      <c r="M132" s="15"/>
    </row>
    <row r="133" spans="1:20" ht="23.1" customHeight="1" x14ac:dyDescent="0.3">
      <c r="A133" s="61" t="s">
        <v>335</v>
      </c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23"/>
    </row>
    <row r="134" spans="1:20" ht="23.1" customHeight="1" x14ac:dyDescent="0.3">
      <c r="A134" s="14" t="s">
        <v>336</v>
      </c>
      <c r="B134" s="14" t="s">
        <v>337</v>
      </c>
      <c r="C134" s="16" t="s">
        <v>34</v>
      </c>
      <c r="D134" s="17">
        <v>1</v>
      </c>
      <c r="E134" s="17">
        <f>ROUNDDOWN(일위대가목록!G28, 2)</f>
        <v>0</v>
      </c>
      <c r="F134" s="17">
        <f>ROUNDDOWN(D134*E134, 1)</f>
        <v>0</v>
      </c>
      <c r="G134" s="17">
        <f>ROUNDDOWN(일위대가목록!I28, 0)</f>
        <v>5951</v>
      </c>
      <c r="H134" s="17">
        <f>ROUNDDOWN(D134*G134, 1)</f>
        <v>5951</v>
      </c>
      <c r="I134" s="17">
        <f>ROUNDDOWN(일위대가목록!K28, 2)</f>
        <v>0</v>
      </c>
      <c r="J134" s="17">
        <f>ROUNDDOWN(D134*I134, 1)</f>
        <v>0</v>
      </c>
      <c r="K134" s="17">
        <f>E134+G134+I134</f>
        <v>5951</v>
      </c>
      <c r="L134" s="17">
        <f>F134+H134+J134</f>
        <v>5951</v>
      </c>
      <c r="M134" s="14" t="s">
        <v>338</v>
      </c>
      <c r="P134" s="1" t="s">
        <v>219</v>
      </c>
      <c r="Q134">
        <v>1</v>
      </c>
      <c r="T134" s="1" t="s">
        <v>339</v>
      </c>
    </row>
    <row r="135" spans="1:20" ht="23.1" customHeight="1" x14ac:dyDescent="0.3">
      <c r="A135" s="18" t="s">
        <v>231</v>
      </c>
      <c r="B135" s="19"/>
      <c r="C135" s="20"/>
      <c r="D135" s="21"/>
      <c r="E135" s="21"/>
      <c r="F135" s="21">
        <f>ROUNDDOWN(SUMIF(Q134:Q134, "1", F134:F134), 0)</f>
        <v>0</v>
      </c>
      <c r="G135" s="21"/>
      <c r="H135" s="21">
        <f>ROUNDDOWN(SUMIF(Q134:Q134, "1", H134:H134), 0)</f>
        <v>5951</v>
      </c>
      <c r="I135" s="21"/>
      <c r="J135" s="21">
        <f>ROUNDDOWN(SUMIF(Q134:Q134, "1", J134:J134), 0)</f>
        <v>0</v>
      </c>
      <c r="K135" s="21"/>
      <c r="L135" s="21">
        <f>F135+H135+J135</f>
        <v>5951</v>
      </c>
      <c r="M135" s="19"/>
    </row>
    <row r="136" spans="1:20" ht="23.1" customHeight="1" x14ac:dyDescent="0.3">
      <c r="A136" s="15"/>
      <c r="B136" s="15"/>
      <c r="C136" s="22"/>
      <c r="D136" s="17"/>
      <c r="E136" s="17"/>
      <c r="F136" s="17"/>
      <c r="G136" s="17"/>
      <c r="H136" s="17"/>
      <c r="I136" s="17"/>
      <c r="J136" s="17"/>
      <c r="K136" s="17"/>
      <c r="L136" s="17"/>
      <c r="M136" s="15"/>
    </row>
    <row r="137" spans="1:20" ht="23.1" customHeight="1" x14ac:dyDescent="0.3">
      <c r="A137" s="61" t="s">
        <v>340</v>
      </c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13" t="s">
        <v>341</v>
      </c>
    </row>
    <row r="138" spans="1:20" ht="23.1" customHeight="1" x14ac:dyDescent="0.3">
      <c r="A138" s="14" t="s">
        <v>150</v>
      </c>
      <c r="B138" s="14" t="s">
        <v>143</v>
      </c>
      <c r="C138" s="16" t="s">
        <v>144</v>
      </c>
      <c r="D138" s="17">
        <v>8.0000000000000002E-3</v>
      </c>
      <c r="E138" s="17">
        <v>0</v>
      </c>
      <c r="F138" s="17">
        <f>ROUNDDOWN(D138*E138, 1)</f>
        <v>0</v>
      </c>
      <c r="G138" s="17">
        <f>ROUNDDOWN(단가대비표!O41, 0)</f>
        <v>229833</v>
      </c>
      <c r="H138" s="17">
        <f>ROUNDDOWN(D138*G138, 1)</f>
        <v>1838.6</v>
      </c>
      <c r="I138" s="17">
        <v>0</v>
      </c>
      <c r="J138" s="17">
        <f>ROUNDDOWN(D138*I138, 1)</f>
        <v>0</v>
      </c>
      <c r="K138" s="17">
        <f>E138+G138+I138</f>
        <v>229833</v>
      </c>
      <c r="L138" s="17">
        <f>F138+H138+J138</f>
        <v>1838.6</v>
      </c>
      <c r="M138" s="15"/>
      <c r="O138" s="1" t="s">
        <v>230</v>
      </c>
      <c r="P138" s="1" t="s">
        <v>219</v>
      </c>
      <c r="Q138">
        <v>1</v>
      </c>
    </row>
    <row r="139" spans="1:20" ht="23.1" customHeight="1" x14ac:dyDescent="0.3">
      <c r="A139" s="14" t="s">
        <v>153</v>
      </c>
      <c r="B139" s="14" t="s">
        <v>143</v>
      </c>
      <c r="C139" s="16" t="s">
        <v>144</v>
      </c>
      <c r="D139" s="17">
        <v>5.0000000000000001E-3</v>
      </c>
      <c r="E139" s="17">
        <v>0</v>
      </c>
      <c r="F139" s="17">
        <f>ROUNDDOWN(D139*E139, 1)</f>
        <v>0</v>
      </c>
      <c r="G139" s="17">
        <f>ROUNDDOWN(단가대비표!O44, 0)</f>
        <v>172698</v>
      </c>
      <c r="H139" s="17">
        <f>ROUNDDOWN(D139*G139, 1)</f>
        <v>863.4</v>
      </c>
      <c r="I139" s="17">
        <v>0</v>
      </c>
      <c r="J139" s="17">
        <f>ROUNDDOWN(D139*I139, 1)</f>
        <v>0</v>
      </c>
      <c r="K139" s="17">
        <f>E139+G139+I139</f>
        <v>172698</v>
      </c>
      <c r="L139" s="17">
        <f>F139+H139+J139</f>
        <v>863.4</v>
      </c>
      <c r="M139" s="15"/>
      <c r="O139" s="1" t="s">
        <v>230</v>
      </c>
      <c r="P139" s="1" t="s">
        <v>219</v>
      </c>
      <c r="Q139">
        <v>1</v>
      </c>
    </row>
    <row r="140" spans="1:20" ht="23.1" customHeight="1" x14ac:dyDescent="0.3">
      <c r="A140" s="18" t="s">
        <v>231</v>
      </c>
      <c r="B140" s="19"/>
      <c r="C140" s="20"/>
      <c r="D140" s="21"/>
      <c r="E140" s="21"/>
      <c r="F140" s="21">
        <f>ROUNDDOWN(SUMIF(Q138:Q139, "1", F138:F139), 0)</f>
        <v>0</v>
      </c>
      <c r="G140" s="21"/>
      <c r="H140" s="21">
        <f>ROUNDDOWN(SUMIF(Q138:Q139, "1", H138:H139), 0)</f>
        <v>2702</v>
      </c>
      <c r="I140" s="21"/>
      <c r="J140" s="21">
        <f>ROUNDDOWN(SUMIF(Q138:Q139, "1", J138:J139), 0)</f>
        <v>0</v>
      </c>
      <c r="K140" s="21"/>
      <c r="L140" s="21">
        <f>F140+H140+J140</f>
        <v>2702</v>
      </c>
      <c r="M140" s="19"/>
    </row>
    <row r="141" spans="1:20" ht="23.1" customHeight="1" x14ac:dyDescent="0.3">
      <c r="A141" s="15"/>
      <c r="B141" s="15"/>
      <c r="C141" s="22"/>
      <c r="D141" s="17"/>
      <c r="E141" s="17"/>
      <c r="F141" s="17"/>
      <c r="G141" s="17"/>
      <c r="H141" s="17"/>
      <c r="I141" s="17"/>
      <c r="J141" s="17"/>
      <c r="K141" s="17"/>
      <c r="L141" s="17"/>
      <c r="M141" s="15"/>
    </row>
    <row r="142" spans="1:20" ht="23.1" customHeight="1" x14ac:dyDescent="0.3">
      <c r="A142" s="61" t="s">
        <v>342</v>
      </c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23"/>
    </row>
    <row r="143" spans="1:20" ht="23.1" customHeight="1" x14ac:dyDescent="0.3">
      <c r="A143" s="14" t="s">
        <v>147</v>
      </c>
      <c r="B143" s="14" t="s">
        <v>143</v>
      </c>
      <c r="C143" s="16" t="s">
        <v>144</v>
      </c>
      <c r="D143" s="17">
        <v>1.6E-2</v>
      </c>
      <c r="E143" s="17">
        <v>0</v>
      </c>
      <c r="F143" s="17">
        <f>ROUNDDOWN(D143*E143, 1)</f>
        <v>0</v>
      </c>
      <c r="G143" s="17">
        <f>ROUNDDOWN(단가대비표!O39, 0)</f>
        <v>258904</v>
      </c>
      <c r="H143" s="17">
        <f>ROUNDDOWN(D143*G143, 1)</f>
        <v>4142.3999999999996</v>
      </c>
      <c r="I143" s="17">
        <v>0</v>
      </c>
      <c r="J143" s="17">
        <f>ROUNDDOWN(D143*I143, 1)</f>
        <v>0</v>
      </c>
      <c r="K143" s="17">
        <f>E143+G143+I143</f>
        <v>258904</v>
      </c>
      <c r="L143" s="17">
        <f>F143+H143+J143</f>
        <v>4142.3999999999996</v>
      </c>
      <c r="M143" s="15"/>
      <c r="O143" s="1" t="s">
        <v>230</v>
      </c>
      <c r="P143" s="1" t="s">
        <v>219</v>
      </c>
      <c r="Q143">
        <v>1</v>
      </c>
    </row>
    <row r="144" spans="1:20" ht="23.1" customHeight="1" x14ac:dyDescent="0.3">
      <c r="A144" s="14" t="s">
        <v>153</v>
      </c>
      <c r="B144" s="14" t="s">
        <v>143</v>
      </c>
      <c r="C144" s="16" t="s">
        <v>144</v>
      </c>
      <c r="D144" s="17">
        <v>1.0999999999999999E-2</v>
      </c>
      <c r="E144" s="17">
        <v>0</v>
      </c>
      <c r="F144" s="17">
        <f>ROUNDDOWN(D144*E144, 1)</f>
        <v>0</v>
      </c>
      <c r="G144" s="17">
        <f>ROUNDDOWN(단가대비표!O44, 0)</f>
        <v>172698</v>
      </c>
      <c r="H144" s="17">
        <f>ROUNDDOWN(D144*G144, 1)</f>
        <v>1899.6</v>
      </c>
      <c r="I144" s="17">
        <v>0</v>
      </c>
      <c r="J144" s="17">
        <f>ROUNDDOWN(D144*I144, 1)</f>
        <v>0</v>
      </c>
      <c r="K144" s="17">
        <f>E144+G144+I144</f>
        <v>172698</v>
      </c>
      <c r="L144" s="17">
        <f>F144+H144+J144</f>
        <v>1899.6</v>
      </c>
      <c r="M144" s="15"/>
      <c r="O144" s="1" t="s">
        <v>230</v>
      </c>
      <c r="P144" s="1" t="s">
        <v>219</v>
      </c>
      <c r="Q144">
        <v>1</v>
      </c>
    </row>
    <row r="145" spans="1:20" ht="23.1" customHeight="1" x14ac:dyDescent="0.3">
      <c r="A145" s="18" t="s">
        <v>231</v>
      </c>
      <c r="B145" s="19"/>
      <c r="C145" s="20"/>
      <c r="D145" s="21"/>
      <c r="E145" s="21"/>
      <c r="F145" s="21">
        <f>ROUNDDOWN(SUMIF(Q143:Q144, "1", F143:F144), 0)</f>
        <v>0</v>
      </c>
      <c r="G145" s="21"/>
      <c r="H145" s="21">
        <f>ROUNDDOWN(SUMIF(Q143:Q144, "1", H143:H144), 0)</f>
        <v>6042</v>
      </c>
      <c r="I145" s="21"/>
      <c r="J145" s="21">
        <f>ROUNDDOWN(SUMIF(Q143:Q144, "1", J143:J144), 0)</f>
        <v>0</v>
      </c>
      <c r="K145" s="21"/>
      <c r="L145" s="21">
        <f>F145+H145+J145</f>
        <v>6042</v>
      </c>
      <c r="M145" s="19"/>
    </row>
    <row r="146" spans="1:20" ht="23.1" customHeight="1" x14ac:dyDescent="0.3">
      <c r="A146" s="15"/>
      <c r="B146" s="15"/>
      <c r="C146" s="22"/>
      <c r="D146" s="17"/>
      <c r="E146" s="17"/>
      <c r="F146" s="17"/>
      <c r="G146" s="17"/>
      <c r="H146" s="17"/>
      <c r="I146" s="17"/>
      <c r="J146" s="17"/>
      <c r="K146" s="17"/>
      <c r="L146" s="17"/>
      <c r="M146" s="15"/>
    </row>
    <row r="147" spans="1:20" ht="23.1" customHeight="1" x14ac:dyDescent="0.3">
      <c r="A147" s="61" t="s">
        <v>343</v>
      </c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23"/>
    </row>
    <row r="148" spans="1:20" ht="23.1" customHeight="1" x14ac:dyDescent="0.3">
      <c r="A148" s="14" t="s">
        <v>148</v>
      </c>
      <c r="B148" s="14" t="s">
        <v>143</v>
      </c>
      <c r="C148" s="16" t="s">
        <v>144</v>
      </c>
      <c r="D148" s="17">
        <v>1.2E-2</v>
      </c>
      <c r="E148" s="17">
        <v>0</v>
      </c>
      <c r="F148" s="17">
        <f>ROUNDDOWN(D148*E148, 1)</f>
        <v>0</v>
      </c>
      <c r="G148" s="17">
        <f>ROUNDDOWN(단가대비표!O40, 0)</f>
        <v>208140</v>
      </c>
      <c r="H148" s="17">
        <f>ROUNDDOWN(D148*G148, 1)</f>
        <v>2497.6</v>
      </c>
      <c r="I148" s="17">
        <v>0</v>
      </c>
      <c r="J148" s="17">
        <f>ROUNDDOWN(D148*I148, 1)</f>
        <v>0</v>
      </c>
      <c r="K148" s="17">
        <f>E148+G148+I148</f>
        <v>208140</v>
      </c>
      <c r="L148" s="17">
        <f>F148+H148+J148</f>
        <v>2497.6</v>
      </c>
      <c r="M148" s="14" t="s">
        <v>149</v>
      </c>
      <c r="O148" s="1" t="s">
        <v>344</v>
      </c>
      <c r="P148" s="1" t="s">
        <v>219</v>
      </c>
      <c r="Q148">
        <v>1</v>
      </c>
    </row>
    <row r="149" spans="1:20" ht="23.1" customHeight="1" x14ac:dyDescent="0.3">
      <c r="A149" s="14" t="s">
        <v>153</v>
      </c>
      <c r="B149" s="14" t="s">
        <v>143</v>
      </c>
      <c r="C149" s="16" t="s">
        <v>144</v>
      </c>
      <c r="D149" s="17">
        <v>0.02</v>
      </c>
      <c r="E149" s="17">
        <v>0</v>
      </c>
      <c r="F149" s="17">
        <f>ROUNDDOWN(D149*E149, 1)</f>
        <v>0</v>
      </c>
      <c r="G149" s="17">
        <f>ROUNDDOWN(단가대비표!O44, 0)</f>
        <v>172698</v>
      </c>
      <c r="H149" s="17">
        <f>ROUNDDOWN(D149*G149, 1)</f>
        <v>3453.9</v>
      </c>
      <c r="I149" s="17">
        <v>0</v>
      </c>
      <c r="J149" s="17">
        <f>ROUNDDOWN(D149*I149, 1)</f>
        <v>0</v>
      </c>
      <c r="K149" s="17">
        <f>E149+G149+I149</f>
        <v>172698</v>
      </c>
      <c r="L149" s="17">
        <f>F149+H149+J149</f>
        <v>3453.9</v>
      </c>
      <c r="M149" s="15"/>
      <c r="O149" s="1" t="s">
        <v>344</v>
      </c>
      <c r="P149" s="1" t="s">
        <v>219</v>
      </c>
      <c r="Q149">
        <v>1</v>
      </c>
    </row>
    <row r="150" spans="1:20" ht="23.1" customHeight="1" x14ac:dyDescent="0.3">
      <c r="A150" s="18" t="s">
        <v>231</v>
      </c>
      <c r="B150" s="19"/>
      <c r="C150" s="20"/>
      <c r="D150" s="21"/>
      <c r="E150" s="21"/>
      <c r="F150" s="21">
        <f>ROUNDDOWN(SUMIF(Q148:Q149, "1", F148:F149), 0)</f>
        <v>0</v>
      </c>
      <c r="G150" s="21"/>
      <c r="H150" s="21">
        <f>ROUNDDOWN(SUMIF(Q148:Q149, "1", H148:H149), 0)</f>
        <v>5951</v>
      </c>
      <c r="I150" s="21"/>
      <c r="J150" s="21">
        <f>ROUNDDOWN(SUMIF(Q148:Q149, "1", J148:J149), 0)</f>
        <v>0</v>
      </c>
      <c r="K150" s="21"/>
      <c r="L150" s="21">
        <f>F150+H150+J150</f>
        <v>5951</v>
      </c>
      <c r="M150" s="19"/>
    </row>
    <row r="151" spans="1:20" ht="23.1" customHeight="1" x14ac:dyDescent="0.3">
      <c r="A151" s="15"/>
      <c r="B151" s="15"/>
      <c r="C151" s="22"/>
      <c r="D151" s="17"/>
      <c r="E151" s="17"/>
      <c r="F151" s="17"/>
      <c r="G151" s="17"/>
      <c r="H151" s="17"/>
      <c r="I151" s="17"/>
      <c r="J151" s="17"/>
      <c r="K151" s="17"/>
      <c r="L151" s="17"/>
      <c r="M151" s="15"/>
    </row>
    <row r="152" spans="1:20" ht="23.1" customHeight="1" x14ac:dyDescent="0.3">
      <c r="A152" s="61" t="s">
        <v>345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13" t="s">
        <v>346</v>
      </c>
    </row>
    <row r="153" spans="1:20" ht="23.1" customHeight="1" x14ac:dyDescent="0.3">
      <c r="A153" s="14" t="s">
        <v>147</v>
      </c>
      <c r="B153" s="14" t="s">
        <v>143</v>
      </c>
      <c r="C153" s="16" t="s">
        <v>144</v>
      </c>
      <c r="D153" s="17">
        <v>4.3999999999999997E-2</v>
      </c>
      <c r="E153" s="17">
        <v>0</v>
      </c>
      <c r="F153" s="17">
        <f>ROUNDDOWN(D153*E153, 1)</f>
        <v>0</v>
      </c>
      <c r="G153" s="17">
        <f>ROUNDDOWN(단가대비표!O39, 0)</f>
        <v>258904</v>
      </c>
      <c r="H153" s="17">
        <f>ROUNDDOWN(D153*G153, 1)</f>
        <v>11391.7</v>
      </c>
      <c r="I153" s="17">
        <v>0</v>
      </c>
      <c r="J153" s="17">
        <f>ROUNDDOWN(D153*I153, 1)</f>
        <v>0</v>
      </c>
      <c r="K153" s="17">
        <f t="shared" ref="K153:L155" si="16">E153+G153+I153</f>
        <v>258904</v>
      </c>
      <c r="L153" s="17">
        <f t="shared" si="16"/>
        <v>11391.7</v>
      </c>
      <c r="M153" s="15"/>
      <c r="O153" s="1" t="s">
        <v>230</v>
      </c>
      <c r="P153" s="1" t="s">
        <v>219</v>
      </c>
      <c r="Q153">
        <v>1</v>
      </c>
    </row>
    <row r="154" spans="1:20" ht="23.1" customHeight="1" x14ac:dyDescent="0.3">
      <c r="A154" s="14" t="s">
        <v>153</v>
      </c>
      <c r="B154" s="14" t="s">
        <v>143</v>
      </c>
      <c r="C154" s="16" t="s">
        <v>144</v>
      </c>
      <c r="D154" s="17">
        <v>2.1999999999999999E-2</v>
      </c>
      <c r="E154" s="17">
        <v>0</v>
      </c>
      <c r="F154" s="17">
        <f>ROUNDDOWN(D154*E154, 1)</f>
        <v>0</v>
      </c>
      <c r="G154" s="17">
        <f>ROUNDDOWN(단가대비표!O44, 0)</f>
        <v>172698</v>
      </c>
      <c r="H154" s="17">
        <f>ROUNDDOWN(D154*G154, 1)</f>
        <v>3799.3</v>
      </c>
      <c r="I154" s="17">
        <v>0</v>
      </c>
      <c r="J154" s="17">
        <f>ROUNDDOWN(D154*I154, 1)</f>
        <v>0</v>
      </c>
      <c r="K154" s="17">
        <f t="shared" si="16"/>
        <v>172698</v>
      </c>
      <c r="L154" s="17">
        <f t="shared" si="16"/>
        <v>3799.3</v>
      </c>
      <c r="M154" s="15"/>
      <c r="O154" s="1" t="s">
        <v>230</v>
      </c>
      <c r="P154" s="1" t="s">
        <v>219</v>
      </c>
      <c r="Q154">
        <v>1</v>
      </c>
    </row>
    <row r="155" spans="1:20" ht="23.1" customHeight="1" x14ac:dyDescent="0.3">
      <c r="A155" s="14" t="s">
        <v>283</v>
      </c>
      <c r="B155" s="15" t="str">
        <f>"인력품의 " &amp; N155*100 &amp; "%"</f>
        <v>인력품의 1%</v>
      </c>
      <c r="C155" s="16" t="s">
        <v>224</v>
      </c>
      <c r="D155" s="17">
        <v>1</v>
      </c>
      <c r="E155" s="17">
        <v>0</v>
      </c>
      <c r="F155" s="17">
        <v>0</v>
      </c>
      <c r="G155" s="17">
        <v>0</v>
      </c>
      <c r="H155" s="17">
        <v>0</v>
      </c>
      <c r="I155" s="17">
        <f>SUMIF(O153:O155, "02", H153:H155)</f>
        <v>15191</v>
      </c>
      <c r="J155" s="17">
        <f>ROUNDDOWN((I155)*N155, 1)</f>
        <v>151.9</v>
      </c>
      <c r="K155" s="17">
        <f t="shared" si="16"/>
        <v>15191</v>
      </c>
      <c r="L155" s="17">
        <f t="shared" si="16"/>
        <v>151.9</v>
      </c>
      <c r="M155" s="15"/>
      <c r="N155">
        <v>0.01</v>
      </c>
      <c r="P155" s="1" t="s">
        <v>219</v>
      </c>
      <c r="Q155">
        <v>1</v>
      </c>
      <c r="R155" s="1" t="s">
        <v>115</v>
      </c>
      <c r="S155" s="1" t="s">
        <v>284</v>
      </c>
      <c r="T155" s="1" t="s">
        <v>285</v>
      </c>
    </row>
    <row r="156" spans="1:20" ht="23.1" customHeight="1" x14ac:dyDescent="0.3">
      <c r="A156" s="18" t="s">
        <v>231</v>
      </c>
      <c r="B156" s="19"/>
      <c r="C156" s="20"/>
      <c r="D156" s="21"/>
      <c r="E156" s="21"/>
      <c r="F156" s="21">
        <f>ROUNDDOWN(SUMIF(Q153:Q155, "1", F153:F155), 0)</f>
        <v>0</v>
      </c>
      <c r="G156" s="21"/>
      <c r="H156" s="21">
        <f>ROUNDDOWN(SUMIF(Q153:Q155, "1", H153:H155), 0)</f>
        <v>15191</v>
      </c>
      <c r="I156" s="21"/>
      <c r="J156" s="21">
        <f>ROUNDDOWN(SUMIF(Q153:Q155, "1", J153:J155), 0)</f>
        <v>151</v>
      </c>
      <c r="K156" s="21"/>
      <c r="L156" s="21">
        <f>F156+H156+J156</f>
        <v>15342</v>
      </c>
      <c r="M156" s="19"/>
    </row>
    <row r="157" spans="1:20" ht="23.1" customHeight="1" x14ac:dyDescent="0.3">
      <c r="A157" s="15"/>
      <c r="B157" s="15"/>
      <c r="C157" s="22"/>
      <c r="D157" s="17"/>
      <c r="E157" s="17"/>
      <c r="F157" s="17"/>
      <c r="G157" s="17"/>
      <c r="H157" s="17"/>
      <c r="I157" s="17"/>
      <c r="J157" s="17"/>
      <c r="K157" s="17"/>
      <c r="L157" s="17"/>
      <c r="M157" s="15"/>
    </row>
    <row r="158" spans="1:20" ht="23.1" customHeight="1" x14ac:dyDescent="0.3">
      <c r="A158" s="61" t="s">
        <v>347</v>
      </c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13" t="s">
        <v>348</v>
      </c>
    </row>
    <row r="159" spans="1:20" ht="23.1" customHeight="1" x14ac:dyDescent="0.3">
      <c r="A159" s="14" t="s">
        <v>147</v>
      </c>
      <c r="B159" s="14" t="s">
        <v>143</v>
      </c>
      <c r="C159" s="16" t="s">
        <v>144</v>
      </c>
      <c r="D159" s="17">
        <v>3.5000000000000003E-2</v>
      </c>
      <c r="E159" s="17">
        <v>0</v>
      </c>
      <c r="F159" s="17">
        <f>ROUNDDOWN(D159*E159, 1)</f>
        <v>0</v>
      </c>
      <c r="G159" s="17">
        <f>ROUNDDOWN(단가대비표!O39, 0)</f>
        <v>258904</v>
      </c>
      <c r="H159" s="17">
        <f>ROUNDDOWN(D159*G159, 1)</f>
        <v>9061.6</v>
      </c>
      <c r="I159" s="17">
        <v>0</v>
      </c>
      <c r="J159" s="17">
        <f>ROUNDDOWN(D159*I159, 1)</f>
        <v>0</v>
      </c>
      <c r="K159" s="17">
        <f>E159+G159+I159</f>
        <v>258904</v>
      </c>
      <c r="L159" s="17">
        <f>F159+H159+J159</f>
        <v>9061.6</v>
      </c>
      <c r="M159" s="15"/>
      <c r="O159" s="1" t="s">
        <v>230</v>
      </c>
      <c r="P159" s="1" t="s">
        <v>219</v>
      </c>
      <c r="Q159">
        <v>1</v>
      </c>
    </row>
    <row r="160" spans="1:20" ht="23.1" customHeight="1" x14ac:dyDescent="0.3">
      <c r="A160" s="14" t="s">
        <v>283</v>
      </c>
      <c r="B160" s="15" t="str">
        <f>"인력품의 " &amp; N160*100 &amp; "%"</f>
        <v>인력품의 4%</v>
      </c>
      <c r="C160" s="16" t="s">
        <v>224</v>
      </c>
      <c r="D160" s="17">
        <v>1</v>
      </c>
      <c r="E160" s="17">
        <v>0</v>
      </c>
      <c r="F160" s="17">
        <v>0</v>
      </c>
      <c r="G160" s="17">
        <v>0</v>
      </c>
      <c r="H160" s="17">
        <v>0</v>
      </c>
      <c r="I160" s="17">
        <f>SUMIF(O159:O160, "02", H159:H160)</f>
        <v>9061.6</v>
      </c>
      <c r="J160" s="17">
        <f>ROUNDDOWN((I160)*N160, 1)</f>
        <v>362.4</v>
      </c>
      <c r="K160" s="17">
        <f>E160+G160+I160</f>
        <v>9061.6</v>
      </c>
      <c r="L160" s="17">
        <f>F160+H160+J160</f>
        <v>362.4</v>
      </c>
      <c r="M160" s="15"/>
      <c r="N160">
        <v>0.04</v>
      </c>
      <c r="P160" s="1" t="s">
        <v>219</v>
      </c>
      <c r="Q160">
        <v>1</v>
      </c>
      <c r="R160" s="1" t="s">
        <v>115</v>
      </c>
      <c r="S160" s="1" t="s">
        <v>284</v>
      </c>
      <c r="T160" s="1" t="s">
        <v>285</v>
      </c>
    </row>
    <row r="161" spans="1:20" ht="23.1" customHeight="1" x14ac:dyDescent="0.3">
      <c r="A161" s="18" t="s">
        <v>231</v>
      </c>
      <c r="B161" s="19"/>
      <c r="C161" s="20"/>
      <c r="D161" s="21"/>
      <c r="E161" s="21"/>
      <c r="F161" s="21">
        <f>ROUNDDOWN(SUMIF(Q159:Q160, "1", F159:F160), 0)</f>
        <v>0</v>
      </c>
      <c r="G161" s="21"/>
      <c r="H161" s="21">
        <f>ROUNDDOWN(SUMIF(Q159:Q160, "1", H159:H160), 0)</f>
        <v>9061</v>
      </c>
      <c r="I161" s="21"/>
      <c r="J161" s="21">
        <f>ROUNDDOWN(SUMIF(Q159:Q160, "1", J159:J160), 0)</f>
        <v>362</v>
      </c>
      <c r="K161" s="21"/>
      <c r="L161" s="21">
        <f>F161+H161+J161</f>
        <v>9423</v>
      </c>
      <c r="M161" s="19"/>
    </row>
    <row r="162" spans="1:20" ht="23.1" customHeight="1" x14ac:dyDescent="0.3">
      <c r="A162" s="15"/>
      <c r="B162" s="15"/>
      <c r="C162" s="22"/>
      <c r="D162" s="17"/>
      <c r="E162" s="17"/>
      <c r="F162" s="17"/>
      <c r="G162" s="17"/>
      <c r="H162" s="17"/>
      <c r="I162" s="17"/>
      <c r="J162" s="17"/>
      <c r="K162" s="17"/>
      <c r="L162" s="17"/>
      <c r="M162" s="15"/>
    </row>
    <row r="163" spans="1:20" ht="23.1" customHeight="1" x14ac:dyDescent="0.3">
      <c r="A163" s="61" t="s">
        <v>349</v>
      </c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13" t="s">
        <v>350</v>
      </c>
    </row>
    <row r="164" spans="1:20" ht="23.1" customHeight="1" x14ac:dyDescent="0.3">
      <c r="A164" s="14" t="s">
        <v>146</v>
      </c>
      <c r="B164" s="14" t="s">
        <v>143</v>
      </c>
      <c r="C164" s="16" t="s">
        <v>144</v>
      </c>
      <c r="D164" s="17">
        <v>2.58E-2</v>
      </c>
      <c r="E164" s="17">
        <v>0</v>
      </c>
      <c r="F164" s="17">
        <f>ROUNDDOWN(D164*E164, 1)</f>
        <v>0</v>
      </c>
      <c r="G164" s="17">
        <f>ROUNDDOWN(단가대비표!O38, 0)</f>
        <v>282990</v>
      </c>
      <c r="H164" s="17">
        <f>ROUNDDOWN(D164*G164, 1)</f>
        <v>7301.1</v>
      </c>
      <c r="I164" s="17">
        <v>0</v>
      </c>
      <c r="J164" s="17">
        <f>ROUNDDOWN(D164*I164, 1)</f>
        <v>0</v>
      </c>
      <c r="K164" s="17">
        <f t="shared" ref="K164:L166" si="17">E164+G164+I164</f>
        <v>282990</v>
      </c>
      <c r="L164" s="17">
        <f t="shared" si="17"/>
        <v>7301.1</v>
      </c>
      <c r="M164" s="15"/>
      <c r="O164" s="1" t="s">
        <v>230</v>
      </c>
      <c r="P164" s="1" t="s">
        <v>219</v>
      </c>
      <c r="Q164">
        <v>1</v>
      </c>
    </row>
    <row r="165" spans="1:20" ht="23.1" customHeight="1" x14ac:dyDescent="0.3">
      <c r="A165" s="14" t="s">
        <v>153</v>
      </c>
      <c r="B165" s="14" t="s">
        <v>143</v>
      </c>
      <c r="C165" s="16" t="s">
        <v>144</v>
      </c>
      <c r="D165" s="17">
        <v>6.4999999999999997E-3</v>
      </c>
      <c r="E165" s="17">
        <v>0</v>
      </c>
      <c r="F165" s="17">
        <f>ROUNDDOWN(D165*E165, 1)</f>
        <v>0</v>
      </c>
      <c r="G165" s="17">
        <f>ROUNDDOWN(단가대비표!O44, 0)</f>
        <v>172698</v>
      </c>
      <c r="H165" s="17">
        <f>ROUNDDOWN(D165*G165, 1)</f>
        <v>1122.5</v>
      </c>
      <c r="I165" s="17">
        <v>0</v>
      </c>
      <c r="J165" s="17">
        <f>ROUNDDOWN(D165*I165, 1)</f>
        <v>0</v>
      </c>
      <c r="K165" s="17">
        <f t="shared" si="17"/>
        <v>172698</v>
      </c>
      <c r="L165" s="17">
        <f t="shared" si="17"/>
        <v>1122.5</v>
      </c>
      <c r="M165" s="15"/>
      <c r="O165" s="1" t="s">
        <v>230</v>
      </c>
      <c r="P165" s="1" t="s">
        <v>219</v>
      </c>
      <c r="Q165">
        <v>1</v>
      </c>
    </row>
    <row r="166" spans="1:20" ht="23.1" customHeight="1" x14ac:dyDescent="0.3">
      <c r="A166" s="14" t="s">
        <v>283</v>
      </c>
      <c r="B166" s="15" t="str">
        <f>"인력품의 " &amp; N166*100 &amp; "%"</f>
        <v>인력품의 4%</v>
      </c>
      <c r="C166" s="16" t="s">
        <v>224</v>
      </c>
      <c r="D166" s="17">
        <v>1</v>
      </c>
      <c r="E166" s="17">
        <v>0</v>
      </c>
      <c r="F166" s="17">
        <v>0</v>
      </c>
      <c r="G166" s="17">
        <v>0</v>
      </c>
      <c r="H166" s="17">
        <v>0</v>
      </c>
      <c r="I166" s="17">
        <f>SUMIF(O164:O166, "02", H164:H166)</f>
        <v>8423.6</v>
      </c>
      <c r="J166" s="17">
        <f>ROUNDDOWN((I166)*N166, 1)</f>
        <v>336.9</v>
      </c>
      <c r="K166" s="17">
        <f t="shared" si="17"/>
        <v>8423.6</v>
      </c>
      <c r="L166" s="17">
        <f t="shared" si="17"/>
        <v>336.9</v>
      </c>
      <c r="M166" s="15"/>
      <c r="N166">
        <v>0.04</v>
      </c>
      <c r="P166" s="1" t="s">
        <v>219</v>
      </c>
      <c r="Q166">
        <v>1</v>
      </c>
      <c r="R166" s="1" t="s">
        <v>115</v>
      </c>
      <c r="S166" s="1" t="s">
        <v>284</v>
      </c>
      <c r="T166" s="1" t="s">
        <v>285</v>
      </c>
    </row>
    <row r="167" spans="1:20" ht="23.1" customHeight="1" x14ac:dyDescent="0.3">
      <c r="A167" s="18" t="s">
        <v>231</v>
      </c>
      <c r="B167" s="19"/>
      <c r="C167" s="20"/>
      <c r="D167" s="21"/>
      <c r="E167" s="21"/>
      <c r="F167" s="21">
        <f>ROUNDDOWN(SUMIF(Q164:Q166, "1", F164:F166), 0)</f>
        <v>0</v>
      </c>
      <c r="G167" s="21"/>
      <c r="H167" s="21">
        <f>ROUNDDOWN(SUMIF(Q164:Q166, "1", H164:H166), 0)</f>
        <v>8423</v>
      </c>
      <c r="I167" s="21"/>
      <c r="J167" s="21">
        <f>ROUNDDOWN(SUMIF(Q164:Q166, "1", J164:J166), 0)</f>
        <v>336</v>
      </c>
      <c r="K167" s="21"/>
      <c r="L167" s="21">
        <f>F167+H167+J167</f>
        <v>8759</v>
      </c>
      <c r="M167" s="19"/>
    </row>
    <row r="168" spans="1:20" ht="23.1" customHeight="1" x14ac:dyDescent="0.3">
      <c r="A168" s="15"/>
      <c r="B168" s="15"/>
      <c r="C168" s="22"/>
      <c r="D168" s="17"/>
      <c r="E168" s="17"/>
      <c r="F168" s="17"/>
      <c r="G168" s="17"/>
      <c r="H168" s="17"/>
      <c r="I168" s="17"/>
      <c r="J168" s="17"/>
      <c r="K168" s="17"/>
      <c r="L168" s="17"/>
      <c r="M168" s="15"/>
    </row>
    <row r="169" spans="1:20" ht="23.1" customHeight="1" x14ac:dyDescent="0.3">
      <c r="A169" s="61" t="s">
        <v>351</v>
      </c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13" t="s">
        <v>352</v>
      </c>
    </row>
    <row r="170" spans="1:20" ht="23.1" customHeight="1" x14ac:dyDescent="0.3">
      <c r="A170" s="14" t="s">
        <v>353</v>
      </c>
      <c r="B170" s="15"/>
      <c r="C170" s="16" t="s">
        <v>217</v>
      </c>
      <c r="D170" s="17">
        <v>50</v>
      </c>
      <c r="E170" s="17">
        <v>0</v>
      </c>
      <c r="F170" s="17">
        <f>ROUNDDOWN(D170*E170, 1)</f>
        <v>0</v>
      </c>
      <c r="G170" s="17">
        <v>0</v>
      </c>
      <c r="H170" s="17">
        <f>ROUNDDOWN(D170*G170, 1)</f>
        <v>0</v>
      </c>
      <c r="I170" s="17">
        <v>0</v>
      </c>
      <c r="J170" s="17">
        <f>ROUNDDOWN(D170*I170, 1)</f>
        <v>0</v>
      </c>
      <c r="K170" s="17">
        <f t="shared" ref="K170:L173" si="18">E170+G170+I170</f>
        <v>0</v>
      </c>
      <c r="L170" s="17">
        <f t="shared" si="18"/>
        <v>0</v>
      </c>
      <c r="M170" s="15"/>
      <c r="P170" s="1" t="s">
        <v>219</v>
      </c>
      <c r="Q170">
        <v>1</v>
      </c>
    </row>
    <row r="171" spans="1:20" ht="23.1" customHeight="1" x14ac:dyDescent="0.3">
      <c r="A171" s="14" t="s">
        <v>159</v>
      </c>
      <c r="B171" s="14" t="s">
        <v>143</v>
      </c>
      <c r="C171" s="16" t="s">
        <v>144</v>
      </c>
      <c r="D171" s="17">
        <v>0.06</v>
      </c>
      <c r="E171" s="17">
        <v>0</v>
      </c>
      <c r="F171" s="17">
        <f>ROUNDDOWN(D171*E171, 1)</f>
        <v>0</v>
      </c>
      <c r="G171" s="17">
        <f>ROUNDDOWN(단가대비표!O48, 0)</f>
        <v>235540</v>
      </c>
      <c r="H171" s="17">
        <f>ROUNDDOWN(D171*G171, 1)</f>
        <v>14132.4</v>
      </c>
      <c r="I171" s="17">
        <v>0</v>
      </c>
      <c r="J171" s="17">
        <f>ROUNDDOWN(D171*I171, 1)</f>
        <v>0</v>
      </c>
      <c r="K171" s="17">
        <f t="shared" si="18"/>
        <v>235540</v>
      </c>
      <c r="L171" s="17">
        <f t="shared" si="18"/>
        <v>14132.4</v>
      </c>
      <c r="M171" s="15"/>
      <c r="O171" s="1" t="s">
        <v>230</v>
      </c>
      <c r="P171" s="1" t="s">
        <v>219</v>
      </c>
      <c r="Q171">
        <v>1</v>
      </c>
    </row>
    <row r="172" spans="1:20" ht="23.1" customHeight="1" x14ac:dyDescent="0.3">
      <c r="A172" s="14" t="s">
        <v>153</v>
      </c>
      <c r="B172" s="14" t="s">
        <v>143</v>
      </c>
      <c r="C172" s="16" t="s">
        <v>144</v>
      </c>
      <c r="D172" s="17">
        <v>0.02</v>
      </c>
      <c r="E172" s="17">
        <v>0</v>
      </c>
      <c r="F172" s="17">
        <f>ROUNDDOWN(D172*E172, 1)</f>
        <v>0</v>
      </c>
      <c r="G172" s="17">
        <f>ROUNDDOWN(단가대비표!O44, 0)</f>
        <v>172698</v>
      </c>
      <c r="H172" s="17">
        <f>ROUNDDOWN(D172*G172, 1)</f>
        <v>3453.9</v>
      </c>
      <c r="I172" s="17">
        <v>0</v>
      </c>
      <c r="J172" s="17">
        <f>ROUNDDOWN(D172*I172, 1)</f>
        <v>0</v>
      </c>
      <c r="K172" s="17">
        <f t="shared" si="18"/>
        <v>172698</v>
      </c>
      <c r="L172" s="17">
        <f t="shared" si="18"/>
        <v>3453.9</v>
      </c>
      <c r="M172" s="15"/>
      <c r="O172" s="1" t="s">
        <v>230</v>
      </c>
      <c r="P172" s="1" t="s">
        <v>219</v>
      </c>
      <c r="Q172">
        <v>1</v>
      </c>
    </row>
    <row r="173" spans="1:20" ht="23.1" customHeight="1" x14ac:dyDescent="0.3">
      <c r="A173" s="14" t="s">
        <v>283</v>
      </c>
      <c r="B173" s="15" t="str">
        <f>"인력품의 " &amp; N173*100 &amp; "%"</f>
        <v>인력품의 2%</v>
      </c>
      <c r="C173" s="16" t="s">
        <v>224</v>
      </c>
      <c r="D173" s="17">
        <v>1</v>
      </c>
      <c r="E173" s="17">
        <v>0</v>
      </c>
      <c r="F173" s="17">
        <v>0</v>
      </c>
      <c r="G173" s="17">
        <v>0</v>
      </c>
      <c r="H173" s="17">
        <v>0</v>
      </c>
      <c r="I173" s="17">
        <f>SUMIF(O170:O173, "02", H170:H173)</f>
        <v>17586.3</v>
      </c>
      <c r="J173" s="17">
        <f>ROUNDDOWN((I173)*N173, 1)</f>
        <v>351.7</v>
      </c>
      <c r="K173" s="17">
        <f t="shared" si="18"/>
        <v>17586.3</v>
      </c>
      <c r="L173" s="17">
        <f t="shared" si="18"/>
        <v>351.7</v>
      </c>
      <c r="M173" s="15"/>
      <c r="N173">
        <v>0.02</v>
      </c>
      <c r="P173" s="1" t="s">
        <v>219</v>
      </c>
      <c r="Q173">
        <v>1</v>
      </c>
      <c r="R173" s="1" t="s">
        <v>115</v>
      </c>
      <c r="S173" s="1" t="s">
        <v>284</v>
      </c>
      <c r="T173" s="1" t="s">
        <v>285</v>
      </c>
    </row>
    <row r="174" spans="1:20" ht="23.1" customHeight="1" x14ac:dyDescent="0.3">
      <c r="A174" s="18" t="s">
        <v>231</v>
      </c>
      <c r="B174" s="19"/>
      <c r="C174" s="20"/>
      <c r="D174" s="21"/>
      <c r="E174" s="21"/>
      <c r="F174" s="21">
        <f>ROUNDDOWN(SUMIF(Q170:Q173, "1", F170:F173), 0)</f>
        <v>0</v>
      </c>
      <c r="G174" s="21"/>
      <c r="H174" s="21">
        <f>ROUNDDOWN(SUMIF(Q170:Q173, "1", H170:H173), 0)</f>
        <v>17586</v>
      </c>
      <c r="I174" s="21"/>
      <c r="J174" s="21">
        <f>ROUNDDOWN(SUMIF(Q170:Q173, "1", J170:J173), 0)</f>
        <v>351</v>
      </c>
      <c r="K174" s="21"/>
      <c r="L174" s="21">
        <f>F174+H174+J174</f>
        <v>17937</v>
      </c>
      <c r="M174" s="19"/>
    </row>
    <row r="175" spans="1:20" ht="23.1" customHeight="1" x14ac:dyDescent="0.3">
      <c r="A175" s="15"/>
      <c r="B175" s="15"/>
      <c r="C175" s="22"/>
      <c r="D175" s="17"/>
      <c r="E175" s="17"/>
      <c r="F175" s="17"/>
      <c r="G175" s="17"/>
      <c r="H175" s="17"/>
      <c r="I175" s="17"/>
      <c r="J175" s="17"/>
      <c r="K175" s="17"/>
      <c r="L175" s="17"/>
      <c r="M175" s="15"/>
    </row>
    <row r="176" spans="1:20" ht="23.1" customHeight="1" x14ac:dyDescent="0.3">
      <c r="A176" s="61" t="s">
        <v>354</v>
      </c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13" t="s">
        <v>355</v>
      </c>
    </row>
    <row r="177" spans="1:20" ht="23.1" customHeight="1" x14ac:dyDescent="0.3">
      <c r="A177" s="14" t="s">
        <v>356</v>
      </c>
      <c r="B177" s="14" t="s">
        <v>357</v>
      </c>
      <c r="C177" s="16" t="s">
        <v>34</v>
      </c>
      <c r="D177" s="17">
        <v>1</v>
      </c>
      <c r="E177" s="17">
        <f>ROUNDDOWN(일위대가목록!G36, 0)</f>
        <v>85</v>
      </c>
      <c r="F177" s="17">
        <f>ROUNDDOWN(D177*E177, 1)</f>
        <v>85</v>
      </c>
      <c r="G177" s="17">
        <f>ROUNDDOWN(일위대가목록!I36, 0)</f>
        <v>2854</v>
      </c>
      <c r="H177" s="17">
        <f>ROUNDDOWN(D177*G177, 1)</f>
        <v>2854</v>
      </c>
      <c r="I177" s="17">
        <f>ROUNDDOWN(일위대가목록!K36, 2)</f>
        <v>0</v>
      </c>
      <c r="J177" s="17">
        <f>ROUNDDOWN(D177*I177, 1)</f>
        <v>0</v>
      </c>
      <c r="K177" s="17">
        <f>E177+G177+I177</f>
        <v>2939</v>
      </c>
      <c r="L177" s="17">
        <f>F177+H177+J177</f>
        <v>2939</v>
      </c>
      <c r="M177" s="14" t="s">
        <v>358</v>
      </c>
      <c r="P177" s="1" t="s">
        <v>219</v>
      </c>
      <c r="Q177">
        <v>1</v>
      </c>
    </row>
    <row r="178" spans="1:20" ht="23.1" customHeight="1" x14ac:dyDescent="0.3">
      <c r="A178" s="14" t="s">
        <v>359</v>
      </c>
      <c r="B178" s="15"/>
      <c r="C178" s="16" t="s">
        <v>34</v>
      </c>
      <c r="D178" s="17">
        <v>1</v>
      </c>
      <c r="E178" s="17">
        <f>ROUNDDOWN(일위대가목록!G37, 0)</f>
        <v>151</v>
      </c>
      <c r="F178" s="17">
        <f>ROUNDDOWN(D178*E178, 1)</f>
        <v>151</v>
      </c>
      <c r="G178" s="17">
        <f>ROUNDDOWN(일위대가목록!I37, 2)</f>
        <v>0</v>
      </c>
      <c r="H178" s="17">
        <f>ROUNDDOWN(D178*G178, 1)</f>
        <v>0</v>
      </c>
      <c r="I178" s="17">
        <f>ROUNDDOWN(일위대가목록!K37, 2)</f>
        <v>0</v>
      </c>
      <c r="J178" s="17">
        <f>ROUNDDOWN(D178*I178, 1)</f>
        <v>0</v>
      </c>
      <c r="K178" s="17">
        <f>E178+G178+I178</f>
        <v>151</v>
      </c>
      <c r="L178" s="17">
        <f>F178+H178+J178</f>
        <v>151</v>
      </c>
      <c r="M178" s="14" t="s">
        <v>360</v>
      </c>
      <c r="P178" s="1" t="s">
        <v>219</v>
      </c>
      <c r="Q178">
        <v>1</v>
      </c>
    </row>
    <row r="179" spans="1:20" ht="23.1" customHeight="1" x14ac:dyDescent="0.3">
      <c r="A179" s="18" t="s">
        <v>231</v>
      </c>
      <c r="B179" s="19"/>
      <c r="C179" s="20"/>
      <c r="D179" s="21"/>
      <c r="E179" s="21"/>
      <c r="F179" s="21">
        <f>ROUNDDOWN(SUMIF(Q177:Q178, "1", F177:F178), 0)</f>
        <v>236</v>
      </c>
      <c r="G179" s="21"/>
      <c r="H179" s="21">
        <f>ROUNDDOWN(SUMIF(Q177:Q178, "1", H177:H178), 0)</f>
        <v>2854</v>
      </c>
      <c r="I179" s="21"/>
      <c r="J179" s="21">
        <f>ROUNDDOWN(SUMIF(Q177:Q178, "1", J177:J178), 0)</f>
        <v>0</v>
      </c>
      <c r="K179" s="21"/>
      <c r="L179" s="21">
        <f>F179+H179+J179</f>
        <v>3090</v>
      </c>
      <c r="M179" s="19"/>
    </row>
    <row r="180" spans="1:20" ht="23.1" customHeight="1" x14ac:dyDescent="0.3">
      <c r="A180" s="15"/>
      <c r="B180" s="15"/>
      <c r="C180" s="22"/>
      <c r="D180" s="17"/>
      <c r="E180" s="17"/>
      <c r="F180" s="17"/>
      <c r="G180" s="17"/>
      <c r="H180" s="17"/>
      <c r="I180" s="17"/>
      <c r="J180" s="17"/>
      <c r="K180" s="17"/>
      <c r="L180" s="17"/>
      <c r="M180" s="15"/>
    </row>
    <row r="181" spans="1:20" ht="23.1" customHeight="1" x14ac:dyDescent="0.3">
      <c r="A181" s="61" t="s">
        <v>361</v>
      </c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13" t="s">
        <v>362</v>
      </c>
    </row>
    <row r="182" spans="1:20" ht="23.1" customHeight="1" x14ac:dyDescent="0.3">
      <c r="A182" s="14" t="s">
        <v>307</v>
      </c>
      <c r="B182" s="14" t="s">
        <v>357</v>
      </c>
      <c r="C182" s="16" t="s">
        <v>34</v>
      </c>
      <c r="D182" s="17">
        <v>1</v>
      </c>
      <c r="E182" s="17">
        <f>ROUNDDOWN(일위대가목록!G35, 0)</f>
        <v>45</v>
      </c>
      <c r="F182" s="17">
        <f>ROUNDDOWN(D182*E182, 1)</f>
        <v>45</v>
      </c>
      <c r="G182" s="17">
        <f>ROUNDDOWN(일위대가목록!I35, 0)</f>
        <v>1513</v>
      </c>
      <c r="H182" s="17">
        <f>ROUNDDOWN(D182*G182, 1)</f>
        <v>1513</v>
      </c>
      <c r="I182" s="17">
        <f>ROUNDDOWN(일위대가목록!K35, 2)</f>
        <v>0</v>
      </c>
      <c r="J182" s="17">
        <f>ROUNDDOWN(D182*I182, 1)</f>
        <v>0</v>
      </c>
      <c r="K182" s="17">
        <f>E182+G182+I182</f>
        <v>1558</v>
      </c>
      <c r="L182" s="17">
        <f>F182+H182+J182</f>
        <v>1558</v>
      </c>
      <c r="M182" s="14" t="s">
        <v>363</v>
      </c>
      <c r="P182" s="1" t="s">
        <v>219</v>
      </c>
      <c r="Q182">
        <v>1</v>
      </c>
    </row>
    <row r="183" spans="1:20" ht="23.1" customHeight="1" x14ac:dyDescent="0.3">
      <c r="A183" s="14" t="s">
        <v>364</v>
      </c>
      <c r="B183" s="14" t="s">
        <v>365</v>
      </c>
      <c r="C183" s="16" t="s">
        <v>34</v>
      </c>
      <c r="D183" s="17">
        <v>1</v>
      </c>
      <c r="E183" s="17">
        <f>ROUNDDOWN(일위대가목록!G38, 0)</f>
        <v>181</v>
      </c>
      <c r="F183" s="17">
        <f>ROUNDDOWN(D183*E183, 1)</f>
        <v>181</v>
      </c>
      <c r="G183" s="17">
        <f>ROUNDDOWN(일위대가목록!I38, 2)</f>
        <v>0</v>
      </c>
      <c r="H183" s="17">
        <f>ROUNDDOWN(D183*G183, 1)</f>
        <v>0</v>
      </c>
      <c r="I183" s="17">
        <f>ROUNDDOWN(일위대가목록!K38, 2)</f>
        <v>0</v>
      </c>
      <c r="J183" s="17">
        <f>ROUNDDOWN(D183*I183, 1)</f>
        <v>0</v>
      </c>
      <c r="K183" s="17">
        <f>E183+G183+I183</f>
        <v>181</v>
      </c>
      <c r="L183" s="17">
        <f>F183+H183+J183</f>
        <v>181</v>
      </c>
      <c r="M183" s="14" t="s">
        <v>366</v>
      </c>
      <c r="P183" s="1" t="s">
        <v>219</v>
      </c>
      <c r="Q183">
        <v>1</v>
      </c>
    </row>
    <row r="184" spans="1:20" ht="23.1" customHeight="1" x14ac:dyDescent="0.3">
      <c r="A184" s="18" t="s">
        <v>231</v>
      </c>
      <c r="B184" s="19"/>
      <c r="C184" s="20"/>
      <c r="D184" s="21"/>
      <c r="E184" s="21"/>
      <c r="F184" s="21">
        <f>ROUNDDOWN(SUMIF(Q182:Q183, "1", F182:F183), 0)</f>
        <v>226</v>
      </c>
      <c r="G184" s="21"/>
      <c r="H184" s="21">
        <f>ROUNDDOWN(SUMIF(Q182:Q183, "1", H182:H183), 0)</f>
        <v>1513</v>
      </c>
      <c r="I184" s="21"/>
      <c r="J184" s="21">
        <f>ROUNDDOWN(SUMIF(Q182:Q183, "1", J182:J183), 0)</f>
        <v>0</v>
      </c>
      <c r="K184" s="21"/>
      <c r="L184" s="21">
        <f>F184+H184+J184</f>
        <v>1739</v>
      </c>
      <c r="M184" s="19"/>
    </row>
    <row r="185" spans="1:20" ht="23.1" customHeight="1" x14ac:dyDescent="0.3">
      <c r="A185" s="15"/>
      <c r="B185" s="15"/>
      <c r="C185" s="22"/>
      <c r="D185" s="17"/>
      <c r="E185" s="17"/>
      <c r="F185" s="17"/>
      <c r="G185" s="17"/>
      <c r="H185" s="17"/>
      <c r="I185" s="17"/>
      <c r="J185" s="17"/>
      <c r="K185" s="17"/>
      <c r="L185" s="17"/>
      <c r="M185" s="15"/>
    </row>
    <row r="186" spans="1:20" ht="23.1" customHeight="1" x14ac:dyDescent="0.3">
      <c r="A186" s="61" t="s">
        <v>367</v>
      </c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13" t="s">
        <v>362</v>
      </c>
    </row>
    <row r="187" spans="1:20" ht="23.1" customHeight="1" x14ac:dyDescent="0.3">
      <c r="A187" s="14" t="s">
        <v>151</v>
      </c>
      <c r="B187" s="14" t="s">
        <v>143</v>
      </c>
      <c r="C187" s="16" t="s">
        <v>144</v>
      </c>
      <c r="D187" s="17">
        <v>5.0000000000000001E-3</v>
      </c>
      <c r="E187" s="17">
        <v>0</v>
      </c>
      <c r="F187" s="17">
        <f>ROUNDDOWN(D187*E187, 1)</f>
        <v>0</v>
      </c>
      <c r="G187" s="17">
        <f>ROUNDDOWN(단가대비표!O42, 0)</f>
        <v>268225</v>
      </c>
      <c r="H187" s="17">
        <f>ROUNDDOWN(D187*G187, 1)</f>
        <v>1341.1</v>
      </c>
      <c r="I187" s="17">
        <v>0</v>
      </c>
      <c r="J187" s="17">
        <f>ROUNDDOWN(D187*I187, 1)</f>
        <v>0</v>
      </c>
      <c r="K187" s="17">
        <f t="shared" ref="K187:L189" si="19">E187+G187+I187</f>
        <v>268225</v>
      </c>
      <c r="L187" s="17">
        <f t="shared" si="19"/>
        <v>1341.1</v>
      </c>
      <c r="M187" s="15"/>
      <c r="O187" s="1" t="s">
        <v>230</v>
      </c>
      <c r="P187" s="1" t="s">
        <v>219</v>
      </c>
      <c r="Q187">
        <v>1</v>
      </c>
    </row>
    <row r="188" spans="1:20" ht="23.1" customHeight="1" x14ac:dyDescent="0.3">
      <c r="A188" s="14" t="s">
        <v>153</v>
      </c>
      <c r="B188" s="14" t="s">
        <v>143</v>
      </c>
      <c r="C188" s="16" t="s">
        <v>144</v>
      </c>
      <c r="D188" s="17">
        <v>1E-3</v>
      </c>
      <c r="E188" s="17">
        <v>0</v>
      </c>
      <c r="F188" s="17">
        <f>ROUNDDOWN(D188*E188, 1)</f>
        <v>0</v>
      </c>
      <c r="G188" s="17">
        <f>ROUNDDOWN(단가대비표!O44, 0)</f>
        <v>172698</v>
      </c>
      <c r="H188" s="17">
        <f>ROUNDDOWN(D188*G188, 1)</f>
        <v>172.6</v>
      </c>
      <c r="I188" s="17">
        <v>0</v>
      </c>
      <c r="J188" s="17">
        <f>ROUNDDOWN(D188*I188, 1)</f>
        <v>0</v>
      </c>
      <c r="K188" s="17">
        <f t="shared" si="19"/>
        <v>172698</v>
      </c>
      <c r="L188" s="17">
        <f t="shared" si="19"/>
        <v>172.6</v>
      </c>
      <c r="M188" s="15"/>
      <c r="O188" s="1" t="s">
        <v>230</v>
      </c>
      <c r="P188" s="1" t="s">
        <v>219</v>
      </c>
      <c r="Q188">
        <v>1</v>
      </c>
    </row>
    <row r="189" spans="1:20" ht="23.1" customHeight="1" x14ac:dyDescent="0.3">
      <c r="A189" s="14" t="s">
        <v>368</v>
      </c>
      <c r="B189" s="15" t="str">
        <f>"인력품의 " &amp; N189*100 &amp; "%"</f>
        <v>인력품의 3%</v>
      </c>
      <c r="C189" s="16" t="s">
        <v>224</v>
      </c>
      <c r="D189" s="17">
        <v>1</v>
      </c>
      <c r="E189" s="17">
        <f>SUMIF(O187:O189, "02", H187:H189)</f>
        <v>1513.6999999999998</v>
      </c>
      <c r="F189" s="17">
        <f>ROUNDDOWN((E189)*N189, 1)</f>
        <v>45.4</v>
      </c>
      <c r="G189" s="17">
        <v>0</v>
      </c>
      <c r="H189" s="17">
        <v>0</v>
      </c>
      <c r="I189" s="17">
        <v>0</v>
      </c>
      <c r="J189" s="17">
        <v>0</v>
      </c>
      <c r="K189" s="17">
        <f t="shared" si="19"/>
        <v>1513.6999999999998</v>
      </c>
      <c r="L189" s="17">
        <f t="shared" si="19"/>
        <v>45.4</v>
      </c>
      <c r="M189" s="15"/>
      <c r="N189">
        <v>0.03</v>
      </c>
      <c r="P189" s="1" t="s">
        <v>219</v>
      </c>
      <c r="Q189">
        <v>1</v>
      </c>
      <c r="R189" s="1" t="s">
        <v>270</v>
      </c>
      <c r="S189" s="1" t="s">
        <v>284</v>
      </c>
      <c r="T189" s="1" t="s">
        <v>228</v>
      </c>
    </row>
    <row r="190" spans="1:20" ht="23.1" customHeight="1" x14ac:dyDescent="0.3">
      <c r="A190" s="18" t="s">
        <v>231</v>
      </c>
      <c r="B190" s="19"/>
      <c r="C190" s="20"/>
      <c r="D190" s="21"/>
      <c r="E190" s="21"/>
      <c r="F190" s="21">
        <f>ROUNDDOWN(SUMIF(Q187:Q189, "1", F187:F189), 0)</f>
        <v>45</v>
      </c>
      <c r="G190" s="21"/>
      <c r="H190" s="21">
        <f>ROUNDDOWN(SUMIF(Q187:Q189, "1", H187:H189), 0)</f>
        <v>1513</v>
      </c>
      <c r="I190" s="21"/>
      <c r="J190" s="21">
        <f>ROUNDDOWN(SUMIF(Q187:Q189, "1", J187:J189), 0)</f>
        <v>0</v>
      </c>
      <c r="K190" s="21"/>
      <c r="L190" s="21">
        <f>F190+H190+J190</f>
        <v>1558</v>
      </c>
      <c r="M190" s="19"/>
    </row>
    <row r="191" spans="1:20" ht="23.1" customHeight="1" x14ac:dyDescent="0.3">
      <c r="A191" s="15"/>
      <c r="B191" s="15"/>
      <c r="C191" s="22"/>
      <c r="D191" s="17"/>
      <c r="E191" s="17"/>
      <c r="F191" s="17"/>
      <c r="G191" s="17"/>
      <c r="H191" s="17"/>
      <c r="I191" s="17"/>
      <c r="J191" s="17"/>
      <c r="K191" s="17"/>
      <c r="L191" s="17"/>
      <c r="M191" s="15"/>
    </row>
    <row r="192" spans="1:20" ht="23.1" customHeight="1" x14ac:dyDescent="0.3">
      <c r="A192" s="61" t="s">
        <v>369</v>
      </c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13" t="s">
        <v>355</v>
      </c>
    </row>
    <row r="193" spans="1:20" ht="23.1" customHeight="1" x14ac:dyDescent="0.3">
      <c r="A193" s="14" t="s">
        <v>151</v>
      </c>
      <c r="B193" s="14" t="s">
        <v>143</v>
      </c>
      <c r="C193" s="16" t="s">
        <v>144</v>
      </c>
      <c r="D193" s="17">
        <v>0.01</v>
      </c>
      <c r="E193" s="17">
        <v>0</v>
      </c>
      <c r="F193" s="17">
        <f>ROUNDDOWN(D193*E193, 1)</f>
        <v>0</v>
      </c>
      <c r="G193" s="17">
        <f>ROUNDDOWN(단가대비표!O42, 0)</f>
        <v>268225</v>
      </c>
      <c r="H193" s="17">
        <f>ROUNDDOWN(D193*G193, 1)</f>
        <v>2682.2</v>
      </c>
      <c r="I193" s="17">
        <v>0</v>
      </c>
      <c r="J193" s="17">
        <f>ROUNDDOWN(D193*I193, 1)</f>
        <v>0</v>
      </c>
      <c r="K193" s="17">
        <f t="shared" ref="K193:L195" si="20">E193+G193+I193</f>
        <v>268225</v>
      </c>
      <c r="L193" s="17">
        <f t="shared" si="20"/>
        <v>2682.2</v>
      </c>
      <c r="M193" s="15"/>
      <c r="O193" s="1" t="s">
        <v>230</v>
      </c>
      <c r="P193" s="1" t="s">
        <v>219</v>
      </c>
      <c r="Q193">
        <v>1</v>
      </c>
    </row>
    <row r="194" spans="1:20" ht="23.1" customHeight="1" x14ac:dyDescent="0.3">
      <c r="A194" s="14" t="s">
        <v>153</v>
      </c>
      <c r="B194" s="14" t="s">
        <v>143</v>
      </c>
      <c r="C194" s="16" t="s">
        <v>144</v>
      </c>
      <c r="D194" s="17">
        <v>1E-3</v>
      </c>
      <c r="E194" s="17">
        <v>0</v>
      </c>
      <c r="F194" s="17">
        <f>ROUNDDOWN(D194*E194, 1)</f>
        <v>0</v>
      </c>
      <c r="G194" s="17">
        <f>ROUNDDOWN(단가대비표!O44, 0)</f>
        <v>172698</v>
      </c>
      <c r="H194" s="17">
        <f>ROUNDDOWN(D194*G194, 1)</f>
        <v>172.6</v>
      </c>
      <c r="I194" s="17">
        <v>0</v>
      </c>
      <c r="J194" s="17">
        <f>ROUNDDOWN(D194*I194, 1)</f>
        <v>0</v>
      </c>
      <c r="K194" s="17">
        <f t="shared" si="20"/>
        <v>172698</v>
      </c>
      <c r="L194" s="17">
        <f t="shared" si="20"/>
        <v>172.6</v>
      </c>
      <c r="M194" s="15"/>
      <c r="O194" s="1" t="s">
        <v>230</v>
      </c>
      <c r="P194" s="1" t="s">
        <v>219</v>
      </c>
      <c r="Q194">
        <v>1</v>
      </c>
    </row>
    <row r="195" spans="1:20" ht="23.1" customHeight="1" x14ac:dyDescent="0.3">
      <c r="A195" s="14" t="s">
        <v>368</v>
      </c>
      <c r="B195" s="15" t="str">
        <f>"인력품의 " &amp; N195*100 &amp; "%"</f>
        <v>인력품의 3%</v>
      </c>
      <c r="C195" s="16" t="s">
        <v>224</v>
      </c>
      <c r="D195" s="17">
        <v>1</v>
      </c>
      <c r="E195" s="17">
        <f>SUMIF(O193:O195, "02", H193:H195)</f>
        <v>2854.7999999999997</v>
      </c>
      <c r="F195" s="17">
        <f>ROUNDDOWN((E195)*N195, 1)</f>
        <v>85.6</v>
      </c>
      <c r="G195" s="17">
        <v>0</v>
      </c>
      <c r="H195" s="17">
        <v>0</v>
      </c>
      <c r="I195" s="17">
        <v>0</v>
      </c>
      <c r="J195" s="17">
        <v>0</v>
      </c>
      <c r="K195" s="17">
        <f t="shared" si="20"/>
        <v>2854.7999999999997</v>
      </c>
      <c r="L195" s="17">
        <f t="shared" si="20"/>
        <v>85.6</v>
      </c>
      <c r="M195" s="15"/>
      <c r="N195">
        <v>0.03</v>
      </c>
      <c r="P195" s="1" t="s">
        <v>219</v>
      </c>
      <c r="Q195">
        <v>1</v>
      </c>
      <c r="R195" s="1" t="s">
        <v>270</v>
      </c>
      <c r="S195" s="1" t="s">
        <v>284</v>
      </c>
      <c r="T195" s="1" t="s">
        <v>228</v>
      </c>
    </row>
    <row r="196" spans="1:20" ht="23.1" customHeight="1" x14ac:dyDescent="0.3">
      <c r="A196" s="18" t="s">
        <v>231</v>
      </c>
      <c r="B196" s="19"/>
      <c r="C196" s="20"/>
      <c r="D196" s="21"/>
      <c r="E196" s="21"/>
      <c r="F196" s="21">
        <f>ROUNDDOWN(SUMIF(Q193:Q195, "1", F193:F195), 0)</f>
        <v>85</v>
      </c>
      <c r="G196" s="21"/>
      <c r="H196" s="21">
        <f>ROUNDDOWN(SUMIF(Q193:Q195, "1", H193:H195), 0)</f>
        <v>2854</v>
      </c>
      <c r="I196" s="21"/>
      <c r="J196" s="21">
        <f>ROUNDDOWN(SUMIF(Q193:Q195, "1", J193:J195), 0)</f>
        <v>0</v>
      </c>
      <c r="K196" s="21"/>
      <c r="L196" s="21">
        <f>F196+H196+J196</f>
        <v>2939</v>
      </c>
      <c r="M196" s="19"/>
    </row>
    <row r="197" spans="1:20" ht="23.1" customHeight="1" x14ac:dyDescent="0.3">
      <c r="A197" s="15"/>
      <c r="B197" s="15"/>
      <c r="C197" s="22"/>
      <c r="D197" s="17"/>
      <c r="E197" s="17"/>
      <c r="F197" s="17"/>
      <c r="G197" s="17"/>
      <c r="H197" s="17"/>
      <c r="I197" s="17"/>
      <c r="J197" s="17"/>
      <c r="K197" s="17"/>
      <c r="L197" s="17"/>
      <c r="M197" s="15"/>
    </row>
    <row r="198" spans="1:20" ht="23.1" customHeight="1" x14ac:dyDescent="0.3">
      <c r="A198" s="61" t="s">
        <v>370</v>
      </c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23"/>
    </row>
    <row r="199" spans="1:20" ht="23.1" customHeight="1" x14ac:dyDescent="0.3">
      <c r="A199" s="14" t="s">
        <v>131</v>
      </c>
      <c r="B199" s="14" t="s">
        <v>132</v>
      </c>
      <c r="C199" s="16" t="s">
        <v>104</v>
      </c>
      <c r="D199" s="17">
        <v>0.05</v>
      </c>
      <c r="E199" s="17">
        <f>ROUNDDOWN(단가대비표!O34, 0)</f>
        <v>3030</v>
      </c>
      <c r="F199" s="17">
        <f>ROUNDDOWN(D199*E199, 1)</f>
        <v>151.5</v>
      </c>
      <c r="G199" s="17">
        <v>0</v>
      </c>
      <c r="H199" s="17">
        <f>ROUNDDOWN(D199*G199, 1)</f>
        <v>0</v>
      </c>
      <c r="I199" s="17">
        <v>0</v>
      </c>
      <c r="J199" s="17">
        <f>ROUNDDOWN(D199*I199, 1)</f>
        <v>0</v>
      </c>
      <c r="K199" s="17">
        <f>E199+G199+I199</f>
        <v>3030</v>
      </c>
      <c r="L199" s="17">
        <f>F199+H199+J199</f>
        <v>151.5</v>
      </c>
      <c r="M199" s="14" t="s">
        <v>134</v>
      </c>
      <c r="O199" s="1" t="s">
        <v>222</v>
      </c>
      <c r="P199" s="1" t="s">
        <v>219</v>
      </c>
      <c r="Q199">
        <v>1</v>
      </c>
    </row>
    <row r="200" spans="1:20" ht="23.1" customHeight="1" x14ac:dyDescent="0.3">
      <c r="A200" s="18" t="s">
        <v>231</v>
      </c>
      <c r="B200" s="19"/>
      <c r="C200" s="20"/>
      <c r="D200" s="21"/>
      <c r="E200" s="21"/>
      <c r="F200" s="21">
        <f>ROUNDDOWN(SUMIF(Q199:Q199, "1", F199:F199), 0)</f>
        <v>151</v>
      </c>
      <c r="G200" s="21"/>
      <c r="H200" s="21">
        <f>ROUNDDOWN(SUMIF(Q199:Q199, "1", H199:H199), 0)</f>
        <v>0</v>
      </c>
      <c r="I200" s="21"/>
      <c r="J200" s="21">
        <f>ROUNDDOWN(SUMIF(Q199:Q199, "1", J199:J199), 0)</f>
        <v>0</v>
      </c>
      <c r="K200" s="21"/>
      <c r="L200" s="21">
        <f>F200+H200+J200</f>
        <v>151</v>
      </c>
      <c r="M200" s="19"/>
    </row>
    <row r="201" spans="1:20" ht="23.1" customHeight="1" x14ac:dyDescent="0.3">
      <c r="A201" s="15"/>
      <c r="B201" s="15"/>
      <c r="C201" s="22"/>
      <c r="D201" s="17"/>
      <c r="E201" s="17"/>
      <c r="F201" s="17"/>
      <c r="G201" s="17"/>
      <c r="H201" s="17"/>
      <c r="I201" s="17"/>
      <c r="J201" s="17"/>
      <c r="K201" s="17"/>
      <c r="L201" s="17"/>
      <c r="M201" s="15"/>
    </row>
    <row r="202" spans="1:20" ht="23.1" customHeight="1" x14ac:dyDescent="0.3">
      <c r="A202" s="61" t="s">
        <v>371</v>
      </c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23"/>
    </row>
    <row r="203" spans="1:20" ht="23.1" customHeight="1" x14ac:dyDescent="0.3">
      <c r="A203" s="14" t="s">
        <v>131</v>
      </c>
      <c r="B203" s="14" t="s">
        <v>132</v>
      </c>
      <c r="C203" s="16" t="s">
        <v>104</v>
      </c>
      <c r="D203" s="17">
        <v>0.06</v>
      </c>
      <c r="E203" s="17">
        <f>ROUNDDOWN(단가대비표!O34, 0)</f>
        <v>3030</v>
      </c>
      <c r="F203" s="17">
        <f>ROUNDDOWN(D203*E203, 1)</f>
        <v>181.8</v>
      </c>
      <c r="G203" s="17">
        <v>0</v>
      </c>
      <c r="H203" s="17">
        <f>ROUNDDOWN(D203*G203, 1)</f>
        <v>0</v>
      </c>
      <c r="I203" s="17">
        <v>0</v>
      </c>
      <c r="J203" s="17">
        <f>ROUNDDOWN(D203*I203, 1)</f>
        <v>0</v>
      </c>
      <c r="K203" s="17">
        <f>E203+G203+I203</f>
        <v>3030</v>
      </c>
      <c r="L203" s="17">
        <f>F203+H203+J203</f>
        <v>181.8</v>
      </c>
      <c r="M203" s="14" t="s">
        <v>134</v>
      </c>
      <c r="O203" s="1" t="s">
        <v>222</v>
      </c>
      <c r="P203" s="1" t="s">
        <v>219</v>
      </c>
      <c r="Q203">
        <v>1</v>
      </c>
    </row>
    <row r="204" spans="1:20" ht="23.1" customHeight="1" x14ac:dyDescent="0.3">
      <c r="A204" s="18" t="s">
        <v>231</v>
      </c>
      <c r="B204" s="19"/>
      <c r="C204" s="20"/>
      <c r="D204" s="21"/>
      <c r="E204" s="21"/>
      <c r="F204" s="21">
        <f>ROUNDDOWN(SUMIF(Q203:Q203, "1", F203:F203), 0)</f>
        <v>181</v>
      </c>
      <c r="G204" s="21"/>
      <c r="H204" s="21">
        <f>ROUNDDOWN(SUMIF(Q203:Q203, "1", H203:H203), 0)</f>
        <v>0</v>
      </c>
      <c r="I204" s="21"/>
      <c r="J204" s="21">
        <f>ROUNDDOWN(SUMIF(Q203:Q203, "1", J203:J203), 0)</f>
        <v>0</v>
      </c>
      <c r="K204" s="21"/>
      <c r="L204" s="21">
        <f>F204+H204+J204</f>
        <v>181</v>
      </c>
      <c r="M204" s="19"/>
    </row>
    <row r="205" spans="1:20" ht="23.1" customHeight="1" x14ac:dyDescent="0.3">
      <c r="A205" s="15"/>
      <c r="B205" s="15"/>
      <c r="C205" s="22"/>
      <c r="D205" s="17"/>
      <c r="E205" s="17"/>
      <c r="F205" s="17"/>
      <c r="G205" s="17"/>
      <c r="H205" s="17"/>
      <c r="I205" s="17"/>
      <c r="J205" s="17"/>
      <c r="K205" s="17"/>
      <c r="L205" s="17"/>
      <c r="M205" s="15"/>
    </row>
    <row r="206" spans="1:20" ht="23.1" customHeight="1" x14ac:dyDescent="0.3">
      <c r="A206" s="61" t="s">
        <v>372</v>
      </c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13" t="s">
        <v>373</v>
      </c>
    </row>
    <row r="207" spans="1:20" ht="23.1" customHeight="1" x14ac:dyDescent="0.3">
      <c r="A207" s="14" t="s">
        <v>151</v>
      </c>
      <c r="B207" s="14" t="s">
        <v>143</v>
      </c>
      <c r="C207" s="16" t="s">
        <v>144</v>
      </c>
      <c r="D207" s="17">
        <v>1.2E-2</v>
      </c>
      <c r="E207" s="17">
        <v>0</v>
      </c>
      <c r="F207" s="17">
        <f>ROUNDDOWN(D207*E207, 1)</f>
        <v>0</v>
      </c>
      <c r="G207" s="17">
        <f>ROUNDDOWN(단가대비표!O42, 0)</f>
        <v>268225</v>
      </c>
      <c r="H207" s="17">
        <f>ROUNDDOWN(D207*G207, 1)</f>
        <v>3218.7</v>
      </c>
      <c r="I207" s="17">
        <v>0</v>
      </c>
      <c r="J207" s="17">
        <f>ROUNDDOWN(D207*I207, 1)</f>
        <v>0</v>
      </c>
      <c r="K207" s="17">
        <f t="shared" ref="K207:L211" si="21">E207+G207+I207</f>
        <v>268225</v>
      </c>
      <c r="L207" s="17">
        <f t="shared" si="21"/>
        <v>3218.7</v>
      </c>
      <c r="M207" s="15"/>
      <c r="O207" s="1" t="s">
        <v>230</v>
      </c>
      <c r="P207" s="1" t="s">
        <v>219</v>
      </c>
      <c r="Q207">
        <v>1</v>
      </c>
    </row>
    <row r="208" spans="1:20" ht="23.1" customHeight="1" x14ac:dyDescent="0.3">
      <c r="A208" s="14" t="s">
        <v>153</v>
      </c>
      <c r="B208" s="14" t="s">
        <v>143</v>
      </c>
      <c r="C208" s="16" t="s">
        <v>144</v>
      </c>
      <c r="D208" s="17">
        <v>2E-3</v>
      </c>
      <c r="E208" s="17">
        <v>0</v>
      </c>
      <c r="F208" s="17">
        <f>ROUNDDOWN(D208*E208, 1)</f>
        <v>0</v>
      </c>
      <c r="G208" s="17">
        <f>ROUNDDOWN(단가대비표!O44, 0)</f>
        <v>172698</v>
      </c>
      <c r="H208" s="17">
        <f>ROUNDDOWN(D208*G208, 1)</f>
        <v>345.3</v>
      </c>
      <c r="I208" s="17">
        <v>0</v>
      </c>
      <c r="J208" s="17">
        <f>ROUNDDOWN(D208*I208, 1)</f>
        <v>0</v>
      </c>
      <c r="K208" s="17">
        <f t="shared" si="21"/>
        <v>172698</v>
      </c>
      <c r="L208" s="17">
        <f t="shared" si="21"/>
        <v>345.3</v>
      </c>
      <c r="M208" s="15"/>
      <c r="O208" s="1" t="s">
        <v>230</v>
      </c>
      <c r="P208" s="1" t="s">
        <v>219</v>
      </c>
      <c r="Q208">
        <v>1</v>
      </c>
    </row>
    <row r="209" spans="1:20" ht="23.1" customHeight="1" x14ac:dyDescent="0.3">
      <c r="A209" s="14" t="s">
        <v>151</v>
      </c>
      <c r="B209" s="14" t="s">
        <v>143</v>
      </c>
      <c r="C209" s="16" t="s">
        <v>144</v>
      </c>
      <c r="D209" s="17">
        <v>1.2E-2</v>
      </c>
      <c r="E209" s="17">
        <v>0</v>
      </c>
      <c r="F209" s="17">
        <f>ROUNDDOWN(D209*E209, 1)</f>
        <v>0</v>
      </c>
      <c r="G209" s="17">
        <f>ROUNDDOWN(단가대비표!O42, 0)</f>
        <v>268225</v>
      </c>
      <c r="H209" s="17">
        <f>ROUNDDOWN(D209*G209, 1)</f>
        <v>3218.7</v>
      </c>
      <c r="I209" s="17">
        <v>0</v>
      </c>
      <c r="J209" s="17">
        <f>ROUNDDOWN(D209*I209, 1)</f>
        <v>0</v>
      </c>
      <c r="K209" s="17">
        <f t="shared" si="21"/>
        <v>268225</v>
      </c>
      <c r="L209" s="17">
        <f t="shared" si="21"/>
        <v>3218.7</v>
      </c>
      <c r="M209" s="15"/>
      <c r="O209" s="1" t="s">
        <v>230</v>
      </c>
      <c r="P209" s="1" t="s">
        <v>219</v>
      </c>
      <c r="Q209">
        <v>1</v>
      </c>
    </row>
    <row r="210" spans="1:20" ht="23.1" customHeight="1" x14ac:dyDescent="0.3">
      <c r="A210" s="14" t="s">
        <v>153</v>
      </c>
      <c r="B210" s="14" t="s">
        <v>143</v>
      </c>
      <c r="C210" s="16" t="s">
        <v>144</v>
      </c>
      <c r="D210" s="17">
        <v>2E-3</v>
      </c>
      <c r="E210" s="17">
        <v>0</v>
      </c>
      <c r="F210" s="17">
        <f>ROUNDDOWN(D210*E210, 1)</f>
        <v>0</v>
      </c>
      <c r="G210" s="17">
        <f>ROUNDDOWN(단가대비표!O44, 0)</f>
        <v>172698</v>
      </c>
      <c r="H210" s="17">
        <f>ROUNDDOWN(D210*G210, 1)</f>
        <v>345.3</v>
      </c>
      <c r="I210" s="17">
        <v>0</v>
      </c>
      <c r="J210" s="17">
        <f>ROUNDDOWN(D210*I210, 1)</f>
        <v>0</v>
      </c>
      <c r="K210" s="17">
        <f t="shared" si="21"/>
        <v>172698</v>
      </c>
      <c r="L210" s="17">
        <f t="shared" si="21"/>
        <v>345.3</v>
      </c>
      <c r="M210" s="15"/>
      <c r="O210" s="1" t="s">
        <v>230</v>
      </c>
      <c r="P210" s="1" t="s">
        <v>219</v>
      </c>
      <c r="Q210">
        <v>1</v>
      </c>
    </row>
    <row r="211" spans="1:20" ht="23.1" customHeight="1" x14ac:dyDescent="0.3">
      <c r="A211" s="14" t="s">
        <v>368</v>
      </c>
      <c r="B211" s="15" t="str">
        <f>"인력품의 " &amp; N211*100 &amp; "%"</f>
        <v>인력품의 2%</v>
      </c>
      <c r="C211" s="16" t="s">
        <v>224</v>
      </c>
      <c r="D211" s="17">
        <v>1</v>
      </c>
      <c r="E211" s="17">
        <f>SUMIF(O207:O211, "02", H207:H211)</f>
        <v>7128</v>
      </c>
      <c r="F211" s="17">
        <f>ROUNDDOWN((E211)*N211, 1)</f>
        <v>142.5</v>
      </c>
      <c r="G211" s="17">
        <v>0</v>
      </c>
      <c r="H211" s="17">
        <v>0</v>
      </c>
      <c r="I211" s="17">
        <v>0</v>
      </c>
      <c r="J211" s="17">
        <v>0</v>
      </c>
      <c r="K211" s="17">
        <f t="shared" si="21"/>
        <v>7128</v>
      </c>
      <c r="L211" s="17">
        <f t="shared" si="21"/>
        <v>142.5</v>
      </c>
      <c r="M211" s="15"/>
      <c r="N211">
        <v>0.02</v>
      </c>
      <c r="P211" s="1" t="s">
        <v>219</v>
      </c>
      <c r="Q211">
        <v>1</v>
      </c>
      <c r="R211" s="1" t="s">
        <v>270</v>
      </c>
      <c r="S211" s="1" t="s">
        <v>284</v>
      </c>
      <c r="T211" s="1" t="s">
        <v>228</v>
      </c>
    </row>
    <row r="212" spans="1:20" ht="23.1" customHeight="1" x14ac:dyDescent="0.3">
      <c r="A212" s="18" t="s">
        <v>231</v>
      </c>
      <c r="B212" s="19"/>
      <c r="C212" s="20"/>
      <c r="D212" s="21"/>
      <c r="E212" s="21"/>
      <c r="F212" s="21">
        <f>ROUNDDOWN(SUMIF(Q207:Q211, "1", F207:F211), 0)</f>
        <v>142</v>
      </c>
      <c r="G212" s="21"/>
      <c r="H212" s="21">
        <f>ROUNDDOWN(SUMIF(Q207:Q211, "1", H207:H211), 0)</f>
        <v>7128</v>
      </c>
      <c r="I212" s="21"/>
      <c r="J212" s="21">
        <f>ROUNDDOWN(SUMIF(Q207:Q211, "1", J207:J211), 0)</f>
        <v>0</v>
      </c>
      <c r="K212" s="21"/>
      <c r="L212" s="21">
        <f>F212+H212+J212</f>
        <v>7270</v>
      </c>
      <c r="M212" s="19"/>
    </row>
    <row r="213" spans="1:20" ht="23.1" customHeight="1" x14ac:dyDescent="0.3">
      <c r="A213" s="15"/>
      <c r="B213" s="15"/>
      <c r="C213" s="22"/>
      <c r="D213" s="17"/>
      <c r="E213" s="17"/>
      <c r="F213" s="17"/>
      <c r="G213" s="17"/>
      <c r="H213" s="17"/>
      <c r="I213" s="17"/>
      <c r="J213" s="17"/>
      <c r="K213" s="17"/>
      <c r="L213" s="17"/>
      <c r="M213" s="15"/>
    </row>
    <row r="214" spans="1:20" ht="23.1" customHeight="1" x14ac:dyDescent="0.3">
      <c r="A214" s="61" t="s">
        <v>374</v>
      </c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23"/>
    </row>
    <row r="215" spans="1:20" ht="23.1" customHeight="1" x14ac:dyDescent="0.3">
      <c r="A215" s="14" t="s">
        <v>83</v>
      </c>
      <c r="B215" s="14" t="s">
        <v>84</v>
      </c>
      <c r="C215" s="16" t="s">
        <v>19</v>
      </c>
      <c r="D215" s="17">
        <v>0.19700000000000001</v>
      </c>
      <c r="E215" s="17">
        <f>ROUNDDOWN(단가대비표!O23, 0)</f>
        <v>3301</v>
      </c>
      <c r="F215" s="17">
        <f>ROUNDDOWN(D215*E215, 1)</f>
        <v>650.20000000000005</v>
      </c>
      <c r="G215" s="17">
        <v>0</v>
      </c>
      <c r="H215" s="17">
        <f>ROUNDDOWN(D215*G215, 1)</f>
        <v>0</v>
      </c>
      <c r="I215" s="17">
        <v>0</v>
      </c>
      <c r="J215" s="17">
        <f>ROUNDDOWN(D215*I215, 1)</f>
        <v>0</v>
      </c>
      <c r="K215" s="17">
        <f>E215+G215+I215</f>
        <v>3301</v>
      </c>
      <c r="L215" s="17">
        <f>F215+H215+J215</f>
        <v>650.20000000000005</v>
      </c>
      <c r="M215" s="15"/>
      <c r="O215" s="1" t="s">
        <v>222</v>
      </c>
      <c r="P215" s="1" t="s">
        <v>219</v>
      </c>
      <c r="Q215">
        <v>1</v>
      </c>
    </row>
    <row r="216" spans="1:20" ht="23.1" customHeight="1" x14ac:dyDescent="0.3">
      <c r="A216" s="18" t="s">
        <v>231</v>
      </c>
      <c r="B216" s="19"/>
      <c r="C216" s="20"/>
      <c r="D216" s="21"/>
      <c r="E216" s="21"/>
      <c r="F216" s="21">
        <f>ROUNDDOWN(SUMIF(Q215:Q215, "1", F215:F215), 0)</f>
        <v>650</v>
      </c>
      <c r="G216" s="21"/>
      <c r="H216" s="21">
        <f>ROUNDDOWN(SUMIF(Q215:Q215, "1", H215:H215), 0)</f>
        <v>0</v>
      </c>
      <c r="I216" s="21"/>
      <c r="J216" s="21">
        <f>ROUNDDOWN(SUMIF(Q215:Q215, "1", J215:J215), 0)</f>
        <v>0</v>
      </c>
      <c r="K216" s="21"/>
      <c r="L216" s="21">
        <f>F216+H216+J216</f>
        <v>650</v>
      </c>
      <c r="M216" s="19"/>
    </row>
    <row r="217" spans="1:20" ht="23.1" customHeight="1" x14ac:dyDescent="0.3">
      <c r="A217" s="15"/>
      <c r="B217" s="15"/>
      <c r="C217" s="22"/>
      <c r="D217" s="17"/>
      <c r="E217" s="17"/>
      <c r="F217" s="17"/>
      <c r="G217" s="17"/>
      <c r="H217" s="17"/>
      <c r="I217" s="17"/>
      <c r="J217" s="17"/>
      <c r="K217" s="17"/>
      <c r="L217" s="17"/>
      <c r="M217" s="15"/>
    </row>
    <row r="218" spans="1:20" ht="23.1" customHeight="1" x14ac:dyDescent="0.3">
      <c r="A218" s="61" t="s">
        <v>375</v>
      </c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13" t="s">
        <v>376</v>
      </c>
    </row>
    <row r="219" spans="1:20" ht="23.1" customHeight="1" x14ac:dyDescent="0.3">
      <c r="A219" s="14" t="s">
        <v>151</v>
      </c>
      <c r="B219" s="14" t="s">
        <v>143</v>
      </c>
      <c r="C219" s="16" t="s">
        <v>144</v>
      </c>
      <c r="D219" s="17">
        <v>2.7000000000000001E-3</v>
      </c>
      <c r="E219" s="17">
        <v>0</v>
      </c>
      <c r="F219" s="17">
        <f>ROUNDDOWN(D219*E219, 1)</f>
        <v>0</v>
      </c>
      <c r="G219" s="17">
        <f>ROUNDDOWN(단가대비표!O42, 0)</f>
        <v>268225</v>
      </c>
      <c r="H219" s="17">
        <f>ROUNDDOWN(D219*G219, 1)</f>
        <v>724.2</v>
      </c>
      <c r="I219" s="17">
        <v>0</v>
      </c>
      <c r="J219" s="17">
        <f>ROUNDDOWN(D219*I219, 1)</f>
        <v>0</v>
      </c>
      <c r="K219" s="17">
        <f t="shared" ref="K219:L221" si="22">E219+G219+I219</f>
        <v>268225</v>
      </c>
      <c r="L219" s="17">
        <f t="shared" si="22"/>
        <v>724.2</v>
      </c>
      <c r="M219" s="15"/>
      <c r="O219" s="1" t="s">
        <v>222</v>
      </c>
      <c r="P219" s="1" t="s">
        <v>219</v>
      </c>
      <c r="Q219">
        <v>1</v>
      </c>
    </row>
    <row r="220" spans="1:20" ht="23.1" customHeight="1" x14ac:dyDescent="0.3">
      <c r="A220" s="14" t="s">
        <v>153</v>
      </c>
      <c r="B220" s="14" t="s">
        <v>143</v>
      </c>
      <c r="C220" s="16" t="s">
        <v>144</v>
      </c>
      <c r="D220" s="17">
        <v>1.2999999999999999E-3</v>
      </c>
      <c r="E220" s="17">
        <v>0</v>
      </c>
      <c r="F220" s="17">
        <f>ROUNDDOWN(D220*E220, 1)</f>
        <v>0</v>
      </c>
      <c r="G220" s="17">
        <f>ROUNDDOWN(단가대비표!O44, 0)</f>
        <v>172698</v>
      </c>
      <c r="H220" s="17">
        <f>ROUNDDOWN(D220*G220, 1)</f>
        <v>224.5</v>
      </c>
      <c r="I220" s="17">
        <v>0</v>
      </c>
      <c r="J220" s="17">
        <f>ROUNDDOWN(D220*I220, 1)</f>
        <v>0</v>
      </c>
      <c r="K220" s="17">
        <f t="shared" si="22"/>
        <v>172698</v>
      </c>
      <c r="L220" s="17">
        <f t="shared" si="22"/>
        <v>224.5</v>
      </c>
      <c r="M220" s="15"/>
      <c r="O220" s="1" t="s">
        <v>222</v>
      </c>
      <c r="P220" s="1" t="s">
        <v>219</v>
      </c>
      <c r="Q220">
        <v>1</v>
      </c>
    </row>
    <row r="221" spans="1:20" ht="23.1" customHeight="1" x14ac:dyDescent="0.3">
      <c r="A221" s="14" t="s">
        <v>269</v>
      </c>
      <c r="B221" s="15" t="str">
        <f>"노무비의 " &amp; N221*100 &amp; "%"</f>
        <v>노무비의 12%</v>
      </c>
      <c r="C221" s="16" t="s">
        <v>224</v>
      </c>
      <c r="D221" s="17">
        <v>1</v>
      </c>
      <c r="E221" s="17">
        <f>SUMIF(O219:O221, "01", H219:H221)</f>
        <v>948.7</v>
      </c>
      <c r="F221" s="17">
        <f>ROUNDDOWN((E221)*N221, 1)</f>
        <v>113.8</v>
      </c>
      <c r="G221" s="17">
        <v>0</v>
      </c>
      <c r="H221" s="17">
        <v>0</v>
      </c>
      <c r="I221" s="17">
        <v>0</v>
      </c>
      <c r="J221" s="17">
        <v>0</v>
      </c>
      <c r="K221" s="17">
        <f t="shared" si="22"/>
        <v>948.7</v>
      </c>
      <c r="L221" s="17">
        <f t="shared" si="22"/>
        <v>113.8</v>
      </c>
      <c r="M221" s="15"/>
      <c r="N221">
        <v>0.12</v>
      </c>
      <c r="P221" s="1" t="s">
        <v>219</v>
      </c>
      <c r="Q221">
        <v>1</v>
      </c>
      <c r="R221" s="1" t="s">
        <v>270</v>
      </c>
      <c r="S221" s="1" t="s">
        <v>227</v>
      </c>
    </row>
    <row r="222" spans="1:20" ht="23.1" customHeight="1" x14ac:dyDescent="0.3">
      <c r="A222" s="18" t="s">
        <v>231</v>
      </c>
      <c r="B222" s="19"/>
      <c r="C222" s="20"/>
      <c r="D222" s="21"/>
      <c r="E222" s="21"/>
      <c r="F222" s="21">
        <f>ROUNDDOWN(SUMIF(Q219:Q221, "1", F219:F221), 0)</f>
        <v>113</v>
      </c>
      <c r="G222" s="21"/>
      <c r="H222" s="21">
        <f>ROUNDDOWN(SUMIF(Q219:Q221, "1", H219:H221), 0)</f>
        <v>948</v>
      </c>
      <c r="I222" s="21"/>
      <c r="J222" s="21">
        <f>ROUNDDOWN(SUMIF(Q219:Q221, "1", J219:J221), 0)</f>
        <v>0</v>
      </c>
      <c r="K222" s="21"/>
      <c r="L222" s="21">
        <f>F222+H222+J222</f>
        <v>1061</v>
      </c>
      <c r="M222" s="19"/>
    </row>
    <row r="223" spans="1:20" ht="23.1" customHeight="1" x14ac:dyDescent="0.3">
      <c r="A223" s="15"/>
      <c r="B223" s="15"/>
      <c r="C223" s="22"/>
      <c r="D223" s="17"/>
      <c r="E223" s="17"/>
      <c r="F223" s="17"/>
      <c r="G223" s="17"/>
      <c r="H223" s="17"/>
      <c r="I223" s="17"/>
      <c r="J223" s="17"/>
      <c r="K223" s="17"/>
      <c r="L223" s="17"/>
      <c r="M223" s="15"/>
    </row>
    <row r="224" spans="1:20" ht="23.1" customHeight="1" x14ac:dyDescent="0.3">
      <c r="A224" s="61" t="s">
        <v>377</v>
      </c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23"/>
    </row>
    <row r="225" spans="1:17" ht="23.1" customHeight="1" x14ac:dyDescent="0.3">
      <c r="A225" s="14" t="s">
        <v>153</v>
      </c>
      <c r="B225" s="14" t="s">
        <v>143</v>
      </c>
      <c r="C225" s="16" t="s">
        <v>144</v>
      </c>
      <c r="D225" s="17">
        <v>0.05</v>
      </c>
      <c r="E225" s="17">
        <v>0</v>
      </c>
      <c r="F225" s="17">
        <f>ROUNDDOWN(D225*E225, 1)</f>
        <v>0</v>
      </c>
      <c r="G225" s="17">
        <f>ROUNDDOWN(단가대비표!O44, 0)</f>
        <v>172698</v>
      </c>
      <c r="H225" s="17">
        <f>ROUNDDOWN(D225*G225, 1)</f>
        <v>8634.9</v>
      </c>
      <c r="I225" s="17">
        <v>0</v>
      </c>
      <c r="J225" s="17">
        <f>ROUNDDOWN(D225*I225, 1)</f>
        <v>0</v>
      </c>
      <c r="K225" s="17">
        <f>E225+G225+I225</f>
        <v>172698</v>
      </c>
      <c r="L225" s="17">
        <f>F225+H225+J225</f>
        <v>8634.9</v>
      </c>
      <c r="M225" s="15"/>
      <c r="O225" s="1" t="s">
        <v>344</v>
      </c>
      <c r="P225" s="1" t="s">
        <v>219</v>
      </c>
      <c r="Q225">
        <v>1</v>
      </c>
    </row>
    <row r="226" spans="1:17" ht="23.1" customHeight="1" x14ac:dyDescent="0.3">
      <c r="A226" s="18" t="s">
        <v>231</v>
      </c>
      <c r="B226" s="19"/>
      <c r="C226" s="20"/>
      <c r="D226" s="21"/>
      <c r="E226" s="21"/>
      <c r="F226" s="21">
        <f>ROUNDDOWN(SUMIF(Q225:Q225, "1", F225:F225), 0)</f>
        <v>0</v>
      </c>
      <c r="G226" s="21"/>
      <c r="H226" s="21">
        <f>ROUNDDOWN(SUMIF(Q225:Q225, "1", H225:H225), 0)</f>
        <v>8634</v>
      </c>
      <c r="I226" s="21"/>
      <c r="J226" s="21">
        <f>ROUNDDOWN(SUMIF(Q225:Q225, "1", J225:J225), 0)</f>
        <v>0</v>
      </c>
      <c r="K226" s="21"/>
      <c r="L226" s="21">
        <f>F226+H226+J226</f>
        <v>8634</v>
      </c>
      <c r="M226" s="19"/>
    </row>
    <row r="227" spans="1:17" ht="23.1" customHeight="1" x14ac:dyDescent="0.3">
      <c r="A227" s="15"/>
      <c r="B227" s="15"/>
      <c r="C227" s="22"/>
      <c r="D227" s="17"/>
      <c r="E227" s="17"/>
      <c r="F227" s="17"/>
      <c r="G227" s="17"/>
      <c r="H227" s="17"/>
      <c r="I227" s="17"/>
      <c r="J227" s="17"/>
      <c r="K227" s="17"/>
      <c r="L227" s="17"/>
      <c r="M227" s="15"/>
    </row>
    <row r="228" spans="1:17" ht="23.1" customHeight="1" x14ac:dyDescent="0.3">
      <c r="A228" s="15"/>
      <c r="B228" s="15"/>
      <c r="C228" s="22"/>
      <c r="D228" s="17"/>
      <c r="E228" s="17"/>
      <c r="F228" s="17"/>
      <c r="G228" s="17"/>
      <c r="H228" s="17"/>
      <c r="I228" s="17"/>
      <c r="J228" s="17"/>
      <c r="K228" s="17"/>
      <c r="L228" s="17"/>
      <c r="M228" s="15"/>
    </row>
  </sheetData>
  <mergeCells count="49">
    <mergeCell ref="A214:L214"/>
    <mergeCell ref="A218:L218"/>
    <mergeCell ref="A224:L224"/>
    <mergeCell ref="A181:L181"/>
    <mergeCell ref="A186:L186"/>
    <mergeCell ref="A192:L192"/>
    <mergeCell ref="A198:L198"/>
    <mergeCell ref="A202:L202"/>
    <mergeCell ref="A206:L206"/>
    <mergeCell ref="A176:L176"/>
    <mergeCell ref="A121:L121"/>
    <mergeCell ref="A125:L125"/>
    <mergeCell ref="A129:L129"/>
    <mergeCell ref="A133:L133"/>
    <mergeCell ref="A137:L137"/>
    <mergeCell ref="A142:L142"/>
    <mergeCell ref="A147:L147"/>
    <mergeCell ref="A152:L152"/>
    <mergeCell ref="A158:L158"/>
    <mergeCell ref="A163:L163"/>
    <mergeCell ref="A169:L169"/>
    <mergeCell ref="A113:L113"/>
    <mergeCell ref="A39:L39"/>
    <mergeCell ref="A45:L45"/>
    <mergeCell ref="A51:L51"/>
    <mergeCell ref="A60:L60"/>
    <mergeCell ref="A66:L66"/>
    <mergeCell ref="A71:L71"/>
    <mergeCell ref="A78:L78"/>
    <mergeCell ref="A86:L86"/>
    <mergeCell ref="A94:L94"/>
    <mergeCell ref="A99:L99"/>
    <mergeCell ref="A105:L105"/>
    <mergeCell ref="A30:L30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L5"/>
    <mergeCell ref="A8:L8"/>
    <mergeCell ref="A11:L11"/>
    <mergeCell ref="A26:L26"/>
  </mergeCells>
  <phoneticPr fontId="1" type="noConversion"/>
  <conditionalFormatting sqref="A5 M5 A6:M228">
    <cfRule type="containsText" dxfId="7" priority="1" stopIfTrue="1" operator="containsText" text=".">
      <formula>NOT(ISERROR(SEARCH(".",A5)))</formula>
    </cfRule>
    <cfRule type="notContainsText" dxfId="6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  <rowBreaks count="14" manualBreakCount="14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  <brk id="132" max="16383" man="1"/>
    <brk id="148" max="16383" man="1"/>
    <brk id="164" max="16383" man="1"/>
    <brk id="180" max="16383" man="1"/>
    <brk id="196" max="16383" man="1"/>
    <brk id="212" max="16383" man="1"/>
    <brk id="22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O20"/>
  <sheetViews>
    <sheetView view="pageBreakPreview" zoomScale="60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:N2"/>
    </sheetView>
  </sheetViews>
  <sheetFormatPr defaultRowHeight="16.5" x14ac:dyDescent="0.3"/>
  <cols>
    <col min="1" max="1" width="6.625" style="3" customWidth="1"/>
    <col min="2" max="3" width="20.625" style="2" customWidth="1"/>
    <col min="4" max="4" width="4.625" style="3" customWidth="1"/>
    <col min="5" max="5" width="6.625" style="3" customWidth="1"/>
    <col min="6" max="6" width="6.625" style="4" customWidth="1"/>
    <col min="7" max="7" width="7.625" style="4" customWidth="1"/>
    <col min="8" max="8" width="6.625" style="4" customWidth="1"/>
    <col min="9" max="9" width="7.625" style="4" customWidth="1"/>
    <col min="10" max="10" width="6.625" style="4" customWidth="1"/>
    <col min="11" max="11" width="7.625" style="4" customWidth="1"/>
    <col min="12" max="12" width="6.625" style="4" customWidth="1"/>
    <col min="13" max="13" width="7.625" style="4" customWidth="1"/>
    <col min="14" max="14" width="6.625" style="2" customWidth="1"/>
    <col min="15" max="18" width="0" hidden="1" customWidth="1"/>
  </cols>
  <sheetData>
    <row r="1" spans="1:15" ht="30" customHeight="1" x14ac:dyDescent="0.3">
      <c r="A1" s="46" t="s">
        <v>236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5" ht="23.1" customHeight="1" x14ac:dyDescent="0.3">
      <c r="A2" s="47" t="s">
        <v>561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5" ht="23.1" customHeight="1" x14ac:dyDescent="0.3">
      <c r="A3" s="55" t="s">
        <v>237</v>
      </c>
      <c r="B3" s="55" t="s">
        <v>2</v>
      </c>
      <c r="C3" s="55" t="s">
        <v>3</v>
      </c>
      <c r="D3" s="55" t="s">
        <v>4</v>
      </c>
      <c r="E3" s="55" t="s">
        <v>238</v>
      </c>
      <c r="F3" s="55" t="s">
        <v>239</v>
      </c>
      <c r="G3" s="55"/>
      <c r="H3" s="55" t="s">
        <v>240</v>
      </c>
      <c r="I3" s="55"/>
      <c r="J3" s="55" t="s">
        <v>241</v>
      </c>
      <c r="K3" s="55"/>
      <c r="L3" s="55" t="s">
        <v>242</v>
      </c>
      <c r="M3" s="55"/>
      <c r="N3" s="55" t="s">
        <v>205</v>
      </c>
    </row>
    <row r="4" spans="1:15" ht="23.1" customHeight="1" x14ac:dyDescent="0.3">
      <c r="A4" s="55"/>
      <c r="B4" s="55"/>
      <c r="C4" s="55"/>
      <c r="D4" s="55"/>
      <c r="E4" s="55"/>
      <c r="F4" s="12" t="s">
        <v>206</v>
      </c>
      <c r="G4" s="12" t="s">
        <v>207</v>
      </c>
      <c r="H4" s="12" t="s">
        <v>206</v>
      </c>
      <c r="I4" s="12" t="s">
        <v>207</v>
      </c>
      <c r="J4" s="12" t="s">
        <v>206</v>
      </c>
      <c r="K4" s="12" t="s">
        <v>207</v>
      </c>
      <c r="L4" s="12" t="s">
        <v>206</v>
      </c>
      <c r="M4" s="12" t="s">
        <v>207</v>
      </c>
      <c r="N4" s="55"/>
      <c r="O4" t="s">
        <v>16</v>
      </c>
    </row>
    <row r="5" spans="1:15" ht="23.1" customHeight="1" x14ac:dyDescent="0.3">
      <c r="A5" s="16" t="s">
        <v>243</v>
      </c>
      <c r="B5" s="14" t="s">
        <v>174</v>
      </c>
      <c r="C5" s="14" t="s">
        <v>244</v>
      </c>
      <c r="D5" s="16" t="s">
        <v>245</v>
      </c>
      <c r="E5" s="22">
        <v>1</v>
      </c>
      <c r="F5" s="17">
        <f>중기경비!F16</f>
        <v>11435</v>
      </c>
      <c r="G5" s="17">
        <f>E5*F5</f>
        <v>11435</v>
      </c>
      <c r="H5" s="17">
        <f>중기경비!H16</f>
        <v>59025</v>
      </c>
      <c r="I5" s="17">
        <f>E5*H5</f>
        <v>59025</v>
      </c>
      <c r="J5" s="17">
        <f>중기경비!J16</f>
        <v>2445</v>
      </c>
      <c r="K5" s="17">
        <f>E5*J5</f>
        <v>2445</v>
      </c>
      <c r="L5" s="17">
        <f t="shared" ref="L5:M7" si="0">F5+H5+J5</f>
        <v>72905</v>
      </c>
      <c r="M5" s="17">
        <f t="shared" si="0"/>
        <v>72905</v>
      </c>
      <c r="N5" s="14" t="s">
        <v>215</v>
      </c>
    </row>
    <row r="6" spans="1:15" ht="23.1" customHeight="1" x14ac:dyDescent="0.3">
      <c r="A6" s="16" t="s">
        <v>246</v>
      </c>
      <c r="B6" s="14" t="s">
        <v>178</v>
      </c>
      <c r="C6" s="14" t="s">
        <v>179</v>
      </c>
      <c r="D6" s="16" t="s">
        <v>245</v>
      </c>
      <c r="E6" s="22">
        <v>1</v>
      </c>
      <c r="F6" s="17">
        <f>중기경비!F22</f>
        <v>0</v>
      </c>
      <c r="G6" s="17">
        <f>E6*F6</f>
        <v>0</v>
      </c>
      <c r="H6" s="17">
        <f>중기경비!H22</f>
        <v>0</v>
      </c>
      <c r="I6" s="17">
        <f>E6*H6</f>
        <v>0</v>
      </c>
      <c r="J6" s="17">
        <f>중기경비!J22</f>
        <v>494</v>
      </c>
      <c r="K6" s="17">
        <f>E6*J6</f>
        <v>494</v>
      </c>
      <c r="L6" s="17">
        <f t="shared" si="0"/>
        <v>494</v>
      </c>
      <c r="M6" s="17">
        <f t="shared" si="0"/>
        <v>494</v>
      </c>
      <c r="N6" s="14" t="s">
        <v>233</v>
      </c>
    </row>
    <row r="7" spans="1:15" ht="23.1" customHeight="1" x14ac:dyDescent="0.3">
      <c r="A7" s="16" t="s">
        <v>247</v>
      </c>
      <c r="B7" s="14" t="s">
        <v>248</v>
      </c>
      <c r="C7" s="14" t="s">
        <v>249</v>
      </c>
      <c r="D7" s="16" t="s">
        <v>245</v>
      </c>
      <c r="E7" s="22">
        <v>1</v>
      </c>
      <c r="F7" s="17">
        <f>중기경비!F35</f>
        <v>10832</v>
      </c>
      <c r="G7" s="17">
        <f>E7*F7</f>
        <v>10832</v>
      </c>
      <c r="H7" s="17">
        <f>중기경비!H35</f>
        <v>36604</v>
      </c>
      <c r="I7" s="17">
        <f>E7*H7</f>
        <v>36604</v>
      </c>
      <c r="J7" s="17">
        <f>중기경비!J35</f>
        <v>2064</v>
      </c>
      <c r="K7" s="17">
        <f>E7*J7</f>
        <v>2064</v>
      </c>
      <c r="L7" s="17">
        <f t="shared" si="0"/>
        <v>49500</v>
      </c>
      <c r="M7" s="17">
        <f t="shared" si="0"/>
        <v>49500</v>
      </c>
      <c r="N7" s="14" t="s">
        <v>235</v>
      </c>
    </row>
    <row r="8" spans="1:15" ht="23.1" customHeight="1" x14ac:dyDescent="0.3">
      <c r="A8" s="22"/>
      <c r="B8" s="15"/>
      <c r="C8" s="15"/>
      <c r="D8" s="22"/>
      <c r="E8" s="22"/>
      <c r="F8" s="17"/>
      <c r="G8" s="17"/>
      <c r="H8" s="17"/>
      <c r="I8" s="17"/>
      <c r="J8" s="17"/>
      <c r="K8" s="17"/>
      <c r="L8" s="17"/>
      <c r="M8" s="17"/>
      <c r="N8" s="15"/>
    </row>
    <row r="9" spans="1:15" ht="23.1" customHeight="1" x14ac:dyDescent="0.3">
      <c r="A9" s="22"/>
      <c r="B9" s="15"/>
      <c r="C9" s="15"/>
      <c r="D9" s="22"/>
      <c r="E9" s="22"/>
      <c r="F9" s="17"/>
      <c r="G9" s="17"/>
      <c r="H9" s="17"/>
      <c r="I9" s="17"/>
      <c r="J9" s="17"/>
      <c r="K9" s="17"/>
      <c r="L9" s="17"/>
      <c r="M9" s="17"/>
      <c r="N9" s="15"/>
    </row>
    <row r="10" spans="1:15" ht="23.1" customHeight="1" x14ac:dyDescent="0.3">
      <c r="A10" s="22"/>
      <c r="B10" s="15"/>
      <c r="C10" s="15"/>
      <c r="D10" s="22"/>
      <c r="E10" s="22"/>
      <c r="F10" s="17"/>
      <c r="G10" s="17"/>
      <c r="H10" s="17"/>
      <c r="I10" s="17"/>
      <c r="J10" s="17"/>
      <c r="K10" s="17"/>
      <c r="L10" s="17"/>
      <c r="M10" s="17"/>
      <c r="N10" s="15"/>
    </row>
    <row r="11" spans="1:15" ht="23.1" customHeight="1" x14ac:dyDescent="0.3">
      <c r="A11" s="22"/>
      <c r="B11" s="15"/>
      <c r="C11" s="15"/>
      <c r="D11" s="22"/>
      <c r="E11" s="22"/>
      <c r="F11" s="17"/>
      <c r="G11" s="17"/>
      <c r="H11" s="17"/>
      <c r="I11" s="17"/>
      <c r="J11" s="17"/>
      <c r="K11" s="17"/>
      <c r="L11" s="17"/>
      <c r="M11" s="17"/>
      <c r="N11" s="15"/>
    </row>
    <row r="12" spans="1:15" ht="23.1" customHeight="1" x14ac:dyDescent="0.3">
      <c r="A12" s="22"/>
      <c r="B12" s="15"/>
      <c r="C12" s="15"/>
      <c r="D12" s="22"/>
      <c r="E12" s="22"/>
      <c r="F12" s="17"/>
      <c r="G12" s="17"/>
      <c r="H12" s="17"/>
      <c r="I12" s="17"/>
      <c r="J12" s="17"/>
      <c r="K12" s="17"/>
      <c r="L12" s="17"/>
      <c r="M12" s="17"/>
      <c r="N12" s="15"/>
    </row>
    <row r="13" spans="1:15" ht="23.1" customHeight="1" x14ac:dyDescent="0.3">
      <c r="A13" s="22"/>
      <c r="B13" s="15"/>
      <c r="C13" s="15"/>
      <c r="D13" s="22"/>
      <c r="E13" s="22"/>
      <c r="F13" s="17"/>
      <c r="G13" s="17"/>
      <c r="H13" s="17"/>
      <c r="I13" s="17"/>
      <c r="J13" s="17"/>
      <c r="K13" s="17"/>
      <c r="L13" s="17"/>
      <c r="M13" s="17"/>
      <c r="N13" s="15"/>
    </row>
    <row r="14" spans="1:15" ht="23.1" customHeight="1" x14ac:dyDescent="0.3">
      <c r="A14" s="22"/>
      <c r="B14" s="15"/>
      <c r="C14" s="15"/>
      <c r="D14" s="22"/>
      <c r="E14" s="22"/>
      <c r="F14" s="17"/>
      <c r="G14" s="17"/>
      <c r="H14" s="17"/>
      <c r="I14" s="17"/>
      <c r="J14" s="17"/>
      <c r="K14" s="17"/>
      <c r="L14" s="17"/>
      <c r="M14" s="17"/>
      <c r="N14" s="15"/>
    </row>
    <row r="15" spans="1:15" ht="23.1" customHeight="1" x14ac:dyDescent="0.3">
      <c r="A15" s="22"/>
      <c r="B15" s="15"/>
      <c r="C15" s="15"/>
      <c r="D15" s="22"/>
      <c r="E15" s="22"/>
      <c r="F15" s="17"/>
      <c r="G15" s="17"/>
      <c r="H15" s="17"/>
      <c r="I15" s="17"/>
      <c r="J15" s="17"/>
      <c r="K15" s="17"/>
      <c r="L15" s="17"/>
      <c r="M15" s="17"/>
      <c r="N15" s="15"/>
    </row>
    <row r="16" spans="1:15" ht="23.1" customHeight="1" x14ac:dyDescent="0.3">
      <c r="A16" s="22"/>
      <c r="B16" s="15"/>
      <c r="C16" s="15"/>
      <c r="D16" s="22"/>
      <c r="E16" s="22"/>
      <c r="F16" s="17"/>
      <c r="G16" s="17"/>
      <c r="H16" s="17"/>
      <c r="I16" s="17"/>
      <c r="J16" s="17"/>
      <c r="K16" s="17"/>
      <c r="L16" s="17"/>
      <c r="M16" s="17"/>
      <c r="N16" s="15"/>
    </row>
    <row r="17" spans="1:14" ht="23.1" customHeight="1" x14ac:dyDescent="0.3">
      <c r="A17" s="22"/>
      <c r="B17" s="15"/>
      <c r="C17" s="15"/>
      <c r="D17" s="22"/>
      <c r="E17" s="22"/>
      <c r="F17" s="17"/>
      <c r="G17" s="17"/>
      <c r="H17" s="17"/>
      <c r="I17" s="17"/>
      <c r="J17" s="17"/>
      <c r="K17" s="17"/>
      <c r="L17" s="17"/>
      <c r="M17" s="17"/>
      <c r="N17" s="15"/>
    </row>
    <row r="18" spans="1:14" ht="23.1" customHeight="1" x14ac:dyDescent="0.3">
      <c r="A18" s="22"/>
      <c r="B18" s="15"/>
      <c r="C18" s="15"/>
      <c r="D18" s="22"/>
      <c r="E18" s="22"/>
      <c r="F18" s="17"/>
      <c r="G18" s="17"/>
      <c r="H18" s="17"/>
      <c r="I18" s="17"/>
      <c r="J18" s="17"/>
      <c r="K18" s="17"/>
      <c r="L18" s="17"/>
      <c r="M18" s="17"/>
      <c r="N18" s="15"/>
    </row>
    <row r="19" spans="1:14" ht="23.1" customHeight="1" x14ac:dyDescent="0.3">
      <c r="A19" s="22"/>
      <c r="B19" s="15"/>
      <c r="C19" s="15"/>
      <c r="D19" s="22"/>
      <c r="E19" s="22"/>
      <c r="F19" s="17"/>
      <c r="G19" s="17"/>
      <c r="H19" s="17"/>
      <c r="I19" s="17"/>
      <c r="J19" s="17"/>
      <c r="K19" s="17"/>
      <c r="L19" s="17"/>
      <c r="M19" s="17"/>
      <c r="N19" s="15"/>
    </row>
    <row r="20" spans="1:14" ht="23.1" customHeight="1" x14ac:dyDescent="0.3">
      <c r="A20" s="22"/>
      <c r="B20" s="15"/>
      <c r="C20" s="15"/>
      <c r="D20" s="22"/>
      <c r="E20" s="22"/>
      <c r="F20" s="17"/>
      <c r="G20" s="17"/>
      <c r="H20" s="17"/>
      <c r="I20" s="17"/>
      <c r="J20" s="17"/>
      <c r="K20" s="17"/>
      <c r="L20" s="17"/>
      <c r="M20" s="17"/>
      <c r="N20" s="15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conditionalFormatting sqref="A5:N20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  <rowBreaks count="1" manualBreakCount="1">
    <brk id="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T36"/>
  <sheetViews>
    <sheetView view="pageBreakPreview" zoomScale="60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:M2"/>
    </sheetView>
  </sheetViews>
  <sheetFormatPr defaultRowHeight="16.5" x14ac:dyDescent="0.3"/>
  <cols>
    <col min="1" max="2" width="20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8.625" style="2" customWidth="1"/>
    <col min="14" max="20" width="0" hidden="1" customWidth="1"/>
  </cols>
  <sheetData>
    <row r="1" spans="1:20" ht="30" customHeight="1" x14ac:dyDescent="0.3">
      <c r="A1" s="46" t="s">
        <v>197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0" ht="23.1" customHeight="1" x14ac:dyDescent="0.3">
      <c r="A2" s="47" t="s">
        <v>561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20" ht="23.1" customHeight="1" x14ac:dyDescent="0.3">
      <c r="A3" s="55" t="s">
        <v>198</v>
      </c>
      <c r="B3" s="55" t="s">
        <v>199</v>
      </c>
      <c r="C3" s="55" t="s">
        <v>4</v>
      </c>
      <c r="D3" s="55" t="s">
        <v>200</v>
      </c>
      <c r="E3" s="55" t="s">
        <v>201</v>
      </c>
      <c r="F3" s="55"/>
      <c r="G3" s="55" t="s">
        <v>202</v>
      </c>
      <c r="H3" s="55"/>
      <c r="I3" s="55" t="s">
        <v>203</v>
      </c>
      <c r="J3" s="55"/>
      <c r="K3" s="55" t="s">
        <v>204</v>
      </c>
      <c r="L3" s="55"/>
      <c r="M3" s="55" t="s">
        <v>205</v>
      </c>
    </row>
    <row r="4" spans="1:20" ht="23.1" customHeight="1" x14ac:dyDescent="0.3">
      <c r="A4" s="55"/>
      <c r="B4" s="55"/>
      <c r="C4" s="55"/>
      <c r="D4" s="55"/>
      <c r="E4" s="12" t="s">
        <v>206</v>
      </c>
      <c r="F4" s="12" t="s">
        <v>207</v>
      </c>
      <c r="G4" s="12" t="s">
        <v>206</v>
      </c>
      <c r="H4" s="12" t="s">
        <v>207</v>
      </c>
      <c r="I4" s="12" t="s">
        <v>206</v>
      </c>
      <c r="J4" s="12" t="s">
        <v>207</v>
      </c>
      <c r="K4" s="12" t="s">
        <v>206</v>
      </c>
      <c r="L4" s="12" t="s">
        <v>207</v>
      </c>
      <c r="M4" s="55"/>
      <c r="N4" t="s">
        <v>208</v>
      </c>
      <c r="O4" t="s">
        <v>209</v>
      </c>
      <c r="P4" t="s">
        <v>210</v>
      </c>
      <c r="Q4" t="s">
        <v>211</v>
      </c>
      <c r="R4" t="s">
        <v>212</v>
      </c>
      <c r="S4" t="s">
        <v>213</v>
      </c>
      <c r="T4" t="s">
        <v>16</v>
      </c>
    </row>
    <row r="5" spans="1:20" ht="23.1" customHeight="1" x14ac:dyDescent="0.3">
      <c r="A5" s="63" t="s">
        <v>214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5"/>
      <c r="M5" s="13" t="s">
        <v>215</v>
      </c>
    </row>
    <row r="6" spans="1:20" ht="23.1" customHeight="1" x14ac:dyDescent="0.3">
      <c r="A6" s="14" t="s">
        <v>216</v>
      </c>
      <c r="B6" s="15"/>
      <c r="C6" s="16" t="s">
        <v>217</v>
      </c>
      <c r="D6" s="17"/>
      <c r="E6" s="17"/>
      <c r="F6" s="17">
        <f>ROUNDDOWN(D6*E6, 1)</f>
        <v>0</v>
      </c>
      <c r="G6" s="17"/>
      <c r="H6" s="17">
        <f>ROUNDDOWN(D6*G6, 1)</f>
        <v>0</v>
      </c>
      <c r="I6" s="17"/>
      <c r="J6" s="17">
        <f>ROUNDDOWN(D6*I6, 1)</f>
        <v>0</v>
      </c>
      <c r="K6" s="17">
        <f t="shared" ref="K6:K15" si="0">E6+G6+I6</f>
        <v>0</v>
      </c>
      <c r="L6" s="17">
        <f t="shared" ref="L6:L15" si="1">F6+H6+J6</f>
        <v>0</v>
      </c>
      <c r="M6" s="15"/>
    </row>
    <row r="7" spans="1:20" ht="23.1" customHeight="1" x14ac:dyDescent="0.3">
      <c r="A7" s="14" t="s">
        <v>174</v>
      </c>
      <c r="B7" s="14" t="s">
        <v>175</v>
      </c>
      <c r="C7" s="16" t="s">
        <v>176</v>
      </c>
      <c r="D7" s="17">
        <v>1.719E-4</v>
      </c>
      <c r="E7" s="17">
        <v>0</v>
      </c>
      <c r="F7" s="17">
        <f>ROUNDDOWN(D7*E7, 1)</f>
        <v>0</v>
      </c>
      <c r="G7" s="17">
        <v>0</v>
      </c>
      <c r="H7" s="17">
        <f>ROUNDDOWN(D7*G7, 1)</f>
        <v>0</v>
      </c>
      <c r="I7" s="17">
        <f>ROUNDDOWN(단가대비표!O56, 0)</f>
        <v>14224000</v>
      </c>
      <c r="J7" s="17">
        <f>ROUNDDOWN(D7*I7, 1)</f>
        <v>2445.1</v>
      </c>
      <c r="K7" s="17">
        <f t="shared" si="0"/>
        <v>14224000</v>
      </c>
      <c r="L7" s="17">
        <f t="shared" si="1"/>
        <v>2445.1</v>
      </c>
      <c r="M7" s="14" t="s">
        <v>177</v>
      </c>
      <c r="O7" s="1" t="s">
        <v>218</v>
      </c>
      <c r="P7" s="1" t="s">
        <v>219</v>
      </c>
      <c r="Q7">
        <v>1</v>
      </c>
    </row>
    <row r="8" spans="1:20" ht="23.1" customHeight="1" x14ac:dyDescent="0.3">
      <c r="A8" s="16" t="s">
        <v>220</v>
      </c>
      <c r="B8" s="15"/>
      <c r="C8" s="16" t="s">
        <v>217</v>
      </c>
      <c r="D8" s="17"/>
      <c r="E8" s="17"/>
      <c r="F8" s="17">
        <f>SUMIF(Q6:Q7, "1", F6:F7)</f>
        <v>0</v>
      </c>
      <c r="G8" s="17"/>
      <c r="H8" s="17">
        <f>SUMIF(Q6:Q7, "1", H6:H7)</f>
        <v>0</v>
      </c>
      <c r="I8" s="17"/>
      <c r="J8" s="17">
        <f>SUMIF(Q6:Q7, "1", J6:J7)</f>
        <v>2445.1</v>
      </c>
      <c r="K8" s="17">
        <f t="shared" si="0"/>
        <v>0</v>
      </c>
      <c r="L8" s="17">
        <f t="shared" si="1"/>
        <v>2445.1</v>
      </c>
      <c r="M8" s="15"/>
    </row>
    <row r="9" spans="1:20" ht="23.1" customHeight="1" x14ac:dyDescent="0.3">
      <c r="A9" s="14" t="s">
        <v>221</v>
      </c>
      <c r="B9" s="15"/>
      <c r="C9" s="16" t="s">
        <v>217</v>
      </c>
      <c r="D9" s="17"/>
      <c r="E9" s="17"/>
      <c r="F9" s="17">
        <f>ROUNDDOWN(D9*E9, 1)</f>
        <v>0</v>
      </c>
      <c r="G9" s="17"/>
      <c r="H9" s="17">
        <f>ROUNDDOWN(D9*G9, 1)</f>
        <v>0</v>
      </c>
      <c r="I9" s="17"/>
      <c r="J9" s="17">
        <f>ROUNDDOWN(D9*I9, 1)</f>
        <v>0</v>
      </c>
      <c r="K9" s="17">
        <f t="shared" si="0"/>
        <v>0</v>
      </c>
      <c r="L9" s="17">
        <f t="shared" si="1"/>
        <v>0</v>
      </c>
      <c r="M9" s="15"/>
    </row>
    <row r="10" spans="1:20" ht="23.1" customHeight="1" x14ac:dyDescent="0.3">
      <c r="A10" s="14" t="s">
        <v>17</v>
      </c>
      <c r="B10" s="14" t="s">
        <v>18</v>
      </c>
      <c r="C10" s="16" t="s">
        <v>19</v>
      </c>
      <c r="D10" s="17">
        <v>6.2</v>
      </c>
      <c r="E10" s="17">
        <f>ROUNDDOWN(단가대비표!O5, 0)</f>
        <v>1590</v>
      </c>
      <c r="F10" s="17">
        <f>ROUNDDOWN(D10*E10, 1)</f>
        <v>9858</v>
      </c>
      <c r="G10" s="17">
        <v>0</v>
      </c>
      <c r="H10" s="17">
        <f>ROUNDDOWN(D10*G10, 1)</f>
        <v>0</v>
      </c>
      <c r="I10" s="17">
        <v>0</v>
      </c>
      <c r="J10" s="17">
        <f>ROUNDDOWN(D10*I10, 1)</f>
        <v>0</v>
      </c>
      <c r="K10" s="17">
        <f t="shared" si="0"/>
        <v>1590</v>
      </c>
      <c r="L10" s="17">
        <f t="shared" si="1"/>
        <v>9858</v>
      </c>
      <c r="M10" s="15"/>
      <c r="O10" s="1" t="s">
        <v>222</v>
      </c>
      <c r="P10" s="1" t="s">
        <v>219</v>
      </c>
      <c r="Q10">
        <v>1</v>
      </c>
    </row>
    <row r="11" spans="1:20" ht="23.1" customHeight="1" x14ac:dyDescent="0.3">
      <c r="A11" s="14" t="s">
        <v>223</v>
      </c>
      <c r="B11" s="15" t="str">
        <f>"주연료비의 " &amp; N11*100 &amp; "%"</f>
        <v>주연료비의 16%</v>
      </c>
      <c r="C11" s="16" t="s">
        <v>224</v>
      </c>
      <c r="D11" s="17">
        <v>1</v>
      </c>
      <c r="E11" s="17">
        <f>SUMIF(O6:O15, "01", F6:F15)</f>
        <v>9858</v>
      </c>
      <c r="F11" s="17">
        <f>ROUNDDOWN((E11)*N11, 1)</f>
        <v>1577.2</v>
      </c>
      <c r="G11" s="17">
        <v>0</v>
      </c>
      <c r="H11" s="17">
        <v>0</v>
      </c>
      <c r="I11" s="17">
        <v>0</v>
      </c>
      <c r="J11" s="17">
        <v>0</v>
      </c>
      <c r="K11" s="17">
        <f t="shared" si="0"/>
        <v>9858</v>
      </c>
      <c r="L11" s="17">
        <f t="shared" si="1"/>
        <v>1577.2</v>
      </c>
      <c r="M11" s="14" t="s">
        <v>225</v>
      </c>
      <c r="N11">
        <v>0.16</v>
      </c>
      <c r="P11" s="1" t="s">
        <v>219</v>
      </c>
      <c r="Q11">
        <v>1</v>
      </c>
      <c r="R11" s="1" t="s">
        <v>226</v>
      </c>
      <c r="S11" s="1" t="s">
        <v>227</v>
      </c>
      <c r="T11" s="1" t="s">
        <v>228</v>
      </c>
    </row>
    <row r="12" spans="1:20" ht="23.1" customHeight="1" x14ac:dyDescent="0.3">
      <c r="A12" s="16" t="s">
        <v>220</v>
      </c>
      <c r="B12" s="15"/>
      <c r="C12" s="16" t="s">
        <v>217</v>
      </c>
      <c r="D12" s="17"/>
      <c r="E12" s="17"/>
      <c r="F12" s="17">
        <f>SUMIF(Q9:Q11, "1", F9:F11)</f>
        <v>11435.2</v>
      </c>
      <c r="G12" s="17"/>
      <c r="H12" s="17">
        <f>SUMIF(Q9:Q11, "1", H9:H11)</f>
        <v>0</v>
      </c>
      <c r="I12" s="17"/>
      <c r="J12" s="17">
        <f>SUMIF(Q9:Q11, "1", J9:J11)</f>
        <v>0</v>
      </c>
      <c r="K12" s="17">
        <f t="shared" si="0"/>
        <v>0</v>
      </c>
      <c r="L12" s="17">
        <f t="shared" si="1"/>
        <v>11435.2</v>
      </c>
      <c r="M12" s="15"/>
    </row>
    <row r="13" spans="1:20" ht="23.1" customHeight="1" x14ac:dyDescent="0.3">
      <c r="A13" s="14" t="s">
        <v>229</v>
      </c>
      <c r="B13" s="15"/>
      <c r="C13" s="16" t="s">
        <v>217</v>
      </c>
      <c r="D13" s="17"/>
      <c r="E13" s="17"/>
      <c r="F13" s="17">
        <f>ROUNDDOWN(D13*E13, 1)</f>
        <v>0</v>
      </c>
      <c r="G13" s="17"/>
      <c r="H13" s="17">
        <f>ROUNDDOWN(D13*G13, 1)</f>
        <v>0</v>
      </c>
      <c r="I13" s="17"/>
      <c r="J13" s="17">
        <f>ROUNDDOWN(D13*I13, 1)</f>
        <v>0</v>
      </c>
      <c r="K13" s="17">
        <f t="shared" si="0"/>
        <v>0</v>
      </c>
      <c r="L13" s="17">
        <f t="shared" si="1"/>
        <v>0</v>
      </c>
      <c r="M13" s="15"/>
    </row>
    <row r="14" spans="1:20" ht="23.1" customHeight="1" x14ac:dyDescent="0.3">
      <c r="A14" s="14" t="s">
        <v>142</v>
      </c>
      <c r="B14" s="14" t="s">
        <v>143</v>
      </c>
      <c r="C14" s="16" t="s">
        <v>144</v>
      </c>
      <c r="D14" s="17">
        <v>0.2083333</v>
      </c>
      <c r="E14" s="17">
        <v>0</v>
      </c>
      <c r="F14" s="17">
        <f>ROUNDDOWN(D14*E14, 1)</f>
        <v>0</v>
      </c>
      <c r="G14" s="17">
        <f>ROUNDDOWN(단가대비표!O37, 0)</f>
        <v>283323</v>
      </c>
      <c r="H14" s="17">
        <f>ROUNDDOWN(D14*G14, 1)</f>
        <v>59025.599999999999</v>
      </c>
      <c r="I14" s="17">
        <v>0</v>
      </c>
      <c r="J14" s="17">
        <f>ROUNDDOWN(D14*I14, 1)</f>
        <v>0</v>
      </c>
      <c r="K14" s="17">
        <f t="shared" si="0"/>
        <v>283323</v>
      </c>
      <c r="L14" s="17">
        <f t="shared" si="1"/>
        <v>59025.599999999999</v>
      </c>
      <c r="M14" s="14" t="s">
        <v>145</v>
      </c>
      <c r="O14" s="1" t="s">
        <v>230</v>
      </c>
      <c r="P14" s="1" t="s">
        <v>219</v>
      </c>
      <c r="Q14">
        <v>1</v>
      </c>
    </row>
    <row r="15" spans="1:20" ht="23.1" customHeight="1" x14ac:dyDescent="0.3">
      <c r="A15" s="16" t="s">
        <v>220</v>
      </c>
      <c r="B15" s="15"/>
      <c r="C15" s="16" t="s">
        <v>217</v>
      </c>
      <c r="D15" s="17"/>
      <c r="E15" s="17"/>
      <c r="F15" s="17">
        <f>SUMIF(Q13:Q14, "1", F13:F14)</f>
        <v>0</v>
      </c>
      <c r="G15" s="17"/>
      <c r="H15" s="17">
        <f>SUMIF(Q13:Q14, "1", H13:H14)</f>
        <v>59025.599999999999</v>
      </c>
      <c r="I15" s="17"/>
      <c r="J15" s="17">
        <f>SUMIF(Q13:Q14, "1", J13:J14)</f>
        <v>0</v>
      </c>
      <c r="K15" s="17">
        <f t="shared" si="0"/>
        <v>0</v>
      </c>
      <c r="L15" s="17">
        <f t="shared" si="1"/>
        <v>59025.599999999999</v>
      </c>
      <c r="M15" s="15"/>
    </row>
    <row r="16" spans="1:20" ht="23.1" customHeight="1" x14ac:dyDescent="0.3">
      <c r="A16" s="18" t="s">
        <v>231</v>
      </c>
      <c r="B16" s="19"/>
      <c r="C16" s="20"/>
      <c r="D16" s="21"/>
      <c r="E16" s="21"/>
      <c r="F16" s="21">
        <f>ROUNDDOWN(SUMIF(Q6:Q15, "1", F6:F15), 0)</f>
        <v>11435</v>
      </c>
      <c r="G16" s="21"/>
      <c r="H16" s="21">
        <f>ROUNDDOWN(SUMIF(Q6:Q15, "1", H6:H15), 0)</f>
        <v>59025</v>
      </c>
      <c r="I16" s="21"/>
      <c r="J16" s="21">
        <f>ROUNDDOWN(SUMIF(Q6:Q15, "1", J6:J15), 0)</f>
        <v>2445</v>
      </c>
      <c r="K16" s="21"/>
      <c r="L16" s="21">
        <f>F16+H16+J16</f>
        <v>72905</v>
      </c>
      <c r="M16" s="19"/>
    </row>
    <row r="17" spans="1:20" ht="23.1" customHeight="1" x14ac:dyDescent="0.3">
      <c r="A17" s="15"/>
      <c r="B17" s="15"/>
      <c r="C17" s="22"/>
      <c r="D17" s="17"/>
      <c r="E17" s="17"/>
      <c r="F17" s="17"/>
      <c r="G17" s="17"/>
      <c r="H17" s="17"/>
      <c r="I17" s="17"/>
      <c r="J17" s="17"/>
      <c r="K17" s="17"/>
      <c r="L17" s="17"/>
      <c r="M17" s="15"/>
    </row>
    <row r="18" spans="1:20" ht="23.1" customHeight="1" x14ac:dyDescent="0.3">
      <c r="A18" s="61" t="s">
        <v>232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13" t="s">
        <v>233</v>
      </c>
    </row>
    <row r="19" spans="1:20" ht="23.1" customHeight="1" x14ac:dyDescent="0.3">
      <c r="A19" s="14" t="s">
        <v>216</v>
      </c>
      <c r="B19" s="15"/>
      <c r="C19" s="16" t="s">
        <v>217</v>
      </c>
      <c r="D19" s="17"/>
      <c r="E19" s="17"/>
      <c r="F19" s="17">
        <f>ROUNDDOWN(D19*E19, 1)</f>
        <v>0</v>
      </c>
      <c r="G19" s="17"/>
      <c r="H19" s="17">
        <f>ROUNDDOWN(D19*G19, 1)</f>
        <v>0</v>
      </c>
      <c r="I19" s="17"/>
      <c r="J19" s="17">
        <f>ROUNDDOWN(D19*I19, 1)</f>
        <v>0</v>
      </c>
      <c r="K19" s="17">
        <f t="shared" ref="K19:L21" si="2">E19+G19+I19</f>
        <v>0</v>
      </c>
      <c r="L19" s="17">
        <f t="shared" si="2"/>
        <v>0</v>
      </c>
      <c r="M19" s="15"/>
    </row>
    <row r="20" spans="1:20" ht="23.1" customHeight="1" x14ac:dyDescent="0.3">
      <c r="A20" s="14" t="s">
        <v>178</v>
      </c>
      <c r="B20" s="14" t="s">
        <v>179</v>
      </c>
      <c r="C20" s="16" t="s">
        <v>176</v>
      </c>
      <c r="D20" s="17">
        <v>2.5000000000000001E-4</v>
      </c>
      <c r="E20" s="17">
        <v>0</v>
      </c>
      <c r="F20" s="17">
        <f>ROUNDDOWN(D20*E20, 1)</f>
        <v>0</v>
      </c>
      <c r="G20" s="17">
        <v>0</v>
      </c>
      <c r="H20" s="17">
        <f>ROUNDDOWN(D20*G20, 1)</f>
        <v>0</v>
      </c>
      <c r="I20" s="17">
        <f>ROUNDDOWN(단가대비표!O57, 0)</f>
        <v>1976000</v>
      </c>
      <c r="J20" s="17">
        <f>ROUNDDOWN(D20*I20, 1)</f>
        <v>494</v>
      </c>
      <c r="K20" s="17">
        <f t="shared" si="2"/>
        <v>1976000</v>
      </c>
      <c r="L20" s="17">
        <f t="shared" si="2"/>
        <v>494</v>
      </c>
      <c r="M20" s="14" t="s">
        <v>180</v>
      </c>
      <c r="O20" s="1" t="s">
        <v>218</v>
      </c>
      <c r="P20" s="1" t="s">
        <v>219</v>
      </c>
      <c r="Q20">
        <v>1</v>
      </c>
    </row>
    <row r="21" spans="1:20" ht="23.1" customHeight="1" x14ac:dyDescent="0.3">
      <c r="A21" s="16" t="s">
        <v>220</v>
      </c>
      <c r="B21" s="15"/>
      <c r="C21" s="16" t="s">
        <v>217</v>
      </c>
      <c r="D21" s="17"/>
      <c r="E21" s="17"/>
      <c r="F21" s="17">
        <f>SUMIF(Q19:Q20, "1", F19:F20)</f>
        <v>0</v>
      </c>
      <c r="G21" s="17"/>
      <c r="H21" s="17">
        <f>SUMIF(Q19:Q20, "1", H19:H20)</f>
        <v>0</v>
      </c>
      <c r="I21" s="17"/>
      <c r="J21" s="17">
        <f>SUMIF(Q19:Q20, "1", J19:J20)</f>
        <v>494</v>
      </c>
      <c r="K21" s="17">
        <f t="shared" si="2"/>
        <v>0</v>
      </c>
      <c r="L21" s="17">
        <f t="shared" si="2"/>
        <v>494</v>
      </c>
      <c r="M21" s="15"/>
    </row>
    <row r="22" spans="1:20" ht="23.1" customHeight="1" x14ac:dyDescent="0.3">
      <c r="A22" s="18" t="s">
        <v>231</v>
      </c>
      <c r="B22" s="19"/>
      <c r="C22" s="20"/>
      <c r="D22" s="21"/>
      <c r="E22" s="21"/>
      <c r="F22" s="21">
        <f>ROUNDDOWN(SUMIF(Q19:Q21, "1", F19:F21), 0)</f>
        <v>0</v>
      </c>
      <c r="G22" s="21"/>
      <c r="H22" s="21">
        <f>ROUNDDOWN(SUMIF(Q19:Q21, "1", H19:H21), 0)</f>
        <v>0</v>
      </c>
      <c r="I22" s="21"/>
      <c r="J22" s="21">
        <f>ROUNDDOWN(SUMIF(Q19:Q21, "1", J19:J21), 0)</f>
        <v>494</v>
      </c>
      <c r="K22" s="21"/>
      <c r="L22" s="21">
        <f>F22+H22+J22</f>
        <v>494</v>
      </c>
      <c r="M22" s="19"/>
    </row>
    <row r="23" spans="1:20" ht="23.1" customHeight="1" x14ac:dyDescent="0.3">
      <c r="A23" s="15"/>
      <c r="B23" s="15"/>
      <c r="C23" s="22"/>
      <c r="D23" s="17"/>
      <c r="E23" s="17"/>
      <c r="F23" s="17"/>
      <c r="G23" s="17"/>
      <c r="H23" s="17"/>
      <c r="I23" s="17"/>
      <c r="J23" s="17"/>
      <c r="K23" s="17"/>
      <c r="L23" s="17"/>
      <c r="M23" s="15"/>
    </row>
    <row r="24" spans="1:20" ht="23.1" customHeight="1" x14ac:dyDescent="0.3">
      <c r="A24" s="61" t="s">
        <v>234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13" t="s">
        <v>235</v>
      </c>
    </row>
    <row r="25" spans="1:20" ht="23.1" customHeight="1" x14ac:dyDescent="0.3">
      <c r="A25" s="14" t="s">
        <v>216</v>
      </c>
      <c r="B25" s="15"/>
      <c r="C25" s="16" t="s">
        <v>217</v>
      </c>
      <c r="D25" s="17"/>
      <c r="E25" s="17"/>
      <c r="F25" s="17">
        <f>ROUNDDOWN(D25*E25, 1)</f>
        <v>0</v>
      </c>
      <c r="G25" s="17"/>
      <c r="H25" s="17">
        <f>ROUNDDOWN(D25*G25, 1)</f>
        <v>0</v>
      </c>
      <c r="I25" s="17"/>
      <c r="J25" s="17">
        <f>ROUNDDOWN(D25*I25, 1)</f>
        <v>0</v>
      </c>
      <c r="K25" s="17">
        <f t="shared" ref="K25:K34" si="3">E25+G25+I25</f>
        <v>0</v>
      </c>
      <c r="L25" s="17">
        <f t="shared" ref="L25:L34" si="4">F25+H25+J25</f>
        <v>0</v>
      </c>
      <c r="M25" s="15"/>
    </row>
    <row r="26" spans="1:20" ht="23.1" customHeight="1" x14ac:dyDescent="0.3">
      <c r="A26" s="14" t="s">
        <v>181</v>
      </c>
      <c r="B26" s="14" t="s">
        <v>182</v>
      </c>
      <c r="C26" s="16" t="s">
        <v>176</v>
      </c>
      <c r="D26" s="17">
        <v>6.3540000000000005E-4</v>
      </c>
      <c r="E26" s="17">
        <v>0</v>
      </c>
      <c r="F26" s="17">
        <f>ROUNDDOWN(D26*E26, 1)</f>
        <v>0</v>
      </c>
      <c r="G26" s="17">
        <v>0</v>
      </c>
      <c r="H26" s="17">
        <f>ROUNDDOWN(D26*G26, 1)</f>
        <v>0</v>
      </c>
      <c r="I26" s="17">
        <f>ROUNDDOWN(단가대비표!O58, 0)</f>
        <v>3249000</v>
      </c>
      <c r="J26" s="17">
        <f>ROUNDDOWN(D26*I26, 1)</f>
        <v>2064.4</v>
      </c>
      <c r="K26" s="17">
        <f t="shared" si="3"/>
        <v>3249000</v>
      </c>
      <c r="L26" s="17">
        <f t="shared" si="4"/>
        <v>2064.4</v>
      </c>
      <c r="M26" s="14" t="s">
        <v>183</v>
      </c>
      <c r="O26" s="1" t="s">
        <v>218</v>
      </c>
      <c r="P26" s="1" t="s">
        <v>219</v>
      </c>
      <c r="Q26">
        <v>1</v>
      </c>
    </row>
    <row r="27" spans="1:20" ht="23.1" customHeight="1" x14ac:dyDescent="0.3">
      <c r="A27" s="16" t="s">
        <v>220</v>
      </c>
      <c r="B27" s="15"/>
      <c r="C27" s="16" t="s">
        <v>217</v>
      </c>
      <c r="D27" s="17"/>
      <c r="E27" s="17"/>
      <c r="F27" s="17">
        <f>SUMIF(Q25:Q26, "1", F25:F26)</f>
        <v>0</v>
      </c>
      <c r="G27" s="17"/>
      <c r="H27" s="17">
        <f>SUMIF(Q25:Q26, "1", H25:H26)</f>
        <v>0</v>
      </c>
      <c r="I27" s="17"/>
      <c r="J27" s="17">
        <f>SUMIF(Q25:Q26, "1", J25:J26)</f>
        <v>2064.4</v>
      </c>
      <c r="K27" s="17">
        <f t="shared" si="3"/>
        <v>0</v>
      </c>
      <c r="L27" s="17">
        <f t="shared" si="4"/>
        <v>2064.4</v>
      </c>
      <c r="M27" s="15"/>
    </row>
    <row r="28" spans="1:20" ht="23.1" customHeight="1" x14ac:dyDescent="0.3">
      <c r="A28" s="14" t="s">
        <v>221</v>
      </c>
      <c r="B28" s="15"/>
      <c r="C28" s="16" t="s">
        <v>217</v>
      </c>
      <c r="D28" s="17"/>
      <c r="E28" s="17"/>
      <c r="F28" s="17">
        <f>ROUNDDOWN(D28*E28, 1)</f>
        <v>0</v>
      </c>
      <c r="G28" s="17"/>
      <c r="H28" s="17">
        <f>ROUNDDOWN(D28*G28, 1)</f>
        <v>0</v>
      </c>
      <c r="I28" s="17"/>
      <c r="J28" s="17">
        <f>ROUNDDOWN(D28*I28, 1)</f>
        <v>0</v>
      </c>
      <c r="K28" s="17">
        <f t="shared" si="3"/>
        <v>0</v>
      </c>
      <c r="L28" s="17">
        <f t="shared" si="4"/>
        <v>0</v>
      </c>
      <c r="M28" s="15"/>
    </row>
    <row r="29" spans="1:20" ht="23.1" customHeight="1" x14ac:dyDescent="0.3">
      <c r="A29" s="14" t="s">
        <v>29</v>
      </c>
      <c r="B29" s="14" t="s">
        <v>30</v>
      </c>
      <c r="C29" s="16" t="s">
        <v>19</v>
      </c>
      <c r="D29" s="17">
        <v>5.6</v>
      </c>
      <c r="E29" s="17">
        <f>ROUNDDOWN(단가대비표!O7, 0)</f>
        <v>1612</v>
      </c>
      <c r="F29" s="17">
        <f>ROUNDDOWN(D29*E29, 1)</f>
        <v>9027.2000000000007</v>
      </c>
      <c r="G29" s="17">
        <v>0</v>
      </c>
      <c r="H29" s="17">
        <f>ROUNDDOWN(D29*G29, 1)</f>
        <v>0</v>
      </c>
      <c r="I29" s="17">
        <v>0</v>
      </c>
      <c r="J29" s="17">
        <f>ROUNDDOWN(D29*I29, 1)</f>
        <v>0</v>
      </c>
      <c r="K29" s="17">
        <f t="shared" si="3"/>
        <v>1612</v>
      </c>
      <c r="L29" s="17">
        <f t="shared" si="4"/>
        <v>9027.2000000000007</v>
      </c>
      <c r="M29" s="15"/>
      <c r="O29" s="1" t="s">
        <v>222</v>
      </c>
      <c r="P29" s="1" t="s">
        <v>219</v>
      </c>
      <c r="Q29">
        <v>1</v>
      </c>
    </row>
    <row r="30" spans="1:20" ht="23.1" customHeight="1" x14ac:dyDescent="0.3">
      <c r="A30" s="14" t="s">
        <v>223</v>
      </c>
      <c r="B30" s="15" t="str">
        <f>"주연료비의 " &amp; N30*100 &amp; "%"</f>
        <v>주연료비의 20%</v>
      </c>
      <c r="C30" s="16" t="s">
        <v>224</v>
      </c>
      <c r="D30" s="17">
        <v>1</v>
      </c>
      <c r="E30" s="17">
        <f>SUMIF(O25:O34, "01", F25:F34)</f>
        <v>9027.2000000000007</v>
      </c>
      <c r="F30" s="17">
        <f>ROUNDDOWN((E30)*N30, 1)</f>
        <v>1805.4</v>
      </c>
      <c r="G30" s="17">
        <v>0</v>
      </c>
      <c r="H30" s="17">
        <v>0</v>
      </c>
      <c r="I30" s="17">
        <v>0</v>
      </c>
      <c r="J30" s="17">
        <v>0</v>
      </c>
      <c r="K30" s="17">
        <f t="shared" si="3"/>
        <v>9027.2000000000007</v>
      </c>
      <c r="L30" s="17">
        <f t="shared" si="4"/>
        <v>1805.4</v>
      </c>
      <c r="M30" s="14" t="s">
        <v>225</v>
      </c>
      <c r="N30">
        <v>0.2</v>
      </c>
      <c r="P30" s="1" t="s">
        <v>219</v>
      </c>
      <c r="Q30">
        <v>1</v>
      </c>
      <c r="R30" s="1" t="s">
        <v>226</v>
      </c>
      <c r="S30" s="1" t="s">
        <v>227</v>
      </c>
      <c r="T30" s="1" t="s">
        <v>228</v>
      </c>
    </row>
    <row r="31" spans="1:20" ht="23.1" customHeight="1" x14ac:dyDescent="0.3">
      <c r="A31" s="16" t="s">
        <v>220</v>
      </c>
      <c r="B31" s="15"/>
      <c r="C31" s="16" t="s">
        <v>217</v>
      </c>
      <c r="D31" s="17"/>
      <c r="E31" s="17"/>
      <c r="F31" s="17">
        <f>SUMIF(Q28:Q30, "1", F28:F30)</f>
        <v>10832.6</v>
      </c>
      <c r="G31" s="17"/>
      <c r="H31" s="17">
        <f>SUMIF(Q28:Q30, "1", H28:H30)</f>
        <v>0</v>
      </c>
      <c r="I31" s="17"/>
      <c r="J31" s="17">
        <f>SUMIF(Q28:Q30, "1", J28:J30)</f>
        <v>0</v>
      </c>
      <c r="K31" s="17">
        <f t="shared" si="3"/>
        <v>0</v>
      </c>
      <c r="L31" s="17">
        <f t="shared" si="4"/>
        <v>10832.6</v>
      </c>
      <c r="M31" s="15"/>
    </row>
    <row r="32" spans="1:20" ht="23.1" customHeight="1" x14ac:dyDescent="0.3">
      <c r="A32" s="14" t="s">
        <v>229</v>
      </c>
      <c r="B32" s="15"/>
      <c r="C32" s="16" t="s">
        <v>217</v>
      </c>
      <c r="D32" s="17"/>
      <c r="E32" s="17"/>
      <c r="F32" s="17">
        <f>ROUNDDOWN(D32*E32, 1)</f>
        <v>0</v>
      </c>
      <c r="G32" s="17"/>
      <c r="H32" s="17">
        <f>ROUNDDOWN(D32*G32, 1)</f>
        <v>0</v>
      </c>
      <c r="I32" s="17"/>
      <c r="J32" s="17">
        <f>ROUNDDOWN(D32*I32, 1)</f>
        <v>0</v>
      </c>
      <c r="K32" s="17">
        <f t="shared" si="3"/>
        <v>0</v>
      </c>
      <c r="L32" s="17">
        <f t="shared" si="4"/>
        <v>0</v>
      </c>
      <c r="M32" s="15"/>
    </row>
    <row r="33" spans="1:17" ht="23.1" customHeight="1" x14ac:dyDescent="0.3">
      <c r="A33" s="14" t="s">
        <v>157</v>
      </c>
      <c r="B33" s="14" t="s">
        <v>143</v>
      </c>
      <c r="C33" s="16" t="s">
        <v>144</v>
      </c>
      <c r="D33" s="17">
        <v>0.2083333</v>
      </c>
      <c r="E33" s="17">
        <v>0</v>
      </c>
      <c r="F33" s="17">
        <f>ROUNDDOWN(D33*E33, 1)</f>
        <v>0</v>
      </c>
      <c r="G33" s="17">
        <f>ROUNDDOWN(단가대비표!O47, 0)</f>
        <v>175703</v>
      </c>
      <c r="H33" s="17">
        <f>ROUNDDOWN(D33*G33, 1)</f>
        <v>36604.699999999997</v>
      </c>
      <c r="I33" s="17">
        <v>0</v>
      </c>
      <c r="J33" s="17">
        <f>ROUNDDOWN(D33*I33, 1)</f>
        <v>0</v>
      </c>
      <c r="K33" s="17">
        <f t="shared" si="3"/>
        <v>175703</v>
      </c>
      <c r="L33" s="17">
        <f t="shared" si="4"/>
        <v>36604.699999999997</v>
      </c>
      <c r="M33" s="14" t="s">
        <v>158</v>
      </c>
      <c r="O33" s="1" t="s">
        <v>230</v>
      </c>
      <c r="P33" s="1" t="s">
        <v>219</v>
      </c>
      <c r="Q33">
        <v>1</v>
      </c>
    </row>
    <row r="34" spans="1:17" ht="23.1" customHeight="1" x14ac:dyDescent="0.3">
      <c r="A34" s="16" t="s">
        <v>220</v>
      </c>
      <c r="B34" s="15"/>
      <c r="C34" s="16" t="s">
        <v>217</v>
      </c>
      <c r="D34" s="17"/>
      <c r="E34" s="17"/>
      <c r="F34" s="17">
        <f>SUMIF(Q32:Q33, "1", F32:F33)</f>
        <v>0</v>
      </c>
      <c r="G34" s="17"/>
      <c r="H34" s="17">
        <f>SUMIF(Q32:Q33, "1", H32:H33)</f>
        <v>36604.699999999997</v>
      </c>
      <c r="I34" s="17"/>
      <c r="J34" s="17">
        <f>SUMIF(Q32:Q33, "1", J32:J33)</f>
        <v>0</v>
      </c>
      <c r="K34" s="17">
        <f t="shared" si="3"/>
        <v>0</v>
      </c>
      <c r="L34" s="17">
        <f t="shared" si="4"/>
        <v>36604.699999999997</v>
      </c>
      <c r="M34" s="15"/>
    </row>
    <row r="35" spans="1:17" ht="23.1" customHeight="1" x14ac:dyDescent="0.3">
      <c r="A35" s="18" t="s">
        <v>231</v>
      </c>
      <c r="B35" s="19"/>
      <c r="C35" s="20"/>
      <c r="D35" s="21"/>
      <c r="E35" s="21"/>
      <c r="F35" s="21">
        <f>ROUNDDOWN(SUMIF(Q25:Q34, "1", F25:F34), 0)</f>
        <v>10832</v>
      </c>
      <c r="G35" s="21"/>
      <c r="H35" s="21">
        <f>ROUNDDOWN(SUMIF(Q25:Q34, "1", H25:H34), 0)</f>
        <v>36604</v>
      </c>
      <c r="I35" s="21"/>
      <c r="J35" s="21">
        <f>ROUNDDOWN(SUMIF(Q25:Q34, "1", J25:J34), 0)</f>
        <v>2064</v>
      </c>
      <c r="K35" s="21"/>
      <c r="L35" s="21">
        <f>F35+H35+J35</f>
        <v>49500</v>
      </c>
      <c r="M35" s="19"/>
    </row>
    <row r="36" spans="1:17" ht="23.1" customHeight="1" x14ac:dyDescent="0.3">
      <c r="A36" s="15"/>
      <c r="B36" s="15"/>
      <c r="C36" s="22"/>
      <c r="D36" s="17"/>
      <c r="E36" s="17"/>
      <c r="F36" s="17"/>
      <c r="G36" s="17"/>
      <c r="H36" s="17"/>
      <c r="I36" s="17"/>
      <c r="J36" s="17"/>
      <c r="K36" s="17"/>
      <c r="L36" s="17"/>
      <c r="M36" s="15"/>
    </row>
  </sheetData>
  <mergeCells count="14">
    <mergeCell ref="K3:L3"/>
    <mergeCell ref="A5:L5"/>
    <mergeCell ref="A18:L18"/>
    <mergeCell ref="A24:L24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 M5 A6:M36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  <rowBreaks count="2" manualBreakCount="2">
    <brk id="20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Q68"/>
  <sheetViews>
    <sheetView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:P2"/>
    </sheetView>
  </sheetViews>
  <sheetFormatPr defaultRowHeight="16.5" x14ac:dyDescent="0.3"/>
  <cols>
    <col min="1" max="2" width="17.625" style="2" customWidth="1"/>
    <col min="3" max="3" width="3.625" style="3" customWidth="1"/>
    <col min="4" max="4" width="6.625" style="4" customWidth="1"/>
    <col min="5" max="5" width="4.625" style="4" customWidth="1"/>
    <col min="6" max="6" width="6.625" style="4" customWidth="1"/>
    <col min="7" max="7" width="4.625" style="4" customWidth="1"/>
    <col min="8" max="9" width="6.625" style="4" customWidth="1"/>
    <col min="10" max="10" width="4.625" style="4" customWidth="1"/>
    <col min="11" max="11" width="6.625" style="4" customWidth="1"/>
    <col min="12" max="12" width="4.625" style="4" customWidth="1"/>
    <col min="13" max="14" width="6.625" style="4" customWidth="1"/>
    <col min="15" max="15" width="7.625" style="4" customWidth="1"/>
    <col min="16" max="16" width="7.625" style="2" customWidth="1"/>
    <col min="17" max="17" width="0" hidden="1" customWidth="1"/>
  </cols>
  <sheetData>
    <row r="1" spans="1:17" ht="30" customHeight="1" x14ac:dyDescent="0.3">
      <c r="A1" s="46" t="s">
        <v>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7" ht="23.1" customHeight="1" x14ac:dyDescent="0.3">
      <c r="A2" s="47" t="s">
        <v>561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7" ht="23.1" customHeight="1" x14ac:dyDescent="0.3">
      <c r="A3" s="66" t="s">
        <v>2</v>
      </c>
      <c r="B3" s="66" t="s">
        <v>3</v>
      </c>
      <c r="C3" s="66" t="s">
        <v>4</v>
      </c>
      <c r="D3" s="66" t="s">
        <v>5</v>
      </c>
      <c r="E3" s="66"/>
      <c r="F3" s="66" t="s">
        <v>6</v>
      </c>
      <c r="G3" s="66"/>
      <c r="H3" s="5" t="s">
        <v>7</v>
      </c>
      <c r="I3" s="66" t="s">
        <v>8</v>
      </c>
      <c r="J3" s="66"/>
      <c r="K3" s="66" t="s">
        <v>9</v>
      </c>
      <c r="L3" s="66"/>
      <c r="M3" s="5" t="s">
        <v>10</v>
      </c>
      <c r="N3" s="5" t="s">
        <v>11</v>
      </c>
      <c r="O3" s="66" t="s">
        <v>12</v>
      </c>
      <c r="P3" s="66" t="s">
        <v>13</v>
      </c>
    </row>
    <row r="4" spans="1:17" ht="23.1" customHeight="1" x14ac:dyDescent="0.3">
      <c r="A4" s="66"/>
      <c r="B4" s="66"/>
      <c r="C4" s="66"/>
      <c r="D4" s="5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5" t="s">
        <v>15</v>
      </c>
      <c r="M4" s="5" t="s">
        <v>14</v>
      </c>
      <c r="N4" s="5" t="s">
        <v>14</v>
      </c>
      <c r="O4" s="66"/>
      <c r="P4" s="66"/>
      <c r="Q4" t="s">
        <v>16</v>
      </c>
    </row>
    <row r="5" spans="1:17" ht="23.1" customHeight="1" x14ac:dyDescent="0.3">
      <c r="A5" s="6" t="s">
        <v>17</v>
      </c>
      <c r="B5" s="6" t="s">
        <v>18</v>
      </c>
      <c r="C5" s="7" t="s">
        <v>19</v>
      </c>
      <c r="D5" s="8">
        <v>1654</v>
      </c>
      <c r="E5" s="9" t="s">
        <v>20</v>
      </c>
      <c r="F5" s="8"/>
      <c r="G5" s="8"/>
      <c r="H5" s="8">
        <v>1590</v>
      </c>
      <c r="I5" s="8">
        <v>1697</v>
      </c>
      <c r="J5" s="9" t="s">
        <v>21</v>
      </c>
      <c r="K5" s="8">
        <v>1676</v>
      </c>
      <c r="L5" s="9" t="s">
        <v>22</v>
      </c>
      <c r="M5" s="8"/>
      <c r="N5" s="8"/>
      <c r="O5" s="8">
        <f t="shared" ref="O5:O36" si="0">MIN(D5,F5,H5,I5,K5,M5,N5)</f>
        <v>1590</v>
      </c>
      <c r="P5" s="10"/>
    </row>
    <row r="6" spans="1:17" ht="23.1" customHeight="1" x14ac:dyDescent="0.3">
      <c r="A6" s="6" t="s">
        <v>23</v>
      </c>
      <c r="B6" s="6" t="s">
        <v>24</v>
      </c>
      <c r="C6" s="7" t="s">
        <v>25</v>
      </c>
      <c r="D6" s="8">
        <v>18500</v>
      </c>
      <c r="E6" s="9" t="s">
        <v>26</v>
      </c>
      <c r="F6" s="8"/>
      <c r="G6" s="8"/>
      <c r="H6" s="8"/>
      <c r="I6" s="8">
        <v>18500</v>
      </c>
      <c r="J6" s="9" t="s">
        <v>27</v>
      </c>
      <c r="K6" s="8"/>
      <c r="L6" s="8"/>
      <c r="M6" s="8"/>
      <c r="N6" s="8"/>
      <c r="O6" s="8">
        <f t="shared" si="0"/>
        <v>18500</v>
      </c>
      <c r="P6" s="6" t="s">
        <v>28</v>
      </c>
    </row>
    <row r="7" spans="1:17" ht="23.1" customHeight="1" x14ac:dyDescent="0.3">
      <c r="A7" s="6" t="s">
        <v>29</v>
      </c>
      <c r="B7" s="6" t="s">
        <v>30</v>
      </c>
      <c r="C7" s="7" t="s">
        <v>19</v>
      </c>
      <c r="D7" s="8">
        <v>1700</v>
      </c>
      <c r="E7" s="9" t="s">
        <v>20</v>
      </c>
      <c r="F7" s="8">
        <v>1754</v>
      </c>
      <c r="G7" s="9" t="s">
        <v>31</v>
      </c>
      <c r="H7" s="8">
        <v>1612</v>
      </c>
      <c r="I7" s="8">
        <v>1702</v>
      </c>
      <c r="J7" s="9" t="s">
        <v>21</v>
      </c>
      <c r="K7" s="8">
        <v>1690</v>
      </c>
      <c r="L7" s="9" t="s">
        <v>22</v>
      </c>
      <c r="M7" s="8"/>
      <c r="N7" s="8"/>
      <c r="O7" s="8">
        <f t="shared" si="0"/>
        <v>1612</v>
      </c>
      <c r="P7" s="10"/>
    </row>
    <row r="8" spans="1:17" ht="23.1" customHeight="1" x14ac:dyDescent="0.3">
      <c r="A8" s="6" t="s">
        <v>32</v>
      </c>
      <c r="B8" s="6" t="s">
        <v>33</v>
      </c>
      <c r="C8" s="7" t="s">
        <v>34</v>
      </c>
      <c r="D8" s="8">
        <v>12059</v>
      </c>
      <c r="E8" s="9" t="s">
        <v>35</v>
      </c>
      <c r="F8" s="8">
        <v>14075</v>
      </c>
      <c r="G8" s="9" t="s">
        <v>36</v>
      </c>
      <c r="H8" s="8"/>
      <c r="I8" s="8"/>
      <c r="J8" s="8"/>
      <c r="K8" s="8"/>
      <c r="L8" s="8"/>
      <c r="M8" s="8"/>
      <c r="N8" s="8"/>
      <c r="O8" s="8">
        <f t="shared" si="0"/>
        <v>12059</v>
      </c>
      <c r="P8" s="10"/>
    </row>
    <row r="9" spans="1:17" ht="23.1" customHeight="1" x14ac:dyDescent="0.3">
      <c r="A9" s="6" t="s">
        <v>37</v>
      </c>
      <c r="B9" s="6" t="s">
        <v>38</v>
      </c>
      <c r="C9" s="7" t="s">
        <v>19</v>
      </c>
      <c r="D9" s="8">
        <v>1</v>
      </c>
      <c r="E9" s="9" t="s">
        <v>39</v>
      </c>
      <c r="F9" s="8">
        <v>1</v>
      </c>
      <c r="G9" s="9" t="s">
        <v>40</v>
      </c>
      <c r="H9" s="8"/>
      <c r="I9" s="8"/>
      <c r="J9" s="8"/>
      <c r="K9" s="8"/>
      <c r="L9" s="8"/>
      <c r="M9" s="8"/>
      <c r="N9" s="8"/>
      <c r="O9" s="8">
        <f t="shared" si="0"/>
        <v>1</v>
      </c>
      <c r="P9" s="6" t="s">
        <v>41</v>
      </c>
    </row>
    <row r="10" spans="1:17" ht="23.1" customHeight="1" x14ac:dyDescent="0.3">
      <c r="A10" s="6" t="s">
        <v>42</v>
      </c>
      <c r="B10" s="6" t="s">
        <v>43</v>
      </c>
      <c r="C10" s="7" t="s">
        <v>19</v>
      </c>
      <c r="D10" s="8">
        <v>10477</v>
      </c>
      <c r="E10" s="9" t="s">
        <v>44</v>
      </c>
      <c r="F10" s="8">
        <v>8400</v>
      </c>
      <c r="G10" s="9" t="s">
        <v>45</v>
      </c>
      <c r="H10" s="8">
        <v>9473</v>
      </c>
      <c r="I10" s="8"/>
      <c r="J10" s="8"/>
      <c r="K10" s="8"/>
      <c r="L10" s="8"/>
      <c r="M10" s="8"/>
      <c r="N10" s="8"/>
      <c r="O10" s="8">
        <f t="shared" si="0"/>
        <v>8400</v>
      </c>
      <c r="P10" s="10"/>
    </row>
    <row r="11" spans="1:17" ht="23.1" customHeight="1" x14ac:dyDescent="0.3">
      <c r="A11" s="6" t="s">
        <v>46</v>
      </c>
      <c r="B11" s="6" t="s">
        <v>47</v>
      </c>
      <c r="C11" s="7" t="s">
        <v>48</v>
      </c>
      <c r="D11" s="8"/>
      <c r="E11" s="8"/>
      <c r="F11" s="8">
        <v>169800</v>
      </c>
      <c r="G11" s="9" t="s">
        <v>49</v>
      </c>
      <c r="H11" s="8"/>
      <c r="I11" s="8">
        <v>210000</v>
      </c>
      <c r="J11" s="9" t="s">
        <v>50</v>
      </c>
      <c r="K11" s="8">
        <v>169800</v>
      </c>
      <c r="L11" s="9" t="s">
        <v>51</v>
      </c>
      <c r="M11" s="8"/>
      <c r="N11" s="8"/>
      <c r="O11" s="8">
        <f t="shared" si="0"/>
        <v>169800</v>
      </c>
      <c r="P11" s="10"/>
    </row>
    <row r="12" spans="1:17" ht="23.1" customHeight="1" x14ac:dyDescent="0.3">
      <c r="A12" s="6" t="s">
        <v>52</v>
      </c>
      <c r="B12" s="6" t="s">
        <v>53</v>
      </c>
      <c r="C12" s="7" t="s">
        <v>54</v>
      </c>
      <c r="D12" s="8"/>
      <c r="E12" s="8"/>
      <c r="F12" s="8">
        <v>20400</v>
      </c>
      <c r="G12" s="9" t="s">
        <v>55</v>
      </c>
      <c r="H12" s="8"/>
      <c r="I12" s="8"/>
      <c r="J12" s="8"/>
      <c r="K12" s="8">
        <v>18180</v>
      </c>
      <c r="L12" s="9" t="s">
        <v>56</v>
      </c>
      <c r="M12" s="8"/>
      <c r="N12" s="8"/>
      <c r="O12" s="8">
        <f t="shared" si="0"/>
        <v>18180</v>
      </c>
      <c r="P12" s="10"/>
    </row>
    <row r="13" spans="1:17" ht="23.1" customHeight="1" x14ac:dyDescent="0.3">
      <c r="A13" s="6" t="s">
        <v>52</v>
      </c>
      <c r="B13" s="6" t="s">
        <v>57</v>
      </c>
      <c r="C13" s="7" t="s">
        <v>58</v>
      </c>
      <c r="D13" s="8"/>
      <c r="E13" s="8"/>
      <c r="F13" s="8"/>
      <c r="G13" s="8"/>
      <c r="H13" s="8"/>
      <c r="I13" s="8">
        <v>9500</v>
      </c>
      <c r="J13" s="9" t="s">
        <v>59</v>
      </c>
      <c r="K13" s="8"/>
      <c r="L13" s="8"/>
      <c r="M13" s="8"/>
      <c r="N13" s="8"/>
      <c r="O13" s="8">
        <f t="shared" si="0"/>
        <v>9500</v>
      </c>
      <c r="P13" s="6" t="s">
        <v>60</v>
      </c>
    </row>
    <row r="14" spans="1:17" ht="23.1" customHeight="1" x14ac:dyDescent="0.3">
      <c r="A14" s="6" t="s">
        <v>52</v>
      </c>
      <c r="B14" s="6" t="s">
        <v>61</v>
      </c>
      <c r="C14" s="7" t="s">
        <v>58</v>
      </c>
      <c r="D14" s="8">
        <v>32000</v>
      </c>
      <c r="E14" s="9" t="s">
        <v>62</v>
      </c>
      <c r="F14" s="8">
        <v>41700</v>
      </c>
      <c r="G14" s="9" t="s">
        <v>55</v>
      </c>
      <c r="H14" s="8">
        <v>27402</v>
      </c>
      <c r="I14" s="8">
        <v>30000</v>
      </c>
      <c r="J14" s="9" t="s">
        <v>59</v>
      </c>
      <c r="K14" s="8">
        <v>30300</v>
      </c>
      <c r="L14" s="9" t="s">
        <v>56</v>
      </c>
      <c r="M14" s="8"/>
      <c r="N14" s="8"/>
      <c r="O14" s="8">
        <f t="shared" si="0"/>
        <v>27402</v>
      </c>
      <c r="P14" s="6" t="s">
        <v>63</v>
      </c>
    </row>
    <row r="15" spans="1:17" ht="23.1" customHeight="1" x14ac:dyDescent="0.3">
      <c r="A15" s="6" t="s">
        <v>52</v>
      </c>
      <c r="B15" s="6" t="s">
        <v>64</v>
      </c>
      <c r="C15" s="7" t="s">
        <v>58</v>
      </c>
      <c r="D15" s="8"/>
      <c r="E15" s="8"/>
      <c r="F15" s="8"/>
      <c r="G15" s="8"/>
      <c r="H15" s="8">
        <v>1440</v>
      </c>
      <c r="I15" s="8"/>
      <c r="J15" s="8"/>
      <c r="K15" s="8"/>
      <c r="L15" s="8"/>
      <c r="M15" s="8"/>
      <c r="N15" s="8"/>
      <c r="O15" s="8">
        <f t="shared" si="0"/>
        <v>1440</v>
      </c>
      <c r="P15" s="10"/>
    </row>
    <row r="16" spans="1:17" ht="23.1" customHeight="1" x14ac:dyDescent="0.3">
      <c r="A16" s="6" t="s">
        <v>52</v>
      </c>
      <c r="B16" s="6" t="s">
        <v>65</v>
      </c>
      <c r="C16" s="7" t="s">
        <v>58</v>
      </c>
      <c r="D16" s="8"/>
      <c r="E16" s="8"/>
      <c r="F16" s="8"/>
      <c r="G16" s="8"/>
      <c r="H16" s="8">
        <v>2100</v>
      </c>
      <c r="I16" s="8"/>
      <c r="J16" s="8"/>
      <c r="K16" s="8"/>
      <c r="L16" s="8"/>
      <c r="M16" s="8"/>
      <c r="N16" s="8"/>
      <c r="O16" s="8">
        <f t="shared" si="0"/>
        <v>2100</v>
      </c>
      <c r="P16" s="10"/>
    </row>
    <row r="17" spans="1:16" ht="23.1" customHeight="1" x14ac:dyDescent="0.3">
      <c r="A17" s="6" t="s">
        <v>52</v>
      </c>
      <c r="B17" s="6" t="s">
        <v>66</v>
      </c>
      <c r="C17" s="7" t="s">
        <v>58</v>
      </c>
      <c r="D17" s="8"/>
      <c r="E17" s="8"/>
      <c r="F17" s="8"/>
      <c r="G17" s="8"/>
      <c r="H17" s="8">
        <v>5700</v>
      </c>
      <c r="I17" s="8"/>
      <c r="J17" s="8"/>
      <c r="K17" s="8"/>
      <c r="L17" s="8"/>
      <c r="M17" s="8"/>
      <c r="N17" s="8"/>
      <c r="O17" s="8">
        <f t="shared" si="0"/>
        <v>5700</v>
      </c>
      <c r="P17" s="10"/>
    </row>
    <row r="18" spans="1:16" ht="23.1" customHeight="1" x14ac:dyDescent="0.3">
      <c r="A18" s="6" t="s">
        <v>52</v>
      </c>
      <c r="B18" s="6" t="s">
        <v>67</v>
      </c>
      <c r="C18" s="7" t="s">
        <v>58</v>
      </c>
      <c r="D18" s="8">
        <v>28000</v>
      </c>
      <c r="E18" s="9" t="s">
        <v>62</v>
      </c>
      <c r="F18" s="8">
        <v>40200</v>
      </c>
      <c r="G18" s="9" t="s">
        <v>55</v>
      </c>
      <c r="H18" s="8"/>
      <c r="I18" s="8">
        <v>25000</v>
      </c>
      <c r="J18" s="9" t="s">
        <v>59</v>
      </c>
      <c r="K18" s="8">
        <v>26760</v>
      </c>
      <c r="L18" s="9" t="s">
        <v>56</v>
      </c>
      <c r="M18" s="8"/>
      <c r="N18" s="8"/>
      <c r="O18" s="8">
        <f t="shared" si="0"/>
        <v>25000</v>
      </c>
      <c r="P18" s="6" t="s">
        <v>68</v>
      </c>
    </row>
    <row r="19" spans="1:16" ht="23.1" customHeight="1" x14ac:dyDescent="0.3">
      <c r="A19" s="6" t="s">
        <v>52</v>
      </c>
      <c r="B19" s="6" t="s">
        <v>69</v>
      </c>
      <c r="C19" s="7" t="s">
        <v>58</v>
      </c>
      <c r="D19" s="8">
        <v>1700</v>
      </c>
      <c r="E19" s="9" t="s">
        <v>62</v>
      </c>
      <c r="F19" s="8"/>
      <c r="G19" s="8"/>
      <c r="H19" s="8">
        <v>1330</v>
      </c>
      <c r="I19" s="8">
        <v>1400</v>
      </c>
      <c r="J19" s="9" t="s">
        <v>59</v>
      </c>
      <c r="K19" s="8">
        <v>1610</v>
      </c>
      <c r="L19" s="9" t="s">
        <v>56</v>
      </c>
      <c r="M19" s="8"/>
      <c r="N19" s="8"/>
      <c r="O19" s="8">
        <f t="shared" si="0"/>
        <v>1330</v>
      </c>
      <c r="P19" s="10"/>
    </row>
    <row r="20" spans="1:16" ht="23.1" customHeight="1" x14ac:dyDescent="0.3">
      <c r="A20" s="6" t="s">
        <v>52</v>
      </c>
      <c r="B20" s="6" t="s">
        <v>70</v>
      </c>
      <c r="C20" s="7" t="s">
        <v>58</v>
      </c>
      <c r="D20" s="8">
        <v>12000</v>
      </c>
      <c r="E20" s="9" t="s">
        <v>62</v>
      </c>
      <c r="F20" s="8">
        <v>14300</v>
      </c>
      <c r="G20" s="9" t="s">
        <v>55</v>
      </c>
      <c r="H20" s="8"/>
      <c r="I20" s="8">
        <v>11000</v>
      </c>
      <c r="J20" s="9" t="s">
        <v>59</v>
      </c>
      <c r="K20" s="8">
        <v>11610</v>
      </c>
      <c r="L20" s="9" t="s">
        <v>56</v>
      </c>
      <c r="M20" s="8"/>
      <c r="N20" s="8"/>
      <c r="O20" s="8">
        <f t="shared" si="0"/>
        <v>11000</v>
      </c>
      <c r="P20" s="6" t="s">
        <v>71</v>
      </c>
    </row>
    <row r="21" spans="1:16" ht="23.1" customHeight="1" x14ac:dyDescent="0.3">
      <c r="A21" s="6" t="s">
        <v>72</v>
      </c>
      <c r="B21" s="6" t="s">
        <v>73</v>
      </c>
      <c r="C21" s="7" t="s">
        <v>74</v>
      </c>
      <c r="D21" s="8">
        <v>2600</v>
      </c>
      <c r="E21" s="9" t="s">
        <v>75</v>
      </c>
      <c r="F21" s="8"/>
      <c r="G21" s="8"/>
      <c r="H21" s="8"/>
      <c r="I21" s="8"/>
      <c r="J21" s="8"/>
      <c r="K21" s="8">
        <v>2400</v>
      </c>
      <c r="L21" s="9" t="s">
        <v>76</v>
      </c>
      <c r="M21" s="8"/>
      <c r="N21" s="8"/>
      <c r="O21" s="8">
        <f t="shared" si="0"/>
        <v>2400</v>
      </c>
      <c r="P21" s="6" t="s">
        <v>77</v>
      </c>
    </row>
    <row r="22" spans="1:16" ht="23.1" customHeight="1" x14ac:dyDescent="0.3">
      <c r="A22" s="6" t="s">
        <v>78</v>
      </c>
      <c r="B22" s="6" t="s">
        <v>79</v>
      </c>
      <c r="C22" s="7" t="s">
        <v>74</v>
      </c>
      <c r="D22" s="8">
        <v>2962</v>
      </c>
      <c r="E22" s="9" t="s">
        <v>80</v>
      </c>
      <c r="F22" s="8">
        <v>3086</v>
      </c>
      <c r="G22" s="9" t="s">
        <v>44</v>
      </c>
      <c r="H22" s="8"/>
      <c r="I22" s="8">
        <v>2962</v>
      </c>
      <c r="J22" s="9" t="s">
        <v>81</v>
      </c>
      <c r="K22" s="8">
        <v>3177</v>
      </c>
      <c r="L22" s="9" t="s">
        <v>82</v>
      </c>
      <c r="M22" s="8"/>
      <c r="N22" s="8"/>
      <c r="O22" s="8">
        <f t="shared" si="0"/>
        <v>2962</v>
      </c>
      <c r="P22" s="10"/>
    </row>
    <row r="23" spans="1:16" ht="23.1" customHeight="1" x14ac:dyDescent="0.3">
      <c r="A23" s="6" t="s">
        <v>83</v>
      </c>
      <c r="B23" s="6" t="s">
        <v>84</v>
      </c>
      <c r="C23" s="7" t="s">
        <v>19</v>
      </c>
      <c r="D23" s="8"/>
      <c r="E23" s="8"/>
      <c r="F23" s="8"/>
      <c r="G23" s="8"/>
      <c r="H23" s="8">
        <v>3301</v>
      </c>
      <c r="I23" s="8">
        <v>4666.66</v>
      </c>
      <c r="J23" s="9" t="s">
        <v>85</v>
      </c>
      <c r="K23" s="8">
        <v>3722.22</v>
      </c>
      <c r="L23" s="9" t="s">
        <v>86</v>
      </c>
      <c r="M23" s="8"/>
      <c r="N23" s="8"/>
      <c r="O23" s="8">
        <f t="shared" si="0"/>
        <v>3301</v>
      </c>
      <c r="P23" s="10"/>
    </row>
    <row r="24" spans="1:16" ht="23.1" customHeight="1" x14ac:dyDescent="0.3">
      <c r="A24" s="6" t="s">
        <v>87</v>
      </c>
      <c r="B24" s="6" t="s">
        <v>88</v>
      </c>
      <c r="C24" s="7" t="s">
        <v>19</v>
      </c>
      <c r="D24" s="8">
        <v>3446</v>
      </c>
      <c r="E24" s="9" t="s">
        <v>44</v>
      </c>
      <c r="F24" s="8">
        <v>2708</v>
      </c>
      <c r="G24" s="9" t="s">
        <v>45</v>
      </c>
      <c r="H24" s="8">
        <v>3198</v>
      </c>
      <c r="I24" s="8">
        <v>3583</v>
      </c>
      <c r="J24" s="9" t="s">
        <v>85</v>
      </c>
      <c r="K24" s="8">
        <v>3583</v>
      </c>
      <c r="L24" s="9" t="s">
        <v>89</v>
      </c>
      <c r="M24" s="8"/>
      <c r="N24" s="8"/>
      <c r="O24" s="8">
        <f t="shared" si="0"/>
        <v>2708</v>
      </c>
      <c r="P24" s="10"/>
    </row>
    <row r="25" spans="1:16" ht="23.1" customHeight="1" x14ac:dyDescent="0.3">
      <c r="A25" s="6" t="s">
        <v>90</v>
      </c>
      <c r="B25" s="6" t="s">
        <v>91</v>
      </c>
      <c r="C25" s="7" t="s">
        <v>92</v>
      </c>
      <c r="D25" s="8">
        <v>3500</v>
      </c>
      <c r="E25" s="9" t="s">
        <v>93</v>
      </c>
      <c r="F25" s="8">
        <v>5222</v>
      </c>
      <c r="G25" s="9" t="s">
        <v>94</v>
      </c>
      <c r="H25" s="8">
        <v>3500</v>
      </c>
      <c r="I25" s="8">
        <v>5222</v>
      </c>
      <c r="J25" s="9" t="s">
        <v>95</v>
      </c>
      <c r="K25" s="8">
        <v>5222</v>
      </c>
      <c r="L25" s="9" t="s">
        <v>96</v>
      </c>
      <c r="M25" s="8"/>
      <c r="N25" s="8"/>
      <c r="O25" s="8">
        <f t="shared" si="0"/>
        <v>3500</v>
      </c>
      <c r="P25" s="10"/>
    </row>
    <row r="26" spans="1:16" ht="23.1" customHeight="1" x14ac:dyDescent="0.3">
      <c r="A26" s="6" t="s">
        <v>97</v>
      </c>
      <c r="B26" s="6" t="s">
        <v>98</v>
      </c>
      <c r="C26" s="7" t="s">
        <v>25</v>
      </c>
      <c r="D26" s="8"/>
      <c r="E26" s="8"/>
      <c r="F26" s="8"/>
      <c r="G26" s="8"/>
      <c r="H26" s="8"/>
      <c r="I26" s="8">
        <v>3192</v>
      </c>
      <c r="J26" s="9" t="s">
        <v>99</v>
      </c>
      <c r="K26" s="8">
        <v>3192</v>
      </c>
      <c r="L26" s="9" t="s">
        <v>100</v>
      </c>
      <c r="M26" s="8"/>
      <c r="N26" s="8"/>
      <c r="O26" s="8">
        <f t="shared" si="0"/>
        <v>3192</v>
      </c>
      <c r="P26" s="6" t="s">
        <v>101</v>
      </c>
    </row>
    <row r="27" spans="1:16" ht="23.1" customHeight="1" x14ac:dyDescent="0.3">
      <c r="A27" s="6" t="s">
        <v>102</v>
      </c>
      <c r="B27" s="6" t="s">
        <v>103</v>
      </c>
      <c r="C27" s="7" t="s">
        <v>104</v>
      </c>
      <c r="D27" s="8"/>
      <c r="E27" s="8"/>
      <c r="F27" s="8"/>
      <c r="G27" s="8"/>
      <c r="H27" s="8">
        <v>2373</v>
      </c>
      <c r="I27" s="8"/>
      <c r="J27" s="8"/>
      <c r="K27" s="8"/>
      <c r="L27" s="8"/>
      <c r="M27" s="8"/>
      <c r="N27" s="8"/>
      <c r="O27" s="8">
        <f t="shared" si="0"/>
        <v>2373</v>
      </c>
      <c r="P27" s="10"/>
    </row>
    <row r="28" spans="1:16" ht="23.1" customHeight="1" x14ac:dyDescent="0.3">
      <c r="A28" s="6" t="s">
        <v>105</v>
      </c>
      <c r="B28" s="6" t="s">
        <v>106</v>
      </c>
      <c r="C28" s="7" t="s">
        <v>34</v>
      </c>
      <c r="D28" s="8">
        <v>49630</v>
      </c>
      <c r="E28" s="9" t="s">
        <v>107</v>
      </c>
      <c r="F28" s="8"/>
      <c r="G28" s="8"/>
      <c r="H28" s="8"/>
      <c r="I28" s="8"/>
      <c r="J28" s="8"/>
      <c r="K28" s="8"/>
      <c r="L28" s="8"/>
      <c r="M28" s="8"/>
      <c r="N28" s="8"/>
      <c r="O28" s="8">
        <f t="shared" si="0"/>
        <v>49630</v>
      </c>
      <c r="P28" s="6" t="s">
        <v>108</v>
      </c>
    </row>
    <row r="29" spans="1:16" ht="23.1" customHeight="1" x14ac:dyDescent="0.3">
      <c r="A29" s="6" t="s">
        <v>109</v>
      </c>
      <c r="B29" s="6" t="s">
        <v>110</v>
      </c>
      <c r="C29" s="7" t="s">
        <v>34</v>
      </c>
      <c r="D29" s="8">
        <v>30000</v>
      </c>
      <c r="E29" s="9" t="s">
        <v>111</v>
      </c>
      <c r="F29" s="8"/>
      <c r="G29" s="8"/>
      <c r="H29" s="8"/>
      <c r="I29" s="8"/>
      <c r="J29" s="8"/>
      <c r="K29" s="8"/>
      <c r="L29" s="8"/>
      <c r="M29" s="8"/>
      <c r="N29" s="8"/>
      <c r="O29" s="8">
        <f t="shared" si="0"/>
        <v>30000</v>
      </c>
      <c r="P29" s="10"/>
    </row>
    <row r="30" spans="1:16" ht="23.1" customHeight="1" x14ac:dyDescent="0.3">
      <c r="A30" s="6" t="s">
        <v>112</v>
      </c>
      <c r="B30" s="6" t="s">
        <v>113</v>
      </c>
      <c r="C30" s="7" t="s">
        <v>114</v>
      </c>
      <c r="D30" s="8">
        <v>9440</v>
      </c>
      <c r="E30" s="9" t="s">
        <v>115</v>
      </c>
      <c r="F30" s="8">
        <v>10387</v>
      </c>
      <c r="G30" s="9" t="s">
        <v>116</v>
      </c>
      <c r="H30" s="8">
        <v>9930</v>
      </c>
      <c r="I30" s="8">
        <v>9360</v>
      </c>
      <c r="J30" s="9" t="s">
        <v>117</v>
      </c>
      <c r="K30" s="8">
        <v>10290</v>
      </c>
      <c r="L30" s="9" t="s">
        <v>118</v>
      </c>
      <c r="M30" s="8"/>
      <c r="N30" s="8"/>
      <c r="O30" s="8">
        <f t="shared" si="0"/>
        <v>9360</v>
      </c>
      <c r="P30" s="6" t="s">
        <v>119</v>
      </c>
    </row>
    <row r="31" spans="1:16" ht="23.1" customHeight="1" x14ac:dyDescent="0.3">
      <c r="A31" s="6" t="s">
        <v>120</v>
      </c>
      <c r="B31" s="6" t="s">
        <v>121</v>
      </c>
      <c r="C31" s="7" t="s">
        <v>122</v>
      </c>
      <c r="D31" s="8"/>
      <c r="E31" s="8"/>
      <c r="F31" s="8"/>
      <c r="G31" s="8"/>
      <c r="H31" s="8">
        <v>1067</v>
      </c>
      <c r="I31" s="8"/>
      <c r="J31" s="8"/>
      <c r="K31" s="8"/>
      <c r="L31" s="8"/>
      <c r="M31" s="8"/>
      <c r="N31" s="8"/>
      <c r="O31" s="8">
        <f t="shared" si="0"/>
        <v>1067</v>
      </c>
      <c r="P31" s="10"/>
    </row>
    <row r="32" spans="1:16" ht="23.1" customHeight="1" x14ac:dyDescent="0.3">
      <c r="A32" s="6" t="s">
        <v>123</v>
      </c>
      <c r="B32" s="6" t="s">
        <v>124</v>
      </c>
      <c r="C32" s="7" t="s">
        <v>74</v>
      </c>
      <c r="D32" s="8">
        <v>255</v>
      </c>
      <c r="E32" s="9" t="s">
        <v>75</v>
      </c>
      <c r="F32" s="8"/>
      <c r="G32" s="8"/>
      <c r="H32" s="8">
        <v>242</v>
      </c>
      <c r="I32" s="8">
        <v>296</v>
      </c>
      <c r="J32" s="9" t="s">
        <v>125</v>
      </c>
      <c r="K32" s="8"/>
      <c r="L32" s="8"/>
      <c r="M32" s="8"/>
      <c r="N32" s="8"/>
      <c r="O32" s="8">
        <f t="shared" si="0"/>
        <v>242</v>
      </c>
      <c r="P32" s="10"/>
    </row>
    <row r="33" spans="1:16" ht="23.1" customHeight="1" x14ac:dyDescent="0.3">
      <c r="A33" s="6" t="s">
        <v>126</v>
      </c>
      <c r="B33" s="6" t="s">
        <v>127</v>
      </c>
      <c r="C33" s="7" t="s">
        <v>104</v>
      </c>
      <c r="D33" s="8"/>
      <c r="E33" s="8"/>
      <c r="F33" s="8">
        <v>2231</v>
      </c>
      <c r="G33" s="9" t="s">
        <v>128</v>
      </c>
      <c r="H33" s="8">
        <v>1365</v>
      </c>
      <c r="I33" s="8"/>
      <c r="J33" s="8"/>
      <c r="K33" s="8">
        <v>2231</v>
      </c>
      <c r="L33" s="9" t="s">
        <v>129</v>
      </c>
      <c r="M33" s="8"/>
      <c r="N33" s="8"/>
      <c r="O33" s="8">
        <f t="shared" si="0"/>
        <v>1365</v>
      </c>
      <c r="P33" s="6" t="s">
        <v>130</v>
      </c>
    </row>
    <row r="34" spans="1:16" ht="23.1" customHeight="1" x14ac:dyDescent="0.3">
      <c r="A34" s="6" t="s">
        <v>131</v>
      </c>
      <c r="B34" s="6" t="s">
        <v>132</v>
      </c>
      <c r="C34" s="7" t="s">
        <v>104</v>
      </c>
      <c r="D34" s="8"/>
      <c r="E34" s="8"/>
      <c r="F34" s="8">
        <v>3030</v>
      </c>
      <c r="G34" s="9" t="s">
        <v>133</v>
      </c>
      <c r="H34" s="8"/>
      <c r="I34" s="8"/>
      <c r="J34" s="8"/>
      <c r="K34" s="8"/>
      <c r="L34" s="8"/>
      <c r="M34" s="8"/>
      <c r="N34" s="8"/>
      <c r="O34" s="8">
        <f t="shared" si="0"/>
        <v>3030</v>
      </c>
      <c r="P34" s="6" t="s">
        <v>134</v>
      </c>
    </row>
    <row r="35" spans="1:16" ht="23.1" customHeight="1" x14ac:dyDescent="0.3">
      <c r="A35" s="6" t="s">
        <v>135</v>
      </c>
      <c r="B35" s="6" t="s">
        <v>136</v>
      </c>
      <c r="C35" s="7" t="s">
        <v>74</v>
      </c>
      <c r="D35" s="8"/>
      <c r="E35" s="8"/>
      <c r="F35" s="8">
        <v>7500</v>
      </c>
      <c r="G35" s="9" t="s">
        <v>137</v>
      </c>
      <c r="H35" s="8"/>
      <c r="I35" s="8"/>
      <c r="J35" s="8"/>
      <c r="K35" s="8">
        <v>7500</v>
      </c>
      <c r="L35" s="9" t="s">
        <v>138</v>
      </c>
      <c r="M35" s="8"/>
      <c r="N35" s="8"/>
      <c r="O35" s="8">
        <f t="shared" si="0"/>
        <v>7500</v>
      </c>
      <c r="P35" s="10"/>
    </row>
    <row r="36" spans="1:16" ht="23.1" customHeight="1" x14ac:dyDescent="0.3">
      <c r="A36" s="6" t="s">
        <v>139</v>
      </c>
      <c r="B36" s="6" t="s">
        <v>140</v>
      </c>
      <c r="C36" s="7" t="s">
        <v>34</v>
      </c>
      <c r="D36" s="8">
        <v>4770</v>
      </c>
      <c r="E36" s="9" t="s">
        <v>141</v>
      </c>
      <c r="F36" s="8"/>
      <c r="G36" s="8"/>
      <c r="H36" s="8"/>
      <c r="I36" s="8"/>
      <c r="J36" s="8"/>
      <c r="K36" s="8"/>
      <c r="L36" s="8"/>
      <c r="M36" s="8"/>
      <c r="N36" s="8"/>
      <c r="O36" s="8">
        <f t="shared" si="0"/>
        <v>4770</v>
      </c>
      <c r="P36" s="10"/>
    </row>
    <row r="37" spans="1:16" ht="23.1" customHeight="1" x14ac:dyDescent="0.3">
      <c r="A37" s="6" t="s">
        <v>142</v>
      </c>
      <c r="B37" s="6" t="s">
        <v>143</v>
      </c>
      <c r="C37" s="7" t="s">
        <v>144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>
        <v>283323</v>
      </c>
      <c r="O37" s="8">
        <f t="shared" ref="O37:O51" si="1">N37</f>
        <v>283323</v>
      </c>
      <c r="P37" s="6" t="s">
        <v>145</v>
      </c>
    </row>
    <row r="38" spans="1:16" ht="23.1" customHeight="1" x14ac:dyDescent="0.3">
      <c r="A38" s="6" t="s">
        <v>146</v>
      </c>
      <c r="B38" s="6" t="s">
        <v>143</v>
      </c>
      <c r="C38" s="7" t="s">
        <v>144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>
        <v>282990</v>
      </c>
      <c r="O38" s="8">
        <f t="shared" si="1"/>
        <v>282990</v>
      </c>
      <c r="P38" s="10"/>
    </row>
    <row r="39" spans="1:16" ht="23.1" customHeight="1" x14ac:dyDescent="0.3">
      <c r="A39" s="6" t="s">
        <v>147</v>
      </c>
      <c r="B39" s="6" t="s">
        <v>143</v>
      </c>
      <c r="C39" s="7" t="s">
        <v>144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>
        <v>258904</v>
      </c>
      <c r="O39" s="8">
        <f t="shared" si="1"/>
        <v>258904</v>
      </c>
      <c r="P39" s="10"/>
    </row>
    <row r="40" spans="1:16" ht="23.1" customHeight="1" x14ac:dyDescent="0.3">
      <c r="A40" s="6" t="s">
        <v>148</v>
      </c>
      <c r="B40" s="6" t="s">
        <v>143</v>
      </c>
      <c r="C40" s="7" t="s">
        <v>144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>
        <v>208140</v>
      </c>
      <c r="O40" s="8">
        <f t="shared" si="1"/>
        <v>208140</v>
      </c>
      <c r="P40" s="6" t="s">
        <v>149</v>
      </c>
    </row>
    <row r="41" spans="1:16" ht="23.1" customHeight="1" x14ac:dyDescent="0.3">
      <c r="A41" s="6" t="s">
        <v>150</v>
      </c>
      <c r="B41" s="6" t="s">
        <v>143</v>
      </c>
      <c r="C41" s="7" t="s">
        <v>144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>
        <v>229833</v>
      </c>
      <c r="O41" s="8">
        <f t="shared" si="1"/>
        <v>229833</v>
      </c>
      <c r="P41" s="10"/>
    </row>
    <row r="42" spans="1:16" ht="23.1" customHeight="1" x14ac:dyDescent="0.3">
      <c r="A42" s="6" t="s">
        <v>151</v>
      </c>
      <c r="B42" s="6" t="s">
        <v>143</v>
      </c>
      <c r="C42" s="7" t="s">
        <v>144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>
        <v>268225</v>
      </c>
      <c r="O42" s="8">
        <f t="shared" si="1"/>
        <v>268225</v>
      </c>
      <c r="P42" s="10"/>
    </row>
    <row r="43" spans="1:16" ht="23.1" customHeight="1" x14ac:dyDescent="0.3">
      <c r="A43" s="6" t="s">
        <v>152</v>
      </c>
      <c r="B43" s="6" t="s">
        <v>143</v>
      </c>
      <c r="C43" s="7" t="s">
        <v>144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>
        <v>233163</v>
      </c>
      <c r="O43" s="8">
        <f t="shared" si="1"/>
        <v>233163</v>
      </c>
      <c r="P43" s="10"/>
    </row>
    <row r="44" spans="1:16" ht="23.1" customHeight="1" x14ac:dyDescent="0.3">
      <c r="A44" s="6" t="s">
        <v>153</v>
      </c>
      <c r="B44" s="6" t="s">
        <v>143</v>
      </c>
      <c r="C44" s="7" t="s">
        <v>144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>
        <v>172698</v>
      </c>
      <c r="O44" s="8">
        <f t="shared" si="1"/>
        <v>172698</v>
      </c>
      <c r="P44" s="10"/>
    </row>
    <row r="45" spans="1:16" ht="23.1" customHeight="1" x14ac:dyDescent="0.3">
      <c r="A45" s="6" t="s">
        <v>154</v>
      </c>
      <c r="B45" s="6" t="s">
        <v>143</v>
      </c>
      <c r="C45" s="7" t="s">
        <v>144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>
        <v>284440</v>
      </c>
      <c r="O45" s="8">
        <f t="shared" si="1"/>
        <v>284440</v>
      </c>
      <c r="P45" s="10"/>
    </row>
    <row r="46" spans="1:16" ht="23.1" customHeight="1" x14ac:dyDescent="0.3">
      <c r="A46" s="6" t="s">
        <v>155</v>
      </c>
      <c r="B46" s="6" t="s">
        <v>143</v>
      </c>
      <c r="C46" s="7" t="s">
        <v>144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>
        <v>286330</v>
      </c>
      <c r="O46" s="8">
        <f t="shared" si="1"/>
        <v>286330</v>
      </c>
      <c r="P46" s="6" t="s">
        <v>156</v>
      </c>
    </row>
    <row r="47" spans="1:16" ht="23.1" customHeight="1" x14ac:dyDescent="0.3">
      <c r="A47" s="6" t="s">
        <v>157</v>
      </c>
      <c r="B47" s="6" t="s">
        <v>143</v>
      </c>
      <c r="C47" s="7" t="s">
        <v>144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>
        <v>175703</v>
      </c>
      <c r="O47" s="8">
        <f t="shared" si="1"/>
        <v>175703</v>
      </c>
      <c r="P47" s="6" t="s">
        <v>158</v>
      </c>
    </row>
    <row r="48" spans="1:16" ht="23.1" customHeight="1" x14ac:dyDescent="0.3">
      <c r="A48" s="6" t="s">
        <v>159</v>
      </c>
      <c r="B48" s="6" t="s">
        <v>143</v>
      </c>
      <c r="C48" s="7" t="s">
        <v>144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>
        <v>235540</v>
      </c>
      <c r="O48" s="8">
        <f t="shared" si="1"/>
        <v>235540</v>
      </c>
      <c r="P48" s="10"/>
    </row>
    <row r="49" spans="1:16" ht="23.1" customHeight="1" x14ac:dyDescent="0.3">
      <c r="A49" s="6" t="s">
        <v>160</v>
      </c>
      <c r="B49" s="6" t="s">
        <v>143</v>
      </c>
      <c r="C49" s="7" t="s">
        <v>144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>
        <v>223246</v>
      </c>
      <c r="O49" s="8">
        <f t="shared" si="1"/>
        <v>223246</v>
      </c>
      <c r="P49" s="10"/>
    </row>
    <row r="50" spans="1:16" ht="23.1" customHeight="1" x14ac:dyDescent="0.3">
      <c r="A50" s="6" t="s">
        <v>161</v>
      </c>
      <c r="B50" s="6" t="s">
        <v>143</v>
      </c>
      <c r="C50" s="7" t="s">
        <v>144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>
        <v>243870</v>
      </c>
      <c r="O50" s="8">
        <f t="shared" si="1"/>
        <v>243870</v>
      </c>
      <c r="P50" s="10"/>
    </row>
    <row r="51" spans="1:16" ht="23.1" customHeight="1" x14ac:dyDescent="0.3">
      <c r="A51" s="6" t="s">
        <v>162</v>
      </c>
      <c r="B51" s="6" t="s">
        <v>143</v>
      </c>
      <c r="C51" s="7" t="s">
        <v>144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>
        <v>228717</v>
      </c>
      <c r="O51" s="8">
        <f t="shared" si="1"/>
        <v>228717</v>
      </c>
      <c r="P51" s="10"/>
    </row>
    <row r="52" spans="1:16" ht="23.1" customHeight="1" x14ac:dyDescent="0.3">
      <c r="A52" s="6" t="s">
        <v>163</v>
      </c>
      <c r="B52" s="6" t="s">
        <v>164</v>
      </c>
      <c r="C52" s="7" t="s">
        <v>165</v>
      </c>
      <c r="D52" s="8">
        <v>3890</v>
      </c>
      <c r="E52" s="9" t="s">
        <v>166</v>
      </c>
      <c r="F52" s="8"/>
      <c r="G52" s="8"/>
      <c r="H52" s="8"/>
      <c r="I52" s="8">
        <v>3890</v>
      </c>
      <c r="J52" s="9" t="s">
        <v>167</v>
      </c>
      <c r="K52" s="8">
        <v>3890</v>
      </c>
      <c r="L52" s="9" t="s">
        <v>168</v>
      </c>
      <c r="M52" s="8"/>
      <c r="N52" s="8"/>
      <c r="O52" s="8">
        <f t="shared" ref="O52:O61" si="2">MIN(D52,F52,H52,I52,K52,M52,N52)</f>
        <v>3890</v>
      </c>
      <c r="P52" s="6" t="s">
        <v>169</v>
      </c>
    </row>
    <row r="53" spans="1:16" ht="23.1" customHeight="1" x14ac:dyDescent="0.3">
      <c r="A53" s="6" t="s">
        <v>163</v>
      </c>
      <c r="B53" s="6" t="s">
        <v>170</v>
      </c>
      <c r="C53" s="7" t="s">
        <v>165</v>
      </c>
      <c r="D53" s="8">
        <v>6420</v>
      </c>
      <c r="E53" s="9" t="s">
        <v>166</v>
      </c>
      <c r="F53" s="8"/>
      <c r="G53" s="8"/>
      <c r="H53" s="8"/>
      <c r="I53" s="8">
        <v>6420</v>
      </c>
      <c r="J53" s="9" t="s">
        <v>167</v>
      </c>
      <c r="K53" s="8">
        <v>6420</v>
      </c>
      <c r="L53" s="9" t="s">
        <v>168</v>
      </c>
      <c r="M53" s="8"/>
      <c r="N53" s="8"/>
      <c r="O53" s="8">
        <f t="shared" si="2"/>
        <v>6420</v>
      </c>
      <c r="P53" s="6" t="s">
        <v>169</v>
      </c>
    </row>
    <row r="54" spans="1:16" ht="23.1" customHeight="1" x14ac:dyDescent="0.3">
      <c r="A54" s="6" t="s">
        <v>171</v>
      </c>
      <c r="B54" s="6" t="s">
        <v>172</v>
      </c>
      <c r="C54" s="7" t="s">
        <v>165</v>
      </c>
      <c r="D54" s="8">
        <v>16450</v>
      </c>
      <c r="E54" s="9" t="s">
        <v>166</v>
      </c>
      <c r="F54" s="8"/>
      <c r="G54" s="8"/>
      <c r="H54" s="8"/>
      <c r="I54" s="8">
        <v>16450</v>
      </c>
      <c r="J54" s="9" t="s">
        <v>167</v>
      </c>
      <c r="K54" s="8">
        <v>16450</v>
      </c>
      <c r="L54" s="9" t="s">
        <v>168</v>
      </c>
      <c r="M54" s="8"/>
      <c r="N54" s="8"/>
      <c r="O54" s="8">
        <f t="shared" si="2"/>
        <v>16450</v>
      </c>
      <c r="P54" s="6" t="s">
        <v>169</v>
      </c>
    </row>
    <row r="55" spans="1:16" ht="23.1" customHeight="1" x14ac:dyDescent="0.3">
      <c r="A55" s="6" t="s">
        <v>171</v>
      </c>
      <c r="B55" s="6" t="s">
        <v>173</v>
      </c>
      <c r="C55" s="7" t="s">
        <v>165</v>
      </c>
      <c r="D55" s="8">
        <v>61880</v>
      </c>
      <c r="E55" s="9" t="s">
        <v>166</v>
      </c>
      <c r="F55" s="8"/>
      <c r="G55" s="8"/>
      <c r="H55" s="8"/>
      <c r="I55" s="8">
        <v>61880</v>
      </c>
      <c r="J55" s="9" t="s">
        <v>167</v>
      </c>
      <c r="K55" s="8">
        <v>61880</v>
      </c>
      <c r="L55" s="9" t="s">
        <v>168</v>
      </c>
      <c r="M55" s="8"/>
      <c r="N55" s="8"/>
      <c r="O55" s="8">
        <f t="shared" si="2"/>
        <v>61880</v>
      </c>
      <c r="P55" s="6" t="s">
        <v>169</v>
      </c>
    </row>
    <row r="56" spans="1:16" ht="23.1" customHeight="1" x14ac:dyDescent="0.3">
      <c r="A56" s="6" t="s">
        <v>174</v>
      </c>
      <c r="B56" s="6" t="s">
        <v>175</v>
      </c>
      <c r="C56" s="7" t="s">
        <v>176</v>
      </c>
      <c r="D56" s="8"/>
      <c r="E56" s="8"/>
      <c r="F56" s="8"/>
      <c r="G56" s="8"/>
      <c r="H56" s="8"/>
      <c r="I56" s="8"/>
      <c r="J56" s="8"/>
      <c r="K56" s="8"/>
      <c r="L56" s="8"/>
      <c r="M56" s="8">
        <v>14224000</v>
      </c>
      <c r="N56" s="8"/>
      <c r="O56" s="8">
        <f t="shared" si="2"/>
        <v>14224000</v>
      </c>
      <c r="P56" s="6" t="s">
        <v>177</v>
      </c>
    </row>
    <row r="57" spans="1:16" ht="23.1" customHeight="1" x14ac:dyDescent="0.3">
      <c r="A57" s="6" t="s">
        <v>178</v>
      </c>
      <c r="B57" s="6" t="s">
        <v>179</v>
      </c>
      <c r="C57" s="7" t="s">
        <v>176</v>
      </c>
      <c r="D57" s="8"/>
      <c r="E57" s="8"/>
      <c r="F57" s="8"/>
      <c r="G57" s="8"/>
      <c r="H57" s="8"/>
      <c r="I57" s="8"/>
      <c r="J57" s="8"/>
      <c r="K57" s="8"/>
      <c r="L57" s="8"/>
      <c r="M57" s="8">
        <v>1976000</v>
      </c>
      <c r="N57" s="8"/>
      <c r="O57" s="8">
        <f t="shared" si="2"/>
        <v>1976000</v>
      </c>
      <c r="P57" s="6" t="s">
        <v>180</v>
      </c>
    </row>
    <row r="58" spans="1:16" ht="23.1" customHeight="1" x14ac:dyDescent="0.3">
      <c r="A58" s="6" t="s">
        <v>181</v>
      </c>
      <c r="B58" s="6" t="s">
        <v>182</v>
      </c>
      <c r="C58" s="7" t="s">
        <v>176</v>
      </c>
      <c r="D58" s="8"/>
      <c r="E58" s="8"/>
      <c r="F58" s="8"/>
      <c r="G58" s="8"/>
      <c r="H58" s="8"/>
      <c r="I58" s="8"/>
      <c r="J58" s="8"/>
      <c r="K58" s="8"/>
      <c r="L58" s="8"/>
      <c r="M58" s="8">
        <v>3249000</v>
      </c>
      <c r="N58" s="8"/>
      <c r="O58" s="8">
        <f t="shared" si="2"/>
        <v>3249000</v>
      </c>
      <c r="P58" s="6" t="s">
        <v>183</v>
      </c>
    </row>
    <row r="59" spans="1:16" ht="23.1" customHeight="1" x14ac:dyDescent="0.3">
      <c r="A59" s="6" t="s">
        <v>184</v>
      </c>
      <c r="B59" s="6" t="s">
        <v>185</v>
      </c>
      <c r="C59" s="7" t="s">
        <v>186</v>
      </c>
      <c r="D59" s="8">
        <v>49571</v>
      </c>
      <c r="E59" s="9" t="s">
        <v>187</v>
      </c>
      <c r="F59" s="8">
        <v>49571</v>
      </c>
      <c r="G59" s="9" t="s">
        <v>188</v>
      </c>
      <c r="H59" s="8"/>
      <c r="I59" s="8"/>
      <c r="J59" s="8"/>
      <c r="K59" s="8"/>
      <c r="L59" s="8"/>
      <c r="M59" s="8"/>
      <c r="N59" s="8"/>
      <c r="O59" s="8">
        <f t="shared" si="2"/>
        <v>49571</v>
      </c>
      <c r="P59" s="6" t="s">
        <v>189</v>
      </c>
    </row>
    <row r="60" spans="1:16" ht="23.1" customHeight="1" x14ac:dyDescent="0.3">
      <c r="A60" s="6" t="s">
        <v>190</v>
      </c>
      <c r="B60" s="6" t="s">
        <v>191</v>
      </c>
      <c r="C60" s="7" t="s">
        <v>165</v>
      </c>
      <c r="D60" s="8"/>
      <c r="E60" s="8"/>
      <c r="F60" s="8">
        <v>300000</v>
      </c>
      <c r="G60" s="9" t="s">
        <v>192</v>
      </c>
      <c r="H60" s="8"/>
      <c r="I60" s="8"/>
      <c r="J60" s="8"/>
      <c r="K60" s="8"/>
      <c r="L60" s="8"/>
      <c r="M60" s="8"/>
      <c r="N60" s="8"/>
      <c r="O60" s="8">
        <f t="shared" si="2"/>
        <v>300000</v>
      </c>
      <c r="P60" s="10"/>
    </row>
    <row r="61" spans="1:16" ht="23.1" customHeight="1" x14ac:dyDescent="0.3">
      <c r="A61" s="6" t="s">
        <v>193</v>
      </c>
      <c r="B61" s="6" t="s">
        <v>194</v>
      </c>
      <c r="C61" s="7" t="s">
        <v>165</v>
      </c>
      <c r="D61" s="8">
        <v>192887</v>
      </c>
      <c r="E61" s="9" t="s">
        <v>187</v>
      </c>
      <c r="F61" s="8">
        <v>192887</v>
      </c>
      <c r="G61" s="9" t="s">
        <v>188</v>
      </c>
      <c r="H61" s="8"/>
      <c r="I61" s="8">
        <v>192887</v>
      </c>
      <c r="J61" s="9" t="s">
        <v>195</v>
      </c>
      <c r="K61" s="8">
        <v>192887</v>
      </c>
      <c r="L61" s="9" t="s">
        <v>168</v>
      </c>
      <c r="M61" s="8"/>
      <c r="N61" s="8"/>
      <c r="O61" s="8">
        <f t="shared" si="2"/>
        <v>192887</v>
      </c>
      <c r="P61" s="6" t="s">
        <v>196</v>
      </c>
    </row>
    <row r="62" spans="1:16" ht="23.1" customHeight="1" x14ac:dyDescent="0.3">
      <c r="A62" s="10"/>
      <c r="B62" s="10"/>
      <c r="C62" s="11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10"/>
    </row>
    <row r="63" spans="1:16" ht="23.1" customHeight="1" x14ac:dyDescent="0.3">
      <c r="A63" s="10"/>
      <c r="B63" s="10"/>
      <c r="C63" s="11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10"/>
    </row>
    <row r="64" spans="1:16" ht="23.1" customHeight="1" x14ac:dyDescent="0.3">
      <c r="A64" s="10"/>
      <c r="B64" s="10"/>
      <c r="C64" s="11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10"/>
    </row>
    <row r="65" spans="1:16" ht="23.1" customHeight="1" x14ac:dyDescent="0.3">
      <c r="A65" s="10"/>
      <c r="B65" s="10"/>
      <c r="C65" s="11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10"/>
    </row>
    <row r="66" spans="1:16" ht="23.1" customHeight="1" x14ac:dyDescent="0.3">
      <c r="A66" s="10"/>
      <c r="B66" s="10"/>
      <c r="C66" s="11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10"/>
    </row>
    <row r="67" spans="1:16" ht="23.1" customHeight="1" x14ac:dyDescent="0.3">
      <c r="A67" s="10"/>
      <c r="B67" s="10"/>
      <c r="C67" s="11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10"/>
    </row>
    <row r="68" spans="1:16" ht="23.1" customHeight="1" x14ac:dyDescent="0.3">
      <c r="A68" s="10"/>
      <c r="B68" s="10"/>
      <c r="C68" s="11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10"/>
    </row>
  </sheetData>
  <mergeCells count="11">
    <mergeCell ref="K3:L3"/>
    <mergeCell ref="A1:P1"/>
    <mergeCell ref="A2:P2"/>
    <mergeCell ref="A3:A4"/>
    <mergeCell ref="B3:B4"/>
    <mergeCell ref="C3:C4"/>
    <mergeCell ref="O3:O4"/>
    <mergeCell ref="P3:P4"/>
    <mergeCell ref="D3:E3"/>
    <mergeCell ref="F3:G3"/>
    <mergeCell ref="I3:J3"/>
  </mergeCells>
  <phoneticPr fontId="1" type="noConversion"/>
  <conditionalFormatting sqref="A5:P68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  <rowBreaks count="4" manualBreakCount="4">
    <brk id="20" max="16383" man="1"/>
    <brk id="36" max="16383" man="1"/>
    <brk id="52" max="16383" man="1"/>
    <brk id="6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16</vt:i4>
      </vt:variant>
    </vt:vector>
  </HeadingPairs>
  <TitlesOfParts>
    <vt:vector size="25" baseType="lpstr">
      <vt:lpstr>원가계산서</vt:lpstr>
      <vt:lpstr>집계표</vt:lpstr>
      <vt:lpstr>내역서</vt:lpstr>
      <vt:lpstr>일위대가목록</vt:lpstr>
      <vt:lpstr>일위대가표</vt:lpstr>
      <vt:lpstr>중기경비목록</vt:lpstr>
      <vt:lpstr>중기경비</vt:lpstr>
      <vt:lpstr>단가대비표</vt:lpstr>
      <vt:lpstr>Sheet1</vt:lpstr>
      <vt:lpstr>내역서!Print_Area</vt:lpstr>
      <vt:lpstr>단가대비표!Print_Area</vt:lpstr>
      <vt:lpstr>원가계산서!Print_Area</vt:lpstr>
      <vt:lpstr>일위대가목록!Print_Area</vt:lpstr>
      <vt:lpstr>일위대가표!Print_Area</vt:lpstr>
      <vt:lpstr>중기경비!Print_Area</vt:lpstr>
      <vt:lpstr>중기경비목록!Print_Area</vt:lpstr>
      <vt:lpstr>집계표!Print_Area</vt:lpstr>
      <vt:lpstr>내역서!Print_Titles</vt:lpstr>
      <vt:lpstr>단가대비표!Print_Titles</vt:lpstr>
      <vt:lpstr>원가계산서!Print_Titles</vt:lpstr>
      <vt:lpstr>일위대가목록!Print_Titles</vt:lpstr>
      <vt:lpstr>일위대가표!Print_Titles</vt:lpstr>
      <vt:lpstr>중기경비!Print_Titles</vt:lpstr>
      <vt:lpstr>중기경비목록!Print_Titles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wolfNfox</cp:lastModifiedBy>
  <cp:lastPrinted>2026-10-15T07:31:14Z</cp:lastPrinted>
  <dcterms:created xsi:type="dcterms:W3CDTF">2026-10-07T03:18:14Z</dcterms:created>
  <dcterms:modified xsi:type="dcterms:W3CDTF">2026-10-15T07:34:46Z</dcterms:modified>
</cp:coreProperties>
</file>