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am\Desktop\2027년 모니터링\발주관련\"/>
    </mc:Choice>
  </mc:AlternateContent>
  <xr:revisionPtr revIDLastSave="0" documentId="8_{76B440AA-4C61-4B4B-AABF-59DB069B28A6}" xr6:coauthVersionLast="47" xr6:coauthVersionMax="47" xr10:uidLastSave="{00000000-0000-0000-0000-000000000000}"/>
  <bookViews>
    <workbookView xWindow="-25995" yWindow="1140" windowWidth="27105" windowHeight="14055" tabRatio="907" xr2:uid="{00000000-000D-0000-FFFF-FFFF00000000}"/>
  </bookViews>
  <sheets>
    <sheet name="결재" sheetId="10" r:id="rId1"/>
    <sheet name="원가계산서" sheetId="1" r:id="rId2"/>
    <sheet name="현장대리인 내역서(총괄)" sheetId="6" r:id="rId3"/>
    <sheet name="현장대리인 내역서(1인당)" sheetId="2" r:id="rId4"/>
    <sheet name="모니터링요원(조장)(총괄)" sheetId="4" r:id="rId5"/>
    <sheet name="모니터링 요원(조장) 내역서(1인당)" sheetId="5" r:id="rId6"/>
    <sheet name="모니터링요원(총괄)" sheetId="9" r:id="rId7"/>
    <sheet name="모니터링 요원  내역서(1인당)" sheetId="8" r:id="rId8"/>
    <sheet name="(참고)생활임금적용" sheetId="13" r:id="rId9"/>
  </sheets>
  <definedNames>
    <definedName name="_xlnm.Print_Area" localSheetId="8">'(참고)생활임금적용'!$A$1:$G$18</definedName>
    <definedName name="_xlnm.Print_Area" localSheetId="7">'모니터링 요원  내역서(1인당)'!$A$1:$F$30</definedName>
    <definedName name="_xlnm.Print_Area" localSheetId="5">'모니터링 요원(조장) 내역서(1인당)'!$A$1:$F$31</definedName>
    <definedName name="_xlnm.Print_Area" localSheetId="4">'모니터링요원(조장)(총괄)'!$A$1:$F$31</definedName>
    <definedName name="_xlnm.Print_Area" localSheetId="6">'모니터링요원(총괄)'!$A$1:$F$30</definedName>
    <definedName name="_xlnm.Print_Area" localSheetId="1">원가계산서!$A$1:$F$32</definedName>
    <definedName name="_xlnm.Print_Area" localSheetId="3">'현장대리인 내역서(1인당)'!$A$1:$F$29</definedName>
    <definedName name="_xlnm.Print_Area" localSheetId="2">'현장대리인 내역서(총괄)'!$A$1:$F$29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3" i="1" l="1"/>
  <c r="D12" i="1"/>
  <c r="D11" i="1"/>
  <c r="D10" i="1"/>
  <c r="D9" i="1"/>
  <c r="G17" i="13"/>
  <c r="C7" i="5" s="1"/>
  <c r="C5" i="8" l="1"/>
  <c r="C7" i="8"/>
  <c r="C8" i="8"/>
  <c r="C5" i="5"/>
  <c r="G7" i="2"/>
  <c r="D7" i="2"/>
  <c r="H18" i="8" l="1"/>
  <c r="H17" i="8"/>
  <c r="B5" i="5" l="1"/>
  <c r="C5" i="4" s="1"/>
  <c r="C8" i="5" l="1"/>
  <c r="B8" i="5" s="1"/>
  <c r="C10" i="4" s="1"/>
  <c r="D6" i="2"/>
  <c r="D6" i="8"/>
  <c r="B26" i="2"/>
  <c r="B28" i="5"/>
  <c r="B27" i="8"/>
  <c r="C10" i="5"/>
  <c r="B9" i="6"/>
  <c r="C9" i="6"/>
  <c r="B9" i="2"/>
  <c r="C6" i="5"/>
  <c r="D7" i="5"/>
  <c r="O14" i="13" l="1"/>
  <c r="O10" i="13"/>
  <c r="K10" i="13"/>
  <c r="O6" i="13"/>
  <c r="K6" i="13"/>
  <c r="O2" i="13"/>
  <c r="K2" i="13"/>
  <c r="A17" i="13"/>
  <c r="D9" i="8" l="1"/>
  <c r="B9" i="8" s="1"/>
  <c r="C10" i="9" s="1"/>
  <c r="B10" i="9" s="1"/>
  <c r="D9" i="5"/>
  <c r="B9" i="5" s="1"/>
  <c r="C11" i="4" s="1"/>
  <c r="B11" i="4" s="1"/>
  <c r="D15" i="1" l="1"/>
  <c r="H4" i="8" l="1"/>
  <c r="D5" i="2" l="1"/>
  <c r="I8" i="8" l="1"/>
  <c r="I9" i="8" s="1"/>
  <c r="I6" i="8" l="1"/>
  <c r="D5" i="5" l="1"/>
  <c r="B11" i="5" l="1"/>
  <c r="B7" i="5"/>
  <c r="D6" i="5"/>
  <c r="D7" i="8"/>
  <c r="B7" i="8" s="1"/>
  <c r="B6" i="8"/>
  <c r="B5" i="2"/>
  <c r="B10" i="8"/>
  <c r="G10" i="8" s="1"/>
  <c r="B10" i="5" l="1"/>
  <c r="B6" i="5"/>
  <c r="D5" i="8"/>
  <c r="B5" i="8" s="1"/>
  <c r="B7" i="2"/>
  <c r="C8" i="6" s="1"/>
  <c r="C6" i="2" l="1"/>
  <c r="C8" i="2"/>
  <c r="C5" i="9"/>
  <c r="B5" i="9" s="1"/>
  <c r="G7" i="8"/>
  <c r="D8" i="8" s="1"/>
  <c r="B8" i="8" s="1"/>
  <c r="C9" i="9" s="1"/>
  <c r="B9" i="9" s="1"/>
  <c r="C6" i="9"/>
  <c r="B6" i="9" s="1"/>
  <c r="G13" i="9"/>
  <c r="H4" i="2"/>
  <c r="G13" i="2" s="1"/>
  <c r="C15" i="1"/>
  <c r="C14" i="1"/>
  <c r="G13" i="5"/>
  <c r="C8" i="4"/>
  <c r="B8" i="4" s="1"/>
  <c r="G6" i="5"/>
  <c r="H4" i="5"/>
  <c r="I4" i="5" s="1"/>
  <c r="J4" i="5" s="1"/>
  <c r="B27" i="2"/>
  <c r="G27" i="2"/>
  <c r="G26" i="2"/>
  <c r="E27" i="9"/>
  <c r="B27" i="9" s="1"/>
  <c r="E26" i="6"/>
  <c r="E28" i="4"/>
  <c r="G7" i="5"/>
  <c r="D8" i="5" s="1"/>
  <c r="B29" i="5"/>
  <c r="C5" i="6"/>
  <c r="B5" i="6" s="1"/>
  <c r="B8" i="6"/>
  <c r="G13" i="8"/>
  <c r="I4" i="8"/>
  <c r="J4" i="8" s="1"/>
  <c r="B11" i="8" l="1"/>
  <c r="G14" i="5"/>
  <c r="I4" i="2"/>
  <c r="J4" i="2" s="1"/>
  <c r="B6" i="2"/>
  <c r="C26" i="6"/>
  <c r="B26" i="6" s="1"/>
  <c r="B27" i="6" s="1"/>
  <c r="B28" i="4"/>
  <c r="B28" i="9"/>
  <c r="B5" i="4"/>
  <c r="C8" i="9"/>
  <c r="C7" i="9"/>
  <c r="B7" i="9" s="1"/>
  <c r="B28" i="8"/>
  <c r="C17" i="8" l="1"/>
  <c r="B17" i="8" s="1"/>
  <c r="C20" i="8"/>
  <c r="B20" i="8" s="1"/>
  <c r="J8" i="2"/>
  <c r="C6" i="6"/>
  <c r="B6" i="6" s="1"/>
  <c r="B12" i="8"/>
  <c r="B13" i="8" s="1"/>
  <c r="B29" i="4"/>
  <c r="D25" i="1" s="1"/>
  <c r="B8" i="2"/>
  <c r="C7" i="6" s="1"/>
  <c r="C7" i="4"/>
  <c r="B7" i="4" s="1"/>
  <c r="C9" i="4"/>
  <c r="B8" i="9"/>
  <c r="B11" i="9" s="1"/>
  <c r="C17" i="9" s="1"/>
  <c r="B17" i="9" s="1"/>
  <c r="C6" i="4"/>
  <c r="C18" i="8"/>
  <c r="B18" i="8" s="1"/>
  <c r="C22" i="8"/>
  <c r="B22" i="8" s="1"/>
  <c r="G17" i="8"/>
  <c r="C19" i="8"/>
  <c r="B19" i="8" s="1"/>
  <c r="G18" i="8"/>
  <c r="G28" i="9"/>
  <c r="C12" i="9" l="1"/>
  <c r="B12" i="9" s="1"/>
  <c r="B13" i="9" s="1"/>
  <c r="B10" i="2"/>
  <c r="C16" i="2" s="1"/>
  <c r="B16" i="2" s="1"/>
  <c r="B7" i="6"/>
  <c r="C18" i="9"/>
  <c r="B18" i="9" s="1"/>
  <c r="C21" i="9" s="1"/>
  <c r="B21" i="9" s="1"/>
  <c r="C19" i="9"/>
  <c r="B19" i="9" s="1"/>
  <c r="B9" i="4"/>
  <c r="B6" i="4"/>
  <c r="C21" i="2"/>
  <c r="B12" i="5"/>
  <c r="C18" i="5" s="1"/>
  <c r="B18" i="5" s="1"/>
  <c r="B10" i="4"/>
  <c r="C22" i="9"/>
  <c r="B22" i="9" s="1"/>
  <c r="C20" i="9"/>
  <c r="B20" i="9" s="1"/>
  <c r="G14" i="8"/>
  <c r="C21" i="8"/>
  <c r="B21" i="8" s="1"/>
  <c r="C17" i="2" l="1"/>
  <c r="B17" i="2" s="1"/>
  <c r="C20" i="2" s="1"/>
  <c r="C19" i="2"/>
  <c r="B19" i="2" s="1"/>
  <c r="G19" i="2" s="1"/>
  <c r="C18" i="2"/>
  <c r="B18" i="2" s="1"/>
  <c r="G18" i="2" s="1"/>
  <c r="B11" i="2"/>
  <c r="B12" i="2" s="1"/>
  <c r="B13" i="5"/>
  <c r="B10" i="6"/>
  <c r="C16" i="6" s="1"/>
  <c r="B16" i="6" s="1"/>
  <c r="B23" i="8"/>
  <c r="B30" i="8" s="1"/>
  <c r="B21" i="2"/>
  <c r="G21" i="2" s="1"/>
  <c r="G16" i="2"/>
  <c r="G11" i="2"/>
  <c r="C11" i="6"/>
  <c r="B11" i="6" s="1"/>
  <c r="D14" i="1"/>
  <c r="B23" i="9"/>
  <c r="B30" i="9" s="1"/>
  <c r="D16" i="1" l="1"/>
  <c r="G17" i="2"/>
  <c r="C18" i="6"/>
  <c r="B18" i="6" s="1"/>
  <c r="B12" i="4"/>
  <c r="C18" i="4" s="1"/>
  <c r="B18" i="4" s="1"/>
  <c r="D19" i="1" s="1"/>
  <c r="B20" i="2"/>
  <c r="G20" i="2" s="1"/>
  <c r="B12" i="6"/>
  <c r="C19" i="6"/>
  <c r="B19" i="6" s="1"/>
  <c r="C21" i="6"/>
  <c r="B21" i="6" s="1"/>
  <c r="C17" i="6"/>
  <c r="B17" i="6" s="1"/>
  <c r="C20" i="6" s="1"/>
  <c r="B20" i="6" s="1"/>
  <c r="C13" i="4"/>
  <c r="B13" i="4" s="1"/>
  <c r="D17" i="1" s="1"/>
  <c r="C19" i="5"/>
  <c r="C23" i="5"/>
  <c r="B23" i="5" s="1"/>
  <c r="C21" i="5"/>
  <c r="B21" i="5" s="1"/>
  <c r="C20" i="5"/>
  <c r="B20" i="5" s="1"/>
  <c r="G23" i="9"/>
  <c r="G30" i="9" s="1"/>
  <c r="C21" i="4" l="1"/>
  <c r="B21" i="4" s="1"/>
  <c r="D22" i="1" s="1"/>
  <c r="D18" i="1"/>
  <c r="C20" i="4"/>
  <c r="B20" i="4" s="1"/>
  <c r="D21" i="1" s="1"/>
  <c r="C23" i="4"/>
  <c r="B23" i="4" s="1"/>
  <c r="D24" i="1" s="1"/>
  <c r="C19" i="4"/>
  <c r="B19" i="4" s="1"/>
  <c r="D20" i="1" s="1"/>
  <c r="B22" i="2"/>
  <c r="G29" i="2" s="1"/>
  <c r="B22" i="6"/>
  <c r="B29" i="6" s="1"/>
  <c r="B19" i="5"/>
  <c r="C22" i="5" s="1"/>
  <c r="B22" i="5" s="1"/>
  <c r="B24" i="5" s="1"/>
  <c r="G24" i="4" s="1"/>
  <c r="B14" i="5"/>
  <c r="B14" i="4"/>
  <c r="G15" i="5" l="1"/>
  <c r="B31" i="5"/>
  <c r="E31" i="5" s="1"/>
  <c r="G22" i="2"/>
  <c r="B29" i="2"/>
  <c r="C22" i="4"/>
  <c r="B22" i="4" s="1"/>
  <c r="B24" i="4" s="1"/>
  <c r="B31" i="4" s="1"/>
  <c r="G24" i="5"/>
  <c r="D23" i="1" l="1"/>
  <c r="D26" i="1" l="1"/>
  <c r="D27" i="1" l="1"/>
  <c r="D28" i="1" l="1"/>
  <c r="D29" i="1" s="1"/>
  <c r="D30" i="1" l="1"/>
  <c r="D31" i="1" s="1"/>
  <c r="D32" i="1" l="1"/>
  <c r="B15" i="10" s="1"/>
</calcChain>
</file>

<file path=xl/sharedStrings.xml><?xml version="1.0" encoding="utf-8"?>
<sst xmlns="http://schemas.openxmlformats.org/spreadsheetml/2006/main" count="425" uniqueCount="201">
  <si>
    <t>야간근로수당</t>
    <phoneticPr fontId="2" type="noConversion"/>
  </si>
  <si>
    <t>국민연금</t>
    <phoneticPr fontId="2" type="noConversion"/>
  </si>
  <si>
    <t>단가</t>
    <phoneticPr fontId="2" type="noConversion"/>
  </si>
  <si>
    <t>산출근거</t>
    <phoneticPr fontId="2" type="noConversion"/>
  </si>
  <si>
    <t>금액</t>
    <phoneticPr fontId="2" type="noConversion"/>
  </si>
  <si>
    <t>수량</t>
    <phoneticPr fontId="2" type="noConversion"/>
  </si>
  <si>
    <t>개월수</t>
    <phoneticPr fontId="2" type="noConversion"/>
  </si>
  <si>
    <t>[경  비]</t>
    <phoneticPr fontId="2" type="noConversion"/>
  </si>
  <si>
    <t>노인장기요양보험</t>
    <phoneticPr fontId="2" type="noConversion"/>
  </si>
  <si>
    <t>[ 복리후생비]</t>
    <phoneticPr fontId="2" type="noConversion"/>
  </si>
  <si>
    <t>연  차  수  당</t>
    <phoneticPr fontId="2" type="noConversion"/>
  </si>
  <si>
    <t>근로기준법 제60조5항</t>
    <phoneticPr fontId="2" type="noConversion"/>
  </si>
  <si>
    <t>산재보험</t>
    <phoneticPr fontId="2" type="noConversion"/>
  </si>
  <si>
    <t>국민건강보험법 제62조 및 시행령 제36조</t>
    <phoneticPr fontId="2" type="noConversion"/>
  </si>
  <si>
    <t>합 계</t>
    <phoneticPr fontId="2" type="noConversion"/>
  </si>
  <si>
    <t>노인장기요양보험법 제9조</t>
    <phoneticPr fontId="2" type="noConversion"/>
  </si>
  <si>
    <t>합  계</t>
    <phoneticPr fontId="2" type="noConversion"/>
  </si>
  <si>
    <t>구 분</t>
    <phoneticPr fontId="2" type="noConversion"/>
  </si>
  <si>
    <t>임금채권</t>
    <phoneticPr fontId="2" type="noConversion"/>
  </si>
  <si>
    <t>퇴직충당금</t>
    <phoneticPr fontId="2" type="noConversion"/>
  </si>
  <si>
    <t>월수령액/12</t>
    <phoneticPr fontId="2" type="noConversion"/>
  </si>
  <si>
    <t>연수령액</t>
    <phoneticPr fontId="2" type="noConversion"/>
  </si>
  <si>
    <t>월수령액</t>
    <phoneticPr fontId="2" type="noConversion"/>
  </si>
  <si>
    <t>야간 근무 시간   22:00 ~ 06:00</t>
    <phoneticPr fontId="2" type="noConversion"/>
  </si>
  <si>
    <t>특별작업수당</t>
    <phoneticPr fontId="2" type="noConversion"/>
  </si>
  <si>
    <t>임금채권보장법 제8조</t>
    <phoneticPr fontId="2" type="noConversion"/>
  </si>
  <si>
    <t>통상임금 x 근무시간 x 50%</t>
    <phoneticPr fontId="2" type="noConversion"/>
  </si>
  <si>
    <t>시급X8시간X52주/12개월</t>
    <phoneticPr fontId="2" type="noConversion"/>
  </si>
  <si>
    <t>근로자의날 수당</t>
    <phoneticPr fontId="2" type="noConversion"/>
  </si>
  <si>
    <t>연장근로수당</t>
    <phoneticPr fontId="2" type="noConversion"/>
  </si>
  <si>
    <t>통상임금x150%</t>
    <phoneticPr fontId="2" type="noConversion"/>
  </si>
  <si>
    <t>모니터링 요원(조장) 내역서(1인당)</t>
    <phoneticPr fontId="2" type="noConversion"/>
  </si>
  <si>
    <t>고용보험및산업재해보상보험의 보험료
 징수등에 관한법률시행령 제12조</t>
    <phoneticPr fontId="2" type="noConversion"/>
  </si>
  <si>
    <t>조장 4명</t>
    <phoneticPr fontId="2" type="noConversion"/>
  </si>
  <si>
    <t>시급x근로시간
((8시간*5일)*52주+8시간)/12개월=174시간</t>
    <phoneticPr fontId="2" type="noConversion"/>
  </si>
  <si>
    <t>모니터링 요원(조장) 산출내역서(총괄)</t>
    <phoneticPr fontId="2" type="noConversion"/>
  </si>
  <si>
    <t>월정액50,000원</t>
    <phoneticPr fontId="2" type="noConversion"/>
  </si>
  <si>
    <t>하남시 공무직 보수규정 제5조</t>
    <phoneticPr fontId="2" type="noConversion"/>
  </si>
  <si>
    <t>기본급</t>
    <phoneticPr fontId="2" type="noConversion"/>
  </si>
  <si>
    <t>유급휴일수당</t>
    <phoneticPr fontId="2" type="noConversion"/>
  </si>
  <si>
    <t>국민연금법 제88조</t>
    <phoneticPr fontId="2" type="noConversion"/>
  </si>
  <si>
    <t>CCTV통합관제센터 모니터링용역</t>
    <phoneticPr fontId="2" type="noConversion"/>
  </si>
  <si>
    <t>12개월</t>
    <phoneticPr fontId="2" type="noConversion"/>
  </si>
  <si>
    <t>구성비(%)</t>
    <phoneticPr fontId="2" type="noConversion"/>
  </si>
  <si>
    <t>①재료비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</si>
  <si>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</si>
  <si>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</si>
  <si>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</si>
  <si>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②
인
건
비</t>
    <phoneticPr fontId="2" type="noConversion"/>
  </si>
  <si>
    <t>기본급</t>
    <phoneticPr fontId="2" type="noConversion"/>
  </si>
  <si>
    <t>제
수
당</t>
    <phoneticPr fontId="2" type="noConversion"/>
  </si>
  <si>
    <t>야간근로수당</t>
    <phoneticPr fontId="2" type="noConversion"/>
  </si>
  <si>
    <t>연  차  수  당</t>
    <phoneticPr fontId="2" type="noConversion"/>
  </si>
  <si>
    <t>유급휴일수당</t>
    <phoneticPr fontId="2" type="noConversion"/>
  </si>
  <si>
    <t>특별작업수당</t>
    <phoneticPr fontId="2" type="noConversion"/>
  </si>
  <si>
    <t>년수령액</t>
    <phoneticPr fontId="2" type="noConversion"/>
  </si>
  <si>
    <t>퇴직충당금</t>
    <phoneticPr fontId="2" type="noConversion"/>
  </si>
  <si>
    <t>③
경
비</t>
    <phoneticPr fontId="2" type="noConversion"/>
  </si>
  <si>
    <t>국  민  연  금</t>
    <phoneticPr fontId="2" type="noConversion"/>
  </si>
  <si>
    <t>국민연금법 제88조</t>
    <phoneticPr fontId="2" type="noConversion"/>
  </si>
  <si>
    <t>건  강  보  험</t>
    <phoneticPr fontId="2" type="noConversion"/>
  </si>
  <si>
    <t>국민건강보험법 제62조 및 시행령 제36조</t>
    <phoneticPr fontId="2" type="noConversion"/>
  </si>
  <si>
    <t>산  재  보  험</t>
    <phoneticPr fontId="2" type="noConversion"/>
  </si>
  <si>
    <t>고용보험및산업재해보상보험의 보험료
 징수등에 관한법률시행령 제12조</t>
    <phoneticPr fontId="2" type="noConversion"/>
  </si>
  <si>
    <t>고  용  보  험</t>
    <phoneticPr fontId="2" type="noConversion"/>
  </si>
  <si>
    <t>노인장기요양보험</t>
    <phoneticPr fontId="2" type="noConversion"/>
  </si>
  <si>
    <t>노인장기요양보험법 제9조</t>
    <phoneticPr fontId="2" type="noConversion"/>
  </si>
  <si>
    <t>임금채권</t>
    <phoneticPr fontId="2" type="noConversion"/>
  </si>
  <si>
    <t>임금채권보장법 제8조</t>
    <phoneticPr fontId="2" type="noConversion"/>
  </si>
  <si>
    <t>복  리  후  생  비</t>
    <phoneticPr fontId="2" type="noConversion"/>
  </si>
  <si>
    <t>소   계</t>
    <phoneticPr fontId="2" type="noConversion"/>
  </si>
  <si>
    <t>④ 순         원         가</t>
    <phoneticPr fontId="2" type="noConversion"/>
  </si>
  <si>
    <t xml:space="preserve"> ① + ② + ③</t>
    <phoneticPr fontId="2" type="noConversion"/>
  </si>
  <si>
    <t>⑤  일   반    관   리   비</t>
    <phoneticPr fontId="2" type="noConversion"/>
  </si>
  <si>
    <t>⑥  이                      윤</t>
    <phoneticPr fontId="2" type="noConversion"/>
  </si>
  <si>
    <t xml:space="preserve"> (④ + ⑤ - ①)의 10%이내</t>
    <phoneticPr fontId="2" type="noConversion"/>
  </si>
  <si>
    <t>⑦  합                     계</t>
    <phoneticPr fontId="2" type="noConversion"/>
  </si>
  <si>
    <t xml:space="preserve"> ④ + ⑤ + ⑥</t>
    <phoneticPr fontId="2" type="noConversion"/>
  </si>
  <si>
    <t>⑧ 부   가    가   치   세</t>
    <phoneticPr fontId="2" type="noConversion"/>
  </si>
  <si>
    <t xml:space="preserve"> ⑦ 의 10%</t>
    <phoneticPr fontId="2" type="noConversion"/>
  </si>
  <si>
    <t>총       용       역      비</t>
    <phoneticPr fontId="2" type="noConversion"/>
  </si>
  <si>
    <t>[ 인건비]</t>
    <phoneticPr fontId="2" type="noConversion"/>
  </si>
  <si>
    <t>구  분</t>
    <phoneticPr fontId="2" type="noConversion"/>
  </si>
  <si>
    <t>인원</t>
    <phoneticPr fontId="2" type="noConversion"/>
  </si>
  <si>
    <t>비고</t>
    <phoneticPr fontId="2" type="noConversion"/>
  </si>
  <si>
    <t>[ 경  비]</t>
    <phoneticPr fontId="2" type="noConversion"/>
  </si>
  <si>
    <t>노무비</t>
    <phoneticPr fontId="2" type="noConversion"/>
  </si>
  <si>
    <t>요 율</t>
    <phoneticPr fontId="2" type="noConversion"/>
  </si>
  <si>
    <t>건강보험</t>
    <phoneticPr fontId="2" type="noConversion"/>
  </si>
  <si>
    <t>고용보험</t>
    <phoneticPr fontId="2" type="noConversion"/>
  </si>
  <si>
    <t>현장대리인 산출내역서(총괄)</t>
    <phoneticPr fontId="2" type="noConversion"/>
  </si>
  <si>
    <t>[ 인건비]</t>
    <phoneticPr fontId="2" type="noConversion"/>
  </si>
  <si>
    <t>구  분</t>
    <phoneticPr fontId="2" type="noConversion"/>
  </si>
  <si>
    <t>금액</t>
    <phoneticPr fontId="2" type="noConversion"/>
  </si>
  <si>
    <t>단가</t>
    <phoneticPr fontId="2" type="noConversion"/>
  </si>
  <si>
    <t>개월수</t>
    <phoneticPr fontId="2" type="noConversion"/>
  </si>
  <si>
    <t>인원</t>
    <phoneticPr fontId="2" type="noConversion"/>
  </si>
  <si>
    <t>비고</t>
    <phoneticPr fontId="2" type="noConversion"/>
  </si>
  <si>
    <t>관리자 2명</t>
    <phoneticPr fontId="2" type="noConversion"/>
  </si>
  <si>
    <t>연 수령액</t>
    <phoneticPr fontId="2" type="noConversion"/>
  </si>
  <si>
    <t>합 계</t>
    <phoneticPr fontId="2" type="noConversion"/>
  </si>
  <si>
    <t>[ 경  비]</t>
    <phoneticPr fontId="2" type="noConversion"/>
  </si>
  <si>
    <t>노무비</t>
    <phoneticPr fontId="2" type="noConversion"/>
  </si>
  <si>
    <t>요 율</t>
    <phoneticPr fontId="2" type="noConversion"/>
  </si>
  <si>
    <t>국민연금</t>
    <phoneticPr fontId="2" type="noConversion"/>
  </si>
  <si>
    <t>건강보험</t>
    <phoneticPr fontId="2" type="noConversion"/>
  </si>
  <si>
    <t>산재보험</t>
    <phoneticPr fontId="2" type="noConversion"/>
  </si>
  <si>
    <t>고용보험</t>
    <phoneticPr fontId="2" type="noConversion"/>
  </si>
  <si>
    <t>[ 복리후생비]</t>
    <phoneticPr fontId="2" type="noConversion"/>
  </si>
  <si>
    <t>구 분</t>
    <phoneticPr fontId="2" type="noConversion"/>
  </si>
  <si>
    <t>12개월/2명 총 계</t>
    <phoneticPr fontId="2" type="noConversion"/>
  </si>
  <si>
    <t>현장대리인 내역서(1인당)</t>
    <phoneticPr fontId="2" type="noConversion"/>
  </si>
  <si>
    <t>[인건비]</t>
    <phoneticPr fontId="2" type="noConversion"/>
  </si>
  <si>
    <t>(단위 :1개월/인당)</t>
    <phoneticPr fontId="2" type="noConversion"/>
  </si>
  <si>
    <t>근로기준법 제56조</t>
    <phoneticPr fontId="2" type="noConversion"/>
  </si>
  <si>
    <t>근로기준법 제55조,제18조</t>
    <phoneticPr fontId="2" type="noConversion"/>
  </si>
  <si>
    <t>조장의 2배</t>
    <phoneticPr fontId="2" type="noConversion"/>
  </si>
  <si>
    <t>근로자 퇴직급여 보장법 제8조</t>
    <phoneticPr fontId="2" type="noConversion"/>
  </si>
  <si>
    <t>[복리후생비]</t>
    <phoneticPr fontId="2" type="noConversion"/>
  </si>
  <si>
    <t>1개월/1인 총 계</t>
    <phoneticPr fontId="2" type="noConversion"/>
  </si>
  <si>
    <t>[인건비]</t>
    <phoneticPr fontId="2" type="noConversion"/>
  </si>
  <si>
    <t>(단위 :1개월/인당)</t>
    <phoneticPr fontId="2" type="noConversion"/>
  </si>
  <si>
    <t>수량</t>
    <phoneticPr fontId="2" type="noConversion"/>
  </si>
  <si>
    <t>산출근거</t>
    <phoneticPr fontId="2" type="noConversion"/>
  </si>
  <si>
    <t>통상임금 x 근무시간 x 50%</t>
    <phoneticPr fontId="2" type="noConversion"/>
  </si>
  <si>
    <t>근로기준법 제56조</t>
    <phoneticPr fontId="2" type="noConversion"/>
  </si>
  <si>
    <t>시급X8시간X52주/12개월</t>
    <phoneticPr fontId="2" type="noConversion"/>
  </si>
  <si>
    <t>월수령액</t>
    <phoneticPr fontId="2" type="noConversion"/>
  </si>
  <si>
    <t>월수령액/12</t>
    <phoneticPr fontId="2" type="noConversion"/>
  </si>
  <si>
    <t>[경  비]</t>
    <phoneticPr fontId="2" type="noConversion"/>
  </si>
  <si>
    <t>[복리후생비]</t>
    <phoneticPr fontId="2" type="noConversion"/>
  </si>
  <si>
    <t>합  계</t>
    <phoneticPr fontId="2" type="noConversion"/>
  </si>
  <si>
    <t>1개월/1인 총 계</t>
    <phoneticPr fontId="2" type="noConversion"/>
  </si>
  <si>
    <t>통상임금 x 연장시간 x 50%</t>
    <phoneticPr fontId="2" type="noConversion"/>
  </si>
  <si>
    <t>모니터링 요원 내역서(1인당)</t>
    <phoneticPr fontId="2" type="noConversion"/>
  </si>
  <si>
    <t>금액(원)</t>
    <phoneticPr fontId="2" type="noConversion"/>
  </si>
  <si>
    <t>단가(원)</t>
    <phoneticPr fontId="2" type="noConversion"/>
  </si>
  <si>
    <t>시급 x 근로시간
365일*8시간*3/4일/12개월=182.5</t>
    <phoneticPr fontId="2" type="noConversion"/>
  </si>
  <si>
    <t>연장근로수당</t>
    <phoneticPr fontId="2" type="noConversion"/>
  </si>
  <si>
    <t>통상임금 x 연장시간 x 50%</t>
    <phoneticPr fontId="2" type="noConversion"/>
  </si>
  <si>
    <t>근로자의 날 수당</t>
    <phoneticPr fontId="2" type="noConversion"/>
  </si>
  <si>
    <t>통상임금x150%</t>
    <phoneticPr fontId="2" type="noConversion"/>
  </si>
  <si>
    <t>모니터링 요원 산출내역서(총괄)</t>
    <phoneticPr fontId="2" type="noConversion"/>
  </si>
  <si>
    <t>야간 근무 시간   22:00 ~ 06:00</t>
    <phoneticPr fontId="2" type="noConversion"/>
  </si>
  <si>
    <t>근로자의날 수당</t>
    <phoneticPr fontId="2" type="noConversion"/>
  </si>
  <si>
    <t>연수령액</t>
    <phoneticPr fontId="2" type="noConversion"/>
  </si>
  <si>
    <t>12개월/16명 총 계</t>
    <phoneticPr fontId="2" type="noConversion"/>
  </si>
  <si>
    <t>시급 x 근로시간
365일*8*3/4일/12개월=182.5</t>
    <phoneticPr fontId="2" type="noConversion"/>
  </si>
  <si>
    <t>12개월/4명 총 계</t>
    <phoneticPr fontId="2" type="noConversion"/>
  </si>
  <si>
    <t>국민건강보험법 제69조 및 시행령 제44조</t>
    <phoneticPr fontId="2" type="noConversion"/>
  </si>
  <si>
    <t>통상임금 x 11일/12월</t>
    <phoneticPr fontId="2" type="noConversion"/>
  </si>
  <si>
    <t>일급 x 11일/12월</t>
    <phoneticPr fontId="2" type="noConversion"/>
  </si>
  <si>
    <t>X</t>
    <phoneticPr fontId="2" type="noConversion"/>
  </si>
  <si>
    <t xml:space="preserve">  ⑦ + ⑧ (천원단위 이하 절사)</t>
    <phoneticPr fontId="2" type="noConversion"/>
  </si>
  <si>
    <t>설 계 자</t>
    <phoneticPr fontId="103" type="noConversion"/>
  </si>
  <si>
    <t>심사자</t>
    <phoneticPr fontId="103" type="noConversion"/>
  </si>
  <si>
    <t>담당주무관</t>
    <phoneticPr fontId="103" type="noConversion"/>
  </si>
  <si>
    <t>과  장</t>
    <phoneticPr fontId="103" type="noConversion"/>
  </si>
  <si>
    <t>고용보험및산업재해보상보험의 보험료
 징수등에 관한법률시행령 제12조
※ 출퇴근 중 발생한 재해 0.06% 포함</t>
    <phoneticPr fontId="2" type="noConversion"/>
  </si>
  <si>
    <t>고용보험및산업재해보상보험의 보험료
 징수등에 관한법률시행령 제13조
※ 출퇴근 중 발생한 재해 0.06% 포함</t>
    <phoneticPr fontId="2" type="noConversion"/>
  </si>
  <si>
    <t>비      고</t>
    <phoneticPr fontId="2" type="noConversion"/>
  </si>
  <si>
    <t>구       분</t>
    <phoneticPr fontId="2" type="noConversion"/>
  </si>
  <si>
    <t>○ 용역개요 : CCTV 통합관제센터 모니터링 용역 1식</t>
    <phoneticPr fontId="103" type="noConversion"/>
  </si>
  <si>
    <t>2026년 하남시 생활임금 : 시간급 11,210원(월 2,342,890원)</t>
    <phoneticPr fontId="2" type="noConversion"/>
  </si>
  <si>
    <t>※ 2026년 최저임금(10,320원)대비 109% 수준</t>
    <phoneticPr fontId="2" type="noConversion"/>
  </si>
  <si>
    <t>2024년 하남시 생활임금 : 시간급 10,850원(월 2,267,650원)</t>
    <phoneticPr fontId="2" type="noConversion"/>
  </si>
  <si>
    <t>※ 2024년 최저임금(9,860원)대비 110% 수준</t>
    <phoneticPr fontId="2" type="noConversion"/>
  </si>
  <si>
    <t>`24.1.1. ~ 12.31.</t>
    <phoneticPr fontId="2" type="noConversion"/>
  </si>
  <si>
    <t>`25.1.1. ~ 12.31.</t>
    <phoneticPr fontId="2" type="noConversion"/>
  </si>
  <si>
    <t>`26.1.1. ~ 12.31.</t>
    <phoneticPr fontId="2" type="noConversion"/>
  </si>
  <si>
    <t>2025년 하남시 생활임금 : 시간급 10,940원(월 2,286,460원)</t>
    <phoneticPr fontId="2" type="noConversion"/>
  </si>
  <si>
    <t>※ 2025년 최저임금(10,030원)대비 109% 수준</t>
    <phoneticPr fontId="2" type="noConversion"/>
  </si>
  <si>
    <t>생활임금</t>
    <phoneticPr fontId="2" type="noConversion"/>
  </si>
  <si>
    <t>생활임금(입찰액)</t>
    <phoneticPr fontId="2" type="noConversion"/>
  </si>
  <si>
    <t>(기본급+제수당) x (5/100)</t>
    <phoneticPr fontId="2" type="noConversion"/>
  </si>
  <si>
    <t>복리후생비</t>
    <phoneticPr fontId="2" type="noConversion"/>
  </si>
  <si>
    <r>
      <t>202</t>
    </r>
    <r>
      <rPr>
        <b/>
        <sz val="22"/>
        <rFont val="굴림"/>
        <family val="1"/>
        <charset val="129"/>
      </rPr>
      <t>7</t>
    </r>
    <r>
      <rPr>
        <b/>
        <sz val="22"/>
        <rFont val="경기천년제목OTF Bold"/>
        <family val="1"/>
        <charset val="129"/>
      </rPr>
      <t>년 CCTV 통합관제센터 모니터링 용역 설계서</t>
    </r>
    <phoneticPr fontId="103" type="noConversion"/>
  </si>
  <si>
    <t>`24.1.1. ~ 12.31.</t>
  </si>
  <si>
    <r>
      <t>(기본급+제수당) x (3.5</t>
    </r>
    <r>
      <rPr>
        <sz val="11"/>
        <color theme="1"/>
        <rFont val="맑은 고딕"/>
        <family val="1"/>
        <charset val="129"/>
      </rPr>
      <t>95</t>
    </r>
    <r>
      <rPr>
        <sz val="11"/>
        <color theme="1"/>
        <rFont val="경기천년바탕 Regular"/>
        <family val="1"/>
        <charset val="129"/>
      </rPr>
      <t>/100)</t>
    </r>
    <phoneticPr fontId="2" type="noConversion"/>
  </si>
  <si>
    <r>
      <t>(기본급+제수당) x (0.0</t>
    </r>
    <r>
      <rPr>
        <sz val="11"/>
        <rFont val="맑은 고딕"/>
        <family val="1"/>
        <charset val="129"/>
      </rPr>
      <t>9</t>
    </r>
    <r>
      <rPr>
        <sz val="11"/>
        <rFont val="경기천년바탕 Regular"/>
        <family val="1"/>
        <charset val="129"/>
      </rPr>
      <t>/100)</t>
    </r>
    <phoneticPr fontId="2" type="noConversion"/>
  </si>
  <si>
    <r>
      <t>3.5</t>
    </r>
    <r>
      <rPr>
        <sz val="11"/>
        <color theme="1"/>
        <rFont val="맑은 고딕"/>
        <family val="1"/>
        <charset val="129"/>
      </rPr>
      <t>9</t>
    </r>
    <r>
      <rPr>
        <sz val="11"/>
        <color theme="1"/>
        <rFont val="경기천년바탕 Regular"/>
        <family val="1"/>
        <charset val="129"/>
      </rPr>
      <t>5%</t>
    </r>
    <phoneticPr fontId="2" type="noConversion"/>
  </si>
  <si>
    <t>0.09%</t>
    <phoneticPr fontId="2" type="noConversion"/>
  </si>
  <si>
    <r>
      <t>건강보험료 x (1</t>
    </r>
    <r>
      <rPr>
        <sz val="11"/>
        <color theme="1"/>
        <rFont val="맑은 고딕"/>
        <family val="1"/>
        <charset val="129"/>
      </rPr>
      <t>3.14</t>
    </r>
    <r>
      <rPr>
        <sz val="11"/>
        <color theme="1"/>
        <rFont val="경기천년바탕 Regular"/>
        <family val="1"/>
        <charset val="129"/>
      </rPr>
      <t>/100)</t>
    </r>
    <phoneticPr fontId="2" type="noConversion"/>
  </si>
  <si>
    <r>
      <t xml:space="preserve">(기본급+제수당) x </t>
    </r>
    <r>
      <rPr>
        <sz val="11"/>
        <color theme="1"/>
        <rFont val="맑은 고딕"/>
        <family val="1"/>
        <charset val="129"/>
      </rPr>
      <t>(</t>
    </r>
    <r>
      <rPr>
        <sz val="11"/>
        <color theme="1"/>
        <rFont val="경기천년바탕 Regular"/>
        <family val="1"/>
        <charset val="129"/>
      </rPr>
      <t>1.1</t>
    </r>
    <r>
      <rPr>
        <sz val="11"/>
        <color theme="1"/>
        <rFont val="맑은 고딕"/>
        <family val="1"/>
        <charset val="129"/>
      </rPr>
      <t>5/100)</t>
    </r>
    <phoneticPr fontId="2" type="noConversion"/>
  </si>
  <si>
    <r>
      <t>1.</t>
    </r>
    <r>
      <rPr>
        <sz val="11"/>
        <color theme="1"/>
        <rFont val="맑은 고딕"/>
        <family val="1"/>
        <charset val="129"/>
      </rPr>
      <t>1</t>
    </r>
    <r>
      <rPr>
        <sz val="11"/>
        <color theme="1"/>
        <rFont val="경기천년바탕 Regular"/>
        <family val="1"/>
        <charset val="129"/>
      </rPr>
      <t>5%</t>
    </r>
    <phoneticPr fontId="2" type="noConversion"/>
  </si>
  <si>
    <r>
      <t>1</t>
    </r>
    <r>
      <rPr>
        <sz val="11"/>
        <color theme="1"/>
        <rFont val="맑은 고딕"/>
        <family val="1"/>
        <charset val="129"/>
      </rPr>
      <t>3.14</t>
    </r>
    <r>
      <rPr>
        <sz val="11"/>
        <color theme="1"/>
        <rFont val="경기천년바탕 Regular"/>
        <family val="1"/>
        <charset val="129"/>
      </rPr>
      <t>%</t>
    </r>
    <phoneticPr fontId="2" type="noConversion"/>
  </si>
  <si>
    <r>
      <t>202</t>
    </r>
    <r>
      <rPr>
        <b/>
        <sz val="14"/>
        <rFont val="경기천년바탕 Regular"/>
        <family val="1"/>
      </rPr>
      <t>6</t>
    </r>
    <r>
      <rPr>
        <b/>
        <sz val="14"/>
        <rFont val="경기천년바탕 Regular"/>
        <family val="1"/>
        <charset val="129"/>
      </rPr>
      <t xml:space="preserve">년  </t>
    </r>
    <r>
      <rPr>
        <b/>
        <sz val="14"/>
        <rFont val="경기천년바탕 Regular"/>
        <family val="1"/>
      </rPr>
      <t>10</t>
    </r>
    <r>
      <rPr>
        <b/>
        <sz val="14"/>
        <rFont val="경기천년바탕 Regular"/>
        <family val="1"/>
        <charset val="129"/>
      </rPr>
      <t>월  일</t>
    </r>
    <phoneticPr fontId="103" type="noConversion"/>
  </si>
  <si>
    <r>
      <rPr>
        <sz val="11"/>
        <rFont val="맑은 고딕"/>
        <family val="1"/>
        <charset val="129"/>
      </rPr>
      <t>5</t>
    </r>
    <r>
      <rPr>
        <sz val="11"/>
        <rFont val="경기천년바탕 Regular"/>
        <family val="1"/>
        <charset val="129"/>
      </rPr>
      <t>%</t>
    </r>
    <phoneticPr fontId="2" type="noConversion"/>
  </si>
  <si>
    <r>
      <t>0.</t>
    </r>
    <r>
      <rPr>
        <sz val="11"/>
        <color theme="1"/>
        <rFont val="맑은 고딕"/>
        <family val="1"/>
        <charset val="129"/>
      </rPr>
      <t>8</t>
    </r>
    <r>
      <rPr>
        <sz val="11"/>
        <color theme="1"/>
        <rFont val="경기천년바탕 Regular"/>
        <family val="1"/>
        <charset val="129"/>
      </rPr>
      <t>6%</t>
    </r>
    <phoneticPr fontId="2" type="noConversion"/>
  </si>
  <si>
    <r>
      <t>(기본급+제수당) x (0.</t>
    </r>
    <r>
      <rPr>
        <sz val="11"/>
        <color theme="1"/>
        <rFont val="맑은 고딕"/>
        <family val="1"/>
        <charset val="129"/>
      </rPr>
      <t>8</t>
    </r>
    <r>
      <rPr>
        <sz val="11"/>
        <color theme="1"/>
        <rFont val="경기천년바탕 Regular"/>
        <family val="1"/>
        <charset val="129"/>
      </rPr>
      <t>6/100)</t>
    </r>
    <phoneticPr fontId="2" type="noConversion"/>
  </si>
  <si>
    <r>
      <t>0.00</t>
    </r>
    <r>
      <rPr>
        <sz val="11"/>
        <color theme="1"/>
        <rFont val="맑은 고딕"/>
        <family val="1"/>
        <charset val="129"/>
      </rPr>
      <t>8</t>
    </r>
    <r>
      <rPr>
        <sz val="11"/>
        <color theme="1"/>
        <rFont val="경기천년바탕 Regular"/>
        <family val="1"/>
        <charset val="129"/>
      </rPr>
      <t>6</t>
    </r>
    <phoneticPr fontId="2" type="noConversion"/>
  </si>
  <si>
    <r>
      <t>(기본급+제수당) x (0.</t>
    </r>
    <r>
      <rPr>
        <sz val="11"/>
        <color theme="1"/>
        <rFont val="경기천년바탕 Regular"/>
        <family val="1"/>
      </rPr>
      <t>8</t>
    </r>
    <r>
      <rPr>
        <sz val="11"/>
        <color theme="1"/>
        <rFont val="경기천년바탕 Regular"/>
        <family val="1"/>
        <charset val="129"/>
      </rPr>
      <t>6/100)</t>
    </r>
    <phoneticPr fontId="2" type="noConversion"/>
  </si>
  <si>
    <t>2027년 하남시 생활임금 : 시간급 11,550원</t>
    <phoneticPr fontId="2" type="noConversion"/>
  </si>
  <si>
    <t>심사금액</t>
    <phoneticPr fontId="2" type="noConversion"/>
  </si>
  <si>
    <t>2027년 통합관제센터 적용노임(하남시생활임금예상액)
= 11,550원</t>
    <phoneticPr fontId="2" type="noConversion"/>
  </si>
  <si>
    <t>2027년 복리후생비 100,000원</t>
    <phoneticPr fontId="2" type="noConversion"/>
  </si>
  <si>
    <t>100,000원 x1개월</t>
    <phoneticPr fontId="2" type="noConversion"/>
  </si>
  <si>
    <t>2027년 통합관제센터 적용노임(하남시생활임금예상액)= 11,550원</t>
    <phoneticPr fontId="2" type="noConversion"/>
  </si>
  <si>
    <t xml:space="preserve"> ④ 의 9% 이내</t>
    <phoneticPr fontId="2" type="noConversion"/>
  </si>
  <si>
    <t>심 사 결 과 원 가 계 산 서</t>
    <phoneticPr fontId="2" type="noConversion"/>
  </si>
  <si>
    <r>
      <t>2027년 통합관제센터 적용노임(하남시생활임금예상액) = 11,5</t>
    </r>
    <r>
      <rPr>
        <sz val="11"/>
        <color rgb="FFFF0000"/>
        <rFont val="맑은 고딕"/>
        <family val="1"/>
        <charset val="129"/>
      </rPr>
      <t>5</t>
    </r>
    <r>
      <rPr>
        <sz val="11"/>
        <color rgb="FFFF0000"/>
        <rFont val="경기천년바탕 Regular"/>
        <family val="1"/>
        <charset val="129"/>
      </rPr>
      <t>0원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</si>
</sst>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8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_-;\-* #,##0_-;_-* &quot;-&quot;??_-;_-@_-"/>
    <numFmt numFmtId="177" formatCode="_-* #,##0.0_-;\-* #,##0.0_-;_-* &quot;-&quot;_-;_-@_-"/>
    <numFmt numFmtId="178" formatCode="_-* #,##0.00_-;\-* #,##0.00_-;_-* &quot;-&quot;_-;_-@_-"/>
    <numFmt numFmtId="179" formatCode="_-* #,##0.000_-;\-* #,##0.000_-;_-* &quot;-&quot;_-;_-@_-"/>
    <numFmt numFmtId="180" formatCode="_-* #,##0.0000_-;\-* #,##0.0000_-;_-* &quot;-&quot;_-;_-@_-"/>
    <numFmt numFmtId="181" formatCode="_-* #,##0.000000_-;\-* #,##0.000000_-;_-* &quot;-&quot;??_-;_-@_-"/>
    <numFmt numFmtId="182" formatCode="#,##0_);[Red]\(#,##0\)"/>
    <numFmt numFmtId="183" formatCode="#,##0_ "/>
    <numFmt numFmtId="184" formatCode="0_ "/>
    <numFmt numFmtId="185" formatCode="0.0%"/>
    <numFmt numFmtId="186" formatCode="#,##0.00_ "/>
    <numFmt numFmtId="187" formatCode="#,##0.0"/>
    <numFmt numFmtId="188" formatCode="#,##0.000"/>
    <numFmt numFmtId="189" formatCode="&quot;₩&quot;\!\$#\!\,##0_);[Red]&quot;₩&quot;\!\(&quot;₩&quot;\!\$#\!\,##0&quot;₩&quot;\!\)"/>
    <numFmt numFmtId="190" formatCode="0\!.0000000000000000"/>
    <numFmt numFmtId="191" formatCode="&quot;$&quot;#\!\,##0\!.00_);[Red]&quot;₩&quot;\!\(&quot;$&quot;#\!\,##0\!.00&quot;₩&quot;\!\)"/>
    <numFmt numFmtId="192" formatCode="#.00"/>
    <numFmt numFmtId="193" formatCode="#."/>
    <numFmt numFmtId="194" formatCode="_ * #,##0_ ;_ * \-#,##0_ ;_ * &quot;-&quot;_ ;_ @_ "/>
    <numFmt numFmtId="195" formatCode="_(&quot;$&quot;* #,##0_);_(&quot;$&quot;* \(#,##0\);_(&quot;$&quot;* &quot;-&quot;_);_(@_)"/>
    <numFmt numFmtId="196" formatCode="_-* #,##0.0_-;&quot;₩&quot;\!\-* #,##0.0_-;_-* &quot;-&quot;_-;_-@_-"/>
    <numFmt numFmtId="197" formatCode="#,##0;&quot;-&quot;#,##0"/>
    <numFmt numFmtId="198" formatCode="&quot;$&quot;#,##0.00_);\(&quot;$&quot;#,##0.00\)"/>
    <numFmt numFmtId="199" formatCode="%#.00"/>
    <numFmt numFmtId="200" formatCode="#,##0."/>
    <numFmt numFmtId="201" formatCode="#,##0.00&quot; F&quot;_);[Red]\(#,##0.00&quot; F&quot;\)"/>
    <numFmt numFmtId="202" formatCode="_ * #,##0.00_ ;_ * \-#,##0.00_ ;_ * &quot;-&quot;??_ ;_ @_ "/>
    <numFmt numFmtId="203" formatCode="&quot;₩&quot;&quot;₩&quot;\$#,##0_);[Red]&quot;₩&quot;&quot;₩&quot;\(&quot;₩&quot;&quot;₩&quot;\$#,##0&quot;₩&quot;&quot;₩&quot;\)"/>
    <numFmt numFmtId="204" formatCode="yyyy&quot;年&quot;&quot;₩&quot;&quot;₩&quot;\ mm&quot;月&quot;&quot;₩&quot;&quot;₩&quot;\ dd&quot;日&quot;"/>
    <numFmt numFmtId="205" formatCode="\$#.00"/>
    <numFmt numFmtId="206" formatCode="\$#."/>
    <numFmt numFmtId="207" formatCode="_-[$€-2]* #,##0.00_-;\-[$€-2]* #,##0.00_-;_-[$€-2]* &quot;-&quot;??_-"/>
    <numFmt numFmtId="208" formatCode="#,##0.0000;[Red]\-#,##0.0000"/>
    <numFmt numFmtId="209" formatCode="_(&quot;$&quot;* #,##0_);_(&quot;$&quot;* \(#,##0\);_(&quot;$&quot;* &quot;-&quot;??_);_(@_)"/>
    <numFmt numFmtId="210" formatCode="0.00_)"/>
    <numFmt numFmtId="211" formatCode="#,##0\ &quot;DM&quot;;[Red]\-#,##0\ &quot;DM&quot;"/>
    <numFmt numFmtId="212" formatCode="#,##0.00\ &quot;DM&quot;;[Red]\-#,##0.00\ &quot;DM&quot;"/>
    <numFmt numFmtId="213" formatCode="000.000"/>
    <numFmt numFmtId="214" formatCode="#,##0;\-#,##0.00"/>
    <numFmt numFmtId="215" formatCode="#\!\,##0;&quot;₩&quot;\!\-#\!\,##0\!.00"/>
    <numFmt numFmtId="216" formatCode="_ &quot;₩&quot;* #,##0.00_ ;_ &quot;₩&quot;* \-#,##0.00_ ;_ &quot;₩&quot;* &quot;-&quot;??_ ;_ @_ "/>
    <numFmt numFmtId="217" formatCode="#,##0.0_);[Red]\(#,##0.0\)"/>
    <numFmt numFmtId="218" formatCode="&quot;₩&quot;#,##0.00;&quot;₩&quot;\-#,##0.00"/>
    <numFmt numFmtId="219" formatCode="#,##0\ ;[Red]&quot;-&quot;#,##0\ "/>
    <numFmt numFmtId="220" formatCode="&quot;₩&quot;#,##0;&quot;₩&quot;\-#,##0"/>
    <numFmt numFmtId="221" formatCode="#,##0.00000"/>
    <numFmt numFmtId="222" formatCode="0.000%"/>
    <numFmt numFmtId="223" formatCode="#,##0.0000_);[Red]\(#,##0.0000\)"/>
    <numFmt numFmtId="224" formatCode="0.00_);[Red]\(0.00\)"/>
    <numFmt numFmtId="225" formatCode="#,##0.000_ "/>
    <numFmt numFmtId="226" formatCode="#,##0.0_ "/>
    <numFmt numFmtId="227" formatCode="0.0000_);[Red]\(0.0000\)"/>
    <numFmt numFmtId="228" formatCode="0.00000_);[Red]\(0.00000\)"/>
    <numFmt numFmtId="229" formatCode="[DBNum4][$-412]General"/>
    <numFmt numFmtId="230" formatCode="#,##0.00000_ "/>
  </numFmts>
  <fonts count="12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20"/>
      <name val="돋움"/>
      <family val="3"/>
      <charset val="129"/>
    </font>
    <font>
      <b/>
      <sz val="13"/>
      <name val="돋움"/>
      <family val="3"/>
      <charset val="129"/>
    </font>
    <font>
      <u/>
      <sz val="11"/>
      <color indexed="36"/>
      <name val="돋움"/>
      <family val="3"/>
      <charset val="129"/>
    </font>
    <font>
      <b/>
      <sz val="11"/>
      <name val="돋움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2"/>
      <color indexed="24"/>
      <name val="바탕체"/>
      <family val="1"/>
      <charset val="129"/>
    </font>
    <font>
      <sz val="10"/>
      <name val="Arial"/>
      <family val="2"/>
    </font>
    <font>
      <sz val="12"/>
      <name val="¹????¼"/>
      <family val="1"/>
      <charset val="129"/>
    </font>
    <font>
      <sz val="11"/>
      <name val="굴림체"/>
      <family val="3"/>
      <charset val="129"/>
    </font>
    <font>
      <sz val="10"/>
      <name val="Helv"/>
      <family val="2"/>
    </font>
    <font>
      <sz val="1"/>
      <color indexed="8"/>
      <name val="Courier"/>
      <family val="3"/>
    </font>
    <font>
      <sz val="12"/>
      <name val="Times New Roman"/>
      <family val="1"/>
    </font>
    <font>
      <sz val="11"/>
      <name val="바탕체"/>
      <family val="1"/>
      <charset val="129"/>
    </font>
    <font>
      <sz val="7"/>
      <name val="바탕체"/>
      <family val="1"/>
      <charset val="129"/>
    </font>
    <font>
      <sz val="9"/>
      <name val="바탕체"/>
      <family val="1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9"/>
      <name val="Arial"/>
      <family val="2"/>
    </font>
    <font>
      <sz val="11"/>
      <name val="￥i￠￢￠?o"/>
      <family val="1"/>
      <charset val="129"/>
    </font>
    <font>
      <sz val="8"/>
      <name val="¹UAAA¼"/>
      <family val="3"/>
      <charset val="129"/>
    </font>
    <font>
      <sz val="12"/>
      <name val="Arial"/>
      <family val="2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돋움체"/>
      <family val="3"/>
      <charset val="129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돋움체"/>
      <family val="3"/>
      <charset val="129"/>
    </font>
    <font>
      <sz val="12"/>
      <name val="궁서체"/>
      <family val="1"/>
      <charset val="129"/>
    </font>
    <font>
      <sz val="12"/>
      <name val="굴림"/>
      <family val="3"/>
      <charset val="129"/>
    </font>
    <font>
      <sz val="11"/>
      <name val="뼻뮝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10"/>
      <name val="돋움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10"/>
      <name val="Arial Narrow"/>
      <family val="2"/>
    </font>
    <font>
      <sz val="12"/>
      <name val="¹UAAA¼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경기천년바탕 Regular"/>
      <family val="1"/>
      <charset val="129"/>
    </font>
    <font>
      <sz val="12"/>
      <name val="경기천년바탕 Regular"/>
      <family val="1"/>
      <charset val="129"/>
    </font>
    <font>
      <b/>
      <sz val="14"/>
      <name val="경기천년바탕 Regular"/>
      <family val="1"/>
      <charset val="129"/>
    </font>
    <font>
      <sz val="14"/>
      <name val="경기천년바탕 Regular"/>
      <family val="1"/>
      <charset val="129"/>
    </font>
    <font>
      <b/>
      <sz val="20"/>
      <name val="경기천년바탕 Regular"/>
      <family val="1"/>
      <charset val="129"/>
    </font>
    <font>
      <b/>
      <sz val="12"/>
      <name val="경기천년바탕 Regular"/>
      <family val="1"/>
      <charset val="129"/>
    </font>
    <font>
      <sz val="10"/>
      <name val="경기천년바탕 Regular"/>
      <family val="1"/>
      <charset val="129"/>
    </font>
    <font>
      <b/>
      <sz val="24"/>
      <name val="경기천년바탕 Regular"/>
      <family val="1"/>
      <charset val="129"/>
    </font>
    <font>
      <b/>
      <sz val="13"/>
      <name val="경기천년바탕 Regular"/>
      <family val="1"/>
      <charset val="129"/>
    </font>
    <font>
      <sz val="9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sz val="10"/>
      <color theme="1"/>
      <name val="경기천년바탕 Regular"/>
      <family val="1"/>
      <charset val="129"/>
    </font>
    <font>
      <sz val="11"/>
      <color rgb="FFFF0000"/>
      <name val="돋움"/>
      <family val="3"/>
      <charset val="129"/>
    </font>
    <font>
      <sz val="12"/>
      <color theme="1"/>
      <name val="경기천년바탕 Regular"/>
      <family val="1"/>
      <charset val="129"/>
    </font>
    <font>
      <sz val="11"/>
      <color theme="0"/>
      <name val="돋움"/>
      <family val="3"/>
      <charset val="129"/>
    </font>
    <font>
      <sz val="11"/>
      <color theme="0" tint="-0.34998626667073579"/>
      <name val="돋움"/>
      <family val="3"/>
      <charset val="129"/>
    </font>
    <font>
      <sz val="11"/>
      <color theme="0" tint="-0.34998626667073579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</font>
    <font>
      <sz val="8"/>
      <name val="맑은 고딕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22"/>
      <name val="경기천년제목OTF Bold"/>
      <family val="1"/>
      <charset val="129"/>
    </font>
    <font>
      <sz val="11"/>
      <name val="경기천년제목OTF Bold"/>
      <family val="1"/>
      <charset val="129"/>
    </font>
    <font>
      <b/>
      <sz val="18"/>
      <name val="돋움"/>
      <family val="3"/>
      <charset val="129"/>
    </font>
    <font>
      <b/>
      <sz val="12"/>
      <name val="돋움"/>
      <family val="3"/>
      <charset val="129"/>
    </font>
    <font>
      <sz val="14"/>
      <name val="나눔스퀘어라운드 Regular"/>
      <family val="3"/>
      <charset val="129"/>
    </font>
    <font>
      <b/>
      <sz val="14"/>
      <name val="나눔스퀘어라운드 Regular"/>
      <family val="3"/>
      <charset val="129"/>
    </font>
    <font>
      <sz val="14"/>
      <name val="맑은 고딕"/>
      <family val="3"/>
      <charset val="129"/>
    </font>
    <font>
      <sz val="11"/>
      <name val="Arial Unicode MS"/>
      <family val="1"/>
      <charset val="129"/>
    </font>
    <font>
      <sz val="11"/>
      <name val="맑은 고딕"/>
      <family val="1"/>
      <charset val="129"/>
    </font>
    <font>
      <b/>
      <sz val="22"/>
      <name val="굴림"/>
      <family val="1"/>
      <charset val="129"/>
    </font>
    <font>
      <sz val="14"/>
      <color theme="0" tint="-0.34998626667073579"/>
      <name val="맑은 고딕"/>
      <family val="3"/>
      <charset val="129"/>
    </font>
    <font>
      <sz val="14"/>
      <name val="경기천년바탕OTF Bold"/>
      <family val="1"/>
      <charset val="129"/>
    </font>
    <font>
      <b/>
      <sz val="16"/>
      <name val="맑은 고딕"/>
      <family val="3"/>
      <charset val="129"/>
      <scheme val="major"/>
    </font>
    <font>
      <sz val="11"/>
      <color theme="1"/>
      <name val="맑은 고딕"/>
      <family val="1"/>
      <charset val="129"/>
    </font>
    <font>
      <b/>
      <sz val="14"/>
      <name val="경기천년바탕 Regular"/>
      <family val="1"/>
    </font>
    <font>
      <sz val="11"/>
      <color theme="1"/>
      <name val="경기천년바탕 Regular"/>
      <family val="1"/>
    </font>
    <font>
      <sz val="14"/>
      <color rgb="FFFF0000"/>
      <name val="맑은 고딕"/>
      <family val="3"/>
      <charset val="129"/>
    </font>
    <font>
      <sz val="12"/>
      <color rgb="FFFF0000"/>
      <name val="경기천년바탕 Regular"/>
      <family val="1"/>
      <charset val="129"/>
    </font>
    <font>
      <sz val="11"/>
      <color rgb="FFFF0000"/>
      <name val="경기천년바탕 Regular"/>
      <family val="1"/>
      <charset val="129"/>
    </font>
    <font>
      <sz val="11"/>
      <color rgb="FFFF0000"/>
      <name val="Arial Unicode MS"/>
      <family val="1"/>
      <charset val="129"/>
    </font>
    <font>
      <sz val="11"/>
      <color rgb="FFFF0000"/>
      <name val="맑은 고딕"/>
      <family val="1"/>
      <charset val="129"/>
    </font>
    <font>
      <b/>
      <sz val="12"/>
      <color theme="1"/>
      <name val="경기천년바탕 Regular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/>
      <top style="thick">
        <color rgb="FF0000FF"/>
      </top>
      <bottom style="medium">
        <color rgb="FF0000FF"/>
      </bottom>
      <diagonal/>
    </border>
    <border>
      <left/>
      <right/>
      <top style="thick">
        <color rgb="FF0000FF"/>
      </top>
      <bottom style="medium">
        <color rgb="FF0000FF"/>
      </bottom>
      <diagonal/>
    </border>
    <border>
      <left/>
      <right style="thick">
        <color rgb="FF0000FF"/>
      </right>
      <top style="thick">
        <color rgb="FF0000FF"/>
      </top>
      <bottom style="medium">
        <color rgb="FF0000FF"/>
      </bottom>
      <diagonal/>
    </border>
    <border>
      <left style="thick">
        <color rgb="FF0000FF"/>
      </left>
      <right/>
      <top style="medium">
        <color rgb="FF0000FF"/>
      </top>
      <bottom style="thick">
        <color rgb="FF0000FF"/>
      </bottom>
      <diagonal/>
    </border>
    <border>
      <left/>
      <right/>
      <top style="medium">
        <color rgb="FF0000FF"/>
      </top>
      <bottom style="thick">
        <color rgb="FF0000FF"/>
      </bottom>
      <diagonal/>
    </border>
    <border>
      <left/>
      <right style="thick">
        <color rgb="FF0000FF"/>
      </right>
      <top style="medium">
        <color rgb="FF0000FF"/>
      </top>
      <bottom style="thick">
        <color rgb="FF0000FF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585">
    <xf numFmtId="0" fontId="0" fillId="0" borderId="0">
      <alignment vertical="center"/>
    </xf>
    <xf numFmtId="0" fontId="10" fillId="0" borderId="0"/>
    <xf numFmtId="0" fontId="11" fillId="0" borderId="1">
      <alignment horizontal="center"/>
    </xf>
    <xf numFmtId="0" fontId="10" fillId="0" borderId="2">
      <alignment horizontal="centerContinuous" vertical="center"/>
    </xf>
    <xf numFmtId="3" fontId="12" fillId="0" borderId="0">
      <alignment vertical="center"/>
    </xf>
    <xf numFmtId="187" fontId="12" fillId="0" borderId="0">
      <alignment vertical="center"/>
    </xf>
    <xf numFmtId="4" fontId="12" fillId="0" borderId="0">
      <alignment vertical="center"/>
    </xf>
    <xf numFmtId="188" fontId="12" fillId="0" borderId="0">
      <alignment vertical="center"/>
    </xf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0" fontId="1" fillId="0" borderId="0" applyNumberFormat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1" fontId="1" fillId="0" borderId="0" applyNumberFormat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0" fontId="1" fillId="0" borderId="0" applyNumberFormat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1" fontId="1" fillId="0" borderId="0" applyNumberFormat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0" fontId="13" fillId="0" borderId="0"/>
    <xf numFmtId="0" fontId="12" fillId="0" borderId="0"/>
    <xf numFmtId="0" fontId="12" fillId="0" borderId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16" fillId="0" borderId="3">
      <alignment vertical="center"/>
    </xf>
    <xf numFmtId="0" fontId="16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0" fontId="14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7" fillId="0" borderId="0"/>
    <xf numFmtId="0" fontId="14" fillId="0" borderId="0"/>
    <xf numFmtId="0" fontId="12" fillId="0" borderId="0"/>
    <xf numFmtId="0" fontId="14" fillId="0" borderId="0"/>
    <xf numFmtId="0" fontId="1" fillId="0" borderId="0"/>
    <xf numFmtId="0" fontId="14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4" fillId="0" borderId="0"/>
    <xf numFmtId="0" fontId="11" fillId="0" borderId="0"/>
    <xf numFmtId="0" fontId="1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4" fillId="0" borderId="0"/>
    <xf numFmtId="0" fontId="12" fillId="0" borderId="0"/>
    <xf numFmtId="0" fontId="14" fillId="0" borderId="0"/>
    <xf numFmtId="0" fontId="14" fillId="0" borderId="0"/>
    <xf numFmtId="0" fontId="17" fillId="0" borderId="0"/>
    <xf numFmtId="0" fontId="14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8" fillId="0" borderId="0" applyFont="0" applyFill="0" applyBorder="0" applyAlignment="0" applyProtection="0"/>
    <xf numFmtId="0" fontId="12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7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9" fillId="0" borderId="0"/>
    <xf numFmtId="192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193" fontId="18" fillId="0" borderId="0">
      <protection locked="0"/>
    </xf>
    <xf numFmtId="194" fontId="20" fillId="0" borderId="4">
      <alignment vertical="center"/>
    </xf>
    <xf numFmtId="9" fontId="10" fillId="0" borderId="0">
      <alignment vertical="center"/>
    </xf>
    <xf numFmtId="195" fontId="14" fillId="0" borderId="0" applyFont="0" applyFill="0" applyBorder="0" applyAlignment="0" applyProtection="0"/>
    <xf numFmtId="0" fontId="10" fillId="0" borderId="0">
      <alignment vertical="center"/>
    </xf>
    <xf numFmtId="10" fontId="10" fillId="0" borderId="0">
      <alignment vertical="center"/>
    </xf>
    <xf numFmtId="0" fontId="10" fillId="0" borderId="0">
      <alignment vertical="center"/>
    </xf>
    <xf numFmtId="196" fontId="1" fillId="0" borderId="0">
      <alignment vertical="center"/>
    </xf>
    <xf numFmtId="197" fontId="12" fillId="0" borderId="0">
      <alignment vertical="center"/>
    </xf>
    <xf numFmtId="0" fontId="16" fillId="0" borderId="0">
      <alignment horizontal="center" vertical="center"/>
    </xf>
    <xf numFmtId="0" fontId="11" fillId="0" borderId="5"/>
    <xf numFmtId="4" fontId="21" fillId="0" borderId="6">
      <alignment vertical="center"/>
    </xf>
    <xf numFmtId="0" fontId="14" fillId="0" borderId="0" applyNumberFormat="0" applyFill="0" applyBorder="0" applyAlignment="0" applyProtection="0"/>
    <xf numFmtId="0" fontId="12" fillId="0" borderId="0"/>
    <xf numFmtId="0" fontId="18" fillId="0" borderId="0">
      <protection locked="0"/>
    </xf>
    <xf numFmtId="9" fontId="12" fillId="0" borderId="0">
      <protection locked="0"/>
    </xf>
    <xf numFmtId="0" fontId="12" fillId="0" borderId="0"/>
    <xf numFmtId="0" fontId="22" fillId="0" borderId="7">
      <alignment horizontal="center" vertical="center"/>
    </xf>
    <xf numFmtId="3" fontId="10" fillId="0" borderId="0"/>
    <xf numFmtId="198" fontId="23" fillId="2" borderId="8">
      <alignment horizontal="center" vertical="center"/>
    </xf>
    <xf numFmtId="0" fontId="24" fillId="0" borderId="0">
      <protection locked="0"/>
    </xf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37" fontId="25" fillId="0" borderId="0" applyFont="0" applyFill="0" applyBorder="0" applyAlignment="0" applyProtection="0"/>
    <xf numFmtId="0" fontId="1" fillId="0" borderId="0">
      <protection locked="0"/>
    </xf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37" fontId="25" fillId="0" borderId="0" applyFont="0" applyFill="0" applyBorder="0" applyAlignment="0" applyProtection="0"/>
    <xf numFmtId="199" fontId="18" fillId="0" borderId="0">
      <protection locked="0"/>
    </xf>
    <xf numFmtId="0" fontId="11" fillId="0" borderId="0"/>
    <xf numFmtId="0" fontId="2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37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37" fontId="25" fillId="0" borderId="0" applyFont="0" applyFill="0" applyBorder="0" applyAlignment="0" applyProtection="0"/>
    <xf numFmtId="4" fontId="18" fillId="0" borderId="0">
      <protection locked="0"/>
    </xf>
    <xf numFmtId="200" fontId="18" fillId="0" borderId="0">
      <protection locked="0"/>
    </xf>
    <xf numFmtId="0" fontId="29" fillId="0" borderId="0"/>
    <xf numFmtId="0" fontId="14" fillId="0" borderId="0"/>
    <xf numFmtId="0" fontId="14" fillId="0" borderId="0"/>
    <xf numFmtId="0" fontId="30" fillId="0" borderId="0"/>
    <xf numFmtId="0" fontId="29" fillId="0" borderId="0"/>
    <xf numFmtId="0" fontId="31" fillId="0" borderId="0"/>
    <xf numFmtId="0" fontId="32" fillId="0" borderId="0"/>
    <xf numFmtId="0" fontId="26" fillId="0" borderId="0"/>
    <xf numFmtId="0" fontId="25" fillId="0" borderId="0"/>
    <xf numFmtId="0" fontId="26" fillId="0" borderId="0"/>
    <xf numFmtId="0" fontId="33" fillId="0" borderId="0"/>
    <xf numFmtId="0" fontId="1" fillId="0" borderId="0" applyFill="0" applyBorder="0" applyAlignment="0"/>
    <xf numFmtId="0" fontId="34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18" fillId="0" borderId="9">
      <protection locked="0"/>
    </xf>
    <xf numFmtId="0" fontId="16" fillId="0" borderId="0">
      <protection locked="0"/>
    </xf>
    <xf numFmtId="38" fontId="14" fillId="0" borderId="0" applyFont="0" applyFill="0" applyBorder="0" applyAlignment="0" applyProtection="0"/>
    <xf numFmtId="201" fontId="1" fillId="0" borderId="0"/>
    <xf numFmtId="202" fontId="14" fillId="0" borderId="0" applyFont="0" applyFill="0" applyBorder="0" applyAlignment="0" applyProtection="0"/>
    <xf numFmtId="3" fontId="36" fillId="0" borderId="0" applyFont="0" applyFill="0" applyBorder="0" applyAlignment="0" applyProtection="0"/>
    <xf numFmtId="0" fontId="37" fillId="0" borderId="0" applyNumberFormat="0" applyAlignment="0">
      <alignment horizontal="left"/>
    </xf>
    <xf numFmtId="0" fontId="8" fillId="0" borderId="0" applyFont="0" applyFill="0" applyBorder="0" applyAlignment="0" applyProtection="0"/>
    <xf numFmtId="0" fontId="16" fillId="0" borderId="0">
      <protection locked="0"/>
    </xf>
    <xf numFmtId="0" fontId="14" fillId="0" borderId="0" applyFont="0" applyFill="0" applyBorder="0" applyAlignment="0" applyProtection="0"/>
    <xf numFmtId="203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0" fontId="38" fillId="0" borderId="0"/>
    <xf numFmtId="0" fontId="36" fillId="0" borderId="0" applyFont="0" applyFill="0" applyBorder="0" applyAlignment="0" applyProtection="0"/>
    <xf numFmtId="38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198" fontId="1" fillId="0" borderId="0"/>
    <xf numFmtId="205" fontId="18" fillId="0" borderId="0">
      <protection locked="0"/>
    </xf>
    <xf numFmtId="206" fontId="18" fillId="0" borderId="0">
      <protection locked="0"/>
    </xf>
    <xf numFmtId="0" fontId="39" fillId="0" borderId="0" applyNumberFormat="0" applyAlignment="0">
      <alignment horizontal="left"/>
    </xf>
    <xf numFmtId="207" fontId="12" fillId="0" borderId="0" applyFont="0" applyFill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4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40" fillId="0" borderId="0">
      <protection locked="0"/>
    </xf>
    <xf numFmtId="2" fontId="36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12" fillId="0" borderId="0"/>
    <xf numFmtId="38" fontId="42" fillId="3" borderId="0" applyNumberFormat="0" applyBorder="0" applyAlignment="0" applyProtection="0"/>
    <xf numFmtId="0" fontId="43" fillId="0" borderId="0" applyAlignment="0">
      <alignment horizontal="right"/>
    </xf>
    <xf numFmtId="0" fontId="44" fillId="0" borderId="0"/>
    <xf numFmtId="0" fontId="45" fillId="0" borderId="0"/>
    <xf numFmtId="0" fontId="46" fillId="0" borderId="0">
      <alignment horizontal="left"/>
    </xf>
    <xf numFmtId="0" fontId="47" fillId="0" borderId="10" applyNumberFormat="0" applyAlignment="0" applyProtection="0">
      <alignment horizontal="left" vertical="center"/>
    </xf>
    <xf numFmtId="0" fontId="47" fillId="0" borderId="11">
      <alignment horizontal="left" vertical="center"/>
    </xf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208" fontId="23" fillId="0" borderId="0">
      <protection locked="0"/>
    </xf>
    <xf numFmtId="208" fontId="23" fillId="0" borderId="0">
      <protection locked="0"/>
    </xf>
    <xf numFmtId="0" fontId="50" fillId="0" borderId="0" applyNumberFormat="0" applyFill="0" applyBorder="0" applyAlignment="0" applyProtection="0"/>
    <xf numFmtId="0" fontId="51" fillId="0" borderId="12" applyNumberFormat="0" applyFill="0" applyAlignment="0" applyProtection="0"/>
    <xf numFmtId="0" fontId="52" fillId="0" borderId="0" applyNumberFormat="0" applyFill="0" applyBorder="0" applyAlignment="0" applyProtection="0"/>
    <xf numFmtId="10" fontId="42" fillId="4" borderId="4" applyNumberFormat="0" applyBorder="0" applyAlignment="0" applyProtection="0"/>
    <xf numFmtId="0" fontId="1" fillId="0" borderId="13">
      <protection locked="0"/>
    </xf>
    <xf numFmtId="194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0" fontId="53" fillId="0" borderId="13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54" fillId="0" borderId="0"/>
    <xf numFmtId="209" fontId="1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2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16" fillId="0" borderId="0">
      <protection locked="0"/>
    </xf>
    <xf numFmtId="10" fontId="14" fillId="0" borderId="0" applyFont="0" applyFill="0" applyBorder="0" applyAlignment="0" applyProtection="0"/>
    <xf numFmtId="0" fontId="12" fillId="0" borderId="0">
      <protection locked="0"/>
    </xf>
    <xf numFmtId="30" fontId="56" fillId="0" borderId="0" applyNumberFormat="0" applyFill="0" applyBorder="0" applyAlignment="0" applyProtection="0">
      <alignment horizontal="left"/>
    </xf>
    <xf numFmtId="210" fontId="55" fillId="0" borderId="0"/>
    <xf numFmtId="0" fontId="53" fillId="0" borderId="0"/>
    <xf numFmtId="40" fontId="57" fillId="0" borderId="0" applyBorder="0">
      <alignment horizontal="right"/>
    </xf>
    <xf numFmtId="0" fontId="14" fillId="0" borderId="0"/>
    <xf numFmtId="0" fontId="14" fillId="0" borderId="0"/>
    <xf numFmtId="0" fontId="25" fillId="0" borderId="0"/>
    <xf numFmtId="0" fontId="83" fillId="0" borderId="0"/>
    <xf numFmtId="0" fontId="25" fillId="0" borderId="0"/>
    <xf numFmtId="0" fontId="83" fillId="0" borderId="0"/>
    <xf numFmtId="0" fontId="58" fillId="3" borderId="0">
      <alignment horizontal="centerContinuous"/>
    </xf>
    <xf numFmtId="0" fontId="59" fillId="0" borderId="0" applyFill="0" applyBorder="0" applyProtection="0">
      <alignment horizontal="centerContinuous" vertical="center"/>
    </xf>
    <xf numFmtId="0" fontId="23" fillId="5" borderId="0" applyFill="0" applyBorder="0" applyProtection="0">
      <alignment horizontal="center" vertical="center"/>
    </xf>
    <xf numFmtId="0" fontId="36" fillId="0" borderId="9" applyNumberFormat="0" applyFont="0" applyFill="0" applyAlignment="0" applyProtection="0"/>
    <xf numFmtId="0" fontId="60" fillId="0" borderId="14">
      <alignment horizontal="left"/>
    </xf>
    <xf numFmtId="37" fontId="42" fillId="6" borderId="0" applyNumberFormat="0" applyBorder="0" applyAlignment="0" applyProtection="0"/>
    <xf numFmtId="37" fontId="42" fillId="0" borderId="0"/>
    <xf numFmtId="3" fontId="61" fillId="0" borderId="12" applyProtection="0"/>
    <xf numFmtId="211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>
      <protection locked="0"/>
    </xf>
    <xf numFmtId="2" fontId="1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37" fontId="66" fillId="0" borderId="15">
      <alignment horizontal="center" vertical="center"/>
    </xf>
    <xf numFmtId="37" fontId="66" fillId="0" borderId="16" applyAlignment="0"/>
    <xf numFmtId="0" fontId="67" fillId="0" borderId="17">
      <alignment horizontal="center" vertical="center"/>
    </xf>
    <xf numFmtId="9" fontId="68" fillId="0" borderId="0" applyNumberFormat="0" applyFill="0" applyBorder="0" applyAlignment="0" applyProtection="0"/>
    <xf numFmtId="0" fontId="1" fillId="0" borderId="4">
      <alignment horizontal="right" vertical="center"/>
    </xf>
    <xf numFmtId="0" fontId="1" fillId="0" borderId="0">
      <protection locked="0"/>
    </xf>
    <xf numFmtId="0" fontId="13" fillId="0" borderId="0" applyFont="0" applyFill="0" applyBorder="0" applyAlignment="0" applyProtection="0"/>
    <xf numFmtId="0" fontId="12" fillId="7" borderId="0">
      <alignment horizontal="left"/>
    </xf>
    <xf numFmtId="0" fontId="1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4" fontId="8" fillId="0" borderId="18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38" fillId="0" borderId="4" applyNumberFormat="0" applyFont="0" applyFill="0" applyBorder="0" applyProtection="0">
      <alignment horizontal="distributed"/>
    </xf>
    <xf numFmtId="9" fontId="16" fillId="5" borderId="0" applyFill="0" applyBorder="0" applyProtection="0">
      <alignment horizontal="right"/>
    </xf>
    <xf numFmtId="10" fontId="16" fillId="0" borderId="0" applyFill="0" applyBorder="0" applyProtection="0">
      <alignment horizontal="right"/>
    </xf>
    <xf numFmtId="18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0" fontId="69" fillId="0" borderId="0"/>
    <xf numFmtId="183" fontId="1" fillId="0" borderId="0" applyNumberFormat="0" applyFont="0" applyFill="0" applyBorder="0" applyProtection="0">
      <alignment horizontal="centerContinuous"/>
    </xf>
    <xf numFmtId="183" fontId="70" fillId="0" borderId="17">
      <alignment vertical="center"/>
    </xf>
    <xf numFmtId="3" fontId="38" fillId="0" borderId="4"/>
    <xf numFmtId="0" fontId="38" fillId="0" borderId="4"/>
    <xf numFmtId="3" fontId="38" fillId="0" borderId="19"/>
    <xf numFmtId="3" fontId="38" fillId="0" borderId="20"/>
    <xf numFmtId="0" fontId="71" fillId="0" borderId="4"/>
    <xf numFmtId="0" fontId="72" fillId="0" borderId="0">
      <alignment horizontal="center"/>
    </xf>
    <xf numFmtId="0" fontId="73" fillId="0" borderId="21">
      <alignment horizontal="center"/>
    </xf>
    <xf numFmtId="3" fontId="67" fillId="0" borderId="0">
      <alignment vertical="center" wrapText="1"/>
    </xf>
    <xf numFmtId="3" fontId="74" fillId="0" borderId="0">
      <alignment vertical="center" wrapText="1"/>
    </xf>
    <xf numFmtId="4" fontId="75" fillId="0" borderId="0" applyNumberFormat="0" applyFill="0" applyBorder="0" applyAlignment="0">
      <alignment horizontal="centerContinuous"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0" fontId="17" fillId="0" borderId="0"/>
    <xf numFmtId="0" fontId="76" fillId="0" borderId="22"/>
    <xf numFmtId="213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197" fontId="77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0" fontId="78" fillId="0" borderId="0">
      <alignment vertical="center"/>
    </xf>
    <xf numFmtId="178" fontId="79" fillId="0" borderId="17" applyNumberFormat="0" applyFont="0" applyFill="0" applyAlignment="0" applyProtection="0">
      <alignment horizontal="center" vertical="center"/>
    </xf>
    <xf numFmtId="0" fontId="80" fillId="0" borderId="0">
      <alignment horizontal="center" vertical="center"/>
    </xf>
    <xf numFmtId="0" fontId="8" fillId="0" borderId="0" applyNumberFormat="0" applyAlignment="0">
      <alignment horizontal="left" vertical="center"/>
    </xf>
    <xf numFmtId="4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12" fillId="0" borderId="23" applyNumberFormat="0"/>
    <xf numFmtId="0" fontId="12" fillId="0" borderId="4">
      <alignment horizontal="distributed" vertical="center"/>
    </xf>
    <xf numFmtId="0" fontId="12" fillId="0" borderId="24">
      <alignment horizontal="distributed" vertical="top"/>
    </xf>
    <xf numFmtId="0" fontId="12" fillId="0" borderId="25">
      <alignment horizontal="distributed"/>
    </xf>
    <xf numFmtId="194" fontId="81" fillId="0" borderId="0">
      <alignment vertical="center"/>
    </xf>
    <xf numFmtId="0" fontId="12" fillId="0" borderId="0"/>
    <xf numFmtId="216" fontId="1" fillId="0" borderId="0" applyFont="0" applyFill="0" applyBorder="0" applyProtection="0">
      <alignment vertical="center"/>
    </xf>
    <xf numFmtId="38" fontId="38" fillId="0" borderId="0" applyFont="0" applyFill="0" applyBorder="0" applyProtection="0">
      <alignment vertical="center"/>
    </xf>
    <xf numFmtId="41" fontId="1" fillId="0" borderId="0" applyFont="0" applyFill="0" applyBorder="0" applyAlignment="0" applyProtection="0"/>
    <xf numFmtId="194" fontId="12" fillId="0" borderId="0" applyNumberFormat="0" applyFont="0" applyFill="0" applyBorder="0" applyProtection="0">
      <alignment vertical="center"/>
    </xf>
    <xf numFmtId="186" fontId="16" fillId="5" borderId="0" applyFill="0" applyBorder="0" applyProtection="0">
      <alignment horizontal="right"/>
    </xf>
    <xf numFmtId="38" fontId="38" fillId="0" borderId="0" applyFont="0" applyFill="0" applyBorder="0" applyAlignment="0" applyProtection="0">
      <alignment vertical="center"/>
    </xf>
    <xf numFmtId="217" fontId="1" fillId="0" borderId="0" applyFont="0" applyFill="0" applyBorder="0" applyAlignment="0" applyProtection="0">
      <alignment vertical="center"/>
    </xf>
    <xf numFmtId="218" fontId="1" fillId="0" borderId="0" applyFont="0" applyFill="0" applyBorder="0" applyAlignment="0" applyProtection="0">
      <alignment vertical="center"/>
    </xf>
    <xf numFmtId="219" fontId="8" fillId="0" borderId="0" applyFont="0" applyFill="0" applyBorder="0" applyAlignment="0" applyProtection="0">
      <alignment textRotation="255"/>
    </xf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8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4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1" fontId="66" fillId="0" borderId="22">
      <alignment horizontal="centerContinuous"/>
    </xf>
    <xf numFmtId="14" fontId="8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22" fillId="0" borderId="7">
      <alignment horizontal="center" vertical="center"/>
    </xf>
    <xf numFmtId="0" fontId="13" fillId="0" borderId="9" applyNumberFormat="0" applyFont="0" applyFill="0" applyAlignment="0" applyProtection="0"/>
    <xf numFmtId="183" fontId="1" fillId="0" borderId="0" applyFont="0" applyFill="0" applyBorder="0" applyAlignment="0" applyProtection="0"/>
    <xf numFmtId="220" fontId="13" fillId="0" borderId="0" applyFont="0" applyFill="0" applyBorder="0" applyAlignment="0" applyProtection="0"/>
    <xf numFmtId="38" fontId="12" fillId="0" borderId="0"/>
    <xf numFmtId="0" fontId="25" fillId="0" borderId="0"/>
    <xf numFmtId="0" fontId="25" fillId="0" borderId="0"/>
    <xf numFmtId="9" fontId="1" fillId="0" borderId="0" applyFont="0" applyFill="0" applyBorder="0" applyAlignment="0" applyProtection="0">
      <alignment vertical="center"/>
    </xf>
  </cellStyleXfs>
  <cellXfs count="3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0" fillId="0" borderId="0" xfId="420" applyFont="1">
      <alignment vertical="center"/>
    </xf>
    <xf numFmtId="181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43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182" fontId="0" fillId="0" borderId="0" xfId="0" applyNumberFormat="1" applyAlignment="1">
      <alignment horizontal="right" vertical="center"/>
    </xf>
    <xf numFmtId="222" fontId="0" fillId="0" borderId="0" xfId="0" applyNumberFormat="1" applyAlignment="1">
      <alignment horizontal="right" vertical="center"/>
    </xf>
    <xf numFmtId="183" fontId="3" fillId="0" borderId="0" xfId="0" applyNumberFormat="1" applyFont="1">
      <alignment vertical="center"/>
    </xf>
    <xf numFmtId="0" fontId="0" fillId="8" borderId="0" xfId="0" applyFill="1">
      <alignment vertical="center"/>
    </xf>
    <xf numFmtId="0" fontId="5" fillId="8" borderId="27" xfId="0" applyFont="1" applyFill="1" applyBorder="1" applyAlignment="1">
      <alignment horizontal="center" vertical="center"/>
    </xf>
    <xf numFmtId="41" fontId="1" fillId="8" borderId="27" xfId="420" applyFont="1" applyFill="1" applyBorder="1">
      <alignment vertical="center"/>
    </xf>
    <xf numFmtId="49" fontId="0" fillId="8" borderId="27" xfId="0" applyNumberFormat="1" applyFill="1" applyBorder="1" applyAlignment="1">
      <alignment horizontal="center" vertical="center"/>
    </xf>
    <xf numFmtId="0" fontId="0" fillId="8" borderId="27" xfId="0" applyFill="1" applyBorder="1">
      <alignment vertical="center"/>
    </xf>
    <xf numFmtId="0" fontId="0" fillId="8" borderId="0" xfId="0" applyFill="1" applyAlignment="1">
      <alignment horizontal="center" vertical="center"/>
    </xf>
    <xf numFmtId="41" fontId="1" fillId="8" borderId="0" xfId="420" applyFont="1" applyFill="1">
      <alignment vertical="center"/>
    </xf>
    <xf numFmtId="49" fontId="0" fillId="8" borderId="0" xfId="0" applyNumberFormat="1" applyFill="1" applyAlignment="1">
      <alignment horizontal="center" vertical="center"/>
    </xf>
    <xf numFmtId="41" fontId="0" fillId="8" borderId="0" xfId="0" applyNumberFormat="1" applyFill="1">
      <alignment vertical="center"/>
    </xf>
    <xf numFmtId="41" fontId="3" fillId="0" borderId="0" xfId="0" applyNumberFormat="1" applyFont="1">
      <alignment vertical="center"/>
    </xf>
    <xf numFmtId="182" fontId="0" fillId="0" borderId="0" xfId="0" applyNumberFormat="1">
      <alignment vertical="center"/>
    </xf>
    <xf numFmtId="0" fontId="89" fillId="0" borderId="0" xfId="0" applyFont="1" applyAlignment="1">
      <alignment horizontal="center" vertical="center"/>
    </xf>
    <xf numFmtId="0" fontId="90" fillId="0" borderId="0" xfId="0" applyFont="1" applyAlignment="1">
      <alignment horizontal="right" vertical="center"/>
    </xf>
    <xf numFmtId="0" fontId="86" fillId="8" borderId="36" xfId="0" applyFont="1" applyFill="1" applyBorder="1" applyAlignment="1">
      <alignment horizontal="center" vertical="center"/>
    </xf>
    <xf numFmtId="0" fontId="86" fillId="8" borderId="19" xfId="0" applyFont="1" applyFill="1" applyBorder="1">
      <alignment vertical="center"/>
    </xf>
    <xf numFmtId="0" fontId="91" fillId="8" borderId="19" xfId="0" applyFont="1" applyFill="1" applyBorder="1" applyAlignment="1">
      <alignment horizontal="left" vertical="center"/>
    </xf>
    <xf numFmtId="41" fontId="86" fillId="8" borderId="19" xfId="0" applyNumberFormat="1" applyFont="1" applyFill="1" applyBorder="1">
      <alignment vertical="center"/>
    </xf>
    <xf numFmtId="0" fontId="85" fillId="8" borderId="19" xfId="0" applyFont="1" applyFill="1" applyBorder="1">
      <alignment vertical="center"/>
    </xf>
    <xf numFmtId="0" fontId="86" fillId="8" borderId="35" xfId="0" applyFont="1" applyFill="1" applyBorder="1">
      <alignment vertical="center"/>
    </xf>
    <xf numFmtId="0" fontId="85" fillId="0" borderId="0" xfId="0" applyFont="1">
      <alignment vertical="center"/>
    </xf>
    <xf numFmtId="0" fontId="93" fillId="0" borderId="26" xfId="0" applyFont="1" applyBorder="1">
      <alignment vertical="center"/>
    </xf>
    <xf numFmtId="0" fontId="85" fillId="0" borderId="27" xfId="0" applyFont="1" applyBorder="1">
      <alignment vertical="center"/>
    </xf>
    <xf numFmtId="0" fontId="85" fillId="0" borderId="28" xfId="0" applyFont="1" applyBorder="1">
      <alignment vertical="center"/>
    </xf>
    <xf numFmtId="0" fontId="85" fillId="0" borderId="30" xfId="0" applyFont="1" applyBorder="1" applyAlignment="1">
      <alignment horizontal="center" vertical="center"/>
    </xf>
    <xf numFmtId="41" fontId="85" fillId="0" borderId="4" xfId="420" applyFont="1" applyBorder="1" applyAlignment="1">
      <alignment horizontal="center" vertical="center"/>
    </xf>
    <xf numFmtId="0" fontId="85" fillId="0" borderId="4" xfId="0" applyFont="1" applyBorder="1" applyAlignment="1">
      <alignment horizontal="center" vertical="center"/>
    </xf>
    <xf numFmtId="41" fontId="85" fillId="0" borderId="29" xfId="420" applyFont="1" applyFill="1" applyBorder="1" applyAlignment="1">
      <alignment horizontal="center" vertical="center"/>
    </xf>
    <xf numFmtId="0" fontId="85" fillId="8" borderId="30" xfId="0" applyFont="1" applyFill="1" applyBorder="1" applyAlignment="1">
      <alignment horizontal="center" vertical="center"/>
    </xf>
    <xf numFmtId="41" fontId="85" fillId="8" borderId="4" xfId="420" applyFont="1" applyFill="1" applyBorder="1">
      <alignment vertical="center"/>
    </xf>
    <xf numFmtId="183" fontId="85" fillId="8" borderId="4" xfId="420" applyNumberFormat="1" applyFont="1" applyFill="1" applyBorder="1" applyAlignment="1">
      <alignment horizontal="center" vertical="center"/>
    </xf>
    <xf numFmtId="0" fontId="85" fillId="8" borderId="4" xfId="0" applyFont="1" applyFill="1" applyBorder="1" applyAlignment="1">
      <alignment horizontal="center" vertical="center"/>
    </xf>
    <xf numFmtId="0" fontId="94" fillId="8" borderId="19" xfId="0" applyFont="1" applyFill="1" applyBorder="1" applyAlignment="1">
      <alignment horizontal="center" vertical="center" wrapText="1"/>
    </xf>
    <xf numFmtId="0" fontId="85" fillId="8" borderId="40" xfId="0" applyFont="1" applyFill="1" applyBorder="1">
      <alignment vertical="center"/>
    </xf>
    <xf numFmtId="0" fontId="85" fillId="8" borderId="19" xfId="0" applyFont="1" applyFill="1" applyBorder="1" applyAlignment="1">
      <alignment horizontal="center" vertical="center"/>
    </xf>
    <xf numFmtId="0" fontId="85" fillId="8" borderId="41" xfId="0" applyFont="1" applyFill="1" applyBorder="1" applyAlignment="1">
      <alignment horizontal="center" vertical="center"/>
    </xf>
    <xf numFmtId="0" fontId="85" fillId="8" borderId="47" xfId="0" applyFont="1" applyFill="1" applyBorder="1" applyAlignment="1">
      <alignment horizontal="center" vertical="center"/>
    </xf>
    <xf numFmtId="41" fontId="85" fillId="8" borderId="4" xfId="420" applyFont="1" applyFill="1" applyBorder="1" applyAlignment="1">
      <alignment horizontal="right" vertical="center"/>
    </xf>
    <xf numFmtId="0" fontId="85" fillId="8" borderId="39" xfId="0" applyFont="1" applyFill="1" applyBorder="1">
      <alignment vertical="center"/>
    </xf>
    <xf numFmtId="0" fontId="85" fillId="8" borderId="0" xfId="0" applyFont="1" applyFill="1" applyBorder="1">
      <alignment vertical="center"/>
    </xf>
    <xf numFmtId="0" fontId="85" fillId="8" borderId="0" xfId="0" applyFont="1" applyFill="1" applyBorder="1" applyAlignment="1">
      <alignment horizontal="center" vertical="center"/>
    </xf>
    <xf numFmtId="0" fontId="85" fillId="8" borderId="40" xfId="0" applyFont="1" applyFill="1" applyBorder="1" applyAlignment="1">
      <alignment horizontal="center" vertical="center"/>
    </xf>
    <xf numFmtId="0" fontId="93" fillId="8" borderId="45" xfId="0" applyFont="1" applyFill="1" applyBorder="1" applyAlignment="1">
      <alignment horizontal="center" vertical="center"/>
    </xf>
    <xf numFmtId="0" fontId="85" fillId="8" borderId="20" xfId="0" applyFont="1" applyFill="1" applyBorder="1" applyAlignment="1">
      <alignment horizontal="center" vertical="center"/>
    </xf>
    <xf numFmtId="41" fontId="85" fillId="8" borderId="4" xfId="420" applyFont="1" applyFill="1" applyBorder="1" applyAlignment="1">
      <alignment horizontal="center" vertical="center"/>
    </xf>
    <xf numFmtId="41" fontId="85" fillId="8" borderId="25" xfId="420" applyFont="1" applyFill="1" applyBorder="1">
      <alignment vertical="center"/>
    </xf>
    <xf numFmtId="183" fontId="85" fillId="8" borderId="25" xfId="420" applyNumberFormat="1" applyFont="1" applyFill="1" applyBorder="1" applyAlignment="1">
      <alignment horizontal="center" vertical="center"/>
    </xf>
    <xf numFmtId="0" fontId="85" fillId="8" borderId="29" xfId="0" applyFont="1" applyFill="1" applyBorder="1" applyAlignment="1">
      <alignment horizontal="center" vertical="center"/>
    </xf>
    <xf numFmtId="41" fontId="85" fillId="8" borderId="4" xfId="0" applyNumberFormat="1" applyFont="1" applyFill="1" applyBorder="1">
      <alignment vertical="center"/>
    </xf>
    <xf numFmtId="0" fontId="85" fillId="8" borderId="4" xfId="0" applyFont="1" applyFill="1" applyBorder="1">
      <alignment vertical="center"/>
    </xf>
    <xf numFmtId="0" fontId="85" fillId="8" borderId="30" xfId="0" applyFont="1" applyFill="1" applyBorder="1">
      <alignment vertical="center"/>
    </xf>
    <xf numFmtId="0" fontId="85" fillId="8" borderId="46" xfId="0" applyFont="1" applyFill="1" applyBorder="1">
      <alignment vertical="center"/>
    </xf>
    <xf numFmtId="0" fontId="93" fillId="8" borderId="34" xfId="0" applyFont="1" applyFill="1" applyBorder="1" applyAlignment="1">
      <alignment horizontal="center" vertical="center"/>
    </xf>
    <xf numFmtId="41" fontId="85" fillId="8" borderId="1" xfId="0" applyNumberFormat="1" applyFont="1" applyFill="1" applyBorder="1">
      <alignment vertical="center"/>
    </xf>
    <xf numFmtId="0" fontId="85" fillId="8" borderId="1" xfId="0" applyFont="1" applyFill="1" applyBorder="1">
      <alignment vertical="center"/>
    </xf>
    <xf numFmtId="0" fontId="85" fillId="8" borderId="35" xfId="0" applyFont="1" applyFill="1" applyBorder="1">
      <alignment vertical="center"/>
    </xf>
    <xf numFmtId="0" fontId="87" fillId="0" borderId="0" xfId="0" applyFont="1" applyAlignment="1">
      <alignment horizontal="center" vertical="center"/>
    </xf>
    <xf numFmtId="49" fontId="87" fillId="0" borderId="0" xfId="0" applyNumberFormat="1" applyFont="1" applyAlignment="1">
      <alignment horizontal="center" vertical="center"/>
    </xf>
    <xf numFmtId="41" fontId="87" fillId="0" borderId="0" xfId="420" applyFont="1" applyAlignment="1">
      <alignment horizontal="center" vertical="center"/>
    </xf>
    <xf numFmtId="0" fontId="93" fillId="0" borderId="26" xfId="0" applyFont="1" applyBorder="1" applyAlignment="1">
      <alignment horizontal="left" vertical="center"/>
    </xf>
    <xf numFmtId="41" fontId="85" fillId="0" borderId="27" xfId="420" applyFont="1" applyBorder="1">
      <alignment vertical="center"/>
    </xf>
    <xf numFmtId="49" fontId="85" fillId="0" borderId="27" xfId="420" applyNumberFormat="1" applyFont="1" applyBorder="1" applyAlignment="1">
      <alignment horizontal="center" vertical="center"/>
    </xf>
    <xf numFmtId="0" fontId="85" fillId="0" borderId="28" xfId="0" applyFont="1" applyBorder="1" applyAlignment="1">
      <alignment horizontal="right" vertical="center"/>
    </xf>
    <xf numFmtId="0" fontId="85" fillId="0" borderId="20" xfId="0" applyFont="1" applyBorder="1" applyAlignment="1">
      <alignment horizontal="center" vertical="center"/>
    </xf>
    <xf numFmtId="49" fontId="85" fillId="0" borderId="4" xfId="0" applyNumberFormat="1" applyFont="1" applyBorder="1" applyAlignment="1">
      <alignment horizontal="center" vertical="center"/>
    </xf>
    <xf numFmtId="0" fontId="85" fillId="0" borderId="19" xfId="0" applyFont="1" applyBorder="1" applyAlignment="1">
      <alignment horizontal="center" vertical="center"/>
    </xf>
    <xf numFmtId="41" fontId="85" fillId="8" borderId="4" xfId="420" applyNumberFormat="1" applyFont="1" applyFill="1" applyBorder="1">
      <alignment vertical="center"/>
    </xf>
    <xf numFmtId="224" fontId="85" fillId="8" borderId="4" xfId="420" applyNumberFormat="1" applyFont="1" applyFill="1" applyBorder="1">
      <alignment vertical="center"/>
    </xf>
    <xf numFmtId="49" fontId="85" fillId="8" borderId="4" xfId="0" applyNumberFormat="1" applyFont="1" applyFill="1" applyBorder="1" applyAlignment="1">
      <alignment horizontal="center" vertical="center" wrapText="1"/>
    </xf>
    <xf numFmtId="224" fontId="85" fillId="8" borderId="4" xfId="420" applyNumberFormat="1" applyFont="1" applyFill="1" applyBorder="1" applyAlignment="1">
      <alignment horizontal="right" vertical="center"/>
    </xf>
    <xf numFmtId="182" fontId="91" fillId="8" borderId="19" xfId="420" applyNumberFormat="1" applyFont="1" applyFill="1" applyBorder="1" applyAlignment="1">
      <alignment horizontal="left" vertical="center"/>
    </xf>
    <xf numFmtId="49" fontId="85" fillId="8" borderId="0" xfId="0" applyNumberFormat="1" applyFont="1" applyFill="1" applyBorder="1" applyAlignment="1">
      <alignment horizontal="center" vertical="center"/>
    </xf>
    <xf numFmtId="49" fontId="95" fillId="8" borderId="4" xfId="0" applyNumberFormat="1" applyFont="1" applyFill="1" applyBorder="1" applyAlignment="1">
      <alignment horizontal="center" vertical="center"/>
    </xf>
    <xf numFmtId="182" fontId="96" fillId="8" borderId="19" xfId="420" applyNumberFormat="1" applyFont="1" applyFill="1" applyBorder="1" applyAlignment="1">
      <alignment horizontal="left" vertical="center"/>
    </xf>
    <xf numFmtId="49" fontId="85" fillId="8" borderId="4" xfId="0" applyNumberFormat="1" applyFont="1" applyFill="1" applyBorder="1" applyAlignment="1">
      <alignment horizontal="center" vertical="center"/>
    </xf>
    <xf numFmtId="0" fontId="85" fillId="8" borderId="19" xfId="0" applyFont="1" applyFill="1" applyBorder="1" applyAlignment="1">
      <alignment horizontal="left" vertical="center"/>
    </xf>
    <xf numFmtId="0" fontId="85" fillId="8" borderId="39" xfId="0" applyFont="1" applyFill="1" applyBorder="1" applyAlignment="1">
      <alignment horizontal="center" vertical="center"/>
    </xf>
    <xf numFmtId="41" fontId="85" fillId="8" borderId="0" xfId="420" applyFont="1" applyFill="1" applyBorder="1">
      <alignment vertical="center"/>
    </xf>
    <xf numFmtId="0" fontId="93" fillId="8" borderId="39" xfId="0" applyFont="1" applyFill="1" applyBorder="1" applyAlignment="1">
      <alignment horizontal="left" vertical="center"/>
    </xf>
    <xf numFmtId="0" fontId="85" fillId="8" borderId="40" xfId="0" applyFont="1" applyFill="1" applyBorder="1" applyAlignment="1">
      <alignment horizontal="right" vertical="center"/>
    </xf>
    <xf numFmtId="41" fontId="85" fillId="8" borderId="33" xfId="0" applyNumberFormat="1" applyFont="1" applyFill="1" applyBorder="1" applyAlignment="1">
      <alignment horizontal="center" vertical="center"/>
    </xf>
    <xf numFmtId="179" fontId="85" fillId="8" borderId="4" xfId="420" applyNumberFormat="1" applyFont="1" applyFill="1" applyBorder="1">
      <alignment vertical="center"/>
    </xf>
    <xf numFmtId="0" fontId="85" fillId="8" borderId="19" xfId="0" applyFont="1" applyFill="1" applyBorder="1" applyAlignment="1">
      <alignment horizontal="left" vertical="center" wrapText="1"/>
    </xf>
    <xf numFmtId="180" fontId="85" fillId="8" borderId="4" xfId="420" applyNumberFormat="1" applyFont="1" applyFill="1" applyBorder="1">
      <alignment vertical="center"/>
    </xf>
    <xf numFmtId="0" fontId="85" fillId="8" borderId="32" xfId="0" applyFont="1" applyFill="1" applyBorder="1" applyAlignment="1">
      <alignment horizontal="center" vertical="center"/>
    </xf>
    <xf numFmtId="41" fontId="85" fillId="8" borderId="1" xfId="420" applyFont="1" applyFill="1" applyBorder="1">
      <alignment vertical="center"/>
    </xf>
    <xf numFmtId="41" fontId="85" fillId="8" borderId="1" xfId="420" applyNumberFormat="1" applyFont="1" applyFill="1" applyBorder="1">
      <alignment vertical="center"/>
    </xf>
    <xf numFmtId="49" fontId="85" fillId="8" borderId="1" xfId="0" applyNumberFormat="1" applyFont="1" applyFill="1" applyBorder="1" applyAlignment="1">
      <alignment horizontal="center" vertical="center"/>
    </xf>
    <xf numFmtId="0" fontId="85" fillId="8" borderId="35" xfId="0" applyFont="1" applyFill="1" applyBorder="1" applyAlignment="1">
      <alignment horizontal="left" vertical="center"/>
    </xf>
    <xf numFmtId="0" fontId="93" fillId="8" borderId="42" xfId="0" applyFont="1" applyFill="1" applyBorder="1" applyAlignment="1">
      <alignment horizontal="center" vertical="center"/>
    </xf>
    <xf numFmtId="41" fontId="85" fillId="8" borderId="43" xfId="420" applyFont="1" applyFill="1" applyBorder="1">
      <alignment vertical="center"/>
    </xf>
    <xf numFmtId="49" fontId="85" fillId="8" borderId="43" xfId="0" applyNumberFormat="1" applyFont="1" applyFill="1" applyBorder="1" applyAlignment="1">
      <alignment horizontal="center" vertical="center"/>
    </xf>
    <xf numFmtId="0" fontId="85" fillId="8" borderId="44" xfId="0" applyFont="1" applyFill="1" applyBorder="1">
      <alignment vertical="center"/>
    </xf>
    <xf numFmtId="226" fontId="85" fillId="8" borderId="4" xfId="420" applyNumberFormat="1" applyFont="1" applyFill="1" applyBorder="1" applyAlignment="1">
      <alignment horizontal="center" vertical="center"/>
    </xf>
    <xf numFmtId="225" fontId="85" fillId="8" borderId="4" xfId="420" applyNumberFormat="1" applyFont="1" applyFill="1" applyBorder="1" applyAlignment="1">
      <alignment horizontal="center" vertical="center"/>
    </xf>
    <xf numFmtId="41" fontId="85" fillId="8" borderId="1" xfId="420" applyFont="1" applyFill="1" applyBorder="1" applyAlignment="1">
      <alignment horizontal="center" vertical="center"/>
    </xf>
    <xf numFmtId="41" fontId="85" fillId="8" borderId="1" xfId="420" applyNumberFormat="1" applyFont="1" applyFill="1" applyBorder="1" applyAlignment="1">
      <alignment horizontal="center" vertical="center"/>
    </xf>
    <xf numFmtId="41" fontId="85" fillId="8" borderId="43" xfId="420" applyNumberFormat="1" applyFont="1" applyFill="1" applyBorder="1">
      <alignment vertical="center"/>
    </xf>
    <xf numFmtId="41" fontId="85" fillId="8" borderId="43" xfId="0" applyNumberFormat="1" applyFont="1" applyFill="1" applyBorder="1" applyAlignment="1">
      <alignment horizontal="center" vertical="center"/>
    </xf>
    <xf numFmtId="0" fontId="85" fillId="8" borderId="45" xfId="0" applyFont="1" applyFill="1" applyBorder="1" applyAlignment="1">
      <alignment horizontal="center" vertical="center"/>
    </xf>
    <xf numFmtId="0" fontId="95" fillId="8" borderId="20" xfId="0" applyFont="1" applyFill="1" applyBorder="1" applyAlignment="1">
      <alignment horizontal="center" vertical="center"/>
    </xf>
    <xf numFmtId="41" fontId="95" fillId="8" borderId="4" xfId="420" applyNumberFormat="1" applyFont="1" applyFill="1" applyBorder="1">
      <alignment vertical="center"/>
    </xf>
    <xf numFmtId="41" fontId="95" fillId="8" borderId="4" xfId="420" applyFont="1" applyFill="1" applyBorder="1">
      <alignment vertical="center"/>
    </xf>
    <xf numFmtId="186" fontId="95" fillId="8" borderId="4" xfId="420" applyNumberFormat="1" applyFont="1" applyFill="1" applyBorder="1" applyAlignment="1">
      <alignment horizontal="center" vertical="center"/>
    </xf>
    <xf numFmtId="0" fontId="85" fillId="8" borderId="37" xfId="0" applyFont="1" applyFill="1" applyBorder="1" applyAlignment="1">
      <alignment horizontal="center" vertical="center"/>
    </xf>
    <xf numFmtId="0" fontId="91" fillId="8" borderId="19" xfId="0" applyFont="1" applyFill="1" applyBorder="1" applyAlignment="1">
      <alignment horizontal="left" vertical="center" wrapText="1"/>
    </xf>
    <xf numFmtId="49" fontId="85" fillId="0" borderId="4" xfId="0" applyNumberFormat="1" applyFont="1" applyFill="1" applyBorder="1" applyAlignment="1">
      <alignment horizontal="center" vertical="center" wrapText="1"/>
    </xf>
    <xf numFmtId="49" fontId="85" fillId="0" borderId="4" xfId="0" applyNumberFormat="1" applyFont="1" applyFill="1" applyBorder="1" applyAlignment="1">
      <alignment horizontal="center" vertical="center"/>
    </xf>
    <xf numFmtId="0" fontId="0" fillId="8" borderId="0" xfId="0" applyFill="1" applyBorder="1" applyAlignment="1">
      <alignment horizontal="left" vertical="center" wrapText="1"/>
    </xf>
    <xf numFmtId="0" fontId="85" fillId="0" borderId="20" xfId="0" applyFont="1" applyFill="1" applyBorder="1" applyAlignment="1">
      <alignment horizontal="center" vertical="center"/>
    </xf>
    <xf numFmtId="41" fontId="85" fillId="0" borderId="4" xfId="420" applyFont="1" applyFill="1" applyBorder="1">
      <alignment vertical="center"/>
    </xf>
    <xf numFmtId="0" fontId="85" fillId="0" borderId="19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180" fontId="85" fillId="0" borderId="4" xfId="420" applyNumberFormat="1" applyFont="1" applyFill="1" applyBorder="1">
      <alignment vertical="center"/>
    </xf>
    <xf numFmtId="0" fontId="97" fillId="0" borderId="0" xfId="0" applyFont="1">
      <alignment vertical="center"/>
    </xf>
    <xf numFmtId="41" fontId="85" fillId="8" borderId="4" xfId="420" applyFont="1" applyFill="1" applyBorder="1" applyAlignment="1">
      <alignment horizontal="center" vertical="center"/>
    </xf>
    <xf numFmtId="224" fontId="95" fillId="8" borderId="4" xfId="420" applyNumberFormat="1" applyFont="1" applyFill="1" applyBorder="1" applyAlignment="1">
      <alignment horizontal="right" vertical="center"/>
    </xf>
    <xf numFmtId="49" fontId="95" fillId="8" borderId="0" xfId="0" applyNumberFormat="1" applyFont="1" applyFill="1" applyBorder="1" applyAlignment="1">
      <alignment horizontal="center" vertical="center"/>
    </xf>
    <xf numFmtId="41" fontId="95" fillId="8" borderId="33" xfId="0" applyNumberFormat="1" applyFont="1" applyFill="1" applyBorder="1" applyAlignment="1">
      <alignment horizontal="center" vertical="center"/>
    </xf>
    <xf numFmtId="49" fontId="95" fillId="0" borderId="4" xfId="0" applyNumberFormat="1" applyFont="1" applyFill="1" applyBorder="1" applyAlignment="1">
      <alignment horizontal="center" vertical="center"/>
    </xf>
    <xf numFmtId="180" fontId="95" fillId="8" borderId="4" xfId="420" applyNumberFormat="1" applyFont="1" applyFill="1" applyBorder="1">
      <alignment vertical="center"/>
    </xf>
    <xf numFmtId="0" fontId="95" fillId="8" borderId="0" xfId="0" applyFont="1" applyFill="1" applyBorder="1">
      <alignment vertical="center"/>
    </xf>
    <xf numFmtId="0" fontId="95" fillId="8" borderId="0" xfId="0" applyFont="1" applyFill="1" applyBorder="1" applyAlignment="1">
      <alignment horizontal="center" vertical="center"/>
    </xf>
    <xf numFmtId="41" fontId="95" fillId="8" borderId="4" xfId="420" applyFont="1" applyFill="1" applyBorder="1" applyAlignment="1">
      <alignment horizontal="center" vertical="center"/>
    </xf>
    <xf numFmtId="0" fontId="95" fillId="8" borderId="4" xfId="0" applyFont="1" applyFill="1" applyBorder="1" applyAlignment="1">
      <alignment horizontal="center" vertical="center"/>
    </xf>
    <xf numFmtId="0" fontId="99" fillId="0" borderId="0" xfId="0" applyFont="1">
      <alignment vertical="center"/>
    </xf>
    <xf numFmtId="3" fontId="99" fillId="0" borderId="0" xfId="0" applyNumberFormat="1" applyFont="1">
      <alignment vertical="center"/>
    </xf>
    <xf numFmtId="0" fontId="99" fillId="0" borderId="0" xfId="0" applyFont="1" applyFill="1">
      <alignment vertical="center"/>
    </xf>
    <xf numFmtId="182" fontId="100" fillId="0" borderId="0" xfId="0" applyNumberFormat="1" applyFont="1" applyFill="1" applyBorder="1" applyAlignment="1">
      <alignment horizontal="right" vertical="center" wrapText="1"/>
    </xf>
    <xf numFmtId="222" fontId="101" fillId="0" borderId="0" xfId="568" applyNumberFormat="1" applyFont="1" applyAlignment="1">
      <alignment horizontal="right" vertical="center"/>
    </xf>
    <xf numFmtId="182" fontId="100" fillId="0" borderId="0" xfId="0" applyNumberFormat="1" applyFont="1" applyAlignment="1">
      <alignment horizontal="right" vertical="center"/>
    </xf>
    <xf numFmtId="0" fontId="100" fillId="0" borderId="0" xfId="0" applyFont="1">
      <alignment vertical="center"/>
    </xf>
    <xf numFmtId="41" fontId="100" fillId="0" borderId="0" xfId="420" applyFont="1">
      <alignment vertical="center"/>
    </xf>
    <xf numFmtId="41" fontId="100" fillId="0" borderId="0" xfId="0" applyNumberFormat="1" applyFont="1">
      <alignment vertical="center"/>
    </xf>
    <xf numFmtId="227" fontId="100" fillId="0" borderId="0" xfId="0" applyNumberFormat="1" applyFont="1">
      <alignment vertical="center"/>
    </xf>
    <xf numFmtId="43" fontId="100" fillId="0" borderId="0" xfId="0" applyNumberFormat="1" applyFont="1">
      <alignment vertical="center"/>
    </xf>
    <xf numFmtId="227" fontId="100" fillId="0" borderId="0" xfId="0" applyNumberFormat="1" applyFont="1" applyAlignment="1">
      <alignment horizontal="center" vertical="center"/>
    </xf>
    <xf numFmtId="228" fontId="100" fillId="0" borderId="0" xfId="0" applyNumberFormat="1" applyFont="1" applyAlignment="1">
      <alignment horizontal="center" vertical="center"/>
    </xf>
    <xf numFmtId="3" fontId="100" fillId="0" borderId="0" xfId="0" applyNumberFormat="1" applyFont="1">
      <alignment vertical="center"/>
    </xf>
    <xf numFmtId="43" fontId="100" fillId="0" borderId="0" xfId="0" applyNumberFormat="1" applyFont="1" applyFill="1">
      <alignment vertical="center"/>
    </xf>
    <xf numFmtId="0" fontId="100" fillId="0" borderId="0" xfId="0" applyFont="1" applyFill="1">
      <alignment vertical="center"/>
    </xf>
    <xf numFmtId="41" fontId="95" fillId="8" borderId="25" xfId="420" applyFont="1" applyFill="1" applyBorder="1">
      <alignment vertical="center"/>
    </xf>
    <xf numFmtId="0" fontId="102" fillId="0" borderId="0" xfId="567" applyFont="1" applyFill="1" applyAlignment="1">
      <alignment horizontal="center" vertical="center" shrinkToFit="1"/>
    </xf>
    <xf numFmtId="226" fontId="100" fillId="0" borderId="0" xfId="0" applyNumberFormat="1" applyFont="1">
      <alignment vertical="center"/>
    </xf>
    <xf numFmtId="183" fontId="100" fillId="0" borderId="0" xfId="0" applyNumberFormat="1" applyFont="1">
      <alignment vertical="center"/>
    </xf>
    <xf numFmtId="222" fontId="100" fillId="0" borderId="0" xfId="0" applyNumberFormat="1" applyFont="1" applyAlignment="1">
      <alignment horizontal="right" vertical="center"/>
    </xf>
    <xf numFmtId="223" fontId="100" fillId="0" borderId="0" xfId="0" applyNumberFormat="1" applyFont="1" applyAlignment="1">
      <alignment horizontal="right" vertical="center"/>
    </xf>
    <xf numFmtId="41" fontId="100" fillId="0" borderId="0" xfId="420" applyFont="1" applyAlignment="1">
      <alignment horizontal="right" vertical="center"/>
    </xf>
    <xf numFmtId="224" fontId="85" fillId="0" borderId="4" xfId="420" applyNumberFormat="1" applyFont="1" applyFill="1" applyBorder="1">
      <alignment vertical="center"/>
    </xf>
    <xf numFmtId="226" fontId="85" fillId="0" borderId="4" xfId="420" applyNumberFormat="1" applyFont="1" applyFill="1" applyBorder="1" applyAlignment="1">
      <alignment horizontal="center" vertical="center"/>
    </xf>
    <xf numFmtId="10" fontId="3" fillId="0" borderId="0" xfId="584" applyNumberFormat="1" applyFont="1">
      <alignment vertical="center"/>
    </xf>
    <xf numFmtId="0" fontId="86" fillId="8" borderId="50" xfId="0" applyFont="1" applyFill="1" applyBorder="1" applyAlignment="1">
      <alignment horizontal="center" vertical="center"/>
    </xf>
    <xf numFmtId="0" fontId="86" fillId="8" borderId="33" xfId="0" applyFont="1" applyFill="1" applyBorder="1">
      <alignment vertical="center"/>
    </xf>
    <xf numFmtId="0" fontId="86" fillId="8" borderId="11" xfId="0" applyFont="1" applyFill="1" applyBorder="1" applyAlignment="1">
      <alignment horizontal="center" vertical="center"/>
    </xf>
    <xf numFmtId="49" fontId="95" fillId="8" borderId="11" xfId="420" applyNumberFormat="1" applyFont="1" applyFill="1" applyBorder="1" applyAlignment="1">
      <alignment horizontal="center" vertical="center"/>
    </xf>
    <xf numFmtId="9" fontId="86" fillId="8" borderId="33" xfId="0" applyNumberFormat="1" applyFont="1" applyFill="1" applyBorder="1" applyAlignment="1">
      <alignment horizontal="center" vertical="center"/>
    </xf>
    <xf numFmtId="0" fontId="86" fillId="8" borderId="51" xfId="0" applyFont="1" applyFill="1" applyBorder="1">
      <alignment vertical="center"/>
    </xf>
    <xf numFmtId="0" fontId="87" fillId="0" borderId="4" xfId="563" applyFont="1" applyBorder="1" applyAlignment="1">
      <alignment horizontal="center" vertical="center"/>
    </xf>
    <xf numFmtId="0" fontId="84" fillId="0" borderId="0" xfId="568">
      <alignment vertical="center"/>
    </xf>
    <xf numFmtId="0" fontId="104" fillId="0" borderId="52" xfId="563" applyFont="1" applyBorder="1"/>
    <xf numFmtId="0" fontId="104" fillId="0" borderId="53" xfId="563" applyFont="1" applyBorder="1"/>
    <xf numFmtId="0" fontId="104" fillId="0" borderId="54" xfId="563" applyFont="1" applyBorder="1"/>
    <xf numFmtId="0" fontId="104" fillId="0" borderId="3" xfId="563" applyFont="1" applyBorder="1"/>
    <xf numFmtId="0" fontId="104" fillId="0" borderId="0" xfId="563" applyFont="1" applyBorder="1"/>
    <xf numFmtId="0" fontId="104" fillId="0" borderId="55" xfId="563" applyFont="1" applyBorder="1"/>
    <xf numFmtId="0" fontId="108" fillId="0" borderId="3" xfId="563" applyFont="1" applyBorder="1" applyAlignment="1">
      <alignment horizontal="center" vertical="center"/>
    </xf>
    <xf numFmtId="0" fontId="108" fillId="0" borderId="0" xfId="563" applyFont="1" applyBorder="1" applyAlignment="1">
      <alignment horizontal="center" vertical="center"/>
    </xf>
    <xf numFmtId="0" fontId="108" fillId="0" borderId="55" xfId="563" applyFont="1" applyBorder="1" applyAlignment="1">
      <alignment horizontal="center" vertical="center"/>
    </xf>
    <xf numFmtId="0" fontId="109" fillId="0" borderId="3" xfId="563" applyFont="1" applyBorder="1" applyAlignment="1">
      <alignment horizontal="center" vertical="center"/>
    </xf>
    <xf numFmtId="0" fontId="109" fillId="0" borderId="0" xfId="563" applyFont="1" applyBorder="1" applyAlignment="1">
      <alignment horizontal="center" vertical="center"/>
    </xf>
    <xf numFmtId="0" fontId="109" fillId="0" borderId="55" xfId="563" applyFont="1" applyBorder="1" applyAlignment="1">
      <alignment horizontal="center" vertical="center"/>
    </xf>
    <xf numFmtId="0" fontId="1" fillId="0" borderId="0" xfId="563" applyBorder="1"/>
    <xf numFmtId="0" fontId="104" fillId="0" borderId="0" xfId="563" quotePrefix="1" applyFont="1" applyBorder="1"/>
    <xf numFmtId="3" fontId="104" fillId="0" borderId="0" xfId="563" applyNumberFormat="1" applyFont="1" applyBorder="1"/>
    <xf numFmtId="0" fontId="104" fillId="0" borderId="0" xfId="563" applyFont="1" applyBorder="1" applyAlignment="1">
      <alignment wrapText="1"/>
    </xf>
    <xf numFmtId="0" fontId="1" fillId="0" borderId="3" xfId="563" applyBorder="1"/>
    <xf numFmtId="0" fontId="1" fillId="0" borderId="0" xfId="563" applyBorder="1" applyAlignment="1"/>
    <xf numFmtId="0" fontId="1" fillId="0" borderId="0" xfId="563" applyAlignment="1"/>
    <xf numFmtId="0" fontId="1" fillId="0" borderId="55" xfId="563" applyBorder="1" applyAlignment="1"/>
    <xf numFmtId="0" fontId="105" fillId="0" borderId="3" xfId="563" applyFont="1" applyBorder="1" applyAlignment="1">
      <alignment horizontal="left" vertical="center"/>
    </xf>
    <xf numFmtId="0" fontId="95" fillId="8" borderId="19" xfId="0" applyFont="1" applyFill="1" applyBorder="1" applyAlignment="1">
      <alignment horizontal="left" vertical="center" wrapText="1"/>
    </xf>
    <xf numFmtId="0" fontId="96" fillId="8" borderId="19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10" fillId="0" borderId="0" xfId="0" applyFont="1" applyAlignment="1">
      <alignment horizontal="left" vertical="center"/>
    </xf>
    <xf numFmtId="221" fontId="100" fillId="8" borderId="0" xfId="0" applyNumberFormat="1" applyFont="1" applyFill="1">
      <alignment vertical="center"/>
    </xf>
    <xf numFmtId="188" fontId="100" fillId="8" borderId="0" xfId="0" applyNumberFormat="1" applyFont="1" applyFill="1">
      <alignment vertical="center"/>
    </xf>
    <xf numFmtId="0" fontId="113" fillId="8" borderId="41" xfId="0" applyFont="1" applyFill="1" applyBorder="1" applyAlignment="1">
      <alignment horizontal="center" vertical="center"/>
    </xf>
    <xf numFmtId="41" fontId="104" fillId="0" borderId="0" xfId="563" applyNumberFormat="1" applyFont="1" applyBorder="1"/>
    <xf numFmtId="41" fontId="116" fillId="0" borderId="0" xfId="420" applyFont="1">
      <alignment vertical="center"/>
    </xf>
    <xf numFmtId="0" fontId="116" fillId="0" borderId="0" xfId="0" applyFont="1">
      <alignment vertical="center"/>
    </xf>
    <xf numFmtId="41" fontId="116" fillId="0" borderId="0" xfId="0" applyNumberFormat="1" applyFont="1">
      <alignment vertical="center"/>
    </xf>
    <xf numFmtId="0" fontId="110" fillId="0" borderId="0" xfId="0" applyFont="1" applyAlignment="1">
      <alignment horizontal="left" vertical="center"/>
    </xf>
    <xf numFmtId="3" fontId="116" fillId="0" borderId="0" xfId="0" applyNumberFormat="1" applyFont="1">
      <alignment vertical="center"/>
    </xf>
    <xf numFmtId="0" fontId="117" fillId="0" borderId="0" xfId="563" applyFont="1" applyBorder="1"/>
    <xf numFmtId="0" fontId="110" fillId="0" borderId="0" xfId="0" applyFont="1" applyAlignment="1">
      <alignment vertical="center"/>
    </xf>
    <xf numFmtId="41" fontId="112" fillId="0" borderId="58" xfId="420" applyFont="1" applyBorder="1" applyAlignment="1">
      <alignment horizontal="center" vertical="center"/>
    </xf>
    <xf numFmtId="0" fontId="112" fillId="0" borderId="59" xfId="0" applyFont="1" applyBorder="1">
      <alignment vertical="center"/>
    </xf>
    <xf numFmtId="0" fontId="112" fillId="0" borderId="59" xfId="0" applyFont="1" applyBorder="1" applyAlignment="1">
      <alignment horizontal="center" vertical="center"/>
    </xf>
    <xf numFmtId="0" fontId="112" fillId="0" borderId="60" xfId="0" applyFont="1" applyBorder="1" applyAlignment="1">
      <alignment horizontal="center" vertical="center"/>
    </xf>
    <xf numFmtId="41" fontId="112" fillId="0" borderId="61" xfId="420" applyFont="1" applyBorder="1" applyAlignment="1">
      <alignment horizontal="center" vertical="center"/>
    </xf>
    <xf numFmtId="0" fontId="112" fillId="0" borderId="62" xfId="0" applyFont="1" applyBorder="1" applyAlignment="1">
      <alignment horizontal="center" vertical="center"/>
    </xf>
    <xf numFmtId="41" fontId="84" fillId="0" borderId="0" xfId="420" applyFont="1">
      <alignment vertical="center"/>
    </xf>
    <xf numFmtId="228" fontId="100" fillId="0" borderId="0" xfId="0" applyNumberFormat="1" applyFont="1" applyFill="1">
      <alignment vertical="center"/>
    </xf>
    <xf numFmtId="228" fontId="0" fillId="0" borderId="0" xfId="0" applyNumberFormat="1" applyFill="1">
      <alignment vertical="center"/>
    </xf>
    <xf numFmtId="0" fontId="0" fillId="8" borderId="0" xfId="0" applyNumberFormat="1" applyFont="1" applyFill="1">
      <alignment vertical="center"/>
    </xf>
    <xf numFmtId="230" fontId="95" fillId="8" borderId="4" xfId="420" applyNumberFormat="1" applyFont="1" applyFill="1" applyBorder="1">
      <alignment vertical="center"/>
    </xf>
    <xf numFmtId="229" fontId="84" fillId="0" borderId="0" xfId="420" applyNumberFormat="1" applyFont="1">
      <alignment vertical="center"/>
    </xf>
    <xf numFmtId="49" fontId="85" fillId="8" borderId="11" xfId="420" applyNumberFormat="1" applyFont="1" applyFill="1" applyBorder="1" applyAlignment="1">
      <alignment horizontal="center" vertical="center"/>
    </xf>
    <xf numFmtId="182" fontId="100" fillId="8" borderId="0" xfId="0" applyNumberFormat="1" applyFont="1" applyFill="1" applyAlignment="1">
      <alignment horizontal="right" vertical="center"/>
    </xf>
    <xf numFmtId="0" fontId="100" fillId="0" borderId="0" xfId="0" applyNumberFormat="1" applyFont="1">
      <alignment vertical="center"/>
    </xf>
    <xf numFmtId="0" fontId="86" fillId="8" borderId="2" xfId="0" applyFont="1" applyFill="1" applyBorder="1" applyAlignment="1">
      <alignment horizontal="center" vertical="center"/>
    </xf>
    <xf numFmtId="0" fontId="86" fillId="8" borderId="33" xfId="0" applyFont="1" applyFill="1" applyBorder="1" applyAlignment="1">
      <alignment horizontal="center" vertical="center"/>
    </xf>
    <xf numFmtId="41" fontId="122" fillId="0" borderId="62" xfId="420" applyFont="1" applyBorder="1" applyAlignment="1">
      <alignment horizontal="center" vertical="center"/>
    </xf>
    <xf numFmtId="0" fontId="122" fillId="0" borderId="62" xfId="0" applyFont="1" applyBorder="1" applyAlignment="1">
      <alignment horizontal="center" vertical="center"/>
    </xf>
    <xf numFmtId="10" fontId="123" fillId="9" borderId="33" xfId="0" applyNumberFormat="1" applyFont="1" applyFill="1" applyBorder="1" applyAlignment="1">
      <alignment horizontal="center" vertical="center"/>
    </xf>
    <xf numFmtId="185" fontId="123" fillId="9" borderId="33" xfId="0" applyNumberFormat="1" applyFont="1" applyFill="1" applyBorder="1" applyAlignment="1">
      <alignment horizontal="center" vertical="center"/>
    </xf>
    <xf numFmtId="41" fontId="122" fillId="9" borderId="63" xfId="0" applyNumberFormat="1" applyFont="1" applyFill="1" applyBorder="1" applyAlignment="1">
      <alignment horizontal="center" vertical="center"/>
    </xf>
    <xf numFmtId="0" fontId="124" fillId="9" borderId="29" xfId="0" applyFont="1" applyFill="1" applyBorder="1" applyAlignment="1">
      <alignment horizontal="left" vertical="center" wrapText="1"/>
    </xf>
    <xf numFmtId="41" fontId="124" fillId="9" borderId="4" xfId="420" applyFont="1" applyFill="1" applyBorder="1">
      <alignment vertical="center"/>
    </xf>
    <xf numFmtId="9" fontId="97" fillId="9" borderId="0" xfId="0" applyNumberFormat="1" applyFont="1" applyFill="1">
      <alignment vertical="center"/>
    </xf>
    <xf numFmtId="41" fontId="124" fillId="9" borderId="25" xfId="420" applyFont="1" applyFill="1" applyBorder="1">
      <alignment vertical="center"/>
    </xf>
    <xf numFmtId="0" fontId="124" fillId="9" borderId="29" xfId="0" applyFont="1" applyFill="1" applyBorder="1" applyAlignment="1">
      <alignment vertical="center" wrapText="1"/>
    </xf>
    <xf numFmtId="49" fontId="124" fillId="9" borderId="25" xfId="0" applyNumberFormat="1" applyFont="1" applyFill="1" applyBorder="1" applyAlignment="1">
      <alignment horizontal="center" vertical="center" wrapText="1"/>
    </xf>
    <xf numFmtId="0" fontId="125" fillId="9" borderId="41" xfId="0" applyFont="1" applyFill="1" applyBorder="1" applyAlignment="1">
      <alignment horizontal="center" vertical="center"/>
    </xf>
    <xf numFmtId="41" fontId="124" fillId="9" borderId="25" xfId="420" applyFont="1" applyFill="1" applyBorder="1" applyAlignment="1">
      <alignment horizontal="center" vertical="center"/>
    </xf>
    <xf numFmtId="229" fontId="105" fillId="0" borderId="5" xfId="563" applyNumberFormat="1" applyFont="1" applyBorder="1" applyAlignment="1">
      <alignment horizontal="left" vertical="center"/>
    </xf>
    <xf numFmtId="229" fontId="105" fillId="0" borderId="56" xfId="563" applyNumberFormat="1" applyFont="1" applyBorder="1" applyAlignment="1">
      <alignment horizontal="left" vertical="center"/>
    </xf>
    <xf numFmtId="229" fontId="105" fillId="0" borderId="57" xfId="563" applyNumberFormat="1" applyFont="1" applyBorder="1" applyAlignment="1">
      <alignment horizontal="left" vertical="center"/>
    </xf>
    <xf numFmtId="0" fontId="87" fillId="0" borderId="2" xfId="563" applyFont="1" applyBorder="1" applyAlignment="1">
      <alignment horizontal="center" vertical="center"/>
    </xf>
    <xf numFmtId="0" fontId="85" fillId="0" borderId="33" xfId="563" applyFont="1" applyBorder="1" applyAlignment="1">
      <alignment horizontal="center" vertical="center"/>
    </xf>
    <xf numFmtId="0" fontId="105" fillId="0" borderId="3" xfId="563" applyFont="1" applyBorder="1" applyAlignment="1">
      <alignment horizontal="center" vertical="center"/>
    </xf>
    <xf numFmtId="0" fontId="105" fillId="0" borderId="0" xfId="563" applyFont="1" applyBorder="1" applyAlignment="1">
      <alignment horizontal="center" vertical="center"/>
    </xf>
    <xf numFmtId="0" fontId="105" fillId="0" borderId="55" xfId="563" applyFont="1" applyBorder="1" applyAlignment="1">
      <alignment horizontal="center" vertical="center"/>
    </xf>
    <xf numFmtId="0" fontId="106" fillId="0" borderId="3" xfId="563" applyFont="1" applyBorder="1" applyAlignment="1">
      <alignment horizontal="center" vertical="center"/>
    </xf>
    <xf numFmtId="0" fontId="107" fillId="0" borderId="0" xfId="563" applyFont="1" applyAlignment="1"/>
    <xf numFmtId="0" fontId="107" fillId="0" borderId="55" xfId="563" applyFont="1" applyBorder="1" applyAlignment="1"/>
    <xf numFmtId="0" fontId="86" fillId="0" borderId="0" xfId="563" applyFont="1" applyBorder="1" applyAlignment="1">
      <alignment horizontal="center" vertical="center"/>
    </xf>
    <xf numFmtId="0" fontId="118" fillId="9" borderId="2" xfId="563" applyFont="1" applyFill="1" applyBorder="1" applyAlignment="1">
      <alignment horizontal="center" vertical="center"/>
    </xf>
    <xf numFmtId="0" fontId="118" fillId="9" borderId="11" xfId="563" applyFont="1" applyFill="1" applyBorder="1" applyAlignment="1">
      <alignment horizontal="center" vertical="center"/>
    </xf>
    <xf numFmtId="0" fontId="118" fillId="9" borderId="33" xfId="563" applyFont="1" applyFill="1" applyBorder="1" applyAlignment="1">
      <alignment horizontal="center" vertical="center"/>
    </xf>
    <xf numFmtId="0" fontId="86" fillId="8" borderId="20" xfId="0" applyFont="1" applyFill="1" applyBorder="1" applyAlignment="1">
      <alignment horizontal="center" vertical="center"/>
    </xf>
    <xf numFmtId="0" fontId="86" fillId="8" borderId="4" xfId="0" applyFont="1" applyFill="1" applyBorder="1" applyAlignment="1">
      <alignment horizontal="center" vertical="center"/>
    </xf>
    <xf numFmtId="0" fontId="86" fillId="8" borderId="2" xfId="0" applyFont="1" applyFill="1" applyBorder="1" applyAlignment="1">
      <alignment horizontal="center" vertical="center"/>
    </xf>
    <xf numFmtId="0" fontId="98" fillId="8" borderId="4" xfId="0" applyFont="1" applyFill="1" applyBorder="1" applyAlignment="1">
      <alignment horizontal="center" vertical="center"/>
    </xf>
    <xf numFmtId="0" fontId="98" fillId="8" borderId="2" xfId="0" applyFont="1" applyFill="1" applyBorder="1" applyAlignment="1">
      <alignment horizontal="center" vertical="center"/>
    </xf>
    <xf numFmtId="0" fontId="90" fillId="8" borderId="32" xfId="0" applyFont="1" applyFill="1" applyBorder="1" applyAlignment="1">
      <alignment horizontal="center" vertical="center"/>
    </xf>
    <xf numFmtId="0" fontId="90" fillId="8" borderId="1" xfId="0" applyFont="1" applyFill="1" applyBorder="1" applyAlignment="1">
      <alignment horizontal="center" vertical="center"/>
    </xf>
    <xf numFmtId="0" fontId="90" fillId="8" borderId="65" xfId="0" applyFont="1" applyFill="1" applyBorder="1" applyAlignment="1">
      <alignment horizontal="center" vertical="center"/>
    </xf>
    <xf numFmtId="0" fontId="86" fillId="8" borderId="31" xfId="0" applyFont="1" applyFill="1" applyBorder="1" applyAlignment="1">
      <alignment horizontal="center" vertical="center"/>
    </xf>
    <xf numFmtId="0" fontId="86" fillId="8" borderId="38" xfId="0" applyFont="1" applyFill="1" applyBorder="1" applyAlignment="1">
      <alignment horizontal="center" vertical="center"/>
    </xf>
    <xf numFmtId="0" fontId="86" fillId="8" borderId="64" xfId="0" applyFont="1" applyFill="1" applyBorder="1" applyAlignment="1">
      <alignment horizontal="center" vertical="center"/>
    </xf>
    <xf numFmtId="0" fontId="90" fillId="8" borderId="20" xfId="0" applyFont="1" applyFill="1" applyBorder="1" applyAlignment="1">
      <alignment horizontal="center" vertical="center"/>
    </xf>
    <xf numFmtId="0" fontId="90" fillId="8" borderId="4" xfId="0" applyFont="1" applyFill="1" applyBorder="1" applyAlignment="1">
      <alignment horizontal="center" vertical="center"/>
    </xf>
    <xf numFmtId="0" fontId="90" fillId="8" borderId="2" xfId="0" applyFont="1" applyFill="1" applyBorder="1" applyAlignment="1">
      <alignment horizontal="center" vertical="center"/>
    </xf>
    <xf numFmtId="0" fontId="86" fillId="8" borderId="20" xfId="0" applyFont="1" applyFill="1" applyBorder="1" applyAlignment="1">
      <alignment horizontal="center" vertical="center" wrapText="1"/>
    </xf>
    <xf numFmtId="0" fontId="86" fillId="8" borderId="11" xfId="0" applyFont="1" applyFill="1" applyBorder="1" applyAlignment="1">
      <alignment horizontal="center" vertical="center"/>
    </xf>
    <xf numFmtId="0" fontId="98" fillId="8" borderId="11" xfId="0" applyFont="1" applyFill="1" applyBorder="1" applyAlignment="1">
      <alignment horizontal="center" vertical="center"/>
    </xf>
    <xf numFmtId="222" fontId="84" fillId="0" borderId="0" xfId="568" applyNumberFormat="1" applyAlignment="1">
      <alignment horizontal="center" vertical="center"/>
    </xf>
    <xf numFmtId="0" fontId="90" fillId="8" borderId="11" xfId="0" applyFont="1" applyFill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7" fillId="0" borderId="0" xfId="0" applyFont="1" applyBorder="1" applyAlignment="1">
      <alignment horizontal="left" vertical="center"/>
    </xf>
    <xf numFmtId="0" fontId="88" fillId="0" borderId="0" xfId="0" applyFont="1" applyBorder="1" applyAlignment="1">
      <alignment horizontal="left" vertical="center"/>
    </xf>
    <xf numFmtId="0" fontId="85" fillId="0" borderId="0" xfId="0" applyFont="1" applyBorder="1" applyAlignment="1">
      <alignment vertical="center"/>
    </xf>
    <xf numFmtId="0" fontId="86" fillId="8" borderId="41" xfId="0" applyFont="1" applyFill="1" applyBorder="1" applyAlignment="1">
      <alignment horizontal="center" vertical="center" wrapText="1"/>
    </xf>
    <xf numFmtId="0" fontId="86" fillId="8" borderId="48" xfId="0" applyFont="1" applyFill="1" applyBorder="1" applyAlignment="1">
      <alignment horizontal="center" vertical="center" wrapText="1"/>
    </xf>
    <xf numFmtId="0" fontId="86" fillId="8" borderId="37" xfId="0" applyFont="1" applyFill="1" applyBorder="1" applyAlignment="1">
      <alignment horizontal="center" vertical="center" wrapText="1"/>
    </xf>
    <xf numFmtId="0" fontId="86" fillId="8" borderId="25" xfId="0" applyFont="1" applyFill="1" applyBorder="1" applyAlignment="1">
      <alignment horizontal="center" vertical="center" wrapText="1"/>
    </xf>
    <xf numFmtId="0" fontId="86" fillId="8" borderId="49" xfId="0" applyFont="1" applyFill="1" applyBorder="1" applyAlignment="1">
      <alignment horizontal="center" vertical="center" wrapText="1"/>
    </xf>
    <xf numFmtId="0" fontId="86" fillId="8" borderId="24" xfId="0" applyFont="1" applyFill="1" applyBorder="1" applyAlignment="1">
      <alignment horizontal="center" vertical="center" wrapText="1"/>
    </xf>
    <xf numFmtId="41" fontId="85" fillId="8" borderId="4" xfId="420" applyFont="1" applyFill="1" applyBorder="1" applyAlignment="1">
      <alignment horizontal="center" vertical="center"/>
    </xf>
    <xf numFmtId="183" fontId="85" fillId="8" borderId="4" xfId="420" applyNumberFormat="1" applyFont="1" applyFill="1" applyBorder="1" applyAlignment="1">
      <alignment horizontal="center" vertical="center"/>
    </xf>
    <xf numFmtId="49" fontId="95" fillId="8" borderId="2" xfId="420" applyNumberFormat="1" applyFont="1" applyFill="1" applyBorder="1" applyAlignment="1">
      <alignment horizontal="center" vertical="center"/>
    </xf>
    <xf numFmtId="49" fontId="95" fillId="8" borderId="33" xfId="420" applyNumberFormat="1" applyFont="1" applyFill="1" applyBorder="1" applyAlignment="1">
      <alignment horizontal="center" vertical="center"/>
    </xf>
    <xf numFmtId="49" fontId="85" fillId="8" borderId="2" xfId="420" applyNumberFormat="1" applyFont="1" applyFill="1" applyBorder="1" applyAlignment="1">
      <alignment horizontal="center" vertical="center"/>
    </xf>
    <xf numFmtId="49" fontId="85" fillId="8" borderId="33" xfId="420" applyNumberFormat="1" applyFont="1" applyFill="1" applyBorder="1" applyAlignment="1">
      <alignment horizontal="center" vertical="center"/>
    </xf>
    <xf numFmtId="222" fontId="100" fillId="0" borderId="0" xfId="0" applyNumberFormat="1" applyFont="1" applyAlignment="1">
      <alignment horizontal="left" vertical="center"/>
    </xf>
    <xf numFmtId="182" fontId="100" fillId="0" borderId="39" xfId="0" applyNumberFormat="1" applyFont="1" applyBorder="1" applyAlignment="1">
      <alignment horizontal="left" vertical="center" wrapText="1"/>
    </xf>
    <xf numFmtId="182" fontId="100" fillId="0" borderId="0" xfId="0" applyNumberFormat="1" applyFont="1" applyAlignment="1">
      <alignment horizontal="left" vertical="center"/>
    </xf>
    <xf numFmtId="183" fontId="95" fillId="8" borderId="2" xfId="420" applyNumberFormat="1" applyFont="1" applyFill="1" applyBorder="1" applyAlignment="1">
      <alignment horizontal="center" vertical="center"/>
    </xf>
    <xf numFmtId="183" fontId="95" fillId="8" borderId="33" xfId="420" applyNumberFormat="1" applyFont="1" applyFill="1" applyBorder="1" applyAlignment="1">
      <alignment horizontal="center" vertical="center"/>
    </xf>
    <xf numFmtId="41" fontId="85" fillId="8" borderId="2" xfId="420" applyFont="1" applyFill="1" applyBorder="1" applyAlignment="1">
      <alignment horizontal="center" vertical="center"/>
    </xf>
    <xf numFmtId="41" fontId="85" fillId="8" borderId="33" xfId="420" applyFont="1" applyFill="1" applyBorder="1" applyAlignment="1">
      <alignment horizontal="center" vertical="center"/>
    </xf>
    <xf numFmtId="0" fontId="92" fillId="8" borderId="0" xfId="0" applyFont="1" applyFill="1" applyAlignment="1">
      <alignment horizontal="center" vertical="center"/>
    </xf>
    <xf numFmtId="183" fontId="85" fillId="8" borderId="2" xfId="420" applyNumberFormat="1" applyFont="1" applyFill="1" applyBorder="1" applyAlignment="1">
      <alignment horizontal="center" vertical="center"/>
    </xf>
    <xf numFmtId="183" fontId="85" fillId="8" borderId="33" xfId="420" applyNumberFormat="1" applyFont="1" applyFill="1" applyBorder="1" applyAlignment="1">
      <alignment horizontal="center" vertical="center"/>
    </xf>
    <xf numFmtId="0" fontId="111" fillId="0" borderId="0" xfId="0" applyFont="1" applyAlignment="1">
      <alignment horizontal="left" vertical="center"/>
    </xf>
    <xf numFmtId="0" fontId="110" fillId="0" borderId="0" xfId="0" applyFont="1" applyAlignment="1">
      <alignment horizontal="left" vertical="center"/>
    </xf>
    <xf numFmtId="0" fontId="98" fillId="8" borderId="66" xfId="0" applyFont="1" applyFill="1" applyBorder="1" applyAlignment="1">
      <alignment horizontal="center" vertical="center"/>
    </xf>
    <xf numFmtId="184" fontId="98" fillId="8" borderId="67" xfId="0" applyNumberFormat="1" applyFont="1" applyFill="1" applyBorder="1">
      <alignment vertical="center"/>
    </xf>
    <xf numFmtId="41" fontId="98" fillId="8" borderId="67" xfId="0" applyNumberFormat="1" applyFont="1" applyFill="1" applyBorder="1">
      <alignment vertical="center"/>
    </xf>
    <xf numFmtId="41" fontId="127" fillId="8" borderId="67" xfId="0" applyNumberFormat="1" applyFont="1" applyFill="1" applyBorder="1">
      <alignment vertical="center"/>
    </xf>
    <xf numFmtId="176" fontId="98" fillId="8" borderId="67" xfId="0" applyNumberFormat="1" applyFont="1" applyFill="1" applyBorder="1">
      <alignment vertical="center"/>
    </xf>
    <xf numFmtId="41" fontId="98" fillId="8" borderId="67" xfId="420" applyFont="1" applyFill="1" applyBorder="1">
      <alignment vertical="center"/>
    </xf>
    <xf numFmtId="41" fontId="98" fillId="8" borderId="67" xfId="420" applyNumberFormat="1" applyFont="1" applyFill="1" applyBorder="1">
      <alignment vertical="center"/>
    </xf>
    <xf numFmtId="41" fontId="127" fillId="8" borderId="68" xfId="0" applyNumberFormat="1" applyFont="1" applyFill="1" applyBorder="1">
      <alignment vertical="center"/>
    </xf>
  </cellXfs>
  <cellStyles count="585">
    <cellStyle name="          _x000d__x000a_386grabber=vga.3gr_x000d__x000a_" xfId="1" xr:uid="{00000000-0005-0000-0000-000000000000}"/>
    <cellStyle name="&quot;" xfId="2" xr:uid="{00000000-0005-0000-0000-000001000000}"/>
    <cellStyle name="#" xfId="3" xr:uid="{00000000-0005-0000-0000-000002000000}"/>
    <cellStyle name="#,##0" xfId="4" xr:uid="{00000000-0005-0000-0000-000003000000}"/>
    <cellStyle name="#,##0.0" xfId="5" xr:uid="{00000000-0005-0000-0000-000004000000}"/>
    <cellStyle name="#,##0.00" xfId="6" xr:uid="{00000000-0005-0000-0000-000005000000}"/>
    <cellStyle name="#,##0.000" xfId="7" xr:uid="{00000000-0005-0000-0000-000006000000}"/>
    <cellStyle name="$" xfId="8" xr:uid="{00000000-0005-0000-0000-000007000000}"/>
    <cellStyle name="$_0008금감원통합감독검사정보시스템" xfId="9" xr:uid="{00000000-0005-0000-0000-000008000000}"/>
    <cellStyle name="$_0009김포공항LED교체공사(광일)" xfId="10" xr:uid="{00000000-0005-0000-0000-000009000000}"/>
    <cellStyle name="$_0011KIST소각설비제작설치" xfId="11" xr:uid="{00000000-0005-0000-0000-00000A000000}"/>
    <cellStyle name="$_0011긴급전화기정산(99년형광일)" xfId="12" xr:uid="{00000000-0005-0000-0000-00000B000000}"/>
    <cellStyle name="$_0011부산종합경기장전광판" xfId="13" xr:uid="{00000000-0005-0000-0000-00000C000000}"/>
    <cellStyle name="$_0012문화유적지표석제작설치" xfId="14" xr:uid="{00000000-0005-0000-0000-00000D000000}"/>
    <cellStyle name="$_0102국제조명신공항분수조명" xfId="15" xr:uid="{00000000-0005-0000-0000-00000E000000}"/>
    <cellStyle name="$_0103회전식현수막게시대제작설치" xfId="16" xr:uid="{00000000-0005-0000-0000-00000F000000}"/>
    <cellStyle name="$_0104포항시침출수처리시스템" xfId="17" xr:uid="{00000000-0005-0000-0000-000010000000}"/>
    <cellStyle name="$_0105담배자판기개조원가" xfId="18" xr:uid="{00000000-0005-0000-0000-000011000000}"/>
    <cellStyle name="$_0106LG인버터냉난방기제작-1" xfId="19" xr:uid="{00000000-0005-0000-0000-000012000000}"/>
    <cellStyle name="$_0107광전송장비구매설치" xfId="20" xr:uid="{00000000-0005-0000-0000-000013000000}"/>
    <cellStyle name="$_0107도공IBS설비SW부문(참조)" xfId="21" xr:uid="{00000000-0005-0000-0000-000014000000}"/>
    <cellStyle name="$_0107문화재복원용목재-8월6일" xfId="22" xr:uid="{00000000-0005-0000-0000-000015000000}"/>
    <cellStyle name="$_0107포천영중수배전반(제조,설치)" xfId="23" xr:uid="{00000000-0005-0000-0000-000016000000}"/>
    <cellStyle name="$_0108농기반미곡건조기제작설치" xfId="24" xr:uid="{00000000-0005-0000-0000-000017000000}"/>
    <cellStyle name="$_0108담배인삼공사영업춘추복" xfId="25" xr:uid="{00000000-0005-0000-0000-000018000000}"/>
    <cellStyle name="$_0108한국전기교통-LED교통신호등((원본))" xfId="26" xr:uid="{00000000-0005-0000-0000-000019000000}"/>
    <cellStyle name="$_0111해양수산부등명기제작" xfId="27" xr:uid="{00000000-0005-0000-0000-00001A000000}"/>
    <cellStyle name="$_0111핸디소프트-전자표준문서시스템" xfId="28" xr:uid="{00000000-0005-0000-0000-00001B000000}"/>
    <cellStyle name="$_0112금감원사무자동화시스템" xfId="29" xr:uid="{00000000-0005-0000-0000-00001C000000}"/>
    <cellStyle name="$_0112수도권매립지SW원가" xfId="30" xr:uid="{00000000-0005-0000-0000-00001D000000}"/>
    <cellStyle name="$_0112중고원-HRD종합정보망구축(完)" xfId="31" xr:uid="{00000000-0005-0000-0000-00001E000000}"/>
    <cellStyle name="$_0201종합예술회관의자제작설치-1" xfId="32" xr:uid="{00000000-0005-0000-0000-00001F000000}"/>
    <cellStyle name="$_0202마사회근무복" xfId="33" xr:uid="{00000000-0005-0000-0000-000020000000}"/>
    <cellStyle name="$_0202부경교재-승강칠판" xfId="34" xr:uid="{00000000-0005-0000-0000-000021000000}"/>
    <cellStyle name="$_0204한국석묘납골함-1규격" xfId="35" xr:uid="{00000000-0005-0000-0000-000022000000}"/>
    <cellStyle name="$_0206금감원금융정보교환망재구축" xfId="36" xr:uid="{00000000-0005-0000-0000-000023000000}"/>
    <cellStyle name="$_0206정통부수납장표기기제작설치" xfId="37" xr:uid="{00000000-0005-0000-0000-000024000000}"/>
    <cellStyle name="$_0207담배인삼공사-담요" xfId="38" xr:uid="{00000000-0005-0000-0000-000025000000}"/>
    <cellStyle name="$_0208레비텍-다층여과기설계변경" xfId="39" xr:uid="{00000000-0005-0000-0000-000026000000}"/>
    <cellStyle name="$_0209이산화염소발생기-설치(50K)" xfId="40" xr:uid="{00000000-0005-0000-0000-000027000000}"/>
    <cellStyle name="$_0210현대정보기술-TD이중계" xfId="41" xr:uid="{00000000-0005-0000-0000-000028000000}"/>
    <cellStyle name="$_0211조달청-#1대북지원사업정산(1월7일)" xfId="42" xr:uid="{00000000-0005-0000-0000-000029000000}"/>
    <cellStyle name="$_0212금감원-법규정보시스템(完)" xfId="43" xr:uid="{00000000-0005-0000-0000-00002A000000}"/>
    <cellStyle name="$_0301교통방송-CCTV유지보수" xfId="44" xr:uid="{00000000-0005-0000-0000-00002B000000}"/>
    <cellStyle name="$_0302인천경찰청-무인단속기위탁관리" xfId="45" xr:uid="{00000000-0005-0000-0000-00002C000000}"/>
    <cellStyle name="$_0302조달청-대북지원2차(안성연)" xfId="46" xr:uid="{00000000-0005-0000-0000-00002D000000}"/>
    <cellStyle name="$_0302조달청-대북지원2차(최수현)" xfId="47" xr:uid="{00000000-0005-0000-0000-00002E000000}"/>
    <cellStyle name="$_0302표준문서-쌍용정보통신(신)" xfId="48" xr:uid="{00000000-0005-0000-0000-00002F000000}"/>
    <cellStyle name="$_0304소프트파워-정부표준전자문서시스템" xfId="49" xr:uid="{00000000-0005-0000-0000-000030000000}"/>
    <cellStyle name="$_0304소프트파워-정부표준전자문서시스템(完)" xfId="50" xr:uid="{00000000-0005-0000-0000-000031000000}"/>
    <cellStyle name="$_0304철도청-주변환장치-1" xfId="51" xr:uid="{00000000-0005-0000-0000-000032000000}"/>
    <cellStyle name="$_0305금감원-금융통계정보시스템구축(完)" xfId="52" xr:uid="{00000000-0005-0000-0000-000033000000}"/>
    <cellStyle name="$_0305제낭조합-면범포지" xfId="53" xr:uid="{00000000-0005-0000-0000-000034000000}"/>
    <cellStyle name="$_0306제낭공업협동조합-면범포지원단(경비까지)" xfId="54" xr:uid="{00000000-0005-0000-0000-000035000000}"/>
    <cellStyle name="$_0307경찰청-무인교통단속표준SW개발용역(完)" xfId="55" xr:uid="{00000000-0005-0000-0000-000036000000}"/>
    <cellStyle name="$_0308조달청-#8대북지원사업정산" xfId="56" xr:uid="{00000000-0005-0000-0000-000037000000}"/>
    <cellStyle name="$_0309두합크린텍-설치원가" xfId="57" xr:uid="{00000000-0005-0000-0000-000038000000}"/>
    <cellStyle name="$_0309조달청-#9대북지원사업정산" xfId="58" xr:uid="{00000000-0005-0000-0000-000039000000}"/>
    <cellStyle name="$_0310여주상수도-탈수기(유천ENG)" xfId="59" xr:uid="{00000000-0005-0000-0000-00003A000000}"/>
    <cellStyle name="$_0311대기해양작업시간" xfId="60" xr:uid="{00000000-0005-0000-0000-00003B000000}"/>
    <cellStyle name="$_0311대기해양중형등명기" xfId="61" xr:uid="{00000000-0005-0000-0000-00003C000000}"/>
    <cellStyle name="$_0312국민체육진흥공단-전기부문" xfId="62" xr:uid="{00000000-0005-0000-0000-00003D000000}"/>
    <cellStyle name="$_0312대기해양-중형등명기제작설치" xfId="63" xr:uid="{00000000-0005-0000-0000-00003E000000}"/>
    <cellStyle name="$_0312라이준-칼라아스콘4규격" xfId="64" xr:uid="{00000000-0005-0000-0000-00003F000000}"/>
    <cellStyle name="$_0401집진기프로그램SW개발비산정" xfId="65" xr:uid="{00000000-0005-0000-0000-000040000000}"/>
    <cellStyle name="$_2001-06조달청신성-한냉지형" xfId="66" xr:uid="{00000000-0005-0000-0000-000041000000}"/>
    <cellStyle name="$_2002-03경찰대학-졸업식" xfId="67" xr:uid="{00000000-0005-0000-0000-000042000000}"/>
    <cellStyle name="$_2002-03경찰청-경찰표지장" xfId="68" xr:uid="{00000000-0005-0000-0000-000043000000}"/>
    <cellStyle name="$_2002-03반디-가로등(열주형)" xfId="69" xr:uid="{00000000-0005-0000-0000-000044000000}"/>
    <cellStyle name="$_2002-03신화전자-감지기" xfId="70" xr:uid="{00000000-0005-0000-0000-000045000000}"/>
    <cellStyle name="$_2002-04강원랜드-슬러트머신" xfId="71" xr:uid="{00000000-0005-0000-0000-000046000000}"/>
    <cellStyle name="$_2002-04메가컴-외주무대" xfId="72" xr:uid="{00000000-0005-0000-0000-000047000000}"/>
    <cellStyle name="$_2002-04엘지애드-무대" xfId="73" xr:uid="{00000000-0005-0000-0000-000048000000}"/>
    <cellStyle name="$_2002-05강원랜드-슬러트머신(넥스터)" xfId="74" xr:uid="{00000000-0005-0000-0000-000049000000}"/>
    <cellStyle name="$_2002-05경기경찰청-냉온수기공사" xfId="75" xr:uid="{00000000-0005-0000-0000-00004A000000}"/>
    <cellStyle name="$_2002-05대통령비서실-카페트" xfId="76" xr:uid="{00000000-0005-0000-0000-00004B000000}"/>
    <cellStyle name="$_2002결과표" xfId="77" xr:uid="{00000000-0005-0000-0000-00004C000000}"/>
    <cellStyle name="$_2002결과표1" xfId="78" xr:uid="{00000000-0005-0000-0000-00004D000000}"/>
    <cellStyle name="$_2003-01정일사-표창5종" xfId="79" xr:uid="{00000000-0005-0000-0000-00004E000000}"/>
    <cellStyle name="$_db진흥" xfId="80" xr:uid="{00000000-0005-0000-0000-00004F000000}"/>
    <cellStyle name="$_Pilot플랜트-계변경" xfId="81" xr:uid="{00000000-0005-0000-0000-000050000000}"/>
    <cellStyle name="$_Pilot플랜트이전설치-변경최종" xfId="82" xr:uid="{00000000-0005-0000-0000-000051000000}"/>
    <cellStyle name="$_SE40" xfId="83" xr:uid="{00000000-0005-0000-0000-000052000000}"/>
    <cellStyle name="$_SW(케이비)" xfId="84" xr:uid="{00000000-0005-0000-0000-000053000000}"/>
    <cellStyle name="$_간지,목차,페이지,표지" xfId="85" xr:uid="{00000000-0005-0000-0000-000054000000}"/>
    <cellStyle name="$_견적2" xfId="86" xr:uid="{00000000-0005-0000-0000-000055000000}"/>
    <cellStyle name="$_경찰청-근무,기동복" xfId="87" xr:uid="{00000000-0005-0000-0000-000056000000}"/>
    <cellStyle name="$_공사일반관리비양식" xfId="88" xr:uid="{00000000-0005-0000-0000-000057000000}"/>
    <cellStyle name="$_기아" xfId="89" xr:uid="{00000000-0005-0000-0000-000058000000}"/>
    <cellStyle name="$_기초공사" xfId="90" xr:uid="{00000000-0005-0000-0000-000059000000}"/>
    <cellStyle name="$_네인텍정보기술-회로카드(수현)" xfId="91" xr:uid="{00000000-0005-0000-0000-00005A000000}"/>
    <cellStyle name="$_대기해양노무비" xfId="92" xr:uid="{00000000-0005-0000-0000-00005B000000}"/>
    <cellStyle name="$_대북자재8월분" xfId="93" xr:uid="{00000000-0005-0000-0000-00005C000000}"/>
    <cellStyle name="$_대북자재8월분-1" xfId="94" xr:uid="{00000000-0005-0000-0000-00005D000000}"/>
    <cellStyle name="$_동산용사촌수현(원본)" xfId="95" xr:uid="{00000000-0005-0000-0000-00005E000000}"/>
    <cellStyle name="$_백제군사전시1" xfId="96" xr:uid="{00000000-0005-0000-0000-00005F000000}"/>
    <cellStyle name="$_수초제거기(대양기계)" xfId="97" xr:uid="{00000000-0005-0000-0000-000060000000}"/>
    <cellStyle name="$_시설용역" xfId="98" xr:uid="{00000000-0005-0000-0000-000061000000}"/>
    <cellStyle name="$_암전정밀실체현미경(수현)" xfId="99" xr:uid="{00000000-0005-0000-0000-000062000000}"/>
    <cellStyle name="$_오리엔탈" xfId="100" xr:uid="{00000000-0005-0000-0000-000063000000}"/>
    <cellStyle name="$_원본 - 한국전기교통-개선형신호등 4종" xfId="101" xr:uid="{00000000-0005-0000-0000-000064000000}"/>
    <cellStyle name="$_제경비율모음" xfId="102" xr:uid="{00000000-0005-0000-0000-000065000000}"/>
    <cellStyle name="$_제조원가" xfId="103" xr:uid="{00000000-0005-0000-0000-000066000000}"/>
    <cellStyle name="$_조달청-B판사천강교제작(최종본)" xfId="104" xr:uid="{00000000-0005-0000-0000-000067000000}"/>
    <cellStyle name="$_조달청-대북지원3차(최수현)" xfId="105" xr:uid="{00000000-0005-0000-0000-000068000000}"/>
    <cellStyle name="$_조달청-대북지원4차(최수현)" xfId="106" xr:uid="{00000000-0005-0000-0000-000069000000}"/>
    <cellStyle name="$_조달청-대북지원5차(최수현)" xfId="107" xr:uid="{00000000-0005-0000-0000-00006A000000}"/>
    <cellStyle name="$_조달청-대북지원6차(번호)" xfId="108" xr:uid="{00000000-0005-0000-0000-00006B000000}"/>
    <cellStyle name="$_조달청-대북지원6차(최수현)" xfId="109" xr:uid="{00000000-0005-0000-0000-00006C000000}"/>
    <cellStyle name="$_조달청-대북지원7차(최수현)" xfId="110" xr:uid="{00000000-0005-0000-0000-00006D000000}"/>
    <cellStyle name="$_조달청-대북지원8차(최수현)" xfId="111" xr:uid="{00000000-0005-0000-0000-00006E000000}"/>
    <cellStyle name="$_조달청-대북지원9차(최수현)" xfId="112" xr:uid="{00000000-0005-0000-0000-00006F000000}"/>
    <cellStyle name="$_중앙선관위(투표,개표)" xfId="113" xr:uid="{00000000-0005-0000-0000-000070000000}"/>
    <cellStyle name="$_중앙선관위(투표,개표)-사본" xfId="114" xr:uid="{00000000-0005-0000-0000-000071000000}"/>
    <cellStyle name="$_철공가공조립" xfId="115" xr:uid="{00000000-0005-0000-0000-000072000000}"/>
    <cellStyle name="$_최종-한국전기교통-개선형신호등 4종(공수조정)" xfId="116" xr:uid="{00000000-0005-0000-0000-000073000000}"/>
    <cellStyle name="$_코솔라-제조원가" xfId="117" xr:uid="{00000000-0005-0000-0000-000074000000}"/>
    <cellStyle name="$_토지공사-간접비" xfId="118" xr:uid="{00000000-0005-0000-0000-000075000000}"/>
    <cellStyle name="$_한국도로공사" xfId="119" xr:uid="{00000000-0005-0000-0000-000076000000}"/>
    <cellStyle name="$_한전내역서-최종" xfId="120" xr:uid="{00000000-0005-0000-0000-000077000000}"/>
    <cellStyle name="??_x000c_靖?崧U_x0001_A_x0014_?_x0007__x0001__x0001_" xfId="121" xr:uid="{00000000-0005-0000-0000-000078000000}"/>
    <cellStyle name="??&amp;O?&amp;H?_x0008__x000f__x0007_?_x0007__x0001__x0001_" xfId="122" xr:uid="{00000000-0005-0000-0000-000079000000}"/>
    <cellStyle name="??&amp;O?&amp;H?_x0008_??_x0007__x0001__x0001_" xfId="123" xr:uid="{00000000-0005-0000-0000-00007A000000}"/>
    <cellStyle name="??&amp;쏗?뷐9_x0008__x0011__x0007_?_x0007__x0001__x0001_" xfId="124" xr:uid="{00000000-0005-0000-0000-00007B000000}"/>
    <cellStyle name="???­ [0]_¸ð??¸·" xfId="125" xr:uid="{00000000-0005-0000-0000-00007C000000}"/>
    <cellStyle name="???­_¸ð??¸·" xfId="126" xr:uid="{00000000-0005-0000-0000-00007D000000}"/>
    <cellStyle name="???Ø_¸ð??¸·" xfId="127" xr:uid="{00000000-0005-0000-0000-00007E000000}"/>
    <cellStyle name="?Þ¸¶ [0]_¸ð??¸·" xfId="128" xr:uid="{00000000-0005-0000-0000-00007F000000}"/>
    <cellStyle name="?Þ¸¶_¸ð??¸·" xfId="129" xr:uid="{00000000-0005-0000-0000-000080000000}"/>
    <cellStyle name="?W?_laroux" xfId="130" xr:uid="{00000000-0005-0000-0000-000081000000}"/>
    <cellStyle name="?曹%U?&amp;H?_x0008_?s_x000a__x0007__x0001__x0001_" xfId="131" xr:uid="{00000000-0005-0000-0000-000082000000}"/>
    <cellStyle name="@_laroux" xfId="132" xr:uid="{00000000-0005-0000-0000-000083000000}"/>
    <cellStyle name="@_laroux_제트베인" xfId="133" xr:uid="{00000000-0005-0000-0000-000084000000}"/>
    <cellStyle name="@_laroux_제트베인_1" xfId="134" xr:uid="{00000000-0005-0000-0000-000085000000}"/>
    <cellStyle name="@_laroux_제트베인_1_광명_주정차시스템 견적서(한일에스티엠_4억9천)" xfId="135" xr:uid="{00000000-0005-0000-0000-000086000000}"/>
    <cellStyle name="@_laroux_제트베인_1_광명_주정차시스템 견적서(한일에스티엠_4억9천)_성남시 불법주정차자동_견적서" xfId="136" xr:uid="{00000000-0005-0000-0000-000087000000}"/>
    <cellStyle name="@_laroux_제트베인_1_광명_주정차시스템 견적서(한일에스티엠_4억9천)_성남시 불법주정차자동_견적서_견적서_ 한일에스티엠" xfId="137" xr:uid="{00000000-0005-0000-0000-000088000000}"/>
    <cellStyle name="@_laroux_제트베인_1_광명_주정차시스템 견적서(한일에스티엠_수정본)" xfId="138" xr:uid="{00000000-0005-0000-0000-000089000000}"/>
    <cellStyle name="@_laroux_제트베인_1_광명_주정차시스템 견적서(한일에스티엠_수정본)_성남시 불법주정차자동_견적서" xfId="139" xr:uid="{00000000-0005-0000-0000-00008A000000}"/>
    <cellStyle name="@_laroux_제트베인_1_광명_주정차시스템 견적서(한일에스티엠_수정본)_성남시 불법주정차자동_견적서_견적서_ 한일에스티엠" xfId="140" xr:uid="{00000000-0005-0000-0000-00008B000000}"/>
    <cellStyle name="@_laroux_제트베인_1_마창VMS1EA" xfId="141" xr:uid="{00000000-0005-0000-0000-00008C000000}"/>
    <cellStyle name="@_laroux_제트베인_1_마창VMS1EA_광명_주정차시스템 견적서(한일에스티엠_4억9천)" xfId="142" xr:uid="{00000000-0005-0000-0000-00008D000000}"/>
    <cellStyle name="@_laroux_제트베인_1_마창VMS1EA_광명_주정차시스템 견적서(한일에스티엠_4억9천)_성남시 불법주정차자동_견적서" xfId="143" xr:uid="{00000000-0005-0000-0000-00008E000000}"/>
    <cellStyle name="@_laroux_제트베인_1_마창VMS1EA_광명_주정차시스템 견적서(한일에스티엠_4억9천)_성남시 불법주정차자동_견적서_견적서_ 한일에스티엠" xfId="144" xr:uid="{00000000-0005-0000-0000-00008F000000}"/>
    <cellStyle name="@_laroux_제트베인_1_마창VMS1EA_광명_주정차시스템 견적서(한일에스티엠_수정본)" xfId="145" xr:uid="{00000000-0005-0000-0000-000090000000}"/>
    <cellStyle name="@_laroux_제트베인_1_마창VMS1EA_광명_주정차시스템 견적서(한일에스티엠_수정본)_성남시 불법주정차자동_견적서" xfId="146" xr:uid="{00000000-0005-0000-0000-000091000000}"/>
    <cellStyle name="@_laroux_제트베인_1_마창VMS1EA_광명_주정차시스템 견적서(한일에스티엠_수정본)_성남시 불법주정차자동_견적서_견적서_ 한일에스티엠" xfId="147" xr:uid="{00000000-0005-0000-0000-000092000000}"/>
    <cellStyle name="@_laroux_제트베인_1_마창VMS1EA_성남시 불법주정차자동_견적서" xfId="148" xr:uid="{00000000-0005-0000-0000-000093000000}"/>
    <cellStyle name="@_laroux_제트베인_1_마창VMS1EA_성남시 불법주정차자동_견적서_견적서_ 한일에스티엠" xfId="149" xr:uid="{00000000-0005-0000-0000-000094000000}"/>
    <cellStyle name="@_laroux_제트베인_1_마창VMS1EA-2" xfId="150" xr:uid="{00000000-0005-0000-0000-000095000000}"/>
    <cellStyle name="@_laroux_제트베인_1_마창VMS1EA-2_광명_주정차시스템 견적서(한일에스티엠_4억9천)" xfId="151" xr:uid="{00000000-0005-0000-0000-000096000000}"/>
    <cellStyle name="@_laroux_제트베인_1_마창VMS1EA-2_광명_주정차시스템 견적서(한일에스티엠_4억9천)_성남시 불법주정차자동_견적서" xfId="152" xr:uid="{00000000-0005-0000-0000-000097000000}"/>
    <cellStyle name="@_laroux_제트베인_1_마창VMS1EA-2_광명_주정차시스템 견적서(한일에스티엠_4억9천)_성남시 불법주정차자동_견적서_견적서_ 한일에스티엠" xfId="153" xr:uid="{00000000-0005-0000-0000-000098000000}"/>
    <cellStyle name="@_laroux_제트베인_1_마창VMS1EA-2_광명_주정차시스템 견적서(한일에스티엠_수정본)" xfId="154" xr:uid="{00000000-0005-0000-0000-000099000000}"/>
    <cellStyle name="@_laroux_제트베인_1_마창VMS1EA-2_광명_주정차시스템 견적서(한일에스티엠_수정본)_성남시 불법주정차자동_견적서" xfId="155" xr:uid="{00000000-0005-0000-0000-00009A000000}"/>
    <cellStyle name="@_laroux_제트베인_1_마창VMS1EA-2_광명_주정차시스템 견적서(한일에스티엠_수정본)_성남시 불법주정차자동_견적서_견적서_ 한일에스티엠" xfId="156" xr:uid="{00000000-0005-0000-0000-00009B000000}"/>
    <cellStyle name="@_laroux_제트베인_1_마창VMS1EA-2_성남시 불법주정차자동_견적서" xfId="157" xr:uid="{00000000-0005-0000-0000-00009C000000}"/>
    <cellStyle name="@_laroux_제트베인_1_마창VMS1EA-2_성남시 불법주정차자동_견적서_견적서_ 한일에스티엠" xfId="158" xr:uid="{00000000-0005-0000-0000-00009D000000}"/>
    <cellStyle name="@_laroux_제트베인_1_성남시 불법주정차자동_견적서" xfId="159" xr:uid="{00000000-0005-0000-0000-00009E000000}"/>
    <cellStyle name="@_laroux_제트베인_1_성남시 불법주정차자동_견적서_견적서_ 한일에스티엠" xfId="160" xr:uid="{00000000-0005-0000-0000-00009F000000}"/>
    <cellStyle name="_1220-원가조사-전자지불" xfId="161" xr:uid="{00000000-0005-0000-0000-0000A0000000}"/>
    <cellStyle name="_1원가계산,2총괄내역서xls" xfId="162" xr:uid="{00000000-0005-0000-0000-0000A1000000}"/>
    <cellStyle name="_2.실시설계총괄내역서_vds(loop)_최종_이상훈" xfId="163" xr:uid="{00000000-0005-0000-0000-0000A2000000}"/>
    <cellStyle name="_2.실시설계총괄내역서_교통정보수집" xfId="164" xr:uid="{00000000-0005-0000-0000-0000A3000000}"/>
    <cellStyle name="_2.실시설계총괄내역서_신호제어" xfId="165" xr:uid="{00000000-0005-0000-0000-0000A4000000}"/>
    <cellStyle name="_2001 장애조치" xfId="166" xr:uid="{00000000-0005-0000-0000-0000A5000000}"/>
    <cellStyle name="_2002결과표1" xfId="167" xr:uid="{00000000-0005-0000-0000-0000A6000000}"/>
    <cellStyle name="_20030926_설계내역(심사결과반영)" xfId="168" xr:uid="{00000000-0005-0000-0000-0000A7000000}"/>
    <cellStyle name="_2007년청주시교통신호제어기온라인공사(최종)" xfId="169" xr:uid="{00000000-0005-0000-0000-0000A8000000}"/>
    <cellStyle name="_3차ES단가(04년9월)" xfId="170" xr:uid="{00000000-0005-0000-0000-0000A9000000}"/>
    <cellStyle name="_7.수량산출서" xfId="171" xr:uid="{00000000-0005-0000-0000-0000AA000000}"/>
    <cellStyle name="_BIS내역서 안형기 작성지원" xfId="172" xr:uid="{00000000-0005-0000-0000-0000AB000000}"/>
    <cellStyle name="_C앤C" xfId="173" xr:uid="{00000000-0005-0000-0000-0000AC000000}"/>
    <cellStyle name="_C앤C(네트웍)" xfId="174" xr:uid="{00000000-0005-0000-0000-0000AD000000}"/>
    <cellStyle name="_C앤C원가계산" xfId="175" xr:uid="{00000000-0005-0000-0000-0000AE000000}"/>
    <cellStyle name="_VMS내역서" xfId="176" xr:uid="{00000000-0005-0000-0000-0000AF000000}"/>
    <cellStyle name="_가로등+점검등산출" xfId="177" xr:uid="{00000000-0005-0000-0000-0000B0000000}"/>
    <cellStyle name="_간지,목차,페이지,표지" xfId="178" xr:uid="{00000000-0005-0000-0000-0000B1000000}"/>
    <cellStyle name="_감가상각(01년도) (2)" xfId="179" xr:uid="{00000000-0005-0000-0000-0000B2000000}"/>
    <cellStyle name="_감가상각(01년도) (3)" xfId="180" xr:uid="{00000000-0005-0000-0000-0000B3000000}"/>
    <cellStyle name="_강산FRP" xfId="181" xr:uid="{00000000-0005-0000-0000-0000B4000000}"/>
    <cellStyle name="_광가입자전송장비(FLC)삼성" xfId="182" xr:uid="{00000000-0005-0000-0000-0000B5000000}"/>
    <cellStyle name="_광안리내역서(구도)" xfId="183" xr:uid="{00000000-0005-0000-0000-0000B6000000}"/>
    <cellStyle name="_군산ITS 설계 원가 조사20031224" xfId="184" xr:uid="{00000000-0005-0000-0000-0000B7000000}"/>
    <cellStyle name="_기상부분_태민" xfId="185" xr:uid="{00000000-0005-0000-0000-0000B8000000}"/>
    <cellStyle name="_기초공사" xfId="186" xr:uid="{00000000-0005-0000-0000-0000B9000000}"/>
    <cellStyle name="_기타경비" xfId="187" xr:uid="{00000000-0005-0000-0000-0000BA000000}"/>
    <cellStyle name="_나노엔텍(임금)" xfId="188" xr:uid="{00000000-0005-0000-0000-0000BB000000}"/>
    <cellStyle name="_내역서" xfId="189" xr:uid="{00000000-0005-0000-0000-0000BC000000}"/>
    <cellStyle name="_내역서(가로등신호등)" xfId="190" xr:uid="{00000000-0005-0000-0000-0000BD000000}"/>
    <cellStyle name="_내역서(밀양시)" xfId="191" xr:uid="{00000000-0005-0000-0000-0000BE000000}"/>
    <cellStyle name="_내역서(센터_하드웨어_v1)" xfId="192" xr:uid="{00000000-0005-0000-0000-0000BF000000}"/>
    <cellStyle name="_내역서(센터_하드웨어_통합_V2)" xfId="193" xr:uid="{00000000-0005-0000-0000-0000C0000000}"/>
    <cellStyle name="_내역서_VDS(최신11-07)" xfId="194" xr:uid="{00000000-0005-0000-0000-0000C1000000}"/>
    <cellStyle name="_내역서피뢰및접지" xfId="195" xr:uid="{00000000-0005-0000-0000-0000C2000000}"/>
    <cellStyle name="_농수로3종외-최종" xfId="196" xr:uid="{00000000-0005-0000-0000-0000C3000000}"/>
    <cellStyle name="_마창VMS1EA-2_2" xfId="197" xr:uid="{00000000-0005-0000-0000-0000C4000000}"/>
    <cellStyle name="_부산소방 제출용 200407" xfId="198" xr:uid="{00000000-0005-0000-0000-0000C5000000}"/>
    <cellStyle name="_부산원가1014_최종" xfId="199" xr:uid="{00000000-0005-0000-0000-0000C6000000}"/>
    <cellStyle name="_사본 - 20030926_설계내역(심사결과반영)" xfId="200" xr:uid="{00000000-0005-0000-0000-0000C7000000}"/>
    <cellStyle name="_서울과학관의장" xfId="201" xr:uid="{00000000-0005-0000-0000-0000C8000000}"/>
    <cellStyle name="_선도전기(실적기준)" xfId="202" xr:uid="{00000000-0005-0000-0000-0000C9000000}"/>
    <cellStyle name="_설치위치별세부내역(VMS)-0323" xfId="203" xr:uid="{00000000-0005-0000-0000-0000CA000000}"/>
    <cellStyle name="_소프트웨어개발비_1106" xfId="204" xr:uid="{00000000-0005-0000-0000-0000CB000000}"/>
    <cellStyle name="_신호등단가보수(원본-2)" xfId="205" xr:uid="{00000000-0005-0000-0000-0000CC000000}"/>
    <cellStyle name="_신호제어_무선전송장치_내역서" xfId="206" xr:uid="{00000000-0005-0000-0000-0000CD000000}"/>
    <cellStyle name="_울산실시설계내역서(하이테콤)-B" xfId="207" xr:uid="{00000000-0005-0000-0000-0000CE000000}"/>
    <cellStyle name="_원가세부내역" xfId="208" xr:uid="{00000000-0005-0000-0000-0000CF000000}"/>
    <cellStyle name="_인원계획표 " xfId="209" xr:uid="{00000000-0005-0000-0000-0000D0000000}"/>
    <cellStyle name="_인원계획표 _적격 " xfId="210" xr:uid="{00000000-0005-0000-0000-0000D1000000}"/>
    <cellStyle name="_입찰표지 " xfId="211" xr:uid="{00000000-0005-0000-0000-0000D2000000}"/>
    <cellStyle name="_재료비" xfId="212" xr:uid="{00000000-0005-0000-0000-0000D3000000}"/>
    <cellStyle name="_적격 " xfId="213" xr:uid="{00000000-0005-0000-0000-0000D4000000}"/>
    <cellStyle name="_적격 _집행갑지 " xfId="214" xr:uid="{00000000-0005-0000-0000-0000D5000000}"/>
    <cellStyle name="_적격(화산) " xfId="215" xr:uid="{00000000-0005-0000-0000-0000D6000000}"/>
    <cellStyle name="_전자지불(삼성SDS)" xfId="216" xr:uid="{00000000-0005-0000-0000-0000D7000000}"/>
    <cellStyle name="_전자지불-(케이비)" xfId="217" xr:uid="{00000000-0005-0000-0000-0000D8000000}"/>
    <cellStyle name="_전체 개괄 내역(삼성SDS)" xfId="218" xr:uid="{00000000-0005-0000-0000-0000D9000000}"/>
    <cellStyle name="_직접경비" xfId="219" xr:uid="{00000000-0005-0000-0000-0000DA000000}"/>
    <cellStyle name="_집행갑지 " xfId="220" xr:uid="{00000000-0005-0000-0000-0000DB000000}"/>
    <cellStyle name="_창(에리트(설치제외)" xfId="221" xr:uid="{00000000-0005-0000-0000-0000DC000000}"/>
    <cellStyle name="_테마공사새로03" xfId="222" xr:uid="{00000000-0005-0000-0000-0000DD000000}"/>
    <cellStyle name="_통신(일위대가) 통신_(최종본)" xfId="223" xr:uid="{00000000-0005-0000-0000-0000DE000000}"/>
    <cellStyle name="_평화의댐내역서최종(OLD)" xfId="224" xr:uid="{00000000-0005-0000-0000-0000DF000000}"/>
    <cellStyle name="´þ·?" xfId="225" xr:uid="{00000000-0005-0000-0000-0000E0000000}"/>
    <cellStyle name="’E‰Y [0.00]_laroux" xfId="226" xr:uid="{00000000-0005-0000-0000-0000E1000000}"/>
    <cellStyle name="’E‰Y_laroux" xfId="227" xr:uid="{00000000-0005-0000-0000-0000E2000000}"/>
    <cellStyle name="¤@?e_TEST-1 " xfId="228" xr:uid="{00000000-0005-0000-0000-0000E3000000}"/>
    <cellStyle name="°ia¤¼o¼ya¡" xfId="229" xr:uid="{00000000-0005-0000-0000-0000E4000000}"/>
    <cellStyle name="°ia¤aa·a1" xfId="230" xr:uid="{00000000-0005-0000-0000-0000E5000000}"/>
    <cellStyle name="°ia¤aa·a2" xfId="231" xr:uid="{00000000-0005-0000-0000-0000E6000000}"/>
    <cellStyle name="" xfId="232" xr:uid="{00000000-0005-0000-0000-0000E7000000}"/>
    <cellStyle name="0" xfId="233" xr:uid="{00000000-0005-0000-0000-0000E8000000}"/>
    <cellStyle name="0%" xfId="234" xr:uid="{00000000-0005-0000-0000-0000E9000000}"/>
    <cellStyle name="0,0_x000d__x000a_NA_x000d__x000a_" xfId="235" xr:uid="{00000000-0005-0000-0000-0000EA000000}"/>
    <cellStyle name="0.0%" xfId="236" xr:uid="{00000000-0005-0000-0000-0000EB000000}"/>
    <cellStyle name="0.00%" xfId="237" xr:uid="{00000000-0005-0000-0000-0000EC000000}"/>
    <cellStyle name="0.000%" xfId="238" xr:uid="{00000000-0005-0000-0000-0000ED000000}"/>
    <cellStyle name="0.0000%" xfId="239" xr:uid="{00000000-0005-0000-0000-0000EE000000}"/>
    <cellStyle name="00" xfId="240" xr:uid="{00000000-0005-0000-0000-0000EF000000}"/>
    <cellStyle name="1" xfId="241" xr:uid="{00000000-0005-0000-0000-0000F0000000}"/>
    <cellStyle name="10" xfId="242" xr:uid="{00000000-0005-0000-0000-0000F1000000}"/>
    <cellStyle name="120" xfId="243" xr:uid="{00000000-0005-0000-0000-0000F2000000}"/>
    <cellStyle name="19990216" xfId="244" xr:uid="{00000000-0005-0000-0000-0000F3000000}"/>
    <cellStyle name="1월" xfId="245" xr:uid="{00000000-0005-0000-0000-0000F4000000}"/>
    <cellStyle name="³?a￥" xfId="246" xr:uid="{00000000-0005-0000-0000-0000F5000000}"/>
    <cellStyle name="60" xfId="247" xr:uid="{00000000-0005-0000-0000-0000F6000000}"/>
    <cellStyle name="_x0014_7." xfId="248" xr:uid="{00000000-0005-0000-0000-0000F7000000}"/>
    <cellStyle name="90" xfId="249" xr:uid="{00000000-0005-0000-0000-0000F8000000}"/>
    <cellStyle name="aa" xfId="250" xr:uid="{00000000-0005-0000-0000-0000F9000000}"/>
    <cellStyle name="Actual Date" xfId="251" xr:uid="{00000000-0005-0000-0000-0000FA000000}"/>
    <cellStyle name="Aee­ " xfId="252" xr:uid="{00000000-0005-0000-0000-0000FB000000}"/>
    <cellStyle name="AeE­ [0]_ 2ÆAAþº° " xfId="253" xr:uid="{00000000-0005-0000-0000-0000FC000000}"/>
    <cellStyle name="ÅëÈ­ [0]_¸ðÇü¸·" xfId="254" xr:uid="{00000000-0005-0000-0000-0000FD000000}"/>
    <cellStyle name="AeE­ [0]_°eE¹_11¿a½A " xfId="255" xr:uid="{00000000-0005-0000-0000-0000FE000000}"/>
    <cellStyle name="ÅëÈ­ [0]_º»¼± ±æ¾î±úºÎ ¼ö·® Áý°èÇ¥ " xfId="256" xr:uid="{00000000-0005-0000-0000-0000FF000000}"/>
    <cellStyle name="AeE­ [0]_º≫¼± ±æ¾i±uºI ¼o·R Ay°eC￥ " xfId="257" xr:uid="{00000000-0005-0000-0000-000000010000}"/>
    <cellStyle name="Aee­ _광명_주정차시스템 견적서(한일에스티엠_4억9천)" xfId="258" xr:uid="{00000000-0005-0000-0000-000001010000}"/>
    <cellStyle name="AeE­_ 2ÆAAþº° " xfId="259" xr:uid="{00000000-0005-0000-0000-000002010000}"/>
    <cellStyle name="ÅëÈ­_¸ðÇü¸·" xfId="260" xr:uid="{00000000-0005-0000-0000-000003010000}"/>
    <cellStyle name="AeE­_°eE¹_11¿a½A " xfId="261" xr:uid="{00000000-0005-0000-0000-000004010000}"/>
    <cellStyle name="ÅëÈ­_º»¼± ±æ¾î±úºÎ ¼ö·® Áý°èÇ¥ " xfId="262" xr:uid="{00000000-0005-0000-0000-000005010000}"/>
    <cellStyle name="AeE­_º≫¼± ±æ¾i±uºI ¼o·R Ay°eC￥ " xfId="263" xr:uid="{00000000-0005-0000-0000-000006010000}"/>
    <cellStyle name="Æu¼¾æR" xfId="264" xr:uid="{00000000-0005-0000-0000-000007010000}"/>
    <cellStyle name="ALIGNMENT" xfId="265" xr:uid="{00000000-0005-0000-0000-000008010000}"/>
    <cellStyle name="AÞ¸¶ [0]_ 2ÆAAþº° " xfId="266" xr:uid="{00000000-0005-0000-0000-000009010000}"/>
    <cellStyle name="ÄÞ¸¶ [0]_¸ðÇü¸·" xfId="267" xr:uid="{00000000-0005-0000-0000-00000A010000}"/>
    <cellStyle name="AÞ¸¶ [0]_°eE¹_11¿a½A " xfId="268" xr:uid="{00000000-0005-0000-0000-00000B010000}"/>
    <cellStyle name="ÄÞ¸¶ [0]_º»¼± ±æ¾î±úºÎ ¼ö·® Áý°èÇ¥ " xfId="269" xr:uid="{00000000-0005-0000-0000-00000C010000}"/>
    <cellStyle name="AÞ¸¶ [0]_º≫¼± ±æ¾i±uºI ¼o·R Ay°eC￥ " xfId="270" xr:uid="{00000000-0005-0000-0000-00000D010000}"/>
    <cellStyle name="AÞ¸¶_ 2ÆAAþº° " xfId="271" xr:uid="{00000000-0005-0000-0000-00000E010000}"/>
    <cellStyle name="ÄÞ¸¶_¸ðÇü¸·" xfId="272" xr:uid="{00000000-0005-0000-0000-00000F010000}"/>
    <cellStyle name="AÞ¸¶_°eE¹_11¿a½A " xfId="273" xr:uid="{00000000-0005-0000-0000-000010010000}"/>
    <cellStyle name="ÄÞ¸¶_º»¼± ±æ¾î±úºÎ ¼ö·® Áý°èÇ¥ " xfId="274" xr:uid="{00000000-0005-0000-0000-000011010000}"/>
    <cellStyle name="AÞ¸¶_º≫¼± ±æ¾i±uºI ¼o·R Ay°eC￥ " xfId="275" xr:uid="{00000000-0005-0000-0000-000012010000}"/>
    <cellStyle name="Au¸R¼o" xfId="276" xr:uid="{00000000-0005-0000-0000-000013010000}"/>
    <cellStyle name="Au¸R¼o0" xfId="277" xr:uid="{00000000-0005-0000-0000-000014010000}"/>
    <cellStyle name="b?þ?b?þ?b?þ?b?þ?b?þ?b?þ?b?þ?b?þ?b?þ?b?þ?b灌þ?b?þ?&lt;?b?þ?b濬þ?b?þ?b?þ昰_x0018_?þ????_x0008_" xfId="278" xr:uid="{00000000-0005-0000-0000-000015010000}"/>
    <cellStyle name="b?þ?b?þ?b?þ?b灌þ?b?þ?&lt;?b?þ?b濬þ?b?þ?b?þ昰_x0018_?þ????_x0008_" xfId="279" xr:uid="{00000000-0005-0000-0000-000016010000}"/>
    <cellStyle name="b␌þකb濰þඪb瀠þයb灌þ්b炈þ宐&lt;෢b濈þෲb濬þขb瀐þฒb瀰þ昰_x0018_⋸þ㤕䰀ጤܕ_x0008_" xfId="280" xr:uid="{00000000-0005-0000-0000-000017010000}"/>
    <cellStyle name="body" xfId="281" xr:uid="{00000000-0005-0000-0000-000018010000}"/>
    <cellStyle name="b嬜þപb嬼þഺb孬þൊb⍜þ൚b⍼þ൪b⎨þൺb⏜þඊb␌þකb濰þඪb瀠þයb灌þ්b炈þ宐&lt;෢b濈þෲb濬þขb瀐þฒb瀰þ昰_x0018_⋸þ㤕䰀ጤܕ_x0008_" xfId="282" xr:uid="{00000000-0005-0000-0000-000019010000}"/>
    <cellStyle name="C¡IA¨ª_Sheet1 (2)" xfId="283" xr:uid="{00000000-0005-0000-0000-00001A010000}"/>
    <cellStyle name="C￥AØ_  FAB AIA¤  " xfId="284" xr:uid="{00000000-0005-0000-0000-00001B010000}"/>
    <cellStyle name="Ç¥ÁØ_¸ðÇü¸·" xfId="285" xr:uid="{00000000-0005-0000-0000-00001C010000}"/>
    <cellStyle name="C￥AØ_¿μ¾÷CoE² " xfId="286" xr:uid="{00000000-0005-0000-0000-00001D010000}"/>
    <cellStyle name="Ç¥ÁØ_°­´ç (2)" xfId="287" xr:uid="{00000000-0005-0000-0000-00001E010000}"/>
    <cellStyle name="C￥AØ_³e¹≪" xfId="288" xr:uid="{00000000-0005-0000-0000-00001F010000}"/>
    <cellStyle name="Calc Currency (0)" xfId="289" xr:uid="{00000000-0005-0000-0000-000020010000}"/>
    <cellStyle name="category" xfId="290" xr:uid="{00000000-0005-0000-0000-000021010000}"/>
    <cellStyle name="CIAIÆU¸μAⓒ" xfId="291" xr:uid="{00000000-0005-0000-0000-000022010000}"/>
    <cellStyle name="Co≫e" xfId="292" xr:uid="{00000000-0005-0000-0000-000023010000}"/>
    <cellStyle name="Comma" xfId="293" xr:uid="{00000000-0005-0000-0000-000024010000}"/>
    <cellStyle name="Comma [0]" xfId="294" xr:uid="{00000000-0005-0000-0000-000025010000}"/>
    <cellStyle name="comma zerodec" xfId="295" xr:uid="{00000000-0005-0000-0000-000026010000}"/>
    <cellStyle name="Comma_ SG&amp;A Bridge " xfId="296" xr:uid="{00000000-0005-0000-0000-000027010000}"/>
    <cellStyle name="Comma0" xfId="297" xr:uid="{00000000-0005-0000-0000-000028010000}"/>
    <cellStyle name="Copied" xfId="298" xr:uid="{00000000-0005-0000-0000-000029010000}"/>
    <cellStyle name="Curren?_x0012_퐀_x0017_?" xfId="299" xr:uid="{00000000-0005-0000-0000-00002A010000}"/>
    <cellStyle name="Currency" xfId="300" xr:uid="{00000000-0005-0000-0000-00002B010000}"/>
    <cellStyle name="Currency [0]" xfId="301" xr:uid="{00000000-0005-0000-0000-00002C010000}"/>
    <cellStyle name="Currency_ SG&amp;A Bridge " xfId="302" xr:uid="{00000000-0005-0000-0000-00002D010000}"/>
    <cellStyle name="Currency0" xfId="303" xr:uid="{00000000-0005-0000-0000-00002E010000}"/>
    <cellStyle name="Currency1" xfId="304" xr:uid="{00000000-0005-0000-0000-00002F010000}"/>
    <cellStyle name="Date" xfId="305" xr:uid="{00000000-0005-0000-0000-000030010000}"/>
    <cellStyle name="Dezimal [0]_Ausdruck RUND (D)" xfId="306" xr:uid="{00000000-0005-0000-0000-000031010000}"/>
    <cellStyle name="Dezimal_Ausdruck RUND (D)" xfId="307" xr:uid="{00000000-0005-0000-0000-000032010000}"/>
    <cellStyle name="Dollar (zero dec)" xfId="308" xr:uid="{00000000-0005-0000-0000-000033010000}"/>
    <cellStyle name="E­æo±ae￡" xfId="309" xr:uid="{00000000-0005-0000-0000-000034010000}"/>
    <cellStyle name="E­æo±ae￡0" xfId="310" xr:uid="{00000000-0005-0000-0000-000035010000}"/>
    <cellStyle name="Entered" xfId="311" xr:uid="{00000000-0005-0000-0000-000036010000}"/>
    <cellStyle name="Euro" xfId="312" xr:uid="{00000000-0005-0000-0000-000037010000}"/>
    <cellStyle name="F2" xfId="313" xr:uid="{00000000-0005-0000-0000-000038010000}"/>
    <cellStyle name="F3" xfId="314" xr:uid="{00000000-0005-0000-0000-000039010000}"/>
    <cellStyle name="F4" xfId="315" xr:uid="{00000000-0005-0000-0000-00003A010000}"/>
    <cellStyle name="F5" xfId="316" xr:uid="{00000000-0005-0000-0000-00003B010000}"/>
    <cellStyle name="F6" xfId="317" xr:uid="{00000000-0005-0000-0000-00003C010000}"/>
    <cellStyle name="F7" xfId="318" xr:uid="{00000000-0005-0000-0000-00003D010000}"/>
    <cellStyle name="F8" xfId="319" xr:uid="{00000000-0005-0000-0000-00003E010000}"/>
    <cellStyle name="Fixed" xfId="320" xr:uid="{00000000-0005-0000-0000-00003F010000}"/>
    <cellStyle name="Followed Hyperlink" xfId="321" xr:uid="{00000000-0005-0000-0000-000040010000}"/>
    <cellStyle name="G/표준" xfId="322" xr:uid="{00000000-0005-0000-0000-000041010000}"/>
    <cellStyle name="Grey" xfId="323" xr:uid="{00000000-0005-0000-0000-000042010000}"/>
    <cellStyle name="head" xfId="324" xr:uid="{00000000-0005-0000-0000-000043010000}"/>
    <cellStyle name="head 1" xfId="325" xr:uid="{00000000-0005-0000-0000-000044010000}"/>
    <cellStyle name="head 1-1" xfId="326" xr:uid="{00000000-0005-0000-0000-000045010000}"/>
    <cellStyle name="HEADER" xfId="327" xr:uid="{00000000-0005-0000-0000-000046010000}"/>
    <cellStyle name="Header1" xfId="328" xr:uid="{00000000-0005-0000-0000-000047010000}"/>
    <cellStyle name="Header2" xfId="329" xr:uid="{00000000-0005-0000-0000-000048010000}"/>
    <cellStyle name="Heading 1" xfId="330" xr:uid="{00000000-0005-0000-0000-000049010000}"/>
    <cellStyle name="Heading 2" xfId="331" xr:uid="{00000000-0005-0000-0000-00004A010000}"/>
    <cellStyle name="Heading1" xfId="332" xr:uid="{00000000-0005-0000-0000-00004B010000}"/>
    <cellStyle name="Heading2" xfId="333" xr:uid="{00000000-0005-0000-0000-00004C010000}"/>
    <cellStyle name="Helv8_PFD4.XLS" xfId="334" xr:uid="{00000000-0005-0000-0000-00004D010000}"/>
    <cellStyle name="HIGHLIGHT" xfId="335" xr:uid="{00000000-0005-0000-0000-00004E010000}"/>
    <cellStyle name="Hyperlink" xfId="336" xr:uid="{00000000-0005-0000-0000-00004F010000}"/>
    <cellStyle name="Input [yellow]" xfId="337" xr:uid="{00000000-0005-0000-0000-000050010000}"/>
    <cellStyle name="L`" xfId="338" xr:uid="{00000000-0005-0000-0000-000051010000}"/>
    <cellStyle name="Milliers [0]_Arabian Spec" xfId="339" xr:uid="{00000000-0005-0000-0000-000052010000}"/>
    <cellStyle name="Milliers_Arabian Spec" xfId="340" xr:uid="{00000000-0005-0000-0000-000053010000}"/>
    <cellStyle name="Model" xfId="341" xr:uid="{00000000-0005-0000-0000-000054010000}"/>
    <cellStyle name="Mon?aire [0]_Arabian Spec" xfId="342" xr:uid="{00000000-0005-0000-0000-000055010000}"/>
    <cellStyle name="Mon?aire_Arabian Spec" xfId="343" xr:uid="{00000000-0005-0000-0000-000056010000}"/>
    <cellStyle name="no dec" xfId="344" xr:uid="{00000000-0005-0000-0000-000057010000}"/>
    <cellStyle name="Normal - Style1" xfId="345" xr:uid="{00000000-0005-0000-0000-000058010000}"/>
    <cellStyle name="Normal - Style2" xfId="346" xr:uid="{00000000-0005-0000-0000-000059010000}"/>
    <cellStyle name="Normal - Style3" xfId="347" xr:uid="{00000000-0005-0000-0000-00005A010000}"/>
    <cellStyle name="Normal - Style4" xfId="348" xr:uid="{00000000-0005-0000-0000-00005B010000}"/>
    <cellStyle name="Normal - Style5" xfId="349" xr:uid="{00000000-0005-0000-0000-00005C010000}"/>
    <cellStyle name="Normal - Style6" xfId="350" xr:uid="{00000000-0005-0000-0000-00005D010000}"/>
    <cellStyle name="Normal - Style7" xfId="351" xr:uid="{00000000-0005-0000-0000-00005E010000}"/>
    <cellStyle name="Normal - Style8" xfId="352" xr:uid="{00000000-0005-0000-0000-00005F010000}"/>
    <cellStyle name="Normal - 유형1" xfId="353" xr:uid="{00000000-0005-0000-0000-000060010000}"/>
    <cellStyle name="Normal_ SG&amp;A Bridge " xfId="354" xr:uid="{00000000-0005-0000-0000-000061010000}"/>
    <cellStyle name="Œ…?æ맖?e [0.00]_laroux" xfId="355" xr:uid="{00000000-0005-0000-0000-000062010000}"/>
    <cellStyle name="Œ…?æ맖?e_laroux" xfId="356" xr:uid="{00000000-0005-0000-0000-000063010000}"/>
    <cellStyle name="oft Excel]_x000d__x000a_Comment=The open=/f lines load custom functions into the Paste Function list._x000d__x000a_Maximized=3_x000d__x000a_AutoFormat=" xfId="357" xr:uid="{00000000-0005-0000-0000-000064010000}"/>
    <cellStyle name="Percent" xfId="358" xr:uid="{00000000-0005-0000-0000-000065010000}"/>
    <cellStyle name="Percent [2]" xfId="359" xr:uid="{00000000-0005-0000-0000-000066010000}"/>
    <cellStyle name="Percent_설계서(청주-납품)" xfId="360" xr:uid="{00000000-0005-0000-0000-000067010000}"/>
    <cellStyle name="RevList" xfId="361" xr:uid="{00000000-0005-0000-0000-000068010000}"/>
    <cellStyle name="Standard_A" xfId="362" xr:uid="{00000000-0005-0000-0000-000069010000}"/>
    <cellStyle name="subhead" xfId="363" xr:uid="{00000000-0005-0000-0000-00006A010000}"/>
    <cellStyle name="Subtotal" xfId="364" xr:uid="{00000000-0005-0000-0000-00006B010000}"/>
    <cellStyle name="þ?b?þ?b?þ?b?þ?b?þ?b?þ?b?þ?b灌þ?b?þ?&lt;?b?þ?b濬þ?b?þ?b?þ昰_x0018_?þ????_x0008_" xfId="365" xr:uid="{00000000-0005-0000-0000-00006C010000}"/>
    <cellStyle name="þ൚b⍼þ൪b⎨þൺb⏜þඊb␌þකb濰þඪb瀠þයb灌þ්b炈þ宐&lt;෢b濈þෲb濬þขb瀐þฒb瀰þ昰_x0018_⋸þ㤕䰀ጤܕ_x0008_" xfId="366" xr:uid="{00000000-0005-0000-0000-00006D010000}"/>
    <cellStyle name="þ_x001d_ð'&amp;Oy?Hy9_x0008__x000f__x0007_æ_x0007__x0007__x0001__x0001_" xfId="367" xr:uid="{00000000-0005-0000-0000-00006E010000}"/>
    <cellStyle name="þ_x001d_ð'&amp;Oy?Hy9_x0008__x000f__x0007_æ_x0007__x0007__x0001__x0001_ 2" xfId="368" xr:uid="{00000000-0005-0000-0000-00006F010000}"/>
    <cellStyle name="þ_x001d_ð'&amp;Oy?Hy9_x0008__x000f__x0007_æ_x0007__x0007__x0001__x0001_ 2 2" xfId="582" xr:uid="{00000000-0005-0000-0000-000070010000}"/>
    <cellStyle name="þ_x001d_ð'&amp;Oy?Hy9_x0008_E_x000c_￠_x000d__x0007__x0001__x0001_" xfId="369" xr:uid="{00000000-0005-0000-0000-000071010000}"/>
    <cellStyle name="þ_x001d_ð'&amp;Oy?Hy9_x0008_E_x000c_￠_x000d__x0007__x0001__x0001_ 2" xfId="370" xr:uid="{00000000-0005-0000-0000-000072010000}"/>
    <cellStyle name="þ_x001d_ð'&amp;Oy?Hy9_x0008_E_x000c_￠_x000d__x0007__x0001__x0001_ 2 2" xfId="583" xr:uid="{00000000-0005-0000-0000-000073010000}"/>
    <cellStyle name="Title" xfId="371" xr:uid="{00000000-0005-0000-0000-000074010000}"/>
    <cellStyle name="title [1]" xfId="372" xr:uid="{00000000-0005-0000-0000-000075010000}"/>
    <cellStyle name="title [2]" xfId="373" xr:uid="{00000000-0005-0000-0000-000076010000}"/>
    <cellStyle name="Total" xfId="374" xr:uid="{00000000-0005-0000-0000-000077010000}"/>
    <cellStyle name="UM" xfId="375" xr:uid="{00000000-0005-0000-0000-000078010000}"/>
    <cellStyle name="Unprot" xfId="376" xr:uid="{00000000-0005-0000-0000-000079010000}"/>
    <cellStyle name="Unprot$" xfId="377" xr:uid="{00000000-0005-0000-0000-00007A010000}"/>
    <cellStyle name="Unprotect" xfId="378" xr:uid="{00000000-0005-0000-0000-00007B010000}"/>
    <cellStyle name="W?rung [0]_Ausdruck RUND (D)" xfId="379" xr:uid="{00000000-0005-0000-0000-00007C010000}"/>
    <cellStyle name="W?rung_Ausdruck RUND (D)" xfId="380" xr:uid="{00000000-0005-0000-0000-00007D010000}"/>
    <cellStyle name="μU¿¡ ¿A´A CIAIÆU¸μAⓒ" xfId="381" xr:uid="{00000000-0005-0000-0000-00007E010000}"/>
    <cellStyle name="|?ドE" xfId="382" xr:uid="{00000000-0005-0000-0000-00007F010000}"/>
    <cellStyle name="고정소숫점" xfId="383" xr:uid="{00000000-0005-0000-0000-000080010000}"/>
    <cellStyle name="고정출력1" xfId="384" xr:uid="{00000000-0005-0000-0000-000081010000}"/>
    <cellStyle name="고정출력2" xfId="385" xr:uid="{00000000-0005-0000-0000-000082010000}"/>
    <cellStyle name="괘선" xfId="386" xr:uid="{00000000-0005-0000-0000-000083010000}"/>
    <cellStyle name="괘선1" xfId="387" xr:uid="{00000000-0005-0000-0000-000084010000}"/>
    <cellStyle name="국종합건설" xfId="388" xr:uid="{00000000-0005-0000-0000-000085010000}"/>
    <cellStyle name="글씨빵강" xfId="389" xr:uid="{00000000-0005-0000-0000-000086010000}"/>
    <cellStyle name="금액" xfId="390" xr:uid="{00000000-0005-0000-0000-000087010000}"/>
    <cellStyle name="끼_x0001_?" xfId="391" xr:uid="{00000000-0005-0000-0000-000088010000}"/>
    <cellStyle name="날짜" xfId="392" xr:uid="{00000000-0005-0000-0000-000089010000}"/>
    <cellStyle name="단위(원)" xfId="393" xr:uid="{00000000-0005-0000-0000-00008A010000}"/>
    <cellStyle name="달러" xfId="394" xr:uid="{00000000-0005-0000-0000-00008B010000}"/>
    <cellStyle name="뒤에 오는 하이퍼링크" xfId="395" xr:uid="{00000000-0005-0000-0000-00008C010000}"/>
    <cellStyle name="똿뗦먛귟 [0.00]_laroux" xfId="396" xr:uid="{00000000-0005-0000-0000-00008D010000}"/>
    <cellStyle name="똿뗦먛귟_laroux" xfId="397" xr:uid="{00000000-0005-0000-0000-00008E010000}"/>
    <cellStyle name="마이너스키" xfId="398" xr:uid="{00000000-0005-0000-0000-00008F010000}"/>
    <cellStyle name="믅됞 [0.00]_laroux" xfId="399" xr:uid="{00000000-0005-0000-0000-000090010000}"/>
    <cellStyle name="믅됞_laroux" xfId="400" xr:uid="{00000000-0005-0000-0000-000091010000}"/>
    <cellStyle name="배분" xfId="401" xr:uid="{00000000-0005-0000-0000-000092010000}"/>
    <cellStyle name="백분율" xfId="584" builtinId="5"/>
    <cellStyle name="백분율 [0]" xfId="402" xr:uid="{00000000-0005-0000-0000-000094010000}"/>
    <cellStyle name="백분율 [2]" xfId="403" xr:uid="{00000000-0005-0000-0000-000095010000}"/>
    <cellStyle name="백분율［△1］" xfId="404" xr:uid="{00000000-0005-0000-0000-000096010000}"/>
    <cellStyle name="백분율［△2］" xfId="405" xr:uid="{00000000-0005-0000-0000-000097010000}"/>
    <cellStyle name="뷭?_?긚??_1" xfId="406" xr:uid="{00000000-0005-0000-0000-000098010000}"/>
    <cellStyle name="선택영역의 가운데로" xfId="407" xr:uid="{00000000-0005-0000-0000-000099010000}"/>
    <cellStyle name="설계서" xfId="408" xr:uid="{00000000-0005-0000-0000-00009A010000}"/>
    <cellStyle name="설계서-내용" xfId="409" xr:uid="{00000000-0005-0000-0000-00009B010000}"/>
    <cellStyle name="설계서-내용-소수점" xfId="410" xr:uid="{00000000-0005-0000-0000-00009C010000}"/>
    <cellStyle name="설계서-내용-우" xfId="411" xr:uid="{00000000-0005-0000-0000-00009D010000}"/>
    <cellStyle name="설계서-내용-좌" xfId="412" xr:uid="{00000000-0005-0000-0000-00009E010000}"/>
    <cellStyle name="설계서-소제목" xfId="413" xr:uid="{00000000-0005-0000-0000-00009F010000}"/>
    <cellStyle name="설계서-타이틀" xfId="414" xr:uid="{00000000-0005-0000-0000-0000A0010000}"/>
    <cellStyle name="설계서-항목" xfId="415" xr:uid="{00000000-0005-0000-0000-0000A1010000}"/>
    <cellStyle name="수당" xfId="416" xr:uid="{00000000-0005-0000-0000-0000A2010000}"/>
    <cellStyle name="수당2" xfId="417" xr:uid="{00000000-0005-0000-0000-0000A3010000}"/>
    <cellStyle name="수산" xfId="418" xr:uid="{00000000-0005-0000-0000-0000A4010000}"/>
    <cellStyle name="숫자(R)" xfId="419" xr:uid="{00000000-0005-0000-0000-0000A5010000}"/>
    <cellStyle name="쉼표 [0]" xfId="420" builtinId="6"/>
    <cellStyle name="쉼표 [0] 2" xfId="421" xr:uid="{00000000-0005-0000-0000-0000A7010000}"/>
    <cellStyle name="쉼표 [0] 2 2" xfId="422" xr:uid="{00000000-0005-0000-0000-0000A8010000}"/>
    <cellStyle name="쉼표 [0] 2 3" xfId="423" xr:uid="{00000000-0005-0000-0000-0000A9010000}"/>
    <cellStyle name="쉼표 [0] 3 2" xfId="424" xr:uid="{00000000-0005-0000-0000-0000AA010000}"/>
    <cellStyle name="스타일 1" xfId="425" xr:uid="{00000000-0005-0000-0000-0000AB010000}"/>
    <cellStyle name="스타일 2" xfId="426" xr:uid="{00000000-0005-0000-0000-0000AC010000}"/>
    <cellStyle name="안건회계법인" xfId="427" xr:uid="{00000000-0005-0000-0000-0000AD010000}"/>
    <cellStyle name="원" xfId="428" xr:uid="{00000000-0005-0000-0000-0000AE010000}"/>
    <cellStyle name="원_0008금감원통합감독검사정보시스템" xfId="429" xr:uid="{00000000-0005-0000-0000-0000AF010000}"/>
    <cellStyle name="원_0009김포공항LED교체공사(광일)" xfId="430" xr:uid="{00000000-0005-0000-0000-0000B0010000}"/>
    <cellStyle name="원_0011KIST소각설비제작설치" xfId="431" xr:uid="{00000000-0005-0000-0000-0000B1010000}"/>
    <cellStyle name="원_0011긴급전화기정산(99년형광일)" xfId="432" xr:uid="{00000000-0005-0000-0000-0000B2010000}"/>
    <cellStyle name="원_0011부산종합경기장전광판" xfId="433" xr:uid="{00000000-0005-0000-0000-0000B3010000}"/>
    <cellStyle name="원_0012문화유적지표석제작설치" xfId="434" xr:uid="{00000000-0005-0000-0000-0000B4010000}"/>
    <cellStyle name="원_0102국제조명신공항분수조명" xfId="435" xr:uid="{00000000-0005-0000-0000-0000B5010000}"/>
    <cellStyle name="원_0103회전식현수막게시대제작설치" xfId="436" xr:uid="{00000000-0005-0000-0000-0000B6010000}"/>
    <cellStyle name="원_0104포항시침출수처리시스템" xfId="437" xr:uid="{00000000-0005-0000-0000-0000B7010000}"/>
    <cellStyle name="원_0105담배자판기개조원가" xfId="438" xr:uid="{00000000-0005-0000-0000-0000B8010000}"/>
    <cellStyle name="원_0106LG인버터냉난방기제작-1" xfId="439" xr:uid="{00000000-0005-0000-0000-0000B9010000}"/>
    <cellStyle name="원_0107광전송장비구매설치" xfId="440" xr:uid="{00000000-0005-0000-0000-0000BA010000}"/>
    <cellStyle name="원_0107도공IBS설비SW부문(참조)" xfId="441" xr:uid="{00000000-0005-0000-0000-0000BB010000}"/>
    <cellStyle name="원_0107문화재복원용목재-8월6일" xfId="442" xr:uid="{00000000-0005-0000-0000-0000BC010000}"/>
    <cellStyle name="원_0107포천영중수배전반(제조,설치)" xfId="443" xr:uid="{00000000-0005-0000-0000-0000BD010000}"/>
    <cellStyle name="원_0108농기반미곡건조기제작설치" xfId="444" xr:uid="{00000000-0005-0000-0000-0000BE010000}"/>
    <cellStyle name="원_0108담배인삼공사영업춘추복" xfId="445" xr:uid="{00000000-0005-0000-0000-0000BF010000}"/>
    <cellStyle name="원_0108한국전기교통-LED교통신호등((원본))" xfId="446" xr:uid="{00000000-0005-0000-0000-0000C0010000}"/>
    <cellStyle name="원_0111해양수산부등명기제작" xfId="447" xr:uid="{00000000-0005-0000-0000-0000C1010000}"/>
    <cellStyle name="원_0111핸디소프트-전자표준문서시스템" xfId="448" xr:uid="{00000000-0005-0000-0000-0000C2010000}"/>
    <cellStyle name="원_0112금감원사무자동화시스템" xfId="449" xr:uid="{00000000-0005-0000-0000-0000C3010000}"/>
    <cellStyle name="원_0112수도권매립지SW원가" xfId="450" xr:uid="{00000000-0005-0000-0000-0000C4010000}"/>
    <cellStyle name="원_0112중고원-HRD종합정보망구축(完)" xfId="451" xr:uid="{00000000-0005-0000-0000-0000C5010000}"/>
    <cellStyle name="원_0201종합예술회관의자제작설치-1" xfId="452" xr:uid="{00000000-0005-0000-0000-0000C6010000}"/>
    <cellStyle name="원_0202마사회근무복" xfId="453" xr:uid="{00000000-0005-0000-0000-0000C7010000}"/>
    <cellStyle name="원_0202부경교재-승강칠판" xfId="454" xr:uid="{00000000-0005-0000-0000-0000C8010000}"/>
    <cellStyle name="원_0204한국석묘납골함-1규격" xfId="455" xr:uid="{00000000-0005-0000-0000-0000C9010000}"/>
    <cellStyle name="원_0206금감원금융정보교환망재구축" xfId="456" xr:uid="{00000000-0005-0000-0000-0000CA010000}"/>
    <cellStyle name="원_0206정통부수납장표기기제작설치" xfId="457" xr:uid="{00000000-0005-0000-0000-0000CB010000}"/>
    <cellStyle name="원_0207담배인삼공사-담요" xfId="458" xr:uid="{00000000-0005-0000-0000-0000CC010000}"/>
    <cellStyle name="원_0208레비텍-다층여과기설계변경" xfId="459" xr:uid="{00000000-0005-0000-0000-0000CD010000}"/>
    <cellStyle name="원_0209이산화염소발생기-설치(50K)" xfId="460" xr:uid="{00000000-0005-0000-0000-0000CE010000}"/>
    <cellStyle name="원_0210현대정보기술-TD이중계" xfId="461" xr:uid="{00000000-0005-0000-0000-0000CF010000}"/>
    <cellStyle name="원_0211조달청-#1대북지원사업정산(1월7일)" xfId="462" xr:uid="{00000000-0005-0000-0000-0000D0010000}"/>
    <cellStyle name="원_0212금감원-법규정보시스템(完)" xfId="463" xr:uid="{00000000-0005-0000-0000-0000D1010000}"/>
    <cellStyle name="원_0301교통방송-CCTV유지보수" xfId="464" xr:uid="{00000000-0005-0000-0000-0000D2010000}"/>
    <cellStyle name="원_0302인천경찰청-무인단속기위탁관리" xfId="465" xr:uid="{00000000-0005-0000-0000-0000D3010000}"/>
    <cellStyle name="원_0302조달청-대북지원2차(안성연)" xfId="466" xr:uid="{00000000-0005-0000-0000-0000D4010000}"/>
    <cellStyle name="원_0302조달청-대북지원2차(최수현)" xfId="467" xr:uid="{00000000-0005-0000-0000-0000D5010000}"/>
    <cellStyle name="원_0302표준문서-쌍용정보통신(신)" xfId="468" xr:uid="{00000000-0005-0000-0000-0000D6010000}"/>
    <cellStyle name="원_0304소프트파워-정부표준전자문서시스템" xfId="469" xr:uid="{00000000-0005-0000-0000-0000D7010000}"/>
    <cellStyle name="원_0304소프트파워-정부표준전자문서시스템(完)" xfId="470" xr:uid="{00000000-0005-0000-0000-0000D8010000}"/>
    <cellStyle name="원_0304철도청-주변환장치-1" xfId="471" xr:uid="{00000000-0005-0000-0000-0000D9010000}"/>
    <cellStyle name="원_0305금감원-금융통계정보시스템구축(完)" xfId="472" xr:uid="{00000000-0005-0000-0000-0000DA010000}"/>
    <cellStyle name="원_0305제낭조합-면범포지" xfId="473" xr:uid="{00000000-0005-0000-0000-0000DB010000}"/>
    <cellStyle name="원_0306제낭공업협동조합-면범포지원단(경비까지)" xfId="474" xr:uid="{00000000-0005-0000-0000-0000DC010000}"/>
    <cellStyle name="원_0307경찰청-무인교통단속표준SW개발용역(完)" xfId="475" xr:uid="{00000000-0005-0000-0000-0000DD010000}"/>
    <cellStyle name="원_0308조달청-#8대북지원사업정산" xfId="476" xr:uid="{00000000-0005-0000-0000-0000DE010000}"/>
    <cellStyle name="원_0309두합크린텍-설치원가" xfId="477" xr:uid="{00000000-0005-0000-0000-0000DF010000}"/>
    <cellStyle name="원_0309조달청-#9대북지원사업정산" xfId="478" xr:uid="{00000000-0005-0000-0000-0000E0010000}"/>
    <cellStyle name="원_0310여주상수도-탈수기(유천ENG)" xfId="479" xr:uid="{00000000-0005-0000-0000-0000E1010000}"/>
    <cellStyle name="원_0311대기해양작업시간" xfId="480" xr:uid="{00000000-0005-0000-0000-0000E2010000}"/>
    <cellStyle name="원_0311대기해양중형등명기" xfId="481" xr:uid="{00000000-0005-0000-0000-0000E3010000}"/>
    <cellStyle name="원_0312국민체육진흥공단-전기부문" xfId="482" xr:uid="{00000000-0005-0000-0000-0000E4010000}"/>
    <cellStyle name="원_0312대기해양-중형등명기제작설치" xfId="483" xr:uid="{00000000-0005-0000-0000-0000E5010000}"/>
    <cellStyle name="원_0312라이준-칼라아스콘4규격" xfId="484" xr:uid="{00000000-0005-0000-0000-0000E6010000}"/>
    <cellStyle name="원_0401집진기프로그램SW개발비산정" xfId="485" xr:uid="{00000000-0005-0000-0000-0000E7010000}"/>
    <cellStyle name="원_2001-06조달청신성-한냉지형" xfId="486" xr:uid="{00000000-0005-0000-0000-0000E8010000}"/>
    <cellStyle name="원_2002-03경찰대학-졸업식" xfId="487" xr:uid="{00000000-0005-0000-0000-0000E9010000}"/>
    <cellStyle name="원_2002-03경찰청-경찰표지장" xfId="488" xr:uid="{00000000-0005-0000-0000-0000EA010000}"/>
    <cellStyle name="원_2002-03반디-가로등(열주형)" xfId="489" xr:uid="{00000000-0005-0000-0000-0000EB010000}"/>
    <cellStyle name="원_2002-03신화전자-감지기" xfId="490" xr:uid="{00000000-0005-0000-0000-0000EC010000}"/>
    <cellStyle name="원_2002-04강원랜드-슬러트머신" xfId="491" xr:uid="{00000000-0005-0000-0000-0000ED010000}"/>
    <cellStyle name="원_2002-04메가컴-외주무대" xfId="492" xr:uid="{00000000-0005-0000-0000-0000EE010000}"/>
    <cellStyle name="원_2002-04엘지애드-무대" xfId="493" xr:uid="{00000000-0005-0000-0000-0000EF010000}"/>
    <cellStyle name="원_2002-05강원랜드-슬러트머신(넥스터)" xfId="494" xr:uid="{00000000-0005-0000-0000-0000F0010000}"/>
    <cellStyle name="원_2002-05경기경찰청-냉온수기공사" xfId="495" xr:uid="{00000000-0005-0000-0000-0000F1010000}"/>
    <cellStyle name="원_2002-05대통령비서실-카페트" xfId="496" xr:uid="{00000000-0005-0000-0000-0000F2010000}"/>
    <cellStyle name="원_2002결과표" xfId="497" xr:uid="{00000000-0005-0000-0000-0000F3010000}"/>
    <cellStyle name="원_2002결과표1" xfId="498" xr:uid="{00000000-0005-0000-0000-0000F4010000}"/>
    <cellStyle name="원_2003-01정일사-표창5종" xfId="499" xr:uid="{00000000-0005-0000-0000-0000F5010000}"/>
    <cellStyle name="원_Pilot플랜트-계변경" xfId="500" xr:uid="{00000000-0005-0000-0000-0000F6010000}"/>
    <cellStyle name="원_Pilot플랜트이전설치-변경최종" xfId="501" xr:uid="{00000000-0005-0000-0000-0000F7010000}"/>
    <cellStyle name="원_SW(케이비)" xfId="502" xr:uid="{00000000-0005-0000-0000-0000F8010000}"/>
    <cellStyle name="원_간지,목차,페이지,표지" xfId="503" xr:uid="{00000000-0005-0000-0000-0000F9010000}"/>
    <cellStyle name="원_경찰청-근무,기동복" xfId="504" xr:uid="{00000000-0005-0000-0000-0000FA010000}"/>
    <cellStyle name="원_공사일반관리비양식" xfId="505" xr:uid="{00000000-0005-0000-0000-0000FB010000}"/>
    <cellStyle name="원_교통관리내역서-1008" xfId="506" xr:uid="{00000000-0005-0000-0000-0000FC010000}"/>
    <cellStyle name="원_기초공사" xfId="507" xr:uid="{00000000-0005-0000-0000-0000FD010000}"/>
    <cellStyle name="원_네인텍정보기술-회로카드(수현)" xfId="508" xr:uid="{00000000-0005-0000-0000-0000FE010000}"/>
    <cellStyle name="원_대기해양노무비" xfId="509" xr:uid="{00000000-0005-0000-0000-0000FF010000}"/>
    <cellStyle name="원_대북자재8월분" xfId="510" xr:uid="{00000000-0005-0000-0000-000000020000}"/>
    <cellStyle name="원_대북자재8월분-1" xfId="511" xr:uid="{00000000-0005-0000-0000-000001020000}"/>
    <cellStyle name="원_동산용사촌수현(원본)" xfId="512" xr:uid="{00000000-0005-0000-0000-000002020000}"/>
    <cellStyle name="원_백제군사전시1" xfId="513" xr:uid="{00000000-0005-0000-0000-000003020000}"/>
    <cellStyle name="원_설치위치별세부내역(VMS)-0323" xfId="514" xr:uid="{00000000-0005-0000-0000-000004020000}"/>
    <cellStyle name="원_수초제거기(대양기계)" xfId="515" xr:uid="{00000000-0005-0000-0000-000005020000}"/>
    <cellStyle name="원_시설용역" xfId="516" xr:uid="{00000000-0005-0000-0000-000006020000}"/>
    <cellStyle name="원_암전정밀실체현미경(수현)" xfId="517" xr:uid="{00000000-0005-0000-0000-000007020000}"/>
    <cellStyle name="원_오리엔탈" xfId="518" xr:uid="{00000000-0005-0000-0000-000008020000}"/>
    <cellStyle name="원_원가계산-교통1011" xfId="519" xr:uid="{00000000-0005-0000-0000-000009020000}"/>
    <cellStyle name="원_원본 - 한국전기교통-개선형신호등 4종" xfId="520" xr:uid="{00000000-0005-0000-0000-00000A020000}"/>
    <cellStyle name="원_제경비율모음" xfId="521" xr:uid="{00000000-0005-0000-0000-00000B020000}"/>
    <cellStyle name="원_제조원가" xfId="522" xr:uid="{00000000-0005-0000-0000-00000C020000}"/>
    <cellStyle name="원_조달청-B판사천강교제작(최종본)" xfId="523" xr:uid="{00000000-0005-0000-0000-00000D020000}"/>
    <cellStyle name="원_조달청-대북지원3차(최수현)" xfId="524" xr:uid="{00000000-0005-0000-0000-00000E020000}"/>
    <cellStyle name="원_조달청-대북지원4차(최수현)" xfId="525" xr:uid="{00000000-0005-0000-0000-00000F020000}"/>
    <cellStyle name="원_조달청-대북지원5차(최수현)" xfId="526" xr:uid="{00000000-0005-0000-0000-000010020000}"/>
    <cellStyle name="원_조달청-대북지원6차(번호)" xfId="527" xr:uid="{00000000-0005-0000-0000-000011020000}"/>
    <cellStyle name="원_조달청-대북지원6차(최수현)" xfId="528" xr:uid="{00000000-0005-0000-0000-000012020000}"/>
    <cellStyle name="원_조달청-대북지원7차(최수현)" xfId="529" xr:uid="{00000000-0005-0000-0000-000013020000}"/>
    <cellStyle name="원_조달청-대북지원8차(최수현)" xfId="530" xr:uid="{00000000-0005-0000-0000-000014020000}"/>
    <cellStyle name="원_조달청-대북지원9차(최수현)" xfId="531" xr:uid="{00000000-0005-0000-0000-000015020000}"/>
    <cellStyle name="원_중앙선관위(투표,개표)" xfId="532" xr:uid="{00000000-0005-0000-0000-000016020000}"/>
    <cellStyle name="원_중앙선관위(투표,개표)-사본" xfId="533" xr:uid="{00000000-0005-0000-0000-000017020000}"/>
    <cellStyle name="원_철공가공조립" xfId="534" xr:uid="{00000000-0005-0000-0000-000018020000}"/>
    <cellStyle name="원_최종-한국전기교통-개선형신호등 4종(공수조정)" xfId="535" xr:uid="{00000000-0005-0000-0000-000019020000}"/>
    <cellStyle name="원_코솔라-제조원가" xfId="536" xr:uid="{00000000-0005-0000-0000-00001A020000}"/>
    <cellStyle name="원_토지공사-간접비" xfId="537" xr:uid="{00000000-0005-0000-0000-00001B020000}"/>
    <cellStyle name="원_한국도로공사" xfId="538" xr:uid="{00000000-0005-0000-0000-00001C020000}"/>
    <cellStyle name="원_한전내역서-최종" xfId="539" xr:uid="{00000000-0005-0000-0000-00001D020000}"/>
    <cellStyle name="유1" xfId="540" xr:uid="{00000000-0005-0000-0000-00001E020000}"/>
    <cellStyle name="유상진" xfId="541" xr:uid="{00000000-0005-0000-0000-00001F020000}"/>
    <cellStyle name="유영" xfId="542" xr:uid="{00000000-0005-0000-0000-000020020000}"/>
    <cellStyle name="일위대가" xfId="543" xr:uid="{00000000-0005-0000-0000-000021020000}"/>
    <cellStyle name="자리수" xfId="544" xr:uid="{00000000-0005-0000-0000-000022020000}"/>
    <cellStyle name="자리수0" xfId="545" xr:uid="{00000000-0005-0000-0000-000023020000}"/>
    <cellStyle name="점선" xfId="546" xr:uid="{00000000-0005-0000-0000-000024020000}"/>
    <cellStyle name="제목[1 줄]" xfId="547" xr:uid="{00000000-0005-0000-0000-000025020000}"/>
    <cellStyle name="제목[2줄 아래]" xfId="548" xr:uid="{00000000-0005-0000-0000-000026020000}"/>
    <cellStyle name="제목[2줄 위]" xfId="549" xr:uid="{00000000-0005-0000-0000-000027020000}"/>
    <cellStyle name="제목1" xfId="550" xr:uid="{00000000-0005-0000-0000-000028020000}"/>
    <cellStyle name="지정되지 않음" xfId="551" xr:uid="{00000000-0005-0000-0000-000029020000}"/>
    <cellStyle name="콤마 [#]" xfId="552" xr:uid="{00000000-0005-0000-0000-00002A020000}"/>
    <cellStyle name="콤마 []" xfId="553" xr:uid="{00000000-0005-0000-0000-00002B020000}"/>
    <cellStyle name="콤마 [0]" xfId="554" xr:uid="{00000000-0005-0000-0000-00002C020000}"/>
    <cellStyle name="콤마 [0]기기자재비" xfId="555" xr:uid="{00000000-0005-0000-0000-00002D020000}"/>
    <cellStyle name="콤마 [2]" xfId="556" xr:uid="{00000000-0005-0000-0000-00002E020000}"/>
    <cellStyle name="콤마 [금액]" xfId="557" xr:uid="{00000000-0005-0000-0000-00002F020000}"/>
    <cellStyle name="콤마 [소수]" xfId="558" xr:uid="{00000000-0005-0000-0000-000030020000}"/>
    <cellStyle name="콤마 [수량]" xfId="559" xr:uid="{00000000-0005-0000-0000-000031020000}"/>
    <cellStyle name="콤마[ ]" xfId="560" xr:uid="{00000000-0005-0000-0000-000032020000}"/>
    <cellStyle name="콤마_  종  합  " xfId="561" xr:uid="{00000000-0005-0000-0000-000033020000}"/>
    <cellStyle name="퍼센트" xfId="562" xr:uid="{00000000-0005-0000-0000-000034020000}"/>
    <cellStyle name="표준" xfId="0" builtinId="0"/>
    <cellStyle name="표준 2" xfId="563" xr:uid="{00000000-0005-0000-0000-000036020000}"/>
    <cellStyle name="표준 2 2" xfId="564" xr:uid="{00000000-0005-0000-0000-000037020000}"/>
    <cellStyle name="표준 2 3" xfId="565" xr:uid="{00000000-0005-0000-0000-000038020000}"/>
    <cellStyle name="표준 2_사본 - 충주시CCTV통합관제센터모니터링용역_용역설계서" xfId="566" xr:uid="{00000000-0005-0000-0000-000039020000}"/>
    <cellStyle name="표준 2_사본 - 충주시CCTV통합관제센터모니터링용역_용역설계서_Book1" xfId="567" xr:uid="{00000000-0005-0000-0000-00003A020000}"/>
    <cellStyle name="표준 3" xfId="568" xr:uid="{00000000-0005-0000-0000-00003B020000}"/>
    <cellStyle name="표준 4" xfId="569" xr:uid="{00000000-0005-0000-0000-00003C020000}"/>
    <cellStyle name="표준 5" xfId="570" xr:uid="{00000000-0005-0000-0000-00003D020000}"/>
    <cellStyle name="표준 6" xfId="571" xr:uid="{00000000-0005-0000-0000-00003E020000}"/>
    <cellStyle name="표준 7" xfId="572" xr:uid="{00000000-0005-0000-0000-00003F020000}"/>
    <cellStyle name="標準_Akia(F）-8" xfId="573" xr:uid="{00000000-0005-0000-0000-000040020000}"/>
    <cellStyle name="표준1" xfId="574" xr:uid="{00000000-0005-0000-0000-000041020000}"/>
    <cellStyle name="표준날짜" xfId="575" xr:uid="{00000000-0005-0000-0000-000042020000}"/>
    <cellStyle name="표준숫자" xfId="576" xr:uid="{00000000-0005-0000-0000-000043020000}"/>
    <cellStyle name="표쥰" xfId="577" xr:uid="{00000000-0005-0000-0000-000044020000}"/>
    <cellStyle name="합산" xfId="578" xr:uid="{00000000-0005-0000-0000-000045020000}"/>
    <cellStyle name="화폐기호" xfId="579" xr:uid="{00000000-0005-0000-0000-000046020000}"/>
    <cellStyle name="화폐기호0" xfId="580" xr:uid="{00000000-0005-0000-0000-000047020000}"/>
    <cellStyle name="〰㜯〱" xfId="581" xr:uid="{00000000-0005-0000-0000-00004802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7"/>
  <sheetViews>
    <sheetView tabSelected="1" workbookViewId="0">
      <selection activeCell="A7" sqref="A7:J7"/>
    </sheetView>
  </sheetViews>
  <sheetFormatPr defaultRowHeight="16.5"/>
  <cols>
    <col min="1" max="1" width="9.88671875" style="176" bestFit="1" customWidth="1"/>
    <col min="2" max="2" width="11.21875" style="176" customWidth="1"/>
    <col min="3" max="3" width="11.44140625" style="176" bestFit="1" customWidth="1"/>
    <col min="4" max="4" width="11.21875" style="176" customWidth="1"/>
    <col min="5" max="5" width="12.44140625" style="176" customWidth="1"/>
    <col min="6" max="8" width="11.21875" style="176" customWidth="1"/>
    <col min="9" max="9" width="10.44140625" style="176" customWidth="1"/>
    <col min="10" max="10" width="8.44140625" style="176" customWidth="1"/>
    <col min="11" max="11" width="26.109375" style="176" bestFit="1" customWidth="1"/>
    <col min="12" max="254" width="8.88671875" style="176"/>
    <col min="255" max="255" width="9.88671875" style="176" bestFit="1" customWidth="1"/>
    <col min="256" max="256" width="11.21875" style="176" customWidth="1"/>
    <col min="257" max="257" width="11.44140625" style="176" bestFit="1" customWidth="1"/>
    <col min="258" max="258" width="11.21875" style="176" customWidth="1"/>
    <col min="259" max="259" width="12.44140625" style="176" customWidth="1"/>
    <col min="260" max="262" width="11.21875" style="176" customWidth="1"/>
    <col min="263" max="263" width="10.44140625" style="176" customWidth="1"/>
    <col min="264" max="264" width="8.44140625" style="176" customWidth="1"/>
    <col min="265" max="510" width="8.88671875" style="176"/>
    <col min="511" max="511" width="9.88671875" style="176" bestFit="1" customWidth="1"/>
    <col min="512" max="512" width="11.21875" style="176" customWidth="1"/>
    <col min="513" max="513" width="11.44140625" style="176" bestFit="1" customWidth="1"/>
    <col min="514" max="514" width="11.21875" style="176" customWidth="1"/>
    <col min="515" max="515" width="12.44140625" style="176" customWidth="1"/>
    <col min="516" max="518" width="11.21875" style="176" customWidth="1"/>
    <col min="519" max="519" width="10.44140625" style="176" customWidth="1"/>
    <col min="520" max="520" width="8.44140625" style="176" customWidth="1"/>
    <col min="521" max="766" width="8.88671875" style="176"/>
    <col min="767" max="767" width="9.88671875" style="176" bestFit="1" customWidth="1"/>
    <col min="768" max="768" width="11.21875" style="176" customWidth="1"/>
    <col min="769" max="769" width="11.44140625" style="176" bestFit="1" customWidth="1"/>
    <col min="770" max="770" width="11.21875" style="176" customWidth="1"/>
    <col min="771" max="771" width="12.44140625" style="176" customWidth="1"/>
    <col min="772" max="774" width="11.21875" style="176" customWidth="1"/>
    <col min="775" max="775" width="10.44140625" style="176" customWidth="1"/>
    <col min="776" max="776" width="8.44140625" style="176" customWidth="1"/>
    <col min="777" max="1022" width="8.88671875" style="176"/>
    <col min="1023" max="1023" width="9.88671875" style="176" bestFit="1" customWidth="1"/>
    <col min="1024" max="1024" width="11.21875" style="176" customWidth="1"/>
    <col min="1025" max="1025" width="11.44140625" style="176" bestFit="1" customWidth="1"/>
    <col min="1026" max="1026" width="11.21875" style="176" customWidth="1"/>
    <col min="1027" max="1027" width="12.44140625" style="176" customWidth="1"/>
    <col min="1028" max="1030" width="11.21875" style="176" customWidth="1"/>
    <col min="1031" max="1031" width="10.44140625" style="176" customWidth="1"/>
    <col min="1032" max="1032" width="8.44140625" style="176" customWidth="1"/>
    <col min="1033" max="1278" width="8.88671875" style="176"/>
    <col min="1279" max="1279" width="9.88671875" style="176" bestFit="1" customWidth="1"/>
    <col min="1280" max="1280" width="11.21875" style="176" customWidth="1"/>
    <col min="1281" max="1281" width="11.44140625" style="176" bestFit="1" customWidth="1"/>
    <col min="1282" max="1282" width="11.21875" style="176" customWidth="1"/>
    <col min="1283" max="1283" width="12.44140625" style="176" customWidth="1"/>
    <col min="1284" max="1286" width="11.21875" style="176" customWidth="1"/>
    <col min="1287" max="1287" width="10.44140625" style="176" customWidth="1"/>
    <col min="1288" max="1288" width="8.44140625" style="176" customWidth="1"/>
    <col min="1289" max="1534" width="8.88671875" style="176"/>
    <col min="1535" max="1535" width="9.88671875" style="176" bestFit="1" customWidth="1"/>
    <col min="1536" max="1536" width="11.21875" style="176" customWidth="1"/>
    <col min="1537" max="1537" width="11.44140625" style="176" bestFit="1" customWidth="1"/>
    <col min="1538" max="1538" width="11.21875" style="176" customWidth="1"/>
    <col min="1539" max="1539" width="12.44140625" style="176" customWidth="1"/>
    <col min="1540" max="1542" width="11.21875" style="176" customWidth="1"/>
    <col min="1543" max="1543" width="10.44140625" style="176" customWidth="1"/>
    <col min="1544" max="1544" width="8.44140625" style="176" customWidth="1"/>
    <col min="1545" max="1790" width="8.88671875" style="176"/>
    <col min="1791" max="1791" width="9.88671875" style="176" bestFit="1" customWidth="1"/>
    <col min="1792" max="1792" width="11.21875" style="176" customWidth="1"/>
    <col min="1793" max="1793" width="11.44140625" style="176" bestFit="1" customWidth="1"/>
    <col min="1794" max="1794" width="11.21875" style="176" customWidth="1"/>
    <col min="1795" max="1795" width="12.44140625" style="176" customWidth="1"/>
    <col min="1796" max="1798" width="11.21875" style="176" customWidth="1"/>
    <col min="1799" max="1799" width="10.44140625" style="176" customWidth="1"/>
    <col min="1800" max="1800" width="8.44140625" style="176" customWidth="1"/>
    <col min="1801" max="2046" width="8.88671875" style="176"/>
    <col min="2047" max="2047" width="9.88671875" style="176" bestFit="1" customWidth="1"/>
    <col min="2048" max="2048" width="11.21875" style="176" customWidth="1"/>
    <col min="2049" max="2049" width="11.44140625" style="176" bestFit="1" customWidth="1"/>
    <col min="2050" max="2050" width="11.21875" style="176" customWidth="1"/>
    <col min="2051" max="2051" width="12.44140625" style="176" customWidth="1"/>
    <col min="2052" max="2054" width="11.21875" style="176" customWidth="1"/>
    <col min="2055" max="2055" width="10.44140625" style="176" customWidth="1"/>
    <col min="2056" max="2056" width="8.44140625" style="176" customWidth="1"/>
    <col min="2057" max="2302" width="8.88671875" style="176"/>
    <col min="2303" max="2303" width="9.88671875" style="176" bestFit="1" customWidth="1"/>
    <col min="2304" max="2304" width="11.21875" style="176" customWidth="1"/>
    <col min="2305" max="2305" width="11.44140625" style="176" bestFit="1" customWidth="1"/>
    <col min="2306" max="2306" width="11.21875" style="176" customWidth="1"/>
    <col min="2307" max="2307" width="12.44140625" style="176" customWidth="1"/>
    <col min="2308" max="2310" width="11.21875" style="176" customWidth="1"/>
    <col min="2311" max="2311" width="10.44140625" style="176" customWidth="1"/>
    <col min="2312" max="2312" width="8.44140625" style="176" customWidth="1"/>
    <col min="2313" max="2558" width="8.88671875" style="176"/>
    <col min="2559" max="2559" width="9.88671875" style="176" bestFit="1" customWidth="1"/>
    <col min="2560" max="2560" width="11.21875" style="176" customWidth="1"/>
    <col min="2561" max="2561" width="11.44140625" style="176" bestFit="1" customWidth="1"/>
    <col min="2562" max="2562" width="11.21875" style="176" customWidth="1"/>
    <col min="2563" max="2563" width="12.44140625" style="176" customWidth="1"/>
    <col min="2564" max="2566" width="11.21875" style="176" customWidth="1"/>
    <col min="2567" max="2567" width="10.44140625" style="176" customWidth="1"/>
    <col min="2568" max="2568" width="8.44140625" style="176" customWidth="1"/>
    <col min="2569" max="2814" width="8.88671875" style="176"/>
    <col min="2815" max="2815" width="9.88671875" style="176" bestFit="1" customWidth="1"/>
    <col min="2816" max="2816" width="11.21875" style="176" customWidth="1"/>
    <col min="2817" max="2817" width="11.44140625" style="176" bestFit="1" customWidth="1"/>
    <col min="2818" max="2818" width="11.21875" style="176" customWidth="1"/>
    <col min="2819" max="2819" width="12.44140625" style="176" customWidth="1"/>
    <col min="2820" max="2822" width="11.21875" style="176" customWidth="1"/>
    <col min="2823" max="2823" width="10.44140625" style="176" customWidth="1"/>
    <col min="2824" max="2824" width="8.44140625" style="176" customWidth="1"/>
    <col min="2825" max="3070" width="8.88671875" style="176"/>
    <col min="3071" max="3071" width="9.88671875" style="176" bestFit="1" customWidth="1"/>
    <col min="3072" max="3072" width="11.21875" style="176" customWidth="1"/>
    <col min="3073" max="3073" width="11.44140625" style="176" bestFit="1" customWidth="1"/>
    <col min="3074" max="3074" width="11.21875" style="176" customWidth="1"/>
    <col min="3075" max="3075" width="12.44140625" style="176" customWidth="1"/>
    <col min="3076" max="3078" width="11.21875" style="176" customWidth="1"/>
    <col min="3079" max="3079" width="10.44140625" style="176" customWidth="1"/>
    <col min="3080" max="3080" width="8.44140625" style="176" customWidth="1"/>
    <col min="3081" max="3326" width="8.88671875" style="176"/>
    <col min="3327" max="3327" width="9.88671875" style="176" bestFit="1" customWidth="1"/>
    <col min="3328" max="3328" width="11.21875" style="176" customWidth="1"/>
    <col min="3329" max="3329" width="11.44140625" style="176" bestFit="1" customWidth="1"/>
    <col min="3330" max="3330" width="11.21875" style="176" customWidth="1"/>
    <col min="3331" max="3331" width="12.44140625" style="176" customWidth="1"/>
    <col min="3332" max="3334" width="11.21875" style="176" customWidth="1"/>
    <col min="3335" max="3335" width="10.44140625" style="176" customWidth="1"/>
    <col min="3336" max="3336" width="8.44140625" style="176" customWidth="1"/>
    <col min="3337" max="3582" width="8.88671875" style="176"/>
    <col min="3583" max="3583" width="9.88671875" style="176" bestFit="1" customWidth="1"/>
    <col min="3584" max="3584" width="11.21875" style="176" customWidth="1"/>
    <col min="3585" max="3585" width="11.44140625" style="176" bestFit="1" customWidth="1"/>
    <col min="3586" max="3586" width="11.21875" style="176" customWidth="1"/>
    <col min="3587" max="3587" width="12.44140625" style="176" customWidth="1"/>
    <col min="3588" max="3590" width="11.21875" style="176" customWidth="1"/>
    <col min="3591" max="3591" width="10.44140625" style="176" customWidth="1"/>
    <col min="3592" max="3592" width="8.44140625" style="176" customWidth="1"/>
    <col min="3593" max="3838" width="8.88671875" style="176"/>
    <col min="3839" max="3839" width="9.88671875" style="176" bestFit="1" customWidth="1"/>
    <col min="3840" max="3840" width="11.21875" style="176" customWidth="1"/>
    <col min="3841" max="3841" width="11.44140625" style="176" bestFit="1" customWidth="1"/>
    <col min="3842" max="3842" width="11.21875" style="176" customWidth="1"/>
    <col min="3843" max="3843" width="12.44140625" style="176" customWidth="1"/>
    <col min="3844" max="3846" width="11.21875" style="176" customWidth="1"/>
    <col min="3847" max="3847" width="10.44140625" style="176" customWidth="1"/>
    <col min="3848" max="3848" width="8.44140625" style="176" customWidth="1"/>
    <col min="3849" max="4094" width="8.88671875" style="176"/>
    <col min="4095" max="4095" width="9.88671875" style="176" bestFit="1" customWidth="1"/>
    <col min="4096" max="4096" width="11.21875" style="176" customWidth="1"/>
    <col min="4097" max="4097" width="11.44140625" style="176" bestFit="1" customWidth="1"/>
    <col min="4098" max="4098" width="11.21875" style="176" customWidth="1"/>
    <col min="4099" max="4099" width="12.44140625" style="176" customWidth="1"/>
    <col min="4100" max="4102" width="11.21875" style="176" customWidth="1"/>
    <col min="4103" max="4103" width="10.44140625" style="176" customWidth="1"/>
    <col min="4104" max="4104" width="8.44140625" style="176" customWidth="1"/>
    <col min="4105" max="4350" width="8.88671875" style="176"/>
    <col min="4351" max="4351" width="9.88671875" style="176" bestFit="1" customWidth="1"/>
    <col min="4352" max="4352" width="11.21875" style="176" customWidth="1"/>
    <col min="4353" max="4353" width="11.44140625" style="176" bestFit="1" customWidth="1"/>
    <col min="4354" max="4354" width="11.21875" style="176" customWidth="1"/>
    <col min="4355" max="4355" width="12.44140625" style="176" customWidth="1"/>
    <col min="4356" max="4358" width="11.21875" style="176" customWidth="1"/>
    <col min="4359" max="4359" width="10.44140625" style="176" customWidth="1"/>
    <col min="4360" max="4360" width="8.44140625" style="176" customWidth="1"/>
    <col min="4361" max="4606" width="8.88671875" style="176"/>
    <col min="4607" max="4607" width="9.88671875" style="176" bestFit="1" customWidth="1"/>
    <col min="4608" max="4608" width="11.21875" style="176" customWidth="1"/>
    <col min="4609" max="4609" width="11.44140625" style="176" bestFit="1" customWidth="1"/>
    <col min="4610" max="4610" width="11.21875" style="176" customWidth="1"/>
    <col min="4611" max="4611" width="12.44140625" style="176" customWidth="1"/>
    <col min="4612" max="4614" width="11.21875" style="176" customWidth="1"/>
    <col min="4615" max="4615" width="10.44140625" style="176" customWidth="1"/>
    <col min="4616" max="4616" width="8.44140625" style="176" customWidth="1"/>
    <col min="4617" max="4862" width="8.88671875" style="176"/>
    <col min="4863" max="4863" width="9.88671875" style="176" bestFit="1" customWidth="1"/>
    <col min="4864" max="4864" width="11.21875" style="176" customWidth="1"/>
    <col min="4865" max="4865" width="11.44140625" style="176" bestFit="1" customWidth="1"/>
    <col min="4866" max="4866" width="11.21875" style="176" customWidth="1"/>
    <col min="4867" max="4867" width="12.44140625" style="176" customWidth="1"/>
    <col min="4868" max="4870" width="11.21875" style="176" customWidth="1"/>
    <col min="4871" max="4871" width="10.44140625" style="176" customWidth="1"/>
    <col min="4872" max="4872" width="8.44140625" style="176" customWidth="1"/>
    <col min="4873" max="5118" width="8.88671875" style="176"/>
    <col min="5119" max="5119" width="9.88671875" style="176" bestFit="1" customWidth="1"/>
    <col min="5120" max="5120" width="11.21875" style="176" customWidth="1"/>
    <col min="5121" max="5121" width="11.44140625" style="176" bestFit="1" customWidth="1"/>
    <col min="5122" max="5122" width="11.21875" style="176" customWidth="1"/>
    <col min="5123" max="5123" width="12.44140625" style="176" customWidth="1"/>
    <col min="5124" max="5126" width="11.21875" style="176" customWidth="1"/>
    <col min="5127" max="5127" width="10.44140625" style="176" customWidth="1"/>
    <col min="5128" max="5128" width="8.44140625" style="176" customWidth="1"/>
    <col min="5129" max="5374" width="8.88671875" style="176"/>
    <col min="5375" max="5375" width="9.88671875" style="176" bestFit="1" customWidth="1"/>
    <col min="5376" max="5376" width="11.21875" style="176" customWidth="1"/>
    <col min="5377" max="5377" width="11.44140625" style="176" bestFit="1" customWidth="1"/>
    <col min="5378" max="5378" width="11.21875" style="176" customWidth="1"/>
    <col min="5379" max="5379" width="12.44140625" style="176" customWidth="1"/>
    <col min="5380" max="5382" width="11.21875" style="176" customWidth="1"/>
    <col min="5383" max="5383" width="10.44140625" style="176" customWidth="1"/>
    <col min="5384" max="5384" width="8.44140625" style="176" customWidth="1"/>
    <col min="5385" max="5630" width="8.88671875" style="176"/>
    <col min="5631" max="5631" width="9.88671875" style="176" bestFit="1" customWidth="1"/>
    <col min="5632" max="5632" width="11.21875" style="176" customWidth="1"/>
    <col min="5633" max="5633" width="11.44140625" style="176" bestFit="1" customWidth="1"/>
    <col min="5634" max="5634" width="11.21875" style="176" customWidth="1"/>
    <col min="5635" max="5635" width="12.44140625" style="176" customWidth="1"/>
    <col min="5636" max="5638" width="11.21875" style="176" customWidth="1"/>
    <col min="5639" max="5639" width="10.44140625" style="176" customWidth="1"/>
    <col min="5640" max="5640" width="8.44140625" style="176" customWidth="1"/>
    <col min="5641" max="5886" width="8.88671875" style="176"/>
    <col min="5887" max="5887" width="9.88671875" style="176" bestFit="1" customWidth="1"/>
    <col min="5888" max="5888" width="11.21875" style="176" customWidth="1"/>
    <col min="5889" max="5889" width="11.44140625" style="176" bestFit="1" customWidth="1"/>
    <col min="5890" max="5890" width="11.21875" style="176" customWidth="1"/>
    <col min="5891" max="5891" width="12.44140625" style="176" customWidth="1"/>
    <col min="5892" max="5894" width="11.21875" style="176" customWidth="1"/>
    <col min="5895" max="5895" width="10.44140625" style="176" customWidth="1"/>
    <col min="5896" max="5896" width="8.44140625" style="176" customWidth="1"/>
    <col min="5897" max="6142" width="8.88671875" style="176"/>
    <col min="6143" max="6143" width="9.88671875" style="176" bestFit="1" customWidth="1"/>
    <col min="6144" max="6144" width="11.21875" style="176" customWidth="1"/>
    <col min="6145" max="6145" width="11.44140625" style="176" bestFit="1" customWidth="1"/>
    <col min="6146" max="6146" width="11.21875" style="176" customWidth="1"/>
    <col min="6147" max="6147" width="12.44140625" style="176" customWidth="1"/>
    <col min="6148" max="6150" width="11.21875" style="176" customWidth="1"/>
    <col min="6151" max="6151" width="10.44140625" style="176" customWidth="1"/>
    <col min="6152" max="6152" width="8.44140625" style="176" customWidth="1"/>
    <col min="6153" max="6398" width="8.88671875" style="176"/>
    <col min="6399" max="6399" width="9.88671875" style="176" bestFit="1" customWidth="1"/>
    <col min="6400" max="6400" width="11.21875" style="176" customWidth="1"/>
    <col min="6401" max="6401" width="11.44140625" style="176" bestFit="1" customWidth="1"/>
    <col min="6402" max="6402" width="11.21875" style="176" customWidth="1"/>
    <col min="6403" max="6403" width="12.44140625" style="176" customWidth="1"/>
    <col min="6404" max="6406" width="11.21875" style="176" customWidth="1"/>
    <col min="6407" max="6407" width="10.44140625" style="176" customWidth="1"/>
    <col min="6408" max="6408" width="8.44140625" style="176" customWidth="1"/>
    <col min="6409" max="6654" width="8.88671875" style="176"/>
    <col min="6655" max="6655" width="9.88671875" style="176" bestFit="1" customWidth="1"/>
    <col min="6656" max="6656" width="11.21875" style="176" customWidth="1"/>
    <col min="6657" max="6657" width="11.44140625" style="176" bestFit="1" customWidth="1"/>
    <col min="6658" max="6658" width="11.21875" style="176" customWidth="1"/>
    <col min="6659" max="6659" width="12.44140625" style="176" customWidth="1"/>
    <col min="6660" max="6662" width="11.21875" style="176" customWidth="1"/>
    <col min="6663" max="6663" width="10.44140625" style="176" customWidth="1"/>
    <col min="6664" max="6664" width="8.44140625" style="176" customWidth="1"/>
    <col min="6665" max="6910" width="8.88671875" style="176"/>
    <col min="6911" max="6911" width="9.88671875" style="176" bestFit="1" customWidth="1"/>
    <col min="6912" max="6912" width="11.21875" style="176" customWidth="1"/>
    <col min="6913" max="6913" width="11.44140625" style="176" bestFit="1" customWidth="1"/>
    <col min="6914" max="6914" width="11.21875" style="176" customWidth="1"/>
    <col min="6915" max="6915" width="12.44140625" style="176" customWidth="1"/>
    <col min="6916" max="6918" width="11.21875" style="176" customWidth="1"/>
    <col min="6919" max="6919" width="10.44140625" style="176" customWidth="1"/>
    <col min="6920" max="6920" width="8.44140625" style="176" customWidth="1"/>
    <col min="6921" max="7166" width="8.88671875" style="176"/>
    <col min="7167" max="7167" width="9.88671875" style="176" bestFit="1" customWidth="1"/>
    <col min="7168" max="7168" width="11.21875" style="176" customWidth="1"/>
    <col min="7169" max="7169" width="11.44140625" style="176" bestFit="1" customWidth="1"/>
    <col min="7170" max="7170" width="11.21875" style="176" customWidth="1"/>
    <col min="7171" max="7171" width="12.44140625" style="176" customWidth="1"/>
    <col min="7172" max="7174" width="11.21875" style="176" customWidth="1"/>
    <col min="7175" max="7175" width="10.44140625" style="176" customWidth="1"/>
    <col min="7176" max="7176" width="8.44140625" style="176" customWidth="1"/>
    <col min="7177" max="7422" width="8.88671875" style="176"/>
    <col min="7423" max="7423" width="9.88671875" style="176" bestFit="1" customWidth="1"/>
    <col min="7424" max="7424" width="11.21875" style="176" customWidth="1"/>
    <col min="7425" max="7425" width="11.44140625" style="176" bestFit="1" customWidth="1"/>
    <col min="7426" max="7426" width="11.21875" style="176" customWidth="1"/>
    <col min="7427" max="7427" width="12.44140625" style="176" customWidth="1"/>
    <col min="7428" max="7430" width="11.21875" style="176" customWidth="1"/>
    <col min="7431" max="7431" width="10.44140625" style="176" customWidth="1"/>
    <col min="7432" max="7432" width="8.44140625" style="176" customWidth="1"/>
    <col min="7433" max="7678" width="8.88671875" style="176"/>
    <col min="7679" max="7679" width="9.88671875" style="176" bestFit="1" customWidth="1"/>
    <col min="7680" max="7680" width="11.21875" style="176" customWidth="1"/>
    <col min="7681" max="7681" width="11.44140625" style="176" bestFit="1" customWidth="1"/>
    <col min="7682" max="7682" width="11.21875" style="176" customWidth="1"/>
    <col min="7683" max="7683" width="12.44140625" style="176" customWidth="1"/>
    <col min="7684" max="7686" width="11.21875" style="176" customWidth="1"/>
    <col min="7687" max="7687" width="10.44140625" style="176" customWidth="1"/>
    <col min="7688" max="7688" width="8.44140625" style="176" customWidth="1"/>
    <col min="7689" max="7934" width="8.88671875" style="176"/>
    <col min="7935" max="7935" width="9.88671875" style="176" bestFit="1" customWidth="1"/>
    <col min="7936" max="7936" width="11.21875" style="176" customWidth="1"/>
    <col min="7937" max="7937" width="11.44140625" style="176" bestFit="1" customWidth="1"/>
    <col min="7938" max="7938" width="11.21875" style="176" customWidth="1"/>
    <col min="7939" max="7939" width="12.44140625" style="176" customWidth="1"/>
    <col min="7940" max="7942" width="11.21875" style="176" customWidth="1"/>
    <col min="7943" max="7943" width="10.44140625" style="176" customWidth="1"/>
    <col min="7944" max="7944" width="8.44140625" style="176" customWidth="1"/>
    <col min="7945" max="8190" width="8.88671875" style="176"/>
    <col min="8191" max="8191" width="9.88671875" style="176" bestFit="1" customWidth="1"/>
    <col min="8192" max="8192" width="11.21875" style="176" customWidth="1"/>
    <col min="8193" max="8193" width="11.44140625" style="176" bestFit="1" customWidth="1"/>
    <col min="8194" max="8194" width="11.21875" style="176" customWidth="1"/>
    <col min="8195" max="8195" width="12.44140625" style="176" customWidth="1"/>
    <col min="8196" max="8198" width="11.21875" style="176" customWidth="1"/>
    <col min="8199" max="8199" width="10.44140625" style="176" customWidth="1"/>
    <col min="8200" max="8200" width="8.44140625" style="176" customWidth="1"/>
    <col min="8201" max="8446" width="8.88671875" style="176"/>
    <col min="8447" max="8447" width="9.88671875" style="176" bestFit="1" customWidth="1"/>
    <col min="8448" max="8448" width="11.21875" style="176" customWidth="1"/>
    <col min="8449" max="8449" width="11.44140625" style="176" bestFit="1" customWidth="1"/>
    <col min="8450" max="8450" width="11.21875" style="176" customWidth="1"/>
    <col min="8451" max="8451" width="12.44140625" style="176" customWidth="1"/>
    <col min="8452" max="8454" width="11.21875" style="176" customWidth="1"/>
    <col min="8455" max="8455" width="10.44140625" style="176" customWidth="1"/>
    <col min="8456" max="8456" width="8.44140625" style="176" customWidth="1"/>
    <col min="8457" max="8702" width="8.88671875" style="176"/>
    <col min="8703" max="8703" width="9.88671875" style="176" bestFit="1" customWidth="1"/>
    <col min="8704" max="8704" width="11.21875" style="176" customWidth="1"/>
    <col min="8705" max="8705" width="11.44140625" style="176" bestFit="1" customWidth="1"/>
    <col min="8706" max="8706" width="11.21875" style="176" customWidth="1"/>
    <col min="8707" max="8707" width="12.44140625" style="176" customWidth="1"/>
    <col min="8708" max="8710" width="11.21875" style="176" customWidth="1"/>
    <col min="8711" max="8711" width="10.44140625" style="176" customWidth="1"/>
    <col min="8712" max="8712" width="8.44140625" style="176" customWidth="1"/>
    <col min="8713" max="8958" width="8.88671875" style="176"/>
    <col min="8959" max="8959" width="9.88671875" style="176" bestFit="1" customWidth="1"/>
    <col min="8960" max="8960" width="11.21875" style="176" customWidth="1"/>
    <col min="8961" max="8961" width="11.44140625" style="176" bestFit="1" customWidth="1"/>
    <col min="8962" max="8962" width="11.21875" style="176" customWidth="1"/>
    <col min="8963" max="8963" width="12.44140625" style="176" customWidth="1"/>
    <col min="8964" max="8966" width="11.21875" style="176" customWidth="1"/>
    <col min="8967" max="8967" width="10.44140625" style="176" customWidth="1"/>
    <col min="8968" max="8968" width="8.44140625" style="176" customWidth="1"/>
    <col min="8969" max="9214" width="8.88671875" style="176"/>
    <col min="9215" max="9215" width="9.88671875" style="176" bestFit="1" customWidth="1"/>
    <col min="9216" max="9216" width="11.21875" style="176" customWidth="1"/>
    <col min="9217" max="9217" width="11.44140625" style="176" bestFit="1" customWidth="1"/>
    <col min="9218" max="9218" width="11.21875" style="176" customWidth="1"/>
    <col min="9219" max="9219" width="12.44140625" style="176" customWidth="1"/>
    <col min="9220" max="9222" width="11.21875" style="176" customWidth="1"/>
    <col min="9223" max="9223" width="10.44140625" style="176" customWidth="1"/>
    <col min="9224" max="9224" width="8.44140625" style="176" customWidth="1"/>
    <col min="9225" max="9470" width="8.88671875" style="176"/>
    <col min="9471" max="9471" width="9.88671875" style="176" bestFit="1" customWidth="1"/>
    <col min="9472" max="9472" width="11.21875" style="176" customWidth="1"/>
    <col min="9473" max="9473" width="11.44140625" style="176" bestFit="1" customWidth="1"/>
    <col min="9474" max="9474" width="11.21875" style="176" customWidth="1"/>
    <col min="9475" max="9475" width="12.44140625" style="176" customWidth="1"/>
    <col min="9476" max="9478" width="11.21875" style="176" customWidth="1"/>
    <col min="9479" max="9479" width="10.44140625" style="176" customWidth="1"/>
    <col min="9480" max="9480" width="8.44140625" style="176" customWidth="1"/>
    <col min="9481" max="9726" width="8.88671875" style="176"/>
    <col min="9727" max="9727" width="9.88671875" style="176" bestFit="1" customWidth="1"/>
    <col min="9728" max="9728" width="11.21875" style="176" customWidth="1"/>
    <col min="9729" max="9729" width="11.44140625" style="176" bestFit="1" customWidth="1"/>
    <col min="9730" max="9730" width="11.21875" style="176" customWidth="1"/>
    <col min="9731" max="9731" width="12.44140625" style="176" customWidth="1"/>
    <col min="9732" max="9734" width="11.21875" style="176" customWidth="1"/>
    <col min="9735" max="9735" width="10.44140625" style="176" customWidth="1"/>
    <col min="9736" max="9736" width="8.44140625" style="176" customWidth="1"/>
    <col min="9737" max="9982" width="8.88671875" style="176"/>
    <col min="9983" max="9983" width="9.88671875" style="176" bestFit="1" customWidth="1"/>
    <col min="9984" max="9984" width="11.21875" style="176" customWidth="1"/>
    <col min="9985" max="9985" width="11.44140625" style="176" bestFit="1" customWidth="1"/>
    <col min="9986" max="9986" width="11.21875" style="176" customWidth="1"/>
    <col min="9987" max="9987" width="12.44140625" style="176" customWidth="1"/>
    <col min="9988" max="9990" width="11.21875" style="176" customWidth="1"/>
    <col min="9991" max="9991" width="10.44140625" style="176" customWidth="1"/>
    <col min="9992" max="9992" width="8.44140625" style="176" customWidth="1"/>
    <col min="9993" max="10238" width="8.88671875" style="176"/>
    <col min="10239" max="10239" width="9.88671875" style="176" bestFit="1" customWidth="1"/>
    <col min="10240" max="10240" width="11.21875" style="176" customWidth="1"/>
    <col min="10241" max="10241" width="11.44140625" style="176" bestFit="1" customWidth="1"/>
    <col min="10242" max="10242" width="11.21875" style="176" customWidth="1"/>
    <col min="10243" max="10243" width="12.44140625" style="176" customWidth="1"/>
    <col min="10244" max="10246" width="11.21875" style="176" customWidth="1"/>
    <col min="10247" max="10247" width="10.44140625" style="176" customWidth="1"/>
    <col min="10248" max="10248" width="8.44140625" style="176" customWidth="1"/>
    <col min="10249" max="10494" width="8.88671875" style="176"/>
    <col min="10495" max="10495" width="9.88671875" style="176" bestFit="1" customWidth="1"/>
    <col min="10496" max="10496" width="11.21875" style="176" customWidth="1"/>
    <col min="10497" max="10497" width="11.44140625" style="176" bestFit="1" customWidth="1"/>
    <col min="10498" max="10498" width="11.21875" style="176" customWidth="1"/>
    <col min="10499" max="10499" width="12.44140625" style="176" customWidth="1"/>
    <col min="10500" max="10502" width="11.21875" style="176" customWidth="1"/>
    <col min="10503" max="10503" width="10.44140625" style="176" customWidth="1"/>
    <col min="10504" max="10504" width="8.44140625" style="176" customWidth="1"/>
    <col min="10505" max="10750" width="8.88671875" style="176"/>
    <col min="10751" max="10751" width="9.88671875" style="176" bestFit="1" customWidth="1"/>
    <col min="10752" max="10752" width="11.21875" style="176" customWidth="1"/>
    <col min="10753" max="10753" width="11.44140625" style="176" bestFit="1" customWidth="1"/>
    <col min="10754" max="10754" width="11.21875" style="176" customWidth="1"/>
    <col min="10755" max="10755" width="12.44140625" style="176" customWidth="1"/>
    <col min="10756" max="10758" width="11.21875" style="176" customWidth="1"/>
    <col min="10759" max="10759" width="10.44140625" style="176" customWidth="1"/>
    <col min="10760" max="10760" width="8.44140625" style="176" customWidth="1"/>
    <col min="10761" max="11006" width="8.88671875" style="176"/>
    <col min="11007" max="11007" width="9.88671875" style="176" bestFit="1" customWidth="1"/>
    <col min="11008" max="11008" width="11.21875" style="176" customWidth="1"/>
    <col min="11009" max="11009" width="11.44140625" style="176" bestFit="1" customWidth="1"/>
    <col min="11010" max="11010" width="11.21875" style="176" customWidth="1"/>
    <col min="11011" max="11011" width="12.44140625" style="176" customWidth="1"/>
    <col min="11012" max="11014" width="11.21875" style="176" customWidth="1"/>
    <col min="11015" max="11015" width="10.44140625" style="176" customWidth="1"/>
    <col min="11016" max="11016" width="8.44140625" style="176" customWidth="1"/>
    <col min="11017" max="11262" width="8.88671875" style="176"/>
    <col min="11263" max="11263" width="9.88671875" style="176" bestFit="1" customWidth="1"/>
    <col min="11264" max="11264" width="11.21875" style="176" customWidth="1"/>
    <col min="11265" max="11265" width="11.44140625" style="176" bestFit="1" customWidth="1"/>
    <col min="11266" max="11266" width="11.21875" style="176" customWidth="1"/>
    <col min="11267" max="11267" width="12.44140625" style="176" customWidth="1"/>
    <col min="11268" max="11270" width="11.21875" style="176" customWidth="1"/>
    <col min="11271" max="11271" width="10.44140625" style="176" customWidth="1"/>
    <col min="11272" max="11272" width="8.44140625" style="176" customWidth="1"/>
    <col min="11273" max="11518" width="8.88671875" style="176"/>
    <col min="11519" max="11519" width="9.88671875" style="176" bestFit="1" customWidth="1"/>
    <col min="11520" max="11520" width="11.21875" style="176" customWidth="1"/>
    <col min="11521" max="11521" width="11.44140625" style="176" bestFit="1" customWidth="1"/>
    <col min="11522" max="11522" width="11.21875" style="176" customWidth="1"/>
    <col min="11523" max="11523" width="12.44140625" style="176" customWidth="1"/>
    <col min="11524" max="11526" width="11.21875" style="176" customWidth="1"/>
    <col min="11527" max="11527" width="10.44140625" style="176" customWidth="1"/>
    <col min="11528" max="11528" width="8.44140625" style="176" customWidth="1"/>
    <col min="11529" max="11774" width="8.88671875" style="176"/>
    <col min="11775" max="11775" width="9.88671875" style="176" bestFit="1" customWidth="1"/>
    <col min="11776" max="11776" width="11.21875" style="176" customWidth="1"/>
    <col min="11777" max="11777" width="11.44140625" style="176" bestFit="1" customWidth="1"/>
    <col min="11778" max="11778" width="11.21875" style="176" customWidth="1"/>
    <col min="11779" max="11779" width="12.44140625" style="176" customWidth="1"/>
    <col min="11780" max="11782" width="11.21875" style="176" customWidth="1"/>
    <col min="11783" max="11783" width="10.44140625" style="176" customWidth="1"/>
    <col min="11784" max="11784" width="8.44140625" style="176" customWidth="1"/>
    <col min="11785" max="12030" width="8.88671875" style="176"/>
    <col min="12031" max="12031" width="9.88671875" style="176" bestFit="1" customWidth="1"/>
    <col min="12032" max="12032" width="11.21875" style="176" customWidth="1"/>
    <col min="12033" max="12033" width="11.44140625" style="176" bestFit="1" customWidth="1"/>
    <col min="12034" max="12034" width="11.21875" style="176" customWidth="1"/>
    <col min="12035" max="12035" width="12.44140625" style="176" customWidth="1"/>
    <col min="12036" max="12038" width="11.21875" style="176" customWidth="1"/>
    <col min="12039" max="12039" width="10.44140625" style="176" customWidth="1"/>
    <col min="12040" max="12040" width="8.44140625" style="176" customWidth="1"/>
    <col min="12041" max="12286" width="8.88671875" style="176"/>
    <col min="12287" max="12287" width="9.88671875" style="176" bestFit="1" customWidth="1"/>
    <col min="12288" max="12288" width="11.21875" style="176" customWidth="1"/>
    <col min="12289" max="12289" width="11.44140625" style="176" bestFit="1" customWidth="1"/>
    <col min="12290" max="12290" width="11.21875" style="176" customWidth="1"/>
    <col min="12291" max="12291" width="12.44140625" style="176" customWidth="1"/>
    <col min="12292" max="12294" width="11.21875" style="176" customWidth="1"/>
    <col min="12295" max="12295" width="10.44140625" style="176" customWidth="1"/>
    <col min="12296" max="12296" width="8.44140625" style="176" customWidth="1"/>
    <col min="12297" max="12542" width="8.88671875" style="176"/>
    <col min="12543" max="12543" width="9.88671875" style="176" bestFit="1" customWidth="1"/>
    <col min="12544" max="12544" width="11.21875" style="176" customWidth="1"/>
    <col min="12545" max="12545" width="11.44140625" style="176" bestFit="1" customWidth="1"/>
    <col min="12546" max="12546" width="11.21875" style="176" customWidth="1"/>
    <col min="12547" max="12547" width="12.44140625" style="176" customWidth="1"/>
    <col min="12548" max="12550" width="11.21875" style="176" customWidth="1"/>
    <col min="12551" max="12551" width="10.44140625" style="176" customWidth="1"/>
    <col min="12552" max="12552" width="8.44140625" style="176" customWidth="1"/>
    <col min="12553" max="12798" width="8.88671875" style="176"/>
    <col min="12799" max="12799" width="9.88671875" style="176" bestFit="1" customWidth="1"/>
    <col min="12800" max="12800" width="11.21875" style="176" customWidth="1"/>
    <col min="12801" max="12801" width="11.44140625" style="176" bestFit="1" customWidth="1"/>
    <col min="12802" max="12802" width="11.21875" style="176" customWidth="1"/>
    <col min="12803" max="12803" width="12.44140625" style="176" customWidth="1"/>
    <col min="12804" max="12806" width="11.21875" style="176" customWidth="1"/>
    <col min="12807" max="12807" width="10.44140625" style="176" customWidth="1"/>
    <col min="12808" max="12808" width="8.44140625" style="176" customWidth="1"/>
    <col min="12809" max="13054" width="8.88671875" style="176"/>
    <col min="13055" max="13055" width="9.88671875" style="176" bestFit="1" customWidth="1"/>
    <col min="13056" max="13056" width="11.21875" style="176" customWidth="1"/>
    <col min="13057" max="13057" width="11.44140625" style="176" bestFit="1" customWidth="1"/>
    <col min="13058" max="13058" width="11.21875" style="176" customWidth="1"/>
    <col min="13059" max="13059" width="12.44140625" style="176" customWidth="1"/>
    <col min="13060" max="13062" width="11.21875" style="176" customWidth="1"/>
    <col min="13063" max="13063" width="10.44140625" style="176" customWidth="1"/>
    <col min="13064" max="13064" width="8.44140625" style="176" customWidth="1"/>
    <col min="13065" max="13310" width="8.88671875" style="176"/>
    <col min="13311" max="13311" width="9.88671875" style="176" bestFit="1" customWidth="1"/>
    <col min="13312" max="13312" width="11.21875" style="176" customWidth="1"/>
    <col min="13313" max="13313" width="11.44140625" style="176" bestFit="1" customWidth="1"/>
    <col min="13314" max="13314" width="11.21875" style="176" customWidth="1"/>
    <col min="13315" max="13315" width="12.44140625" style="176" customWidth="1"/>
    <col min="13316" max="13318" width="11.21875" style="176" customWidth="1"/>
    <col min="13319" max="13319" width="10.44140625" style="176" customWidth="1"/>
    <col min="13320" max="13320" width="8.44140625" style="176" customWidth="1"/>
    <col min="13321" max="13566" width="8.88671875" style="176"/>
    <col min="13567" max="13567" width="9.88671875" style="176" bestFit="1" customWidth="1"/>
    <col min="13568" max="13568" width="11.21875" style="176" customWidth="1"/>
    <col min="13569" max="13569" width="11.44140625" style="176" bestFit="1" customWidth="1"/>
    <col min="13570" max="13570" width="11.21875" style="176" customWidth="1"/>
    <col min="13571" max="13571" width="12.44140625" style="176" customWidth="1"/>
    <col min="13572" max="13574" width="11.21875" style="176" customWidth="1"/>
    <col min="13575" max="13575" width="10.44140625" style="176" customWidth="1"/>
    <col min="13576" max="13576" width="8.44140625" style="176" customWidth="1"/>
    <col min="13577" max="13822" width="8.88671875" style="176"/>
    <col min="13823" max="13823" width="9.88671875" style="176" bestFit="1" customWidth="1"/>
    <col min="13824" max="13824" width="11.21875" style="176" customWidth="1"/>
    <col min="13825" max="13825" width="11.44140625" style="176" bestFit="1" customWidth="1"/>
    <col min="13826" max="13826" width="11.21875" style="176" customWidth="1"/>
    <col min="13827" max="13827" width="12.44140625" style="176" customWidth="1"/>
    <col min="13828" max="13830" width="11.21875" style="176" customWidth="1"/>
    <col min="13831" max="13831" width="10.44140625" style="176" customWidth="1"/>
    <col min="13832" max="13832" width="8.44140625" style="176" customWidth="1"/>
    <col min="13833" max="14078" width="8.88671875" style="176"/>
    <col min="14079" max="14079" width="9.88671875" style="176" bestFit="1" customWidth="1"/>
    <col min="14080" max="14080" width="11.21875" style="176" customWidth="1"/>
    <col min="14081" max="14081" width="11.44140625" style="176" bestFit="1" customWidth="1"/>
    <col min="14082" max="14082" width="11.21875" style="176" customWidth="1"/>
    <col min="14083" max="14083" width="12.44140625" style="176" customWidth="1"/>
    <col min="14084" max="14086" width="11.21875" style="176" customWidth="1"/>
    <col min="14087" max="14087" width="10.44140625" style="176" customWidth="1"/>
    <col min="14088" max="14088" width="8.44140625" style="176" customWidth="1"/>
    <col min="14089" max="14334" width="8.88671875" style="176"/>
    <col min="14335" max="14335" width="9.88671875" style="176" bestFit="1" customWidth="1"/>
    <col min="14336" max="14336" width="11.21875" style="176" customWidth="1"/>
    <col min="14337" max="14337" width="11.44140625" style="176" bestFit="1" customWidth="1"/>
    <col min="14338" max="14338" width="11.21875" style="176" customWidth="1"/>
    <col min="14339" max="14339" width="12.44140625" style="176" customWidth="1"/>
    <col min="14340" max="14342" width="11.21875" style="176" customWidth="1"/>
    <col min="14343" max="14343" width="10.44140625" style="176" customWidth="1"/>
    <col min="14344" max="14344" width="8.44140625" style="176" customWidth="1"/>
    <col min="14345" max="14590" width="8.88671875" style="176"/>
    <col min="14591" max="14591" width="9.88671875" style="176" bestFit="1" customWidth="1"/>
    <col min="14592" max="14592" width="11.21875" style="176" customWidth="1"/>
    <col min="14593" max="14593" width="11.44140625" style="176" bestFit="1" customWidth="1"/>
    <col min="14594" max="14594" width="11.21875" style="176" customWidth="1"/>
    <col min="14595" max="14595" width="12.44140625" style="176" customWidth="1"/>
    <col min="14596" max="14598" width="11.21875" style="176" customWidth="1"/>
    <col min="14599" max="14599" width="10.44140625" style="176" customWidth="1"/>
    <col min="14600" max="14600" width="8.44140625" style="176" customWidth="1"/>
    <col min="14601" max="14846" width="8.88671875" style="176"/>
    <col min="14847" max="14847" width="9.88671875" style="176" bestFit="1" customWidth="1"/>
    <col min="14848" max="14848" width="11.21875" style="176" customWidth="1"/>
    <col min="14849" max="14849" width="11.44140625" style="176" bestFit="1" customWidth="1"/>
    <col min="14850" max="14850" width="11.21875" style="176" customWidth="1"/>
    <col min="14851" max="14851" width="12.44140625" style="176" customWidth="1"/>
    <col min="14852" max="14854" width="11.21875" style="176" customWidth="1"/>
    <col min="14855" max="14855" width="10.44140625" style="176" customWidth="1"/>
    <col min="14856" max="14856" width="8.44140625" style="176" customWidth="1"/>
    <col min="14857" max="15102" width="8.88671875" style="176"/>
    <col min="15103" max="15103" width="9.88671875" style="176" bestFit="1" customWidth="1"/>
    <col min="15104" max="15104" width="11.21875" style="176" customWidth="1"/>
    <col min="15105" max="15105" width="11.44140625" style="176" bestFit="1" customWidth="1"/>
    <col min="15106" max="15106" width="11.21875" style="176" customWidth="1"/>
    <col min="15107" max="15107" width="12.44140625" style="176" customWidth="1"/>
    <col min="15108" max="15110" width="11.21875" style="176" customWidth="1"/>
    <col min="15111" max="15111" width="10.44140625" style="176" customWidth="1"/>
    <col min="15112" max="15112" width="8.44140625" style="176" customWidth="1"/>
    <col min="15113" max="15358" width="8.88671875" style="176"/>
    <col min="15359" max="15359" width="9.88671875" style="176" bestFit="1" customWidth="1"/>
    <col min="15360" max="15360" width="11.21875" style="176" customWidth="1"/>
    <col min="15361" max="15361" width="11.44140625" style="176" bestFit="1" customWidth="1"/>
    <col min="15362" max="15362" width="11.21875" style="176" customWidth="1"/>
    <col min="15363" max="15363" width="12.44140625" style="176" customWidth="1"/>
    <col min="15364" max="15366" width="11.21875" style="176" customWidth="1"/>
    <col min="15367" max="15367" width="10.44140625" style="176" customWidth="1"/>
    <col min="15368" max="15368" width="8.44140625" style="176" customWidth="1"/>
    <col min="15369" max="15614" width="8.88671875" style="176"/>
    <col min="15615" max="15615" width="9.88671875" style="176" bestFit="1" customWidth="1"/>
    <col min="15616" max="15616" width="11.21875" style="176" customWidth="1"/>
    <col min="15617" max="15617" width="11.44140625" style="176" bestFit="1" customWidth="1"/>
    <col min="15618" max="15618" width="11.21875" style="176" customWidth="1"/>
    <col min="15619" max="15619" width="12.44140625" style="176" customWidth="1"/>
    <col min="15620" max="15622" width="11.21875" style="176" customWidth="1"/>
    <col min="15623" max="15623" width="10.44140625" style="176" customWidth="1"/>
    <col min="15624" max="15624" width="8.44140625" style="176" customWidth="1"/>
    <col min="15625" max="15870" width="8.88671875" style="176"/>
    <col min="15871" max="15871" width="9.88671875" style="176" bestFit="1" customWidth="1"/>
    <col min="15872" max="15872" width="11.21875" style="176" customWidth="1"/>
    <col min="15873" max="15873" width="11.44140625" style="176" bestFit="1" customWidth="1"/>
    <col min="15874" max="15874" width="11.21875" style="176" customWidth="1"/>
    <col min="15875" max="15875" width="12.44140625" style="176" customWidth="1"/>
    <col min="15876" max="15878" width="11.21875" style="176" customWidth="1"/>
    <col min="15879" max="15879" width="10.44140625" style="176" customWidth="1"/>
    <col min="15880" max="15880" width="8.44140625" style="176" customWidth="1"/>
    <col min="15881" max="16126" width="8.88671875" style="176"/>
    <col min="16127" max="16127" width="9.88671875" style="176" bestFit="1" customWidth="1"/>
    <col min="16128" max="16128" width="11.21875" style="176" customWidth="1"/>
    <col min="16129" max="16129" width="11.44140625" style="176" bestFit="1" customWidth="1"/>
    <col min="16130" max="16130" width="11.21875" style="176" customWidth="1"/>
    <col min="16131" max="16131" width="12.44140625" style="176" customWidth="1"/>
    <col min="16132" max="16134" width="11.21875" style="176" customWidth="1"/>
    <col min="16135" max="16135" width="10.44140625" style="176" customWidth="1"/>
    <col min="16136" max="16136" width="8.44140625" style="176" customWidth="1"/>
    <col min="16137" max="16384" width="8.88671875" style="176"/>
  </cols>
  <sheetData>
    <row r="2" spans="1:11" ht="46.5" customHeight="1">
      <c r="A2" s="175" t="s">
        <v>154</v>
      </c>
      <c r="B2" s="175"/>
      <c r="C2" s="175" t="s">
        <v>155</v>
      </c>
      <c r="D2" s="175"/>
      <c r="E2" s="175" t="s">
        <v>156</v>
      </c>
      <c r="F2" s="175"/>
      <c r="G2" s="175" t="s">
        <v>157</v>
      </c>
      <c r="H2" s="175"/>
      <c r="I2" s="246" t="s">
        <v>186</v>
      </c>
      <c r="J2" s="247"/>
    </row>
    <row r="3" spans="1:11" ht="26.25" customHeight="1">
      <c r="A3" s="177"/>
      <c r="B3" s="178"/>
      <c r="C3" s="178"/>
      <c r="D3" s="178"/>
      <c r="E3" s="178"/>
      <c r="F3" s="178"/>
      <c r="G3" s="178"/>
      <c r="H3" s="178"/>
      <c r="I3" s="178"/>
      <c r="J3" s="179"/>
    </row>
    <row r="4" spans="1:11" ht="26.25" customHeight="1">
      <c r="A4" s="248"/>
      <c r="B4" s="249"/>
      <c r="C4" s="249"/>
      <c r="D4" s="249"/>
      <c r="E4" s="249"/>
      <c r="F4" s="249"/>
      <c r="G4" s="249"/>
      <c r="H4" s="249"/>
      <c r="I4" s="249"/>
      <c r="J4" s="250"/>
    </row>
    <row r="5" spans="1:11" ht="26.25" customHeight="1">
      <c r="A5" s="248"/>
      <c r="B5" s="249"/>
      <c r="C5" s="249"/>
      <c r="D5" s="249"/>
      <c r="E5" s="249"/>
      <c r="F5" s="249"/>
      <c r="G5" s="249"/>
      <c r="H5" s="249"/>
      <c r="I5" s="249"/>
      <c r="J5" s="250"/>
    </row>
    <row r="6" spans="1:11" ht="26.25" customHeight="1">
      <c r="A6" s="180"/>
      <c r="B6" s="181"/>
      <c r="C6" s="181"/>
      <c r="D6" s="181"/>
      <c r="E6" s="181"/>
      <c r="F6" s="181"/>
      <c r="G6" s="181"/>
      <c r="H6" s="181"/>
      <c r="I6" s="181"/>
      <c r="J6" s="182"/>
    </row>
    <row r="7" spans="1:11" ht="33.75" customHeight="1">
      <c r="A7" s="251" t="s">
        <v>176</v>
      </c>
      <c r="B7" s="252"/>
      <c r="C7" s="252"/>
      <c r="D7" s="252"/>
      <c r="E7" s="252"/>
      <c r="F7" s="252"/>
      <c r="G7" s="252"/>
      <c r="H7" s="252"/>
      <c r="I7" s="252"/>
      <c r="J7" s="253"/>
    </row>
    <row r="8" spans="1:11" ht="26.25" customHeight="1">
      <c r="A8" s="183"/>
      <c r="B8" s="184"/>
      <c r="C8" s="184"/>
      <c r="D8" s="184"/>
      <c r="E8" s="184"/>
      <c r="F8" s="184"/>
      <c r="G8" s="184"/>
      <c r="H8" s="184"/>
      <c r="I8" s="184"/>
      <c r="J8" s="185"/>
    </row>
    <row r="9" spans="1:11" ht="26.25" customHeight="1">
      <c r="A9" s="186"/>
      <c r="B9" s="187"/>
      <c r="C9" s="254" t="s">
        <v>162</v>
      </c>
      <c r="D9" s="254"/>
      <c r="E9" s="254"/>
      <c r="F9" s="254"/>
      <c r="G9" s="254"/>
      <c r="H9" s="254"/>
      <c r="I9" s="187"/>
      <c r="J9" s="188"/>
    </row>
    <row r="10" spans="1:11" ht="26.25" customHeight="1">
      <c r="A10" s="186"/>
      <c r="B10" s="187"/>
      <c r="C10" s="187"/>
      <c r="D10" s="187"/>
      <c r="E10" s="187"/>
      <c r="F10" s="187"/>
      <c r="G10" s="187"/>
      <c r="H10" s="187"/>
      <c r="I10" s="187"/>
      <c r="J10" s="188"/>
    </row>
    <row r="11" spans="1:11" ht="26.25" customHeight="1">
      <c r="A11" s="180"/>
      <c r="B11" s="181"/>
      <c r="C11" s="181"/>
      <c r="D11" s="181"/>
      <c r="E11" s="189"/>
      <c r="F11" s="190"/>
      <c r="G11" s="181"/>
      <c r="H11" s="181"/>
      <c r="I11" s="181"/>
      <c r="J11" s="182"/>
    </row>
    <row r="12" spans="1:11" ht="26.25" customHeight="1">
      <c r="A12" s="180"/>
      <c r="B12" s="191"/>
      <c r="C12" s="181"/>
      <c r="D12" s="181"/>
      <c r="E12" s="189"/>
      <c r="F12" s="192"/>
      <c r="G12" s="181"/>
      <c r="H12" s="181"/>
      <c r="I12" s="181"/>
      <c r="J12" s="182"/>
    </row>
    <row r="13" spans="1:11" ht="26.25" customHeight="1">
      <c r="A13" s="180"/>
      <c r="B13" s="181"/>
      <c r="C13" s="181"/>
      <c r="D13" s="211"/>
      <c r="E13" s="205"/>
      <c r="F13" s="181"/>
      <c r="G13" s="181"/>
      <c r="H13" s="181"/>
      <c r="I13" s="181"/>
      <c r="J13" s="182"/>
    </row>
    <row r="14" spans="1:11" ht="26.25" customHeight="1">
      <c r="A14" s="193"/>
      <c r="B14" s="194"/>
      <c r="C14" s="195"/>
      <c r="D14" s="195"/>
      <c r="E14" s="195"/>
      <c r="F14" s="195"/>
      <c r="G14" s="195"/>
      <c r="H14" s="195"/>
      <c r="I14" s="195"/>
      <c r="J14" s="196"/>
      <c r="K14" s="219"/>
    </row>
    <row r="15" spans="1:11" ht="26.25" customHeight="1">
      <c r="A15" s="197"/>
      <c r="B15" s="255" t="str">
        <f>"■ 총용역비 : 금"&amp;TEXT(원가계산서!D32,"#,##0")&amp;"원(금"&amp;TEXT(원가계산서!D32,"[DBNum4]")&amp;"원)"</f>
        <v>■ 총용역비 : 금1,256,868,000원(금일십이억오천육백팔십육만팔천원)</v>
      </c>
      <c r="C15" s="256"/>
      <c r="D15" s="256"/>
      <c r="E15" s="256"/>
      <c r="F15" s="256"/>
      <c r="G15" s="256"/>
      <c r="H15" s="256"/>
      <c r="I15" s="257"/>
      <c r="J15" s="196"/>
      <c r="K15" s="224"/>
    </row>
    <row r="16" spans="1:11" ht="26.25" customHeight="1">
      <c r="A16" s="197"/>
      <c r="B16" s="194"/>
      <c r="C16" s="195"/>
      <c r="D16" s="195"/>
      <c r="E16" s="195"/>
      <c r="F16" s="195"/>
      <c r="G16" s="195"/>
      <c r="H16" s="195"/>
      <c r="I16" s="195"/>
      <c r="J16" s="196"/>
      <c r="K16" s="219"/>
    </row>
    <row r="17" spans="1:10" ht="26.25" customHeight="1">
      <c r="A17" s="243"/>
      <c r="B17" s="244"/>
      <c r="C17" s="244"/>
      <c r="D17" s="244"/>
      <c r="E17" s="244"/>
      <c r="F17" s="244"/>
      <c r="G17" s="244"/>
      <c r="H17" s="244"/>
      <c r="I17" s="244"/>
      <c r="J17" s="245"/>
    </row>
  </sheetData>
  <mergeCells count="6">
    <mergeCell ref="A17:J17"/>
    <mergeCell ref="I2:J2"/>
    <mergeCell ref="A4:J5"/>
    <mergeCell ref="A7:J7"/>
    <mergeCell ref="C9:H9"/>
    <mergeCell ref="B15:I1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1"/>
  <sheetViews>
    <sheetView view="pageBreakPreview" topLeftCell="A12" zoomScale="85" zoomScaleNormal="100" zoomScaleSheetLayoutView="85" workbookViewId="0">
      <selection activeCell="F14" sqref="F14"/>
    </sheetView>
  </sheetViews>
  <sheetFormatPr defaultRowHeight="13.5"/>
  <cols>
    <col min="1" max="1" width="8.21875" customWidth="1"/>
    <col min="2" max="2" width="5.33203125" customWidth="1"/>
    <col min="3" max="3" width="17.44140625" customWidth="1"/>
    <col min="4" max="4" width="18.33203125" customWidth="1"/>
    <col min="5" max="5" width="9.88671875" customWidth="1"/>
    <col min="6" max="6" width="27.88671875" customWidth="1"/>
    <col min="7" max="7" width="20.21875" customWidth="1"/>
  </cols>
  <sheetData>
    <row r="1" spans="1:7" ht="12" customHeight="1">
      <c r="A1" s="7"/>
    </row>
    <row r="2" spans="1:7" ht="33.75" customHeight="1">
      <c r="A2" s="277" t="s">
        <v>199</v>
      </c>
      <c r="B2" s="277"/>
      <c r="C2" s="277"/>
      <c r="D2" s="277"/>
      <c r="E2" s="277"/>
      <c r="F2" s="277"/>
    </row>
    <row r="3" spans="1:7" ht="11.25" customHeight="1">
      <c r="A3" s="278"/>
      <c r="B3" s="279"/>
      <c r="C3" s="279"/>
      <c r="D3" s="8"/>
      <c r="E3" s="8"/>
      <c r="F3" s="8"/>
    </row>
    <row r="4" spans="1:7" ht="24.95" customHeight="1" thickBot="1">
      <c r="A4" s="280" t="s">
        <v>41</v>
      </c>
      <c r="B4" s="281"/>
      <c r="C4" s="281"/>
      <c r="D4" s="282"/>
      <c r="E4" s="30"/>
      <c r="F4" s="31" t="s">
        <v>42</v>
      </c>
    </row>
    <row r="5" spans="1:7" s="1" customFormat="1" ht="24.95" customHeight="1">
      <c r="A5" s="266" t="s">
        <v>161</v>
      </c>
      <c r="B5" s="267"/>
      <c r="C5" s="268"/>
      <c r="D5" s="307" t="s">
        <v>193</v>
      </c>
      <c r="E5" s="169" t="s">
        <v>43</v>
      </c>
      <c r="F5" s="32" t="s">
        <v>160</v>
      </c>
      <c r="G5" s="3"/>
    </row>
    <row r="6" spans="1:7" ht="24.95" customHeight="1">
      <c r="A6" s="258" t="s">
        <v>44</v>
      </c>
      <c r="B6" s="259" t="s">
        <v>45</v>
      </c>
      <c r="C6" s="260"/>
      <c r="D6" s="308">
        <v>0</v>
      </c>
      <c r="E6" s="170"/>
      <c r="F6" s="33"/>
      <c r="G6" s="2"/>
    </row>
    <row r="7" spans="1:7" ht="24.95" customHeight="1">
      <c r="A7" s="258"/>
      <c r="B7" s="259" t="s">
        <v>46</v>
      </c>
      <c r="C7" s="260"/>
      <c r="D7" s="308">
        <v>0</v>
      </c>
      <c r="E7" s="170"/>
      <c r="F7" s="33"/>
      <c r="G7" s="2"/>
    </row>
    <row r="8" spans="1:7" ht="24.95" customHeight="1">
      <c r="A8" s="258"/>
      <c r="B8" s="259" t="s">
        <v>47</v>
      </c>
      <c r="C8" s="260"/>
      <c r="D8" s="308">
        <v>0</v>
      </c>
      <c r="E8" s="170"/>
      <c r="F8" s="33"/>
      <c r="G8" s="2"/>
    </row>
    <row r="9" spans="1:7" ht="24.95" customHeight="1">
      <c r="A9" s="283" t="s">
        <v>48</v>
      </c>
      <c r="B9" s="259" t="s">
        <v>49</v>
      </c>
      <c r="C9" s="260"/>
      <c r="D9" s="309">
        <f>'현장대리인 내역서(총괄)'!B5+'모니터링요원(조장)(총괄)'!B5+'모니터링요원(총괄)'!B5</f>
        <v>554122800</v>
      </c>
      <c r="E9" s="170"/>
      <c r="F9" s="33"/>
      <c r="G9" s="2"/>
    </row>
    <row r="10" spans="1:7" ht="24.95" customHeight="1">
      <c r="A10" s="284"/>
      <c r="B10" s="286" t="s">
        <v>50</v>
      </c>
      <c r="C10" s="228" t="s">
        <v>51</v>
      </c>
      <c r="D10" s="309">
        <f>'모니터링요원(조장)(총괄)'!B6+'현장대리인 내역서(총괄)'!B6+'모니터링요원(총괄)'!B6</f>
        <v>96064272</v>
      </c>
      <c r="E10" s="170"/>
      <c r="F10" s="33"/>
      <c r="G10" s="2"/>
    </row>
    <row r="11" spans="1:7" ht="24.95" customHeight="1">
      <c r="A11" s="284"/>
      <c r="B11" s="287"/>
      <c r="C11" s="228" t="s">
        <v>52</v>
      </c>
      <c r="D11" s="309">
        <f>'모니터링요원(조장)(총괄)'!B7+'현장대리인 내역서(총괄)'!B7+'모니터링요원(총괄)'!B7</f>
        <v>6267144</v>
      </c>
      <c r="E11" s="170"/>
      <c r="F11" s="33"/>
      <c r="G11" s="2"/>
    </row>
    <row r="12" spans="1:7" ht="24.95" customHeight="1">
      <c r="A12" s="284"/>
      <c r="B12" s="287"/>
      <c r="C12" s="228" t="s">
        <v>53</v>
      </c>
      <c r="D12" s="309">
        <f>'모니터링요원(조장)(총괄)'!B8+'현장대리인 내역서(총괄)'!B8+'모니터링요원(총괄)'!B8</f>
        <v>103672800</v>
      </c>
      <c r="E12" s="170"/>
      <c r="F12" s="33"/>
      <c r="G12" s="2"/>
    </row>
    <row r="13" spans="1:7" ht="24.95" customHeight="1">
      <c r="A13" s="284"/>
      <c r="B13" s="287"/>
      <c r="C13" s="228" t="s">
        <v>54</v>
      </c>
      <c r="D13" s="309">
        <f>'모니터링요원(조장)(총괄)'!B9+'현장대리인 내역서(총괄)'!B9</f>
        <v>4800000</v>
      </c>
      <c r="E13" s="170"/>
      <c r="F13" s="33"/>
      <c r="G13" s="2"/>
    </row>
    <row r="14" spans="1:7" ht="24.95" customHeight="1">
      <c r="A14" s="284"/>
      <c r="B14" s="287"/>
      <c r="C14" s="228" t="str">
        <f>'모니터링요원(조장)(총괄)'!A10</f>
        <v>연장근로수당</v>
      </c>
      <c r="D14" s="309">
        <f>'모니터링요원(조장)(총괄)'!B10+'모니터링요원(총괄)'!B9</f>
        <v>10438080</v>
      </c>
      <c r="E14" s="170"/>
      <c r="F14" s="33"/>
      <c r="G14" s="2"/>
    </row>
    <row r="15" spans="1:7" ht="24.95" hidden="1" customHeight="1">
      <c r="A15" s="284"/>
      <c r="B15" s="288"/>
      <c r="C15" s="228" t="str">
        <f>'모니터링요원(조장)(총괄)'!A11</f>
        <v>근로자의날 수당</v>
      </c>
      <c r="D15" s="309">
        <f>'모니터링요원(조장)(총괄)'!B11+'모니터링요원(총괄)'!B10</f>
        <v>0</v>
      </c>
      <c r="E15" s="170"/>
      <c r="F15" s="33"/>
      <c r="G15" s="2"/>
    </row>
    <row r="16" spans="1:7" ht="24.95" customHeight="1">
      <c r="A16" s="284"/>
      <c r="B16" s="270" t="s">
        <v>55</v>
      </c>
      <c r="C16" s="271"/>
      <c r="D16" s="310">
        <f>SUM(D9:D15)</f>
        <v>775365096</v>
      </c>
      <c r="E16" s="229"/>
      <c r="F16" s="33"/>
      <c r="G16" s="18"/>
    </row>
    <row r="17" spans="1:8" ht="24.95" customHeight="1">
      <c r="A17" s="284"/>
      <c r="B17" s="260" t="s">
        <v>56</v>
      </c>
      <c r="C17" s="273"/>
      <c r="D17" s="309">
        <f>'현장대리인 내역서(총괄)'!B11+'모니터링요원(조장)(총괄)'!B13+'모니터링요원(총괄)'!B12</f>
        <v>64613882</v>
      </c>
      <c r="E17" s="171"/>
      <c r="F17" s="33"/>
      <c r="G17" s="275"/>
      <c r="H17" s="275"/>
    </row>
    <row r="18" spans="1:8" ht="24.95" customHeight="1">
      <c r="A18" s="285"/>
      <c r="B18" s="271" t="s">
        <v>47</v>
      </c>
      <c r="C18" s="276"/>
      <c r="D18" s="310">
        <f>D17+D16</f>
        <v>839978978</v>
      </c>
      <c r="E18" s="171"/>
      <c r="F18" s="33"/>
      <c r="G18" s="18"/>
    </row>
    <row r="19" spans="1:8" ht="24.95" customHeight="1">
      <c r="A19" s="272" t="s">
        <v>57</v>
      </c>
      <c r="B19" s="259" t="s">
        <v>58</v>
      </c>
      <c r="C19" s="260"/>
      <c r="D19" s="309">
        <f>'현장대리인 내역서(총괄)'!B16+'모니터링요원(조장)(총괄)'!B18+'모니터링요원(총괄)'!B17</f>
        <v>38768256</v>
      </c>
      <c r="E19" s="225" t="s">
        <v>187</v>
      </c>
      <c r="F19" s="34" t="s">
        <v>40</v>
      </c>
    </row>
    <row r="20" spans="1:8" ht="24.95" customHeight="1">
      <c r="A20" s="258"/>
      <c r="B20" s="261" t="s">
        <v>60</v>
      </c>
      <c r="C20" s="262"/>
      <c r="D20" s="309">
        <f>'현장대리인 내역서(총괄)'!B17+'모니터링요원(조장)(총괄)'!B19+'모니터링요원(총괄)'!B18</f>
        <v>27874376.002</v>
      </c>
      <c r="E20" s="172" t="s">
        <v>180</v>
      </c>
      <c r="F20" s="123" t="s">
        <v>61</v>
      </c>
    </row>
    <row r="21" spans="1:8" ht="36">
      <c r="A21" s="258"/>
      <c r="B21" s="261" t="s">
        <v>62</v>
      </c>
      <c r="C21" s="262"/>
      <c r="D21" s="309">
        <f>'현장대리인 내역서(총괄)'!B18+'모니터링요원(조장)(총괄)'!B20+'모니터링요원(총괄)'!B19</f>
        <v>6668141.3760000002</v>
      </c>
      <c r="E21" s="172" t="s">
        <v>188</v>
      </c>
      <c r="F21" s="199" t="s">
        <v>159</v>
      </c>
      <c r="G21" s="2"/>
    </row>
    <row r="22" spans="1:8" ht="24.95" customHeight="1">
      <c r="A22" s="258"/>
      <c r="B22" s="261" t="s">
        <v>64</v>
      </c>
      <c r="C22" s="262"/>
      <c r="D22" s="309">
        <f>'현장대리인 내역서(총괄)'!B19+'모니터링요원(조장)(총괄)'!B21+'모니터링요원(총괄)'!B20</f>
        <v>8916699.3399999999</v>
      </c>
      <c r="E22" s="172" t="s">
        <v>184</v>
      </c>
      <c r="F22" s="123" t="s">
        <v>63</v>
      </c>
      <c r="G22" s="2"/>
    </row>
    <row r="23" spans="1:8" ht="24.95" customHeight="1">
      <c r="A23" s="258"/>
      <c r="B23" s="262" t="s">
        <v>65</v>
      </c>
      <c r="C23" s="274"/>
      <c r="D23" s="309">
        <f>'현장대리인 내역서(총괄)'!B20+'모니터링요원(조장)(총괄)'!B22+'모니터링요원(총괄)'!B21</f>
        <v>3662693.1908628</v>
      </c>
      <c r="E23" s="172" t="s">
        <v>185</v>
      </c>
      <c r="F23" s="34" t="s">
        <v>66</v>
      </c>
      <c r="G23" s="2"/>
    </row>
    <row r="24" spans="1:8" ht="24.95" customHeight="1">
      <c r="A24" s="258"/>
      <c r="B24" s="260" t="s">
        <v>67</v>
      </c>
      <c r="C24" s="273"/>
      <c r="D24" s="309">
        <f>'현장대리인 내역서(총괄)'!B21+'모니터링요원(조장)(총괄)'!B23+'모니터링요원(총괄)'!B22</f>
        <v>697829.64399999997</v>
      </c>
      <c r="E24" s="225" t="s">
        <v>181</v>
      </c>
      <c r="F24" s="34" t="s">
        <v>25</v>
      </c>
      <c r="G24" s="2"/>
    </row>
    <row r="25" spans="1:8" ht="24.95" customHeight="1">
      <c r="A25" s="258"/>
      <c r="B25" s="260" t="s">
        <v>69</v>
      </c>
      <c r="C25" s="273"/>
      <c r="D25" s="309">
        <f>'현장대리인 내역서(총괄)'!B27+'모니터링요원(조장)(총괄)'!B29+'모니터링요원(총괄)'!B28</f>
        <v>26400000</v>
      </c>
      <c r="E25" s="170"/>
      <c r="F25" s="33"/>
      <c r="G25" s="2"/>
    </row>
    <row r="26" spans="1:8" ht="24.95" customHeight="1">
      <c r="A26" s="258"/>
      <c r="B26" s="271" t="s">
        <v>70</v>
      </c>
      <c r="C26" s="276"/>
      <c r="D26" s="310">
        <f>SUM(D19:D25)</f>
        <v>112987995.55286281</v>
      </c>
      <c r="E26" s="229"/>
      <c r="F26" s="35"/>
      <c r="G26" s="2"/>
    </row>
    <row r="27" spans="1:8" ht="24.95" customHeight="1">
      <c r="A27" s="269" t="s">
        <v>71</v>
      </c>
      <c r="B27" s="270"/>
      <c r="C27" s="271"/>
      <c r="D27" s="310">
        <f>D26+D18+D8</f>
        <v>952966973.55286276</v>
      </c>
      <c r="E27" s="170"/>
      <c r="F27" s="33" t="s">
        <v>72</v>
      </c>
      <c r="G27" s="2"/>
    </row>
    <row r="28" spans="1:8" ht="24.95" customHeight="1">
      <c r="A28" s="258" t="s">
        <v>73</v>
      </c>
      <c r="B28" s="259"/>
      <c r="C28" s="260"/>
      <c r="D28" s="311">
        <f>ROUNDDOWN(D27*E28,0)</f>
        <v>85767027</v>
      </c>
      <c r="E28" s="233">
        <v>0.09</v>
      </c>
      <c r="F28" s="33" t="s">
        <v>198</v>
      </c>
    </row>
    <row r="29" spans="1:8" ht="24.95" customHeight="1">
      <c r="A29" s="258" t="s">
        <v>74</v>
      </c>
      <c r="B29" s="259"/>
      <c r="C29" s="260"/>
      <c r="D29" s="312">
        <f>(D27+D28-D8)*E29-G29</f>
        <v>103873273.05528629</v>
      </c>
      <c r="E29" s="232">
        <v>0.1</v>
      </c>
      <c r="F29" s="36" t="s">
        <v>75</v>
      </c>
      <c r="G29" s="28">
        <v>127</v>
      </c>
    </row>
    <row r="30" spans="1:8" ht="24.95" customHeight="1">
      <c r="A30" s="269" t="s">
        <v>76</v>
      </c>
      <c r="B30" s="270"/>
      <c r="C30" s="271"/>
      <c r="D30" s="310">
        <f>TRUNC(SUM(D27:D29),0)</f>
        <v>1142607273</v>
      </c>
      <c r="E30" s="229"/>
      <c r="F30" s="33" t="s">
        <v>77</v>
      </c>
      <c r="G30" s="2"/>
    </row>
    <row r="31" spans="1:8" ht="24.95" customHeight="1">
      <c r="A31" s="258" t="s">
        <v>78</v>
      </c>
      <c r="B31" s="259"/>
      <c r="C31" s="260"/>
      <c r="D31" s="313">
        <f>TRUNC(D30*0.1,0)</f>
        <v>114260727</v>
      </c>
      <c r="E31" s="173">
        <v>0.1</v>
      </c>
      <c r="F31" s="33" t="s">
        <v>79</v>
      </c>
      <c r="G31" s="2"/>
    </row>
    <row r="32" spans="1:8" ht="24.95" customHeight="1" thickBot="1">
      <c r="A32" s="263" t="s">
        <v>80</v>
      </c>
      <c r="B32" s="264"/>
      <c r="C32" s="265"/>
      <c r="D32" s="314">
        <f>D30+D31</f>
        <v>1256868000</v>
      </c>
      <c r="E32" s="174"/>
      <c r="F32" s="37" t="s">
        <v>153</v>
      </c>
      <c r="G32" s="168"/>
      <c r="H32" s="15"/>
    </row>
    <row r="33" spans="4:4" ht="21.75" customHeight="1">
      <c r="D33" s="4"/>
    </row>
    <row r="34" spans="4:4" ht="21.75" customHeight="1">
      <c r="D34" s="9"/>
    </row>
    <row r="35" spans="4:4">
      <c r="D35" s="6"/>
    </row>
    <row r="41" spans="4:4">
      <c r="D41" s="5"/>
    </row>
  </sheetData>
  <mergeCells count="30">
    <mergeCell ref="G17:H17"/>
    <mergeCell ref="B21:C21"/>
    <mergeCell ref="B24:C24"/>
    <mergeCell ref="B26:C26"/>
    <mergeCell ref="A2:F2"/>
    <mergeCell ref="A3:C3"/>
    <mergeCell ref="A4:D4"/>
    <mergeCell ref="B16:C16"/>
    <mergeCell ref="B20:C20"/>
    <mergeCell ref="B7:C7"/>
    <mergeCell ref="A9:A18"/>
    <mergeCell ref="B17:C17"/>
    <mergeCell ref="B18:C18"/>
    <mergeCell ref="B10:B15"/>
    <mergeCell ref="A31:C31"/>
    <mergeCell ref="B22:C22"/>
    <mergeCell ref="A32:C32"/>
    <mergeCell ref="A5:C5"/>
    <mergeCell ref="A27:C27"/>
    <mergeCell ref="A28:C28"/>
    <mergeCell ref="A29:C29"/>
    <mergeCell ref="A19:A26"/>
    <mergeCell ref="A6:A8"/>
    <mergeCell ref="B25:C25"/>
    <mergeCell ref="A30:C30"/>
    <mergeCell ref="B8:C8"/>
    <mergeCell ref="B6:C6"/>
    <mergeCell ref="B23:C23"/>
    <mergeCell ref="B19:C19"/>
    <mergeCell ref="B9:C9"/>
  </mergeCells>
  <phoneticPr fontId="2" type="noConversion"/>
  <printOptions horizontalCentered="1"/>
  <pageMargins left="0.43307086614173229" right="0.31496062992125984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2"/>
  <sheetViews>
    <sheetView view="pageBreakPreview" zoomScaleNormal="100" zoomScaleSheetLayoutView="100" workbookViewId="0">
      <selection sqref="A1:F1"/>
    </sheetView>
  </sheetViews>
  <sheetFormatPr defaultRowHeight="20.100000000000001" customHeight="1"/>
  <cols>
    <col min="1" max="1" width="17.77734375" customWidth="1"/>
    <col min="2" max="2" width="13.44140625" customWidth="1"/>
    <col min="3" max="3" width="13.21875" customWidth="1"/>
    <col min="4" max="5" width="8.77734375" customWidth="1"/>
    <col min="6" max="6" width="23" customWidth="1"/>
    <col min="7" max="7" width="15.44140625" bestFit="1" customWidth="1"/>
  </cols>
  <sheetData>
    <row r="1" spans="1:6" ht="30" customHeight="1">
      <c r="A1" s="277" t="s">
        <v>90</v>
      </c>
      <c r="B1" s="277"/>
      <c r="C1" s="277"/>
      <c r="D1" s="277"/>
      <c r="E1" s="277"/>
      <c r="F1" s="277"/>
    </row>
    <row r="2" spans="1:6" ht="7.5" customHeight="1" thickBot="1">
      <c r="A2" s="38"/>
      <c r="B2" s="38"/>
      <c r="C2" s="38"/>
      <c r="D2" s="38"/>
      <c r="E2" s="38"/>
      <c r="F2" s="38"/>
    </row>
    <row r="3" spans="1:6" ht="29.1" customHeight="1">
      <c r="A3" s="39" t="s">
        <v>91</v>
      </c>
      <c r="B3" s="40"/>
      <c r="C3" s="40"/>
      <c r="D3" s="40"/>
      <c r="E3" s="40"/>
      <c r="F3" s="41"/>
    </row>
    <row r="4" spans="1:6" ht="29.1" customHeight="1">
      <c r="A4" s="42" t="s">
        <v>92</v>
      </c>
      <c r="B4" s="43" t="s">
        <v>93</v>
      </c>
      <c r="C4" s="43" t="s">
        <v>94</v>
      </c>
      <c r="D4" s="43" t="s">
        <v>95</v>
      </c>
      <c r="E4" s="44" t="s">
        <v>96</v>
      </c>
      <c r="F4" s="45" t="s">
        <v>97</v>
      </c>
    </row>
    <row r="5" spans="1:6" ht="29.1" customHeight="1">
      <c r="A5" s="46" t="s">
        <v>49</v>
      </c>
      <c r="B5" s="47">
        <f>SUM(C5*D5*E5)</f>
        <v>48232800</v>
      </c>
      <c r="C5" s="47">
        <f>SUM('현장대리인 내역서(1인당)'!B5)</f>
        <v>2009700</v>
      </c>
      <c r="D5" s="48">
        <v>12</v>
      </c>
      <c r="E5" s="49">
        <v>2</v>
      </c>
      <c r="F5" s="50"/>
    </row>
    <row r="6" spans="1:6" ht="29.1" customHeight="1">
      <c r="A6" s="46" t="s">
        <v>51</v>
      </c>
      <c r="B6" s="47">
        <f>SUM(C6*D6*E6)</f>
        <v>12560112</v>
      </c>
      <c r="C6" s="47">
        <f>'현장대리인 내역서(1인당)'!B6</f>
        <v>523338</v>
      </c>
      <c r="D6" s="48">
        <v>12</v>
      </c>
      <c r="E6" s="49">
        <v>2</v>
      </c>
      <c r="F6" s="51"/>
    </row>
    <row r="7" spans="1:6" ht="29.1" customHeight="1">
      <c r="A7" s="46" t="s">
        <v>52</v>
      </c>
      <c r="B7" s="47">
        <f>SUM(C7*D7*E7)</f>
        <v>2117448</v>
      </c>
      <c r="C7" s="47">
        <f>'현장대리인 내역서(1인당)'!B8</f>
        <v>88227</v>
      </c>
      <c r="D7" s="48">
        <v>12</v>
      </c>
      <c r="E7" s="49">
        <v>2</v>
      </c>
      <c r="F7" s="52"/>
    </row>
    <row r="8" spans="1:6" ht="29.1" customHeight="1">
      <c r="A8" s="46" t="s">
        <v>53</v>
      </c>
      <c r="B8" s="47">
        <f>SUM(C8*D8*E8)</f>
        <v>9424800</v>
      </c>
      <c r="C8" s="47">
        <f>'현장대리인 내역서(1인당)'!B7</f>
        <v>392700</v>
      </c>
      <c r="D8" s="48">
        <v>12</v>
      </c>
      <c r="E8" s="49">
        <v>2</v>
      </c>
      <c r="F8" s="52"/>
    </row>
    <row r="9" spans="1:6" ht="29.1" customHeight="1">
      <c r="A9" s="53" t="s">
        <v>54</v>
      </c>
      <c r="B9" s="47">
        <f>C9*D9*E9</f>
        <v>2400000</v>
      </c>
      <c r="C9" s="47">
        <f>'현장대리인 내역서(1인당)'!B9</f>
        <v>100000</v>
      </c>
      <c r="D9" s="48">
        <v>12</v>
      </c>
      <c r="E9" s="49">
        <v>2</v>
      </c>
      <c r="F9" s="52" t="s">
        <v>98</v>
      </c>
    </row>
    <row r="10" spans="1:6" ht="29.1" customHeight="1">
      <c r="A10" s="54" t="s">
        <v>99</v>
      </c>
      <c r="B10" s="47">
        <f>SUM(B5:B9)</f>
        <v>74735160</v>
      </c>
      <c r="C10" s="55"/>
      <c r="D10" s="48"/>
      <c r="E10" s="49"/>
      <c r="F10" s="52"/>
    </row>
    <row r="11" spans="1:6" ht="29.1" customHeight="1">
      <c r="A11" s="54" t="s">
        <v>56</v>
      </c>
      <c r="B11" s="47">
        <f>C11*D11*E11</f>
        <v>6227930</v>
      </c>
      <c r="C11" s="55">
        <f>'현장대리인 내역서(1인당)'!B11</f>
        <v>259497.08333333334</v>
      </c>
      <c r="D11" s="48">
        <v>12</v>
      </c>
      <c r="E11" s="49">
        <v>2</v>
      </c>
      <c r="F11" s="52"/>
    </row>
    <row r="12" spans="1:6" ht="29.1" customHeight="1">
      <c r="A12" s="46" t="s">
        <v>100</v>
      </c>
      <c r="B12" s="47">
        <f>B10+B11</f>
        <v>80963090</v>
      </c>
      <c r="C12" s="47"/>
      <c r="D12" s="48"/>
      <c r="E12" s="49"/>
      <c r="F12" s="52"/>
    </row>
    <row r="13" spans="1:6" ht="9.75" customHeight="1">
      <c r="A13" s="56"/>
      <c r="B13" s="57"/>
      <c r="C13" s="57"/>
      <c r="D13" s="58"/>
      <c r="E13" s="58"/>
      <c r="F13" s="59"/>
    </row>
    <row r="14" spans="1:6" ht="29.1" customHeight="1">
      <c r="A14" s="60" t="s">
        <v>101</v>
      </c>
      <c r="B14" s="57"/>
      <c r="C14" s="57"/>
      <c r="D14" s="58"/>
      <c r="E14" s="58"/>
      <c r="F14" s="59"/>
    </row>
    <row r="15" spans="1:6" ht="29.1" customHeight="1">
      <c r="A15" s="61" t="s">
        <v>92</v>
      </c>
      <c r="B15" s="62" t="s">
        <v>93</v>
      </c>
      <c r="C15" s="62" t="s">
        <v>102</v>
      </c>
      <c r="D15" s="289" t="s">
        <v>103</v>
      </c>
      <c r="E15" s="289"/>
      <c r="F15" s="52" t="s">
        <v>97</v>
      </c>
    </row>
    <row r="16" spans="1:6" ht="29.1" customHeight="1">
      <c r="A16" s="61" t="s">
        <v>104</v>
      </c>
      <c r="B16" s="47">
        <f>C16*D16</f>
        <v>3736758</v>
      </c>
      <c r="C16" s="47">
        <f>SUM(B10)</f>
        <v>74735160</v>
      </c>
      <c r="D16" s="293">
        <v>0.05</v>
      </c>
      <c r="E16" s="294"/>
      <c r="F16" s="92" t="s">
        <v>174</v>
      </c>
    </row>
    <row r="17" spans="1:7" ht="29.1" customHeight="1">
      <c r="A17" s="118" t="s">
        <v>105</v>
      </c>
      <c r="B17" s="120">
        <f t="shared" ref="B17:B20" si="0">C17*D17</f>
        <v>2686729.0020000003</v>
      </c>
      <c r="C17" s="120">
        <f>B10</f>
        <v>74735160</v>
      </c>
      <c r="D17" s="293">
        <v>3.5950000000000003E-2</v>
      </c>
      <c r="E17" s="294"/>
      <c r="F17" s="90" t="s">
        <v>178</v>
      </c>
    </row>
    <row r="18" spans="1:7" ht="29.1" customHeight="1">
      <c r="A18" s="118" t="s">
        <v>106</v>
      </c>
      <c r="B18" s="120">
        <f>C18*D18</f>
        <v>642722.37600000005</v>
      </c>
      <c r="C18" s="120">
        <f>B10</f>
        <v>74735160</v>
      </c>
      <c r="D18" s="291" t="s">
        <v>190</v>
      </c>
      <c r="E18" s="292"/>
      <c r="F18" s="90" t="s">
        <v>191</v>
      </c>
      <c r="G18" s="12"/>
    </row>
    <row r="19" spans="1:7" ht="29.1" customHeight="1">
      <c r="A19" s="118" t="s">
        <v>107</v>
      </c>
      <c r="B19" s="120">
        <f t="shared" si="0"/>
        <v>859454.34</v>
      </c>
      <c r="C19" s="120">
        <f>B10</f>
        <v>74735160</v>
      </c>
      <c r="D19" s="291">
        <v>1.15E-2</v>
      </c>
      <c r="E19" s="292"/>
      <c r="F19" s="90" t="s">
        <v>183</v>
      </c>
    </row>
    <row r="20" spans="1:7" ht="29.1" customHeight="1">
      <c r="A20" s="118" t="s">
        <v>65</v>
      </c>
      <c r="B20" s="120">
        <f t="shared" si="0"/>
        <v>353036.19086279999</v>
      </c>
      <c r="C20" s="120">
        <f>B17</f>
        <v>2686729.0020000003</v>
      </c>
      <c r="D20" s="291">
        <v>0.13139999999999999</v>
      </c>
      <c r="E20" s="292"/>
      <c r="F20" s="90" t="s">
        <v>182</v>
      </c>
    </row>
    <row r="21" spans="1:7" ht="29.1" customHeight="1">
      <c r="A21" s="61" t="s">
        <v>67</v>
      </c>
      <c r="B21" s="47">
        <f>C21*D21</f>
        <v>67261.644</v>
      </c>
      <c r="C21" s="47">
        <f>B10</f>
        <v>74735160</v>
      </c>
      <c r="D21" s="293">
        <v>8.9999999999999998E-4</v>
      </c>
      <c r="E21" s="294"/>
      <c r="F21" s="92" t="s">
        <v>179</v>
      </c>
    </row>
    <row r="22" spans="1:7" ht="29.1" customHeight="1">
      <c r="A22" s="61" t="s">
        <v>100</v>
      </c>
      <c r="B22" s="47">
        <f>SUM(B16:B21)</f>
        <v>8345961.5528628007</v>
      </c>
      <c r="C22" s="47"/>
      <c r="D22" s="290"/>
      <c r="E22" s="290"/>
      <c r="F22" s="52"/>
      <c r="G22" s="10"/>
    </row>
    <row r="23" spans="1:7" ht="9" customHeight="1">
      <c r="A23" s="56"/>
      <c r="B23" s="57"/>
      <c r="C23" s="57"/>
      <c r="D23" s="58"/>
      <c r="E23" s="58"/>
      <c r="F23" s="59"/>
    </row>
    <row r="24" spans="1:7" ht="29.1" customHeight="1">
      <c r="A24" s="60" t="s">
        <v>108</v>
      </c>
      <c r="B24" s="57"/>
      <c r="C24" s="57"/>
      <c r="D24" s="58"/>
      <c r="E24" s="58"/>
      <c r="F24" s="59"/>
    </row>
    <row r="25" spans="1:7" ht="29.1" customHeight="1">
      <c r="A25" s="46" t="s">
        <v>109</v>
      </c>
      <c r="B25" s="62" t="s">
        <v>93</v>
      </c>
      <c r="C25" s="62" t="s">
        <v>94</v>
      </c>
      <c r="D25" s="62" t="s">
        <v>95</v>
      </c>
      <c r="E25" s="49" t="s">
        <v>96</v>
      </c>
      <c r="F25" s="52" t="s">
        <v>97</v>
      </c>
    </row>
    <row r="26" spans="1:7" ht="29.1" customHeight="1">
      <c r="A26" s="204" t="s">
        <v>175</v>
      </c>
      <c r="B26" s="63">
        <f>SUM(C26*D26*E26)</f>
        <v>2400000</v>
      </c>
      <c r="C26" s="63">
        <f>'현장대리인 내역서(1인당)'!B26</f>
        <v>100000</v>
      </c>
      <c r="D26" s="64">
        <v>12</v>
      </c>
      <c r="E26" s="49">
        <f>E5</f>
        <v>2</v>
      </c>
      <c r="F26" s="65"/>
    </row>
    <row r="27" spans="1:7" ht="29.1" customHeight="1">
      <c r="A27" s="46" t="s">
        <v>100</v>
      </c>
      <c r="B27" s="66">
        <f>B26</f>
        <v>2400000</v>
      </c>
      <c r="C27" s="67"/>
      <c r="D27" s="67"/>
      <c r="E27" s="67"/>
      <c r="F27" s="36"/>
    </row>
    <row r="28" spans="1:7" ht="9" customHeight="1">
      <c r="A28" s="68"/>
      <c r="B28" s="57"/>
      <c r="C28" s="57"/>
      <c r="D28" s="57"/>
      <c r="E28" s="57"/>
      <c r="F28" s="69"/>
    </row>
    <row r="29" spans="1:7" ht="29.1" customHeight="1" thickBot="1">
      <c r="A29" s="70" t="s">
        <v>110</v>
      </c>
      <c r="B29" s="71">
        <f>SUM(B12,B22,B27)</f>
        <v>91709051.552862793</v>
      </c>
      <c r="C29" s="72"/>
      <c r="D29" s="72"/>
      <c r="E29" s="72"/>
      <c r="F29" s="73"/>
    </row>
    <row r="30" spans="1:7" ht="20.100000000000001" customHeight="1">
      <c r="A30" s="19"/>
      <c r="B30" s="19"/>
      <c r="C30" s="19"/>
      <c r="D30" s="19"/>
      <c r="E30" s="19"/>
      <c r="F30" s="19"/>
    </row>
    <row r="31" spans="1:7" ht="20.100000000000001" customHeight="1">
      <c r="A31" s="19"/>
      <c r="B31" s="19"/>
      <c r="C31" s="19"/>
      <c r="D31" s="19"/>
      <c r="E31" s="19"/>
      <c r="F31" s="19"/>
    </row>
    <row r="32" spans="1:7" ht="20.100000000000001" customHeight="1">
      <c r="A32" s="19"/>
      <c r="B32" s="19"/>
      <c r="C32" s="19"/>
      <c r="D32" s="19"/>
      <c r="E32" s="19"/>
      <c r="F32" s="19"/>
    </row>
  </sheetData>
  <mergeCells count="9">
    <mergeCell ref="D15:E15"/>
    <mergeCell ref="A1:F1"/>
    <mergeCell ref="D22:E22"/>
    <mergeCell ref="D19:E19"/>
    <mergeCell ref="D20:E20"/>
    <mergeCell ref="D21:E21"/>
    <mergeCell ref="D16:E16"/>
    <mergeCell ref="D17:E17"/>
    <mergeCell ref="D18:E18"/>
  </mergeCells>
  <phoneticPr fontId="2" type="noConversion"/>
  <pageMargins left="0.75" right="0.75" top="1" bottom="1" header="0.5" footer="0.5"/>
  <pageSetup paperSize="9" scale="8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4"/>
  <sheetViews>
    <sheetView view="pageBreakPreview" zoomScaleNormal="100" zoomScaleSheetLayoutView="100" workbookViewId="0">
      <selection sqref="A1:F1"/>
    </sheetView>
  </sheetViews>
  <sheetFormatPr defaultRowHeight="13.5"/>
  <cols>
    <col min="1" max="1" width="17.5546875" style="1" customWidth="1"/>
    <col min="2" max="2" width="13.77734375" style="4" bestFit="1" customWidth="1"/>
    <col min="3" max="3" width="11.109375" style="4" customWidth="1"/>
    <col min="4" max="4" width="9.6640625" style="4" customWidth="1"/>
    <col min="5" max="5" width="24.5546875" style="11" customWidth="1"/>
    <col min="6" max="6" width="33.21875" customWidth="1"/>
    <col min="7" max="7" width="10.5546875" style="16" customWidth="1"/>
    <col min="8" max="8" width="14.6640625" style="17" bestFit="1" customWidth="1"/>
    <col min="9" max="9" width="8.88671875" style="16"/>
    <col min="10" max="10" width="10.33203125" style="16" bestFit="1" customWidth="1"/>
  </cols>
  <sheetData>
    <row r="1" spans="1:15" ht="38.1" customHeight="1">
      <c r="A1" s="277" t="s">
        <v>111</v>
      </c>
      <c r="B1" s="277"/>
      <c r="C1" s="277"/>
      <c r="D1" s="277"/>
      <c r="E1" s="277"/>
      <c r="F1" s="277"/>
    </row>
    <row r="2" spans="1:15" ht="27" customHeight="1" thickBot="1">
      <c r="A2" s="74"/>
      <c r="B2" s="74"/>
      <c r="C2" s="74"/>
      <c r="D2" s="74"/>
      <c r="E2" s="75"/>
      <c r="F2" s="76"/>
    </row>
    <row r="3" spans="1:15" ht="38.1" customHeight="1">
      <c r="A3" s="77" t="s">
        <v>112</v>
      </c>
      <c r="B3" s="78"/>
      <c r="C3" s="78"/>
      <c r="D3" s="78"/>
      <c r="E3" s="79"/>
      <c r="F3" s="80" t="s">
        <v>113</v>
      </c>
      <c r="G3" s="148"/>
      <c r="H3" s="163"/>
      <c r="I3" s="148"/>
      <c r="J3" s="148"/>
      <c r="K3" s="149"/>
      <c r="L3" s="149"/>
      <c r="M3" s="149"/>
      <c r="N3" s="149"/>
      <c r="O3" s="149"/>
    </row>
    <row r="4" spans="1:15" ht="38.1" customHeight="1">
      <c r="A4" s="81" t="s">
        <v>82</v>
      </c>
      <c r="B4" s="43" t="s">
        <v>4</v>
      </c>
      <c r="C4" s="43" t="s">
        <v>2</v>
      </c>
      <c r="D4" s="43" t="s">
        <v>5</v>
      </c>
      <c r="E4" s="82" t="s">
        <v>3</v>
      </c>
      <c r="F4" s="83" t="s">
        <v>84</v>
      </c>
      <c r="G4" s="146">
        <v>74590</v>
      </c>
      <c r="H4" s="147">
        <f>823838732/944123000</f>
        <v>0.87259682477812739</v>
      </c>
      <c r="I4" s="148">
        <f>G4*H4</f>
        <v>65086.997160200524</v>
      </c>
      <c r="J4" s="148">
        <f>I4/8</f>
        <v>8135.8746450250655</v>
      </c>
      <c r="K4" s="149"/>
      <c r="L4" s="149"/>
      <c r="M4" s="149"/>
      <c r="N4" s="149"/>
      <c r="O4" s="149"/>
    </row>
    <row r="5" spans="1:15" ht="60.75" customHeight="1">
      <c r="A5" s="61" t="s">
        <v>38</v>
      </c>
      <c r="B5" s="84">
        <f>ROUNDDOWN((C5*D5),0)</f>
        <v>2009700</v>
      </c>
      <c r="C5" s="236">
        <v>11550</v>
      </c>
      <c r="D5" s="166">
        <f>ROUNDDOWN(((8*5)*52+8)/12,0)</f>
        <v>174</v>
      </c>
      <c r="E5" s="124" t="s">
        <v>34</v>
      </c>
      <c r="F5" s="235" t="s">
        <v>200</v>
      </c>
      <c r="G5" s="164"/>
      <c r="H5" s="295"/>
      <c r="I5" s="295"/>
      <c r="J5" s="295"/>
      <c r="K5" s="295"/>
      <c r="L5" s="295"/>
      <c r="M5" s="295"/>
      <c r="N5" s="295"/>
      <c r="O5" s="295"/>
    </row>
    <row r="6" spans="1:15" ht="49.5" customHeight="1">
      <c r="A6" s="61" t="s">
        <v>0</v>
      </c>
      <c r="B6" s="84">
        <f>ROUNDDOWN((C6*D6)*50%,0)</f>
        <v>523338</v>
      </c>
      <c r="C6" s="236">
        <f>(B5+B7+B9)/G7</f>
        <v>12030.76923076923</v>
      </c>
      <c r="D6" s="87">
        <f>ROUNDDOWN((365-52-52)*8/2/12,0)</f>
        <v>87</v>
      </c>
      <c r="E6" s="86" t="s">
        <v>26</v>
      </c>
      <c r="F6" s="88" t="s">
        <v>114</v>
      </c>
      <c r="G6" s="296"/>
      <c r="H6" s="297"/>
      <c r="I6" s="297"/>
      <c r="J6" s="297"/>
      <c r="K6" s="297"/>
      <c r="L6" s="297"/>
      <c r="M6" s="297"/>
      <c r="N6" s="297"/>
      <c r="O6" s="297"/>
    </row>
    <row r="7" spans="1:15" ht="38.1" customHeight="1">
      <c r="A7" s="61" t="s">
        <v>39</v>
      </c>
      <c r="B7" s="84">
        <f>ROUNDDOWN(C7*D7,0)</f>
        <v>392700</v>
      </c>
      <c r="C7" s="236">
        <v>11550</v>
      </c>
      <c r="D7" s="85">
        <f>ROUNDDOWN(((8*1)*52)/12,0)</f>
        <v>34</v>
      </c>
      <c r="E7" s="86" t="s">
        <v>27</v>
      </c>
      <c r="F7" s="88" t="s">
        <v>115</v>
      </c>
      <c r="G7" s="226">
        <f>D5+D7</f>
        <v>208</v>
      </c>
      <c r="H7" s="163"/>
      <c r="I7" s="148"/>
      <c r="J7" s="148"/>
      <c r="K7" s="149"/>
      <c r="L7" s="149"/>
      <c r="M7" s="149"/>
      <c r="N7" s="149"/>
      <c r="O7" s="149"/>
    </row>
    <row r="8" spans="1:15" s="132" customFormat="1" ht="38.1" customHeight="1">
      <c r="A8" s="118" t="s">
        <v>10</v>
      </c>
      <c r="B8" s="119">
        <f>ROUNDDOWN(C8*8*D8/12,0)</f>
        <v>88227</v>
      </c>
      <c r="C8" s="236">
        <f>ROUNDUP((B5+B7+B9)/G7,0)</f>
        <v>12031</v>
      </c>
      <c r="D8" s="134">
        <v>11</v>
      </c>
      <c r="E8" s="135" t="s">
        <v>151</v>
      </c>
      <c r="F8" s="91" t="s">
        <v>11</v>
      </c>
      <c r="G8" s="148"/>
      <c r="H8" s="163"/>
      <c r="I8" s="148"/>
      <c r="J8" s="148">
        <f>B5+B6+B7+B9</f>
        <v>3025738</v>
      </c>
      <c r="K8" s="149"/>
      <c r="L8" s="149"/>
      <c r="M8" s="149"/>
      <c r="N8" s="149"/>
      <c r="O8" s="149"/>
    </row>
    <row r="9" spans="1:15" ht="38.1" customHeight="1">
      <c r="A9" s="61" t="s">
        <v>24</v>
      </c>
      <c r="B9" s="84">
        <f>ROUNDDOWN(C9*D9,0)</f>
        <v>100000</v>
      </c>
      <c r="C9" s="47">
        <v>50000</v>
      </c>
      <c r="D9" s="87">
        <v>2</v>
      </c>
      <c r="E9" s="90" t="s">
        <v>116</v>
      </c>
      <c r="F9" s="91"/>
      <c r="G9" s="148"/>
      <c r="H9" s="163"/>
      <c r="I9" s="148"/>
      <c r="J9" s="148"/>
      <c r="K9" s="149"/>
      <c r="L9" s="149"/>
      <c r="M9" s="149"/>
      <c r="N9" s="149"/>
      <c r="O9" s="149"/>
    </row>
    <row r="10" spans="1:15" ht="38.1" customHeight="1">
      <c r="A10" s="61" t="s">
        <v>22</v>
      </c>
      <c r="B10" s="84">
        <f>SUM(B5:B9)</f>
        <v>3113965</v>
      </c>
      <c r="C10" s="47"/>
      <c r="D10" s="47"/>
      <c r="E10" s="92"/>
      <c r="F10" s="93"/>
      <c r="G10" s="148"/>
      <c r="H10" s="163"/>
      <c r="I10" s="148"/>
      <c r="J10" s="148"/>
      <c r="K10" s="149"/>
      <c r="L10" s="149"/>
      <c r="M10" s="149"/>
      <c r="N10" s="149"/>
      <c r="O10" s="149"/>
    </row>
    <row r="11" spans="1:15" ht="38.1" customHeight="1">
      <c r="A11" s="61" t="s">
        <v>19</v>
      </c>
      <c r="B11" s="84">
        <f>B10/12</f>
        <v>259497.08333333334</v>
      </c>
      <c r="C11" s="47"/>
      <c r="D11" s="47"/>
      <c r="E11" s="92" t="s">
        <v>20</v>
      </c>
      <c r="F11" s="93" t="s">
        <v>117</v>
      </c>
      <c r="G11" s="148">
        <f>B11*2*12</f>
        <v>6227930</v>
      </c>
      <c r="H11" s="163"/>
      <c r="I11" s="148"/>
      <c r="J11" s="148"/>
      <c r="K11" s="149"/>
      <c r="L11" s="149"/>
      <c r="M11" s="149"/>
      <c r="N11" s="149"/>
      <c r="O11" s="149"/>
    </row>
    <row r="12" spans="1:15" ht="38.1" customHeight="1">
      <c r="A12" s="61" t="s">
        <v>14</v>
      </c>
      <c r="B12" s="84">
        <f>B10+B11</f>
        <v>3373462.0833333335</v>
      </c>
      <c r="C12" s="47"/>
      <c r="D12" s="47"/>
      <c r="E12" s="92"/>
      <c r="F12" s="93"/>
      <c r="G12" s="148">
        <v>2941332</v>
      </c>
      <c r="H12" s="163"/>
      <c r="I12" s="148"/>
      <c r="J12" s="148"/>
      <c r="K12" s="149"/>
      <c r="L12" s="149"/>
      <c r="M12" s="149"/>
      <c r="N12" s="149"/>
      <c r="O12" s="149"/>
    </row>
    <row r="13" spans="1:15" ht="25.5" customHeight="1">
      <c r="A13" s="94"/>
      <c r="B13" s="95"/>
      <c r="C13" s="95"/>
      <c r="D13" s="95"/>
      <c r="E13" s="89"/>
      <c r="F13" s="51"/>
      <c r="G13" s="148">
        <f>G12*H4</f>
        <v>2566596.9638182991</v>
      </c>
      <c r="H13" s="163"/>
      <c r="I13" s="148"/>
      <c r="J13" s="148"/>
      <c r="K13" s="149"/>
      <c r="L13" s="149"/>
      <c r="M13" s="149"/>
      <c r="N13" s="149"/>
      <c r="O13" s="149"/>
    </row>
    <row r="14" spans="1:15" ht="38.1" customHeight="1">
      <c r="A14" s="96" t="s">
        <v>7</v>
      </c>
      <c r="B14" s="95"/>
      <c r="C14" s="95"/>
      <c r="D14" s="95"/>
      <c r="E14" s="89"/>
      <c r="F14" s="97"/>
      <c r="G14" s="148"/>
      <c r="H14" s="163"/>
      <c r="I14" s="148"/>
      <c r="J14" s="148"/>
      <c r="K14" s="149"/>
      <c r="L14" s="149"/>
      <c r="M14" s="149"/>
      <c r="N14" s="149"/>
      <c r="O14" s="149"/>
    </row>
    <row r="15" spans="1:15" ht="38.1" customHeight="1">
      <c r="A15" s="61" t="s">
        <v>82</v>
      </c>
      <c r="B15" s="62" t="s">
        <v>4</v>
      </c>
      <c r="C15" s="62" t="s">
        <v>2</v>
      </c>
      <c r="D15" s="62" t="s">
        <v>5</v>
      </c>
      <c r="E15" s="92" t="s">
        <v>3</v>
      </c>
      <c r="F15" s="52" t="s">
        <v>84</v>
      </c>
      <c r="G15" s="148"/>
      <c r="H15" s="163"/>
      <c r="I15" s="148"/>
      <c r="J15" s="148"/>
      <c r="K15" s="149"/>
      <c r="L15" s="149"/>
      <c r="M15" s="149"/>
      <c r="N15" s="149"/>
      <c r="O15" s="149"/>
    </row>
    <row r="16" spans="1:15" ht="38.1" customHeight="1">
      <c r="A16" s="61" t="s">
        <v>1</v>
      </c>
      <c r="B16" s="98">
        <f>ROUNDUP(C16*D16,0)</f>
        <v>155699</v>
      </c>
      <c r="C16" s="47">
        <f>B10</f>
        <v>3113965</v>
      </c>
      <c r="D16" s="99">
        <v>0.05</v>
      </c>
      <c r="E16" s="92" t="s">
        <v>174</v>
      </c>
      <c r="F16" s="93" t="s">
        <v>40</v>
      </c>
      <c r="G16" s="148">
        <f t="shared" ref="G16:G22" si="0">B16*2*12</f>
        <v>3736776</v>
      </c>
      <c r="H16" s="163"/>
      <c r="I16" s="148"/>
      <c r="J16" s="148"/>
      <c r="K16" s="149"/>
      <c r="L16" s="149"/>
      <c r="M16" s="149"/>
      <c r="N16" s="149"/>
      <c r="O16" s="149"/>
    </row>
    <row r="17" spans="1:15" ht="38.1" customHeight="1">
      <c r="A17" s="118" t="s">
        <v>88</v>
      </c>
      <c r="B17" s="136">
        <f>ROUNDUP(C17*D17,0)</f>
        <v>111948</v>
      </c>
      <c r="C17" s="120">
        <f>B10</f>
        <v>3113965</v>
      </c>
      <c r="D17" s="223">
        <v>3.5950000000000003E-2</v>
      </c>
      <c r="E17" s="90" t="s">
        <v>178</v>
      </c>
      <c r="F17" s="100" t="s">
        <v>13</v>
      </c>
      <c r="G17" s="148">
        <f t="shared" si="0"/>
        <v>2686752</v>
      </c>
      <c r="H17" s="165"/>
      <c r="I17" s="148"/>
      <c r="J17" s="148"/>
      <c r="K17" s="149"/>
      <c r="L17" s="149"/>
      <c r="M17" s="149"/>
      <c r="N17" s="149"/>
      <c r="O17" s="149"/>
    </row>
    <row r="18" spans="1:15" ht="40.5">
      <c r="A18" s="118" t="s">
        <v>12</v>
      </c>
      <c r="B18" s="136">
        <f>ROUNDUP(C18*D18,0)</f>
        <v>26781</v>
      </c>
      <c r="C18" s="120">
        <f>B10</f>
        <v>3113965</v>
      </c>
      <c r="D18" s="138">
        <v>8.6E-3</v>
      </c>
      <c r="E18" s="90" t="s">
        <v>189</v>
      </c>
      <c r="F18" s="198" t="s">
        <v>158</v>
      </c>
      <c r="G18" s="148">
        <f t="shared" si="0"/>
        <v>642744</v>
      </c>
      <c r="H18" s="163"/>
      <c r="I18" s="148"/>
      <c r="J18" s="148"/>
      <c r="K18" s="149"/>
      <c r="L18" s="149"/>
      <c r="M18" s="149"/>
      <c r="N18" s="149"/>
      <c r="O18" s="149"/>
    </row>
    <row r="19" spans="1:15" ht="38.1" customHeight="1">
      <c r="A19" s="118" t="s">
        <v>89</v>
      </c>
      <c r="B19" s="136">
        <f>ROUNDUP(C19*D19,0)</f>
        <v>35811</v>
      </c>
      <c r="C19" s="120">
        <f>B10</f>
        <v>3113965</v>
      </c>
      <c r="D19" s="138">
        <v>1.15E-2</v>
      </c>
      <c r="E19" s="90" t="s">
        <v>183</v>
      </c>
      <c r="F19" s="100" t="s">
        <v>32</v>
      </c>
      <c r="G19" s="148">
        <f t="shared" si="0"/>
        <v>859464</v>
      </c>
      <c r="H19" s="163"/>
      <c r="I19" s="148"/>
      <c r="J19" s="148"/>
      <c r="K19" s="149"/>
      <c r="L19" s="149"/>
      <c r="M19" s="149"/>
      <c r="N19" s="149"/>
      <c r="O19" s="149"/>
    </row>
    <row r="20" spans="1:15" ht="38.1" customHeight="1">
      <c r="A20" s="118" t="s">
        <v>8</v>
      </c>
      <c r="B20" s="136">
        <f t="shared" ref="B20:B21" si="1">ROUNDUP(C20*D20,0)</f>
        <v>14710</v>
      </c>
      <c r="C20" s="120">
        <f>B17</f>
        <v>111948</v>
      </c>
      <c r="D20" s="138">
        <v>0.13139999999999999</v>
      </c>
      <c r="E20" s="90" t="s">
        <v>182</v>
      </c>
      <c r="F20" s="93" t="s">
        <v>15</v>
      </c>
      <c r="G20" s="148">
        <f t="shared" si="0"/>
        <v>353040</v>
      </c>
      <c r="H20" s="163"/>
      <c r="I20" s="148"/>
      <c r="J20" s="148"/>
      <c r="K20" s="149"/>
      <c r="L20" s="149"/>
      <c r="M20" s="149"/>
      <c r="N20" s="149"/>
      <c r="O20" s="149"/>
    </row>
    <row r="21" spans="1:15" ht="38.1" customHeight="1">
      <c r="A21" s="61" t="s">
        <v>18</v>
      </c>
      <c r="B21" s="98">
        <f t="shared" si="1"/>
        <v>2803</v>
      </c>
      <c r="C21" s="47">
        <f>B10</f>
        <v>3113965</v>
      </c>
      <c r="D21" s="101">
        <v>8.9999999999999998E-4</v>
      </c>
      <c r="E21" s="92" t="s">
        <v>179</v>
      </c>
      <c r="F21" s="93" t="s">
        <v>25</v>
      </c>
      <c r="G21" s="148">
        <f t="shared" si="0"/>
        <v>67272</v>
      </c>
      <c r="H21" s="163"/>
      <c r="I21" s="148"/>
      <c r="J21" s="148"/>
      <c r="K21" s="149"/>
      <c r="L21" s="149"/>
      <c r="M21" s="149"/>
      <c r="N21" s="149"/>
      <c r="O21" s="149"/>
    </row>
    <row r="22" spans="1:15" ht="38.1" customHeight="1">
      <c r="A22" s="61" t="s">
        <v>14</v>
      </c>
      <c r="B22" s="47">
        <f>SUM(B16:B21)</f>
        <v>347752</v>
      </c>
      <c r="C22" s="47"/>
      <c r="D22" s="101"/>
      <c r="E22" s="92"/>
      <c r="F22" s="93"/>
      <c r="G22" s="148">
        <f t="shared" si="0"/>
        <v>8346048</v>
      </c>
      <c r="H22" s="163"/>
      <c r="I22" s="148"/>
      <c r="J22" s="148"/>
      <c r="K22" s="149"/>
      <c r="L22" s="149"/>
      <c r="M22" s="149"/>
      <c r="N22" s="149"/>
      <c r="O22" s="149"/>
    </row>
    <row r="23" spans="1:15" ht="19.5" customHeight="1">
      <c r="A23" s="94"/>
      <c r="B23" s="95"/>
      <c r="C23" s="95"/>
      <c r="D23" s="95"/>
      <c r="E23" s="89"/>
      <c r="F23" s="51"/>
      <c r="G23" s="148"/>
      <c r="H23" s="163"/>
      <c r="I23" s="148"/>
      <c r="J23" s="148"/>
      <c r="K23" s="149"/>
      <c r="L23" s="149"/>
      <c r="M23" s="149"/>
      <c r="N23" s="149"/>
      <c r="O23" s="149"/>
    </row>
    <row r="24" spans="1:15" ht="38.1" customHeight="1">
      <c r="A24" s="96" t="s">
        <v>118</v>
      </c>
      <c r="B24" s="95"/>
      <c r="C24" s="95"/>
      <c r="D24" s="95"/>
      <c r="E24" s="89"/>
      <c r="F24" s="97"/>
      <c r="G24" s="148"/>
      <c r="H24" s="163"/>
      <c r="I24" s="148"/>
      <c r="J24" s="148"/>
      <c r="K24" s="149"/>
      <c r="L24" s="149"/>
      <c r="M24" s="149"/>
      <c r="N24" s="149"/>
      <c r="O24" s="149"/>
    </row>
    <row r="25" spans="1:15" ht="38.1" customHeight="1">
      <c r="A25" s="61" t="s">
        <v>82</v>
      </c>
      <c r="B25" s="62" t="s">
        <v>4</v>
      </c>
      <c r="C25" s="62" t="s">
        <v>2</v>
      </c>
      <c r="D25" s="62" t="s">
        <v>5</v>
      </c>
      <c r="E25" s="92" t="s">
        <v>3</v>
      </c>
      <c r="F25" s="52" t="s">
        <v>84</v>
      </c>
      <c r="G25" s="148"/>
      <c r="H25" s="163"/>
      <c r="I25" s="148"/>
      <c r="J25" s="148"/>
      <c r="K25" s="149"/>
      <c r="L25" s="149"/>
      <c r="M25" s="149"/>
      <c r="N25" s="149"/>
      <c r="O25" s="149"/>
    </row>
    <row r="26" spans="1:15" ht="38.1" customHeight="1">
      <c r="A26" s="241" t="s">
        <v>175</v>
      </c>
      <c r="B26" s="242">
        <f>ROUNDDOWN(C26*D26,0)</f>
        <v>100000</v>
      </c>
      <c r="C26" s="238">
        <v>100000</v>
      </c>
      <c r="D26" s="242">
        <v>1</v>
      </c>
      <c r="E26" s="240" t="s">
        <v>196</v>
      </c>
      <c r="F26" s="239" t="s">
        <v>195</v>
      </c>
      <c r="G26" s="148">
        <f>C26*H4</f>
        <v>87259.682477812734</v>
      </c>
      <c r="H26" s="163"/>
      <c r="I26" s="148"/>
      <c r="J26" s="148"/>
      <c r="K26" s="149"/>
      <c r="L26" s="149"/>
      <c r="M26" s="149"/>
      <c r="N26" s="149"/>
      <c r="O26" s="149"/>
    </row>
    <row r="27" spans="1:15" ht="38.1" customHeight="1" thickBot="1">
      <c r="A27" s="102" t="s">
        <v>16</v>
      </c>
      <c r="B27" s="103">
        <f>B26</f>
        <v>100000</v>
      </c>
      <c r="C27" s="103"/>
      <c r="D27" s="104"/>
      <c r="E27" s="105"/>
      <c r="F27" s="106"/>
      <c r="G27" s="148">
        <f>(365-52-52)/12</f>
        <v>21.75</v>
      </c>
      <c r="H27" s="163"/>
      <c r="I27" s="148"/>
      <c r="J27" s="148"/>
      <c r="K27" s="149"/>
      <c r="L27" s="149"/>
      <c r="M27" s="149"/>
      <c r="N27" s="149"/>
      <c r="O27" s="149"/>
    </row>
    <row r="28" spans="1:15" ht="21" customHeight="1" thickBot="1">
      <c r="A28" s="94"/>
      <c r="B28" s="95"/>
      <c r="C28" s="95"/>
      <c r="D28" s="95"/>
      <c r="E28" s="89"/>
      <c r="F28" s="51"/>
      <c r="G28" s="148"/>
      <c r="H28" s="163"/>
      <c r="I28" s="148"/>
      <c r="J28" s="148"/>
      <c r="K28" s="149"/>
      <c r="L28" s="149"/>
      <c r="M28" s="149"/>
      <c r="N28" s="149"/>
      <c r="O28" s="149"/>
    </row>
    <row r="29" spans="1:15" ht="43.5" customHeight="1" thickBot="1">
      <c r="A29" s="107" t="s">
        <v>119</v>
      </c>
      <c r="B29" s="108">
        <f>ROUNDDOWN(SUM(B12,B22,B27),0)</f>
        <v>3821214</v>
      </c>
      <c r="C29" s="108"/>
      <c r="D29" s="108"/>
      <c r="E29" s="109"/>
      <c r="F29" s="110"/>
      <c r="G29" s="148">
        <f>(B12+B22+B27)*2*12</f>
        <v>91709138</v>
      </c>
      <c r="H29" s="163"/>
      <c r="I29" s="148"/>
      <c r="J29" s="148"/>
      <c r="K29" s="149"/>
      <c r="L29" s="149"/>
      <c r="M29" s="149"/>
      <c r="N29" s="149"/>
      <c r="O29" s="149"/>
    </row>
    <row r="30" spans="1:15" ht="43.5" customHeight="1">
      <c r="A30" s="20"/>
      <c r="B30" s="21"/>
      <c r="C30" s="21"/>
      <c r="D30" s="21"/>
      <c r="E30" s="22"/>
      <c r="F30" s="23"/>
    </row>
    <row r="31" spans="1:15">
      <c r="A31" s="24"/>
      <c r="B31" s="25"/>
      <c r="C31" s="25"/>
      <c r="D31" s="25"/>
      <c r="E31" s="26"/>
      <c r="F31" s="19"/>
    </row>
    <row r="32" spans="1:15">
      <c r="A32" s="24"/>
      <c r="B32" s="25"/>
      <c r="C32" s="25"/>
      <c r="D32" s="25"/>
      <c r="E32" s="26"/>
      <c r="F32" s="19"/>
    </row>
    <row r="34" spans="6:6">
      <c r="F34" s="6"/>
    </row>
  </sheetData>
  <mergeCells count="3">
    <mergeCell ref="A1:F1"/>
    <mergeCell ref="H5:O5"/>
    <mergeCell ref="G6:O6"/>
  </mergeCells>
  <phoneticPr fontId="2" type="noConversion"/>
  <printOptions horizontalCentered="1"/>
  <pageMargins left="0.35433070866141736" right="0.35433070866141736" top="0.98425196850393704" bottom="0.59055118110236227" header="0.51181102362204722" footer="0.31496062992125984"/>
  <pageSetup paperSize="9" scale="6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3"/>
  <sheetViews>
    <sheetView view="pageBreakPreview" zoomScaleNormal="100" zoomScaleSheetLayoutView="100" workbookViewId="0">
      <selection activeCell="C8" sqref="C8"/>
    </sheetView>
  </sheetViews>
  <sheetFormatPr defaultRowHeight="20.100000000000001" customHeight="1"/>
  <cols>
    <col min="1" max="1" width="16.88671875" customWidth="1"/>
    <col min="2" max="2" width="13.44140625" customWidth="1"/>
    <col min="3" max="3" width="13.21875" customWidth="1"/>
    <col min="4" max="5" width="8.77734375" customWidth="1"/>
    <col min="6" max="6" width="25" customWidth="1"/>
    <col min="7" max="7" width="15.44140625" bestFit="1" customWidth="1"/>
  </cols>
  <sheetData>
    <row r="1" spans="1:6" ht="30" customHeight="1">
      <c r="A1" s="277" t="s">
        <v>35</v>
      </c>
      <c r="B1" s="277"/>
      <c r="C1" s="277"/>
      <c r="D1" s="277"/>
      <c r="E1" s="277"/>
      <c r="F1" s="277"/>
    </row>
    <row r="2" spans="1:6" ht="7.5" customHeight="1" thickBot="1">
      <c r="A2" s="38"/>
      <c r="B2" s="38"/>
      <c r="C2" s="38"/>
      <c r="D2" s="38"/>
      <c r="E2" s="38"/>
      <c r="F2" s="38"/>
    </row>
    <row r="3" spans="1:6" ht="29.1" customHeight="1">
      <c r="A3" s="39" t="s">
        <v>81</v>
      </c>
      <c r="B3" s="40"/>
      <c r="C3" s="40"/>
      <c r="D3" s="40"/>
      <c r="E3" s="40"/>
      <c r="F3" s="41"/>
    </row>
    <row r="4" spans="1:6" ht="29.1" customHeight="1">
      <c r="A4" s="42" t="s">
        <v>82</v>
      </c>
      <c r="B4" s="43" t="s">
        <v>4</v>
      </c>
      <c r="C4" s="43" t="s">
        <v>2</v>
      </c>
      <c r="D4" s="43" t="s">
        <v>6</v>
      </c>
      <c r="E4" s="44" t="s">
        <v>83</v>
      </c>
      <c r="F4" s="45" t="s">
        <v>84</v>
      </c>
    </row>
    <row r="5" spans="1:6" ht="29.1" customHeight="1">
      <c r="A5" s="46" t="s">
        <v>38</v>
      </c>
      <c r="B5" s="47">
        <f>SUM(C5*D5*E5)</f>
        <v>101178000</v>
      </c>
      <c r="C5" s="47">
        <f>'모니터링 요원(조장) 내역서(1인당)'!B5</f>
        <v>2107875</v>
      </c>
      <c r="D5" s="48">
        <v>12</v>
      </c>
      <c r="E5" s="49">
        <v>4</v>
      </c>
      <c r="F5" s="52"/>
    </row>
    <row r="6" spans="1:6" ht="29.1" customHeight="1">
      <c r="A6" s="46" t="s">
        <v>0</v>
      </c>
      <c r="B6" s="47">
        <f>SUM(C6*D6*E6)</f>
        <v>16976160</v>
      </c>
      <c r="C6" s="47">
        <f>'모니터링 요원(조장) 내역서(1인당)'!B6</f>
        <v>353670</v>
      </c>
      <c r="D6" s="48">
        <v>12</v>
      </c>
      <c r="E6" s="49">
        <v>4</v>
      </c>
      <c r="F6" s="50" t="s">
        <v>23</v>
      </c>
    </row>
    <row r="7" spans="1:6" ht="29.1" customHeight="1">
      <c r="A7" s="46" t="s">
        <v>10</v>
      </c>
      <c r="B7" s="47">
        <f>SUM(C7*D7*E7)</f>
        <v>4149696</v>
      </c>
      <c r="C7" s="47">
        <f>'모니터링 요원(조장) 내역서(1인당)'!B10</f>
        <v>86452</v>
      </c>
      <c r="D7" s="48">
        <v>12</v>
      </c>
      <c r="E7" s="49">
        <v>4</v>
      </c>
      <c r="F7" s="52"/>
    </row>
    <row r="8" spans="1:6" ht="29.1" customHeight="1">
      <c r="A8" s="46" t="s">
        <v>39</v>
      </c>
      <c r="B8" s="47">
        <f>SUM(C8*D8*E8)</f>
        <v>18849600</v>
      </c>
      <c r="C8" s="47">
        <f>'모니터링 요원(조장) 내역서(1인당)'!B7</f>
        <v>392700</v>
      </c>
      <c r="D8" s="48">
        <v>12</v>
      </c>
      <c r="E8" s="49">
        <v>4</v>
      </c>
      <c r="F8" s="52"/>
    </row>
    <row r="9" spans="1:6" ht="29.1" customHeight="1">
      <c r="A9" s="122" t="s">
        <v>24</v>
      </c>
      <c r="B9" s="47">
        <f>C9*D9*E9</f>
        <v>2400000</v>
      </c>
      <c r="C9" s="47">
        <f>'모니터링 요원(조장) 내역서(1인당)'!B11</f>
        <v>50000</v>
      </c>
      <c r="D9" s="48">
        <v>12</v>
      </c>
      <c r="E9" s="49">
        <v>4</v>
      </c>
      <c r="F9" s="52" t="s">
        <v>33</v>
      </c>
    </row>
    <row r="10" spans="1:6" ht="29.1" customHeight="1">
      <c r="A10" s="61" t="s">
        <v>29</v>
      </c>
      <c r="B10" s="47">
        <f>C10*D10*E10</f>
        <v>2122176</v>
      </c>
      <c r="C10" s="47">
        <f>'모니터링 요원(조장) 내역서(1인당)'!B8</f>
        <v>44212</v>
      </c>
      <c r="D10" s="48">
        <v>12</v>
      </c>
      <c r="E10" s="49">
        <v>4</v>
      </c>
      <c r="F10" s="52"/>
    </row>
    <row r="11" spans="1:6" ht="29.1" hidden="1" customHeight="1">
      <c r="A11" s="61" t="s">
        <v>28</v>
      </c>
      <c r="B11" s="47">
        <f>C11*D11*E11</f>
        <v>0</v>
      </c>
      <c r="C11" s="47">
        <f>'모니터링 요원(조장) 내역서(1인당)'!B9</f>
        <v>0</v>
      </c>
      <c r="D11" s="48">
        <v>12</v>
      </c>
      <c r="E11" s="49">
        <v>4</v>
      </c>
      <c r="F11" s="52"/>
    </row>
    <row r="12" spans="1:6" ht="29.1" customHeight="1">
      <c r="A12" s="117" t="s">
        <v>21</v>
      </c>
      <c r="B12" s="47">
        <f>SUM(B5:B11)</f>
        <v>145675632</v>
      </c>
      <c r="C12" s="47"/>
      <c r="D12" s="48"/>
      <c r="E12" s="49"/>
      <c r="F12" s="52"/>
    </row>
    <row r="13" spans="1:6" ht="29.1" customHeight="1">
      <c r="A13" s="117" t="s">
        <v>19</v>
      </c>
      <c r="B13" s="47">
        <f>C13*D13*E13</f>
        <v>12139680</v>
      </c>
      <c r="C13" s="47">
        <f>'모니터링 요원(조장) 내역서(1인당)'!B13</f>
        <v>252910</v>
      </c>
      <c r="D13" s="48">
        <v>12</v>
      </c>
      <c r="E13" s="49">
        <v>4</v>
      </c>
      <c r="F13" s="52"/>
    </row>
    <row r="14" spans="1:6" ht="29.1" customHeight="1">
      <c r="A14" s="46" t="s">
        <v>14</v>
      </c>
      <c r="B14" s="47">
        <f>B12+B13</f>
        <v>157815312</v>
      </c>
      <c r="C14" s="47"/>
      <c r="D14" s="48"/>
      <c r="E14" s="49"/>
      <c r="F14" s="52"/>
    </row>
    <row r="15" spans="1:6" ht="9.75" customHeight="1">
      <c r="A15" s="56"/>
      <c r="B15" s="57"/>
      <c r="C15" s="57"/>
      <c r="D15" s="58"/>
      <c r="E15" s="58"/>
      <c r="F15" s="59"/>
    </row>
    <row r="16" spans="1:6" ht="29.1" customHeight="1">
      <c r="A16" s="60" t="s">
        <v>85</v>
      </c>
      <c r="B16" s="57"/>
      <c r="C16" s="57"/>
      <c r="D16" s="58"/>
      <c r="E16" s="58"/>
      <c r="F16" s="59"/>
    </row>
    <row r="17" spans="1:7" ht="29.1" customHeight="1">
      <c r="A17" s="46" t="s">
        <v>82</v>
      </c>
      <c r="B17" s="62" t="s">
        <v>4</v>
      </c>
      <c r="C17" s="62" t="s">
        <v>86</v>
      </c>
      <c r="D17" s="300" t="s">
        <v>87</v>
      </c>
      <c r="E17" s="301"/>
      <c r="F17" s="52" t="s">
        <v>84</v>
      </c>
    </row>
    <row r="18" spans="1:7" ht="29.1" customHeight="1">
      <c r="A18" s="46" t="s">
        <v>1</v>
      </c>
      <c r="B18" s="84">
        <f>ROUNDUP(C18*D18,0)</f>
        <v>7283782</v>
      </c>
      <c r="C18" s="47">
        <f>SUM(B12)</f>
        <v>145675632</v>
      </c>
      <c r="D18" s="293">
        <v>0.05</v>
      </c>
      <c r="E18" s="294"/>
      <c r="F18" s="92" t="s">
        <v>174</v>
      </c>
    </row>
    <row r="19" spans="1:7" ht="29.1" customHeight="1">
      <c r="A19" s="46" t="s">
        <v>88</v>
      </c>
      <c r="B19" s="119">
        <f t="shared" ref="B19:B23" si="0">ROUNDUP(C19*D19,0)</f>
        <v>5237039</v>
      </c>
      <c r="C19" s="120">
        <f>B12</f>
        <v>145675632</v>
      </c>
      <c r="D19" s="293">
        <v>3.5950000000000003E-2</v>
      </c>
      <c r="E19" s="294"/>
      <c r="F19" s="90" t="s">
        <v>178</v>
      </c>
    </row>
    <row r="20" spans="1:7" ht="29.1" customHeight="1">
      <c r="A20" s="46" t="s">
        <v>12</v>
      </c>
      <c r="B20" s="119">
        <f t="shared" si="0"/>
        <v>1252811</v>
      </c>
      <c r="C20" s="120">
        <f>B12</f>
        <v>145675632</v>
      </c>
      <c r="D20" s="291" t="s">
        <v>190</v>
      </c>
      <c r="E20" s="292"/>
      <c r="F20" s="90" t="s">
        <v>189</v>
      </c>
      <c r="G20" s="12"/>
    </row>
    <row r="21" spans="1:7" ht="29.1" customHeight="1">
      <c r="A21" s="46" t="s">
        <v>89</v>
      </c>
      <c r="B21" s="119">
        <f t="shared" si="0"/>
        <v>1675270</v>
      </c>
      <c r="C21" s="120">
        <f>B12</f>
        <v>145675632</v>
      </c>
      <c r="D21" s="291">
        <v>1.15E-2</v>
      </c>
      <c r="E21" s="292"/>
      <c r="F21" s="90" t="s">
        <v>183</v>
      </c>
    </row>
    <row r="22" spans="1:7" ht="29.1" customHeight="1">
      <c r="A22" s="46" t="s">
        <v>8</v>
      </c>
      <c r="B22" s="119">
        <f t="shared" si="0"/>
        <v>688147</v>
      </c>
      <c r="C22" s="120">
        <f>B19</f>
        <v>5237039</v>
      </c>
      <c r="D22" s="291">
        <v>0.13139999999999999</v>
      </c>
      <c r="E22" s="292"/>
      <c r="F22" s="90" t="s">
        <v>182</v>
      </c>
    </row>
    <row r="23" spans="1:7" ht="29.1" customHeight="1">
      <c r="A23" s="46" t="s">
        <v>18</v>
      </c>
      <c r="B23" s="119">
        <f t="shared" si="0"/>
        <v>131109</v>
      </c>
      <c r="C23" s="120">
        <f>B12</f>
        <v>145675632</v>
      </c>
      <c r="D23" s="293">
        <v>8.9999999999999998E-4</v>
      </c>
      <c r="E23" s="294"/>
      <c r="F23" s="92" t="s">
        <v>179</v>
      </c>
    </row>
    <row r="24" spans="1:7" ht="29.1" customHeight="1">
      <c r="A24" s="46" t="s">
        <v>14</v>
      </c>
      <c r="B24" s="120">
        <f>SUM(B18:B23)</f>
        <v>16268158</v>
      </c>
      <c r="C24" s="120"/>
      <c r="D24" s="298"/>
      <c r="E24" s="299"/>
      <c r="F24" s="52"/>
      <c r="G24" s="153">
        <f>'모니터링 요원(조장) 내역서(1인당)'!B24*12*5</f>
        <v>20335380</v>
      </c>
    </row>
    <row r="25" spans="1:7" ht="9" customHeight="1">
      <c r="A25" s="56"/>
      <c r="B25" s="139"/>
      <c r="C25" s="139"/>
      <c r="D25" s="140"/>
      <c r="E25" s="140"/>
      <c r="F25" s="59"/>
    </row>
    <row r="26" spans="1:7" ht="29.1" customHeight="1">
      <c r="A26" s="60" t="s">
        <v>9</v>
      </c>
      <c r="B26" s="139"/>
      <c r="C26" s="139"/>
      <c r="D26" s="140"/>
      <c r="E26" s="140"/>
      <c r="F26" s="59"/>
    </row>
    <row r="27" spans="1:7" ht="29.1" customHeight="1">
      <c r="A27" s="46" t="s">
        <v>17</v>
      </c>
      <c r="B27" s="141" t="s">
        <v>4</v>
      </c>
      <c r="C27" s="141" t="s">
        <v>2</v>
      </c>
      <c r="D27" s="141" t="s">
        <v>6</v>
      </c>
      <c r="E27" s="142" t="s">
        <v>83</v>
      </c>
      <c r="F27" s="52" t="s">
        <v>84</v>
      </c>
    </row>
    <row r="28" spans="1:7" ht="29.1" customHeight="1">
      <c r="A28" s="204" t="s">
        <v>175</v>
      </c>
      <c r="B28" s="63">
        <f>SUM(C28*D28*E28)</f>
        <v>4800000</v>
      </c>
      <c r="C28" s="159">
        <v>100000</v>
      </c>
      <c r="D28" s="64">
        <v>12</v>
      </c>
      <c r="E28" s="49">
        <f>E5</f>
        <v>4</v>
      </c>
      <c r="F28" s="65"/>
    </row>
    <row r="29" spans="1:7" ht="29.1" customHeight="1">
      <c r="A29" s="46" t="s">
        <v>14</v>
      </c>
      <c r="B29" s="66">
        <f>B28</f>
        <v>4800000</v>
      </c>
      <c r="C29" s="67"/>
      <c r="D29" s="67"/>
      <c r="E29" s="67"/>
      <c r="F29" s="36"/>
    </row>
    <row r="30" spans="1:7" ht="9" customHeight="1">
      <c r="A30" s="68"/>
      <c r="B30" s="57"/>
      <c r="C30" s="57"/>
      <c r="D30" s="57"/>
      <c r="E30" s="57"/>
      <c r="F30" s="69"/>
    </row>
    <row r="31" spans="1:7" ht="29.1" customHeight="1" thickBot="1">
      <c r="A31" s="70" t="s">
        <v>148</v>
      </c>
      <c r="B31" s="71">
        <f>SUM(B14,B24,B29)</f>
        <v>178883470</v>
      </c>
      <c r="C31" s="72"/>
      <c r="D31" s="72"/>
      <c r="E31" s="72"/>
      <c r="F31" s="73"/>
    </row>
    <row r="32" spans="1:7" ht="20.100000000000001" customHeight="1">
      <c r="A32" s="19"/>
      <c r="B32" s="27"/>
      <c r="C32" s="19"/>
      <c r="D32" s="19"/>
      <c r="E32" s="19"/>
      <c r="F32" s="19"/>
    </row>
    <row r="33" spans="2:2" ht="20.100000000000001" customHeight="1">
      <c r="B33" s="6"/>
    </row>
  </sheetData>
  <mergeCells count="9">
    <mergeCell ref="D24:E24"/>
    <mergeCell ref="A1:F1"/>
    <mergeCell ref="D17:E17"/>
    <mergeCell ref="D18:E18"/>
    <mergeCell ref="D19:E19"/>
    <mergeCell ref="D20:E20"/>
    <mergeCell ref="D23:E23"/>
    <mergeCell ref="D21:E21"/>
    <mergeCell ref="D22:E22"/>
  </mergeCells>
  <phoneticPr fontId="2" type="noConversion"/>
  <printOptions horizontalCentered="1"/>
  <pageMargins left="0.74803149606299213" right="0.74803149606299213" top="0.98425196850393704" bottom="0.47244094488188981" header="0.51181102362204722" footer="0.51181102362204722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6"/>
  <sheetViews>
    <sheetView view="pageBreakPreview" zoomScaleNormal="100" zoomScaleSheetLayoutView="100" workbookViewId="0">
      <selection sqref="A1:F1"/>
    </sheetView>
  </sheetViews>
  <sheetFormatPr defaultRowHeight="13.5"/>
  <cols>
    <col min="1" max="1" width="20" style="1" customWidth="1"/>
    <col min="2" max="2" width="13.77734375" style="4" bestFit="1" customWidth="1"/>
    <col min="3" max="4" width="11.109375" style="4" customWidth="1"/>
    <col min="5" max="5" width="27.77734375" style="11" customWidth="1"/>
    <col min="6" max="6" width="33.33203125" customWidth="1"/>
    <col min="7" max="7" width="17.5546875" customWidth="1"/>
  </cols>
  <sheetData>
    <row r="1" spans="1:10" s="19" customFormat="1" ht="38.1" customHeight="1">
      <c r="A1" s="302" t="s">
        <v>31</v>
      </c>
      <c r="B1" s="302"/>
      <c r="C1" s="302"/>
      <c r="D1" s="302"/>
      <c r="E1" s="302"/>
      <c r="F1" s="302"/>
    </row>
    <row r="2" spans="1:10" ht="25.5" customHeight="1" thickBot="1">
      <c r="A2" s="74"/>
      <c r="B2" s="74"/>
      <c r="C2" s="74"/>
      <c r="D2" s="74"/>
      <c r="E2" s="75"/>
      <c r="F2" s="76"/>
    </row>
    <row r="3" spans="1:10" ht="38.1" customHeight="1">
      <c r="A3" s="77" t="s">
        <v>112</v>
      </c>
      <c r="B3" s="78"/>
      <c r="C3" s="78"/>
      <c r="D3" s="78"/>
      <c r="E3" s="79"/>
      <c r="F3" s="80" t="s">
        <v>113</v>
      </c>
    </row>
    <row r="4" spans="1:10" ht="37.5" customHeight="1">
      <c r="A4" s="81" t="s">
        <v>82</v>
      </c>
      <c r="B4" s="43" t="s">
        <v>4</v>
      </c>
      <c r="C4" s="43" t="s">
        <v>2</v>
      </c>
      <c r="D4" s="43" t="s">
        <v>5</v>
      </c>
      <c r="E4" s="82" t="s">
        <v>3</v>
      </c>
      <c r="F4" s="83" t="s">
        <v>84</v>
      </c>
      <c r="G4" s="146">
        <v>74590</v>
      </c>
      <c r="H4" s="147">
        <f>823838732/944123000</f>
        <v>0.87259682477812739</v>
      </c>
      <c r="I4" s="148">
        <f>G4*H4</f>
        <v>65086.997160200524</v>
      </c>
      <c r="J4" s="148">
        <f>I4/8</f>
        <v>8135.8746450250655</v>
      </c>
    </row>
    <row r="5" spans="1:10" ht="27">
      <c r="A5" s="61" t="s">
        <v>38</v>
      </c>
      <c r="B5" s="84">
        <f>ROUNDDOWN(C5*D5,0)</f>
        <v>2107875</v>
      </c>
      <c r="C5" s="236">
        <f>'(참고)생활임금적용'!$G$17</f>
        <v>11550</v>
      </c>
      <c r="D5" s="167">
        <f>(8+8+8+0)/4*365/12</f>
        <v>182.5</v>
      </c>
      <c r="E5" s="124" t="s">
        <v>147</v>
      </c>
      <c r="F5" s="235" t="s">
        <v>197</v>
      </c>
      <c r="G5" s="149"/>
      <c r="H5" s="149"/>
      <c r="I5" s="149"/>
      <c r="J5" s="149"/>
    </row>
    <row r="6" spans="1:10" ht="38.1" customHeight="1">
      <c r="A6" s="61" t="s">
        <v>0</v>
      </c>
      <c r="B6" s="84">
        <f>ROUNDDOWN((C6*D6)*50%,0)</f>
        <v>353670</v>
      </c>
      <c r="C6" s="236">
        <f>ROUNDDOWN(($C$5*209+$B$11)/209,0)</f>
        <v>11789</v>
      </c>
      <c r="D6" s="48">
        <f>ROUNDDOWN(8/4*365/12,0)</f>
        <v>60</v>
      </c>
      <c r="E6" s="86" t="s">
        <v>26</v>
      </c>
      <c r="F6" s="88" t="s">
        <v>114</v>
      </c>
      <c r="G6" s="160">
        <f>ROUNDUP(7/4*365/12,0)</f>
        <v>54</v>
      </c>
      <c r="H6" s="149"/>
      <c r="I6" s="149"/>
      <c r="J6" s="149"/>
    </row>
    <row r="7" spans="1:10" ht="38.1" customHeight="1">
      <c r="A7" s="61" t="s">
        <v>39</v>
      </c>
      <c r="B7" s="84">
        <f>ROUNDDOWN(C7*D7,0)</f>
        <v>392700</v>
      </c>
      <c r="C7" s="236">
        <f>'(참고)생활임금적용'!$G$17</f>
        <v>11550</v>
      </c>
      <c r="D7" s="48">
        <f>ROUNDDOWN((8*52)/12,0)</f>
        <v>34</v>
      </c>
      <c r="E7" s="86" t="s">
        <v>27</v>
      </c>
      <c r="F7" s="88" t="s">
        <v>115</v>
      </c>
      <c r="G7" s="161">
        <f>D5+D7</f>
        <v>216.5</v>
      </c>
      <c r="H7" s="149"/>
      <c r="I7" s="149"/>
      <c r="J7" s="149"/>
    </row>
    <row r="8" spans="1:10" ht="38.1" customHeight="1">
      <c r="A8" s="61" t="s">
        <v>29</v>
      </c>
      <c r="B8" s="84">
        <f>ROUNDDOWN(C8*D8*50%,0)</f>
        <v>44212</v>
      </c>
      <c r="C8" s="236">
        <f>ROUNDUP(($C$5*209+$B$11)/209,0)</f>
        <v>11790</v>
      </c>
      <c r="D8" s="111">
        <f>G7-209</f>
        <v>7.5</v>
      </c>
      <c r="E8" s="86" t="s">
        <v>133</v>
      </c>
      <c r="F8" s="88"/>
      <c r="G8" s="162"/>
      <c r="H8" s="149"/>
      <c r="I8" s="149"/>
      <c r="J8" s="149"/>
    </row>
    <row r="9" spans="1:10" ht="38.1" hidden="1" customHeight="1">
      <c r="A9" s="61" t="s">
        <v>28</v>
      </c>
      <c r="B9" s="84">
        <f>C9*D9*150%</f>
        <v>0</v>
      </c>
      <c r="C9" s="236"/>
      <c r="D9" s="112">
        <f>ROUNDDOWN(8/12,3)</f>
        <v>0.66600000000000004</v>
      </c>
      <c r="E9" s="86" t="s">
        <v>30</v>
      </c>
      <c r="F9" s="88"/>
      <c r="G9" s="149"/>
      <c r="H9" s="149"/>
      <c r="I9" s="149"/>
      <c r="J9" s="149"/>
    </row>
    <row r="10" spans="1:10" s="132" customFormat="1" ht="38.1" customHeight="1">
      <c r="A10" s="118" t="s">
        <v>10</v>
      </c>
      <c r="B10" s="119">
        <f>ROUNDDOWN(C10*8*D10/12,0)</f>
        <v>86452</v>
      </c>
      <c r="C10" s="236">
        <f>ROUNDDOWN(($C$5*209+$B$11)/209,0)</f>
        <v>11789</v>
      </c>
      <c r="D10" s="121">
        <v>11</v>
      </c>
      <c r="E10" s="90" t="s">
        <v>150</v>
      </c>
      <c r="F10" s="91" t="s">
        <v>11</v>
      </c>
      <c r="G10" s="149"/>
      <c r="H10" s="149"/>
      <c r="I10" s="149"/>
      <c r="J10" s="149"/>
    </row>
    <row r="11" spans="1:10" ht="38.1" customHeight="1">
      <c r="A11" s="118" t="s">
        <v>24</v>
      </c>
      <c r="B11" s="119">
        <f>C11*D11</f>
        <v>50000</v>
      </c>
      <c r="C11" s="120">
        <v>50000</v>
      </c>
      <c r="D11" s="121">
        <v>1</v>
      </c>
      <c r="E11" s="90" t="s">
        <v>36</v>
      </c>
      <c r="F11" s="91" t="s">
        <v>37</v>
      </c>
      <c r="G11" s="149"/>
      <c r="H11" s="149"/>
      <c r="I11" s="149"/>
      <c r="J11" s="149"/>
    </row>
    <row r="12" spans="1:10" ht="38.1" customHeight="1">
      <c r="A12" s="61" t="s">
        <v>22</v>
      </c>
      <c r="B12" s="84">
        <f>SUM(B5:B11)</f>
        <v>3034909</v>
      </c>
      <c r="C12" s="47"/>
      <c r="D12" s="48"/>
      <c r="E12" s="92"/>
      <c r="F12" s="88"/>
      <c r="G12" s="149"/>
      <c r="H12" s="149"/>
      <c r="I12" s="149"/>
      <c r="J12" s="149"/>
    </row>
    <row r="13" spans="1:10" ht="38.1" customHeight="1">
      <c r="A13" s="61" t="s">
        <v>19</v>
      </c>
      <c r="B13" s="84">
        <f>ROUNDUP(B12/12,0)</f>
        <v>252910</v>
      </c>
      <c r="C13" s="47"/>
      <c r="D13" s="48"/>
      <c r="E13" s="92" t="s">
        <v>20</v>
      </c>
      <c r="F13" s="88" t="s">
        <v>117</v>
      </c>
      <c r="G13" s="153">
        <f>2615414</f>
        <v>2615414</v>
      </c>
      <c r="H13" s="149"/>
      <c r="I13" s="149"/>
      <c r="J13" s="149"/>
    </row>
    <row r="14" spans="1:10" ht="38.1" customHeight="1">
      <c r="A14" s="61" t="s">
        <v>14</v>
      </c>
      <c r="B14" s="84">
        <f>B12+B13</f>
        <v>3287819</v>
      </c>
      <c r="C14" s="47"/>
      <c r="D14" s="48"/>
      <c r="E14" s="92"/>
      <c r="F14" s="93"/>
      <c r="G14" s="153">
        <f>G13*H4</f>
        <v>2282201.9518802613</v>
      </c>
      <c r="H14" s="149"/>
      <c r="I14" s="149"/>
      <c r="J14" s="149"/>
    </row>
    <row r="15" spans="1:10" ht="22.5" customHeight="1">
      <c r="A15" s="94"/>
      <c r="B15" s="95"/>
      <c r="C15" s="95"/>
      <c r="D15" s="95"/>
      <c r="E15" s="89"/>
      <c r="F15" s="51"/>
      <c r="G15" s="153">
        <f>B14*12*5</f>
        <v>197269140</v>
      </c>
      <c r="H15" s="149"/>
      <c r="I15" s="149"/>
      <c r="J15" s="149"/>
    </row>
    <row r="16" spans="1:10" ht="38.1" customHeight="1">
      <c r="A16" s="96" t="s">
        <v>7</v>
      </c>
      <c r="B16" s="95"/>
      <c r="C16" s="95"/>
      <c r="D16" s="95"/>
      <c r="E16" s="89"/>
      <c r="F16" s="97"/>
      <c r="G16" s="149"/>
      <c r="H16" s="149"/>
      <c r="I16" s="149"/>
      <c r="J16" s="149"/>
    </row>
    <row r="17" spans="1:10" ht="38.1" customHeight="1">
      <c r="A17" s="61" t="s">
        <v>82</v>
      </c>
      <c r="B17" s="62" t="s">
        <v>4</v>
      </c>
      <c r="C17" s="62" t="s">
        <v>2</v>
      </c>
      <c r="D17" s="62" t="s">
        <v>5</v>
      </c>
      <c r="E17" s="92" t="s">
        <v>3</v>
      </c>
      <c r="F17" s="52" t="s">
        <v>84</v>
      </c>
      <c r="G17" s="149"/>
      <c r="H17" s="149"/>
      <c r="I17" s="149"/>
      <c r="J17" s="149"/>
    </row>
    <row r="18" spans="1:10" ht="38.1" customHeight="1">
      <c r="A18" s="61" t="s">
        <v>1</v>
      </c>
      <c r="B18" s="98">
        <f>ROUNDUP(C18*D18,0)</f>
        <v>151746</v>
      </c>
      <c r="C18" s="47">
        <f>B12</f>
        <v>3034909</v>
      </c>
      <c r="D18" s="99">
        <v>0.05</v>
      </c>
      <c r="E18" s="92" t="s">
        <v>174</v>
      </c>
      <c r="F18" s="93" t="s">
        <v>40</v>
      </c>
    </row>
    <row r="19" spans="1:10" ht="38.1" customHeight="1">
      <c r="A19" s="118" t="s">
        <v>88</v>
      </c>
      <c r="B19" s="136">
        <f t="shared" ref="B19:B23" si="0">ROUNDUP(C19*D19,0)</f>
        <v>109105</v>
      </c>
      <c r="C19" s="120">
        <f>B12</f>
        <v>3034909</v>
      </c>
      <c r="D19" s="223">
        <v>3.5950000000000003E-2</v>
      </c>
      <c r="E19" s="90" t="s">
        <v>178</v>
      </c>
      <c r="F19" s="100" t="s">
        <v>13</v>
      </c>
    </row>
    <row r="20" spans="1:10" ht="40.5">
      <c r="A20" s="118" t="s">
        <v>12</v>
      </c>
      <c r="B20" s="136">
        <f t="shared" si="0"/>
        <v>26101</v>
      </c>
      <c r="C20" s="120">
        <f>B12</f>
        <v>3034909</v>
      </c>
      <c r="D20" s="138">
        <v>8.6E-3</v>
      </c>
      <c r="E20" s="90" t="s">
        <v>189</v>
      </c>
      <c r="F20" s="198" t="s">
        <v>158</v>
      </c>
    </row>
    <row r="21" spans="1:10" ht="38.1" customHeight="1">
      <c r="A21" s="118" t="s">
        <v>89</v>
      </c>
      <c r="B21" s="136">
        <f t="shared" si="0"/>
        <v>34902</v>
      </c>
      <c r="C21" s="120">
        <f>B12</f>
        <v>3034909</v>
      </c>
      <c r="D21" s="138">
        <v>1.15E-2</v>
      </c>
      <c r="E21" s="90" t="s">
        <v>183</v>
      </c>
      <c r="F21" s="100" t="s">
        <v>32</v>
      </c>
    </row>
    <row r="22" spans="1:10" ht="38.1" customHeight="1">
      <c r="A22" s="118" t="s">
        <v>8</v>
      </c>
      <c r="B22" s="136">
        <f t="shared" si="0"/>
        <v>14337</v>
      </c>
      <c r="C22" s="120">
        <f>B19</f>
        <v>109105</v>
      </c>
      <c r="D22" s="138">
        <v>0.13139999999999999</v>
      </c>
      <c r="E22" s="90" t="s">
        <v>182</v>
      </c>
      <c r="F22" s="93" t="s">
        <v>15</v>
      </c>
    </row>
    <row r="23" spans="1:10" ht="38.1" customHeight="1">
      <c r="A23" s="118" t="s">
        <v>18</v>
      </c>
      <c r="B23" s="136">
        <f t="shared" si="0"/>
        <v>2732</v>
      </c>
      <c r="C23" s="120">
        <f>B12</f>
        <v>3034909</v>
      </c>
      <c r="D23" s="101">
        <v>8.9999999999999998E-4</v>
      </c>
      <c r="E23" s="92" t="s">
        <v>179</v>
      </c>
      <c r="F23" s="93" t="s">
        <v>25</v>
      </c>
    </row>
    <row r="24" spans="1:10" ht="38.1" customHeight="1">
      <c r="A24" s="61" t="s">
        <v>14</v>
      </c>
      <c r="B24" s="47">
        <f>SUM(B18:B23)</f>
        <v>338923</v>
      </c>
      <c r="C24" s="47"/>
      <c r="D24" s="101"/>
      <c r="E24" s="92"/>
      <c r="F24" s="93"/>
      <c r="G24" s="153">
        <f>B24*12*5</f>
        <v>20335380</v>
      </c>
    </row>
    <row r="25" spans="1:10" ht="26.25" customHeight="1">
      <c r="A25" s="94"/>
      <c r="B25" s="95"/>
      <c r="C25" s="95"/>
      <c r="D25" s="95"/>
      <c r="E25" s="89"/>
      <c r="F25" s="51"/>
    </row>
    <row r="26" spans="1:10" ht="38.1" customHeight="1">
      <c r="A26" s="96" t="s">
        <v>118</v>
      </c>
      <c r="B26" s="95"/>
      <c r="C26" s="95"/>
      <c r="D26" s="95"/>
      <c r="E26" s="89"/>
      <c r="F26" s="97"/>
    </row>
    <row r="27" spans="1:10" ht="38.1" customHeight="1">
      <c r="A27" s="61" t="s">
        <v>82</v>
      </c>
      <c r="B27" s="62" t="s">
        <v>4</v>
      </c>
      <c r="C27" s="62" t="s">
        <v>2</v>
      </c>
      <c r="D27" s="62" t="s">
        <v>5</v>
      </c>
      <c r="E27" s="92" t="s">
        <v>3</v>
      </c>
      <c r="F27" s="52" t="s">
        <v>84</v>
      </c>
    </row>
    <row r="28" spans="1:10" ht="38.1" customHeight="1">
      <c r="A28" s="241" t="s">
        <v>175</v>
      </c>
      <c r="B28" s="242">
        <f>ROUNDDOWN(C28*D28,0)</f>
        <v>100000</v>
      </c>
      <c r="C28" s="238">
        <v>100000</v>
      </c>
      <c r="D28" s="242">
        <v>1</v>
      </c>
      <c r="E28" s="240" t="s">
        <v>196</v>
      </c>
      <c r="F28" s="239" t="s">
        <v>195</v>
      </c>
    </row>
    <row r="29" spans="1:10" ht="38.1" customHeight="1" thickBot="1">
      <c r="A29" s="102" t="s">
        <v>16</v>
      </c>
      <c r="B29" s="113">
        <f>B28</f>
        <v>100000</v>
      </c>
      <c r="C29" s="113"/>
      <c r="D29" s="114"/>
      <c r="E29" s="105"/>
      <c r="F29" s="106"/>
    </row>
    <row r="30" spans="1:10" ht="21" customHeight="1" thickBot="1">
      <c r="A30" s="94"/>
      <c r="B30" s="95"/>
      <c r="C30" s="95"/>
      <c r="D30" s="95"/>
      <c r="E30" s="89"/>
      <c r="F30" s="51"/>
    </row>
    <row r="31" spans="1:10" ht="43.5" customHeight="1" thickBot="1">
      <c r="A31" s="107" t="s">
        <v>119</v>
      </c>
      <c r="B31" s="108">
        <f>ROUNDDOWN(SUM(B14,B24,B29),0)</f>
        <v>3726742</v>
      </c>
      <c r="C31" s="108"/>
      <c r="D31" s="108"/>
      <c r="E31" s="116">
        <f>B31*12*5</f>
        <v>223604520</v>
      </c>
      <c r="F31" s="110"/>
    </row>
    <row r="32" spans="1:10" ht="43.5" customHeight="1">
      <c r="A32" s="20"/>
      <c r="B32" s="21"/>
      <c r="C32" s="21"/>
      <c r="D32" s="21"/>
      <c r="E32" s="22"/>
      <c r="F32" s="23"/>
    </row>
    <row r="36" spans="6:6">
      <c r="F36" s="6"/>
    </row>
  </sheetData>
  <mergeCells count="1">
    <mergeCell ref="A1:F1"/>
  </mergeCells>
  <phoneticPr fontId="2" type="noConversion"/>
  <printOptions horizontalCentered="1"/>
  <pageMargins left="0.35433070866141736" right="0.35433070866141736" top="0.98425196850393704" bottom="0.59055118110236227" header="0.51181102362204722" footer="0.31496062992125984"/>
  <pageSetup paperSize="9" scale="6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2"/>
  <sheetViews>
    <sheetView view="pageBreakPreview" zoomScaleNormal="100" zoomScaleSheetLayoutView="100" workbookViewId="0">
      <selection activeCell="C5" sqref="C5"/>
    </sheetView>
  </sheetViews>
  <sheetFormatPr defaultRowHeight="20.100000000000001" customHeight="1"/>
  <cols>
    <col min="1" max="1" width="16.88671875" customWidth="1"/>
    <col min="2" max="2" width="15" customWidth="1"/>
    <col min="3" max="3" width="13.5546875" customWidth="1"/>
    <col min="4" max="5" width="8.77734375" customWidth="1"/>
    <col min="6" max="6" width="22.109375" customWidth="1"/>
    <col min="7" max="7" width="16.5546875" style="149" bestFit="1" customWidth="1"/>
  </cols>
  <sheetData>
    <row r="1" spans="1:7" ht="30" customHeight="1">
      <c r="A1" s="277" t="s">
        <v>142</v>
      </c>
      <c r="B1" s="277"/>
      <c r="C1" s="277"/>
      <c r="D1" s="277"/>
      <c r="E1" s="277"/>
      <c r="F1" s="277"/>
    </row>
    <row r="2" spans="1:7" ht="7.5" customHeight="1" thickBot="1">
      <c r="A2" s="38"/>
      <c r="B2" s="38"/>
      <c r="C2" s="38"/>
      <c r="D2" s="38"/>
      <c r="E2" s="38"/>
      <c r="F2" s="38"/>
    </row>
    <row r="3" spans="1:7" ht="29.1" customHeight="1">
      <c r="A3" s="39" t="s">
        <v>91</v>
      </c>
      <c r="B3" s="40"/>
      <c r="C3" s="40"/>
      <c r="D3" s="40"/>
      <c r="E3" s="40"/>
      <c r="F3" s="41"/>
    </row>
    <row r="4" spans="1:7" ht="29.1" customHeight="1">
      <c r="A4" s="42" t="s">
        <v>92</v>
      </c>
      <c r="B4" s="43" t="s">
        <v>93</v>
      </c>
      <c r="C4" s="43" t="s">
        <v>94</v>
      </c>
      <c r="D4" s="43" t="s">
        <v>95</v>
      </c>
      <c r="E4" s="44" t="s">
        <v>96</v>
      </c>
      <c r="F4" s="45" t="s">
        <v>97</v>
      </c>
    </row>
    <row r="5" spans="1:7" ht="29.1" customHeight="1">
      <c r="A5" s="46" t="s">
        <v>49</v>
      </c>
      <c r="B5" s="47">
        <f>SUM(C5*D5*E5)</f>
        <v>404712000</v>
      </c>
      <c r="C5" s="47">
        <f>'모니터링 요원  내역서(1인당)'!B5</f>
        <v>2107875</v>
      </c>
      <c r="D5" s="48">
        <v>12</v>
      </c>
      <c r="E5" s="49">
        <v>16</v>
      </c>
      <c r="F5" s="52"/>
    </row>
    <row r="6" spans="1:7" ht="29.1" customHeight="1">
      <c r="A6" s="46" t="s">
        <v>51</v>
      </c>
      <c r="B6" s="47">
        <f t="shared" ref="B6:B10" si="0">SUM(C6*D6*E6)</f>
        <v>66528000</v>
      </c>
      <c r="C6" s="47">
        <f>'모니터링 요원  내역서(1인당)'!B6</f>
        <v>346500</v>
      </c>
      <c r="D6" s="48">
        <v>12</v>
      </c>
      <c r="E6" s="49">
        <v>16</v>
      </c>
      <c r="F6" s="50" t="s">
        <v>143</v>
      </c>
    </row>
    <row r="7" spans="1:7" ht="29.1" customHeight="1">
      <c r="A7" s="46" t="s">
        <v>52</v>
      </c>
      <c r="B7" s="47">
        <f t="shared" si="0"/>
        <v>0</v>
      </c>
      <c r="C7" s="47">
        <f>'모니터링 요원  내역서(1인당)'!B10</f>
        <v>0</v>
      </c>
      <c r="D7" s="48">
        <v>12</v>
      </c>
      <c r="E7" s="49">
        <v>16</v>
      </c>
      <c r="F7" s="52"/>
    </row>
    <row r="8" spans="1:7" ht="29.1" customHeight="1">
      <c r="A8" s="46" t="s">
        <v>53</v>
      </c>
      <c r="B8" s="47">
        <f t="shared" si="0"/>
        <v>75398400</v>
      </c>
      <c r="C8" s="47">
        <f>'모니터링 요원  내역서(1인당)'!B7</f>
        <v>392700</v>
      </c>
      <c r="D8" s="48">
        <v>12</v>
      </c>
      <c r="E8" s="49">
        <v>16</v>
      </c>
      <c r="F8" s="52"/>
    </row>
    <row r="9" spans="1:7" ht="29.1" customHeight="1">
      <c r="A9" s="117" t="s">
        <v>138</v>
      </c>
      <c r="B9" s="47">
        <f t="shared" si="0"/>
        <v>8315904</v>
      </c>
      <c r="C9" s="47">
        <f>'모니터링 요원  내역서(1인당)'!B8</f>
        <v>43312</v>
      </c>
      <c r="D9" s="48">
        <v>12</v>
      </c>
      <c r="E9" s="49">
        <v>16</v>
      </c>
      <c r="F9" s="52"/>
    </row>
    <row r="10" spans="1:7" ht="29.1" customHeight="1">
      <c r="A10" s="117" t="s">
        <v>144</v>
      </c>
      <c r="B10" s="47">
        <f t="shared" si="0"/>
        <v>0</v>
      </c>
      <c r="C10" s="47">
        <f>'모니터링 요원  내역서(1인당)'!B9</f>
        <v>0</v>
      </c>
      <c r="D10" s="48">
        <v>12</v>
      </c>
      <c r="E10" s="49">
        <v>16</v>
      </c>
      <c r="F10" s="52"/>
    </row>
    <row r="11" spans="1:7" ht="29.1" customHeight="1">
      <c r="A11" s="117" t="s">
        <v>145</v>
      </c>
      <c r="B11" s="47">
        <f>SUM(B5:B10)</f>
        <v>554954304</v>
      </c>
      <c r="C11" s="47"/>
      <c r="D11" s="48"/>
      <c r="E11" s="49"/>
      <c r="F11" s="52"/>
    </row>
    <row r="12" spans="1:7" ht="29.1" customHeight="1">
      <c r="A12" s="117" t="s">
        <v>56</v>
      </c>
      <c r="B12" s="47">
        <f>SUM(C12*D12*E12)</f>
        <v>46246272</v>
      </c>
      <c r="C12" s="47">
        <f>'모니터링 요원  내역서(1인당)'!B12</f>
        <v>240866</v>
      </c>
      <c r="D12" s="48">
        <v>12</v>
      </c>
      <c r="E12" s="49">
        <v>16</v>
      </c>
      <c r="F12" s="52"/>
    </row>
    <row r="13" spans="1:7" ht="29.1" customHeight="1">
      <c r="A13" s="46" t="s">
        <v>100</v>
      </c>
      <c r="B13" s="47">
        <f>SUM(B11:B12)</f>
        <v>601200576</v>
      </c>
      <c r="C13" s="47"/>
      <c r="D13" s="48"/>
      <c r="E13" s="49"/>
      <c r="F13" s="52"/>
      <c r="G13" s="153">
        <f>C13*12*15</f>
        <v>0</v>
      </c>
    </row>
    <row r="14" spans="1:7" ht="9.75" customHeight="1">
      <c r="A14" s="56"/>
      <c r="B14" s="57"/>
      <c r="C14" s="57"/>
      <c r="D14" s="58"/>
      <c r="E14" s="58"/>
      <c r="F14" s="59"/>
    </row>
    <row r="15" spans="1:7" ht="29.1" customHeight="1">
      <c r="A15" s="60" t="s">
        <v>101</v>
      </c>
      <c r="B15" s="57"/>
      <c r="C15" s="57"/>
      <c r="D15" s="58"/>
      <c r="E15" s="58"/>
      <c r="F15" s="59"/>
    </row>
    <row r="16" spans="1:7" ht="29.1" customHeight="1">
      <c r="A16" s="46" t="s">
        <v>92</v>
      </c>
      <c r="B16" s="62" t="s">
        <v>93</v>
      </c>
      <c r="C16" s="62" t="s">
        <v>102</v>
      </c>
      <c r="D16" s="300" t="s">
        <v>103</v>
      </c>
      <c r="E16" s="301"/>
      <c r="F16" s="52" t="s">
        <v>97</v>
      </c>
    </row>
    <row r="17" spans="1:7" ht="29.1" customHeight="1">
      <c r="A17" s="46" t="s">
        <v>104</v>
      </c>
      <c r="B17" s="47">
        <f>ROUNDUP(C17*D17,0)</f>
        <v>27747716</v>
      </c>
      <c r="C17" s="47">
        <f>SUM(B11)</f>
        <v>554954304</v>
      </c>
      <c r="D17" s="293">
        <v>0.05</v>
      </c>
      <c r="E17" s="294"/>
      <c r="F17" s="92" t="s">
        <v>174</v>
      </c>
    </row>
    <row r="18" spans="1:7" ht="29.1" customHeight="1">
      <c r="A18" s="46" t="s">
        <v>105</v>
      </c>
      <c r="B18" s="47">
        <f t="shared" ref="B18:B22" si="1">ROUNDUP(C18*D18,0)</f>
        <v>19950608</v>
      </c>
      <c r="C18" s="47">
        <f>B11</f>
        <v>554954304</v>
      </c>
      <c r="D18" s="293">
        <v>3.5950000000000003E-2</v>
      </c>
      <c r="E18" s="294"/>
      <c r="F18" s="90" t="s">
        <v>178</v>
      </c>
    </row>
    <row r="19" spans="1:7" ht="29.1" customHeight="1">
      <c r="A19" s="46" t="s">
        <v>106</v>
      </c>
      <c r="B19" s="120">
        <f>ROUNDUP(C19*D19,0)</f>
        <v>4772608</v>
      </c>
      <c r="C19" s="120">
        <f>B11</f>
        <v>554954304</v>
      </c>
      <c r="D19" s="291" t="s">
        <v>190</v>
      </c>
      <c r="E19" s="292"/>
      <c r="F19" s="90" t="s">
        <v>189</v>
      </c>
      <c r="G19" s="227"/>
    </row>
    <row r="20" spans="1:7" ht="29.1" customHeight="1">
      <c r="A20" s="46" t="s">
        <v>107</v>
      </c>
      <c r="B20" s="120">
        <f t="shared" si="1"/>
        <v>6381975</v>
      </c>
      <c r="C20" s="120">
        <f>B11</f>
        <v>554954304</v>
      </c>
      <c r="D20" s="291">
        <v>1.15E-2</v>
      </c>
      <c r="E20" s="292"/>
      <c r="F20" s="90" t="s">
        <v>183</v>
      </c>
    </row>
    <row r="21" spans="1:7" ht="29.1" customHeight="1">
      <c r="A21" s="46" t="s">
        <v>65</v>
      </c>
      <c r="B21" s="120">
        <f t="shared" si="1"/>
        <v>2621510</v>
      </c>
      <c r="C21" s="120">
        <f>B18</f>
        <v>19950608</v>
      </c>
      <c r="D21" s="291">
        <v>0.13139999999999999</v>
      </c>
      <c r="E21" s="292"/>
      <c r="F21" s="90" t="s">
        <v>182</v>
      </c>
    </row>
    <row r="22" spans="1:7" ht="29.1" customHeight="1">
      <c r="A22" s="46" t="s">
        <v>67</v>
      </c>
      <c r="B22" s="47">
        <f t="shared" si="1"/>
        <v>499459</v>
      </c>
      <c r="C22" s="47">
        <f>B11</f>
        <v>554954304</v>
      </c>
      <c r="D22" s="293">
        <v>8.9999999999999998E-4</v>
      </c>
      <c r="E22" s="294"/>
      <c r="F22" s="92" t="s">
        <v>179</v>
      </c>
    </row>
    <row r="23" spans="1:7" ht="29.1" customHeight="1">
      <c r="A23" s="46" t="s">
        <v>100</v>
      </c>
      <c r="B23" s="47">
        <f>SUM(B17:B22)</f>
        <v>61973876</v>
      </c>
      <c r="C23" s="47"/>
      <c r="D23" s="303"/>
      <c r="E23" s="304"/>
      <c r="F23" s="52"/>
      <c r="G23" s="153">
        <f>'모니터링 요원  내역서(1인당)'!B23*12*15</f>
        <v>58101120</v>
      </c>
    </row>
    <row r="24" spans="1:7" ht="9" customHeight="1">
      <c r="A24" s="56"/>
      <c r="B24" s="57"/>
      <c r="C24" s="57"/>
      <c r="D24" s="58"/>
      <c r="E24" s="58"/>
      <c r="F24" s="59"/>
    </row>
    <row r="25" spans="1:7" ht="29.1" customHeight="1">
      <c r="A25" s="60" t="s">
        <v>108</v>
      </c>
      <c r="B25" s="57"/>
      <c r="C25" s="57"/>
      <c r="D25" s="58"/>
      <c r="E25" s="58"/>
      <c r="F25" s="59"/>
    </row>
    <row r="26" spans="1:7" ht="29.1" customHeight="1">
      <c r="A26" s="46" t="s">
        <v>109</v>
      </c>
      <c r="B26" s="62" t="s">
        <v>93</v>
      </c>
      <c r="C26" s="62" t="s">
        <v>94</v>
      </c>
      <c r="D26" s="62" t="s">
        <v>95</v>
      </c>
      <c r="E26" s="49" t="s">
        <v>96</v>
      </c>
      <c r="F26" s="52" t="s">
        <v>97</v>
      </c>
    </row>
    <row r="27" spans="1:7" ht="29.1" customHeight="1">
      <c r="A27" s="204" t="s">
        <v>175</v>
      </c>
      <c r="B27" s="63">
        <f>SUM(C27*D27*E27)</f>
        <v>19200000</v>
      </c>
      <c r="C27" s="159">
        <v>100000</v>
      </c>
      <c r="D27" s="64">
        <v>12</v>
      </c>
      <c r="E27" s="49">
        <f>E5</f>
        <v>16</v>
      </c>
      <c r="F27" s="65"/>
    </row>
    <row r="28" spans="1:7" ht="29.1" customHeight="1">
      <c r="A28" s="46" t="s">
        <v>100</v>
      </c>
      <c r="B28" s="66">
        <f>B27</f>
        <v>19200000</v>
      </c>
      <c r="C28" s="67"/>
      <c r="D28" s="67"/>
      <c r="E28" s="67"/>
      <c r="F28" s="36"/>
      <c r="G28" s="151">
        <f>'모니터링 요원  내역서(1인당)'!B28*12*15</f>
        <v>18000000</v>
      </c>
    </row>
    <row r="29" spans="1:7" ht="9" customHeight="1">
      <c r="A29" s="68"/>
      <c r="B29" s="57"/>
      <c r="C29" s="57"/>
      <c r="D29" s="57"/>
      <c r="E29" s="57"/>
      <c r="F29" s="69"/>
    </row>
    <row r="30" spans="1:7" ht="29.1" customHeight="1" thickBot="1">
      <c r="A30" s="70" t="s">
        <v>146</v>
      </c>
      <c r="B30" s="71">
        <f>SUM(B13,B23,B28)</f>
        <v>682374452</v>
      </c>
      <c r="C30" s="72"/>
      <c r="D30" s="72"/>
      <c r="E30" s="72"/>
      <c r="F30" s="73"/>
      <c r="G30" s="153">
        <f>G13+G23+G28</f>
        <v>76101120</v>
      </c>
    </row>
    <row r="31" spans="1:7" ht="20.100000000000001" customHeight="1">
      <c r="A31" s="19"/>
      <c r="B31" s="27"/>
      <c r="C31" s="19"/>
      <c r="D31" s="19"/>
      <c r="E31" s="19"/>
      <c r="F31" s="19"/>
    </row>
    <row r="32" spans="1:7" ht="20.100000000000001" customHeight="1">
      <c r="A32" s="19"/>
      <c r="B32" s="27"/>
      <c r="C32" s="19"/>
      <c r="D32" s="19"/>
      <c r="E32" s="19"/>
      <c r="F32" s="19"/>
    </row>
  </sheetData>
  <mergeCells count="9">
    <mergeCell ref="D21:E21"/>
    <mergeCell ref="D22:E22"/>
    <mergeCell ref="D23:E23"/>
    <mergeCell ref="A1:F1"/>
    <mergeCell ref="D16:E16"/>
    <mergeCell ref="D17:E17"/>
    <mergeCell ref="D18:E18"/>
    <mergeCell ref="D19:E19"/>
    <mergeCell ref="D20:E2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35"/>
  <sheetViews>
    <sheetView view="pageBreakPreview" zoomScaleNormal="100" zoomScaleSheetLayoutView="100" workbookViewId="0">
      <selection activeCell="F5" sqref="F5"/>
    </sheetView>
  </sheetViews>
  <sheetFormatPr defaultRowHeight="13.5"/>
  <cols>
    <col min="1" max="1" width="17.5546875" style="1" customWidth="1"/>
    <col min="2" max="2" width="13.77734375" style="4" bestFit="1" customWidth="1"/>
    <col min="3" max="3" width="11.109375" style="4" customWidth="1"/>
    <col min="4" max="4" width="9.6640625" style="4" customWidth="1"/>
    <col min="5" max="5" width="25.6640625" style="11" bestFit="1" customWidth="1"/>
    <col min="6" max="6" width="34.33203125" customWidth="1"/>
    <col min="7" max="7" width="18.88671875" customWidth="1"/>
    <col min="8" max="8" width="11.77734375" customWidth="1"/>
    <col min="9" max="9" width="24.6640625" customWidth="1"/>
    <col min="10" max="10" width="11.77734375" customWidth="1"/>
    <col min="11" max="11" width="9.77734375" bestFit="1" customWidth="1"/>
  </cols>
  <sheetData>
    <row r="1" spans="1:12" ht="38.1" customHeight="1">
      <c r="A1" s="277" t="s">
        <v>134</v>
      </c>
      <c r="B1" s="277"/>
      <c r="C1" s="277"/>
      <c r="D1" s="277"/>
      <c r="E1" s="277"/>
      <c r="F1" s="277"/>
      <c r="G1" s="4"/>
    </row>
    <row r="2" spans="1:12" ht="25.5" customHeight="1" thickBot="1">
      <c r="A2" s="74"/>
      <c r="B2" s="74"/>
      <c r="C2" s="74"/>
      <c r="D2" s="74"/>
      <c r="E2" s="75"/>
      <c r="F2" s="76"/>
      <c r="G2" s="13"/>
      <c r="H2" s="13"/>
    </row>
    <row r="3" spans="1:12" ht="38.1" customHeight="1">
      <c r="A3" s="77" t="s">
        <v>120</v>
      </c>
      <c r="B3" s="78"/>
      <c r="C3" s="78"/>
      <c r="D3" s="78"/>
      <c r="E3" s="79"/>
      <c r="F3" s="80" t="s">
        <v>121</v>
      </c>
      <c r="G3" s="13"/>
      <c r="H3" s="14"/>
    </row>
    <row r="4" spans="1:12" ht="37.5" customHeight="1">
      <c r="A4" s="81" t="s">
        <v>92</v>
      </c>
      <c r="B4" s="43" t="s">
        <v>135</v>
      </c>
      <c r="C4" s="43" t="s">
        <v>136</v>
      </c>
      <c r="D4" s="43" t="s">
        <v>122</v>
      </c>
      <c r="E4" s="82" t="s">
        <v>123</v>
      </c>
      <c r="F4" s="83" t="s">
        <v>97</v>
      </c>
      <c r="G4" s="146">
        <v>74590</v>
      </c>
      <c r="H4" s="147">
        <f>823838732/944123000</f>
        <v>0.87259682477812739</v>
      </c>
      <c r="I4" s="148">
        <f>G4*H4</f>
        <v>65086.997160200524</v>
      </c>
      <c r="J4" s="148">
        <f>I4/8</f>
        <v>8135.8746450250655</v>
      </c>
      <c r="K4" s="149"/>
      <c r="L4" s="143"/>
    </row>
    <row r="5" spans="1:12" ht="40.5">
      <c r="A5" s="61" t="s">
        <v>49</v>
      </c>
      <c r="B5" s="84">
        <f>ROUNDDOWN(C5*D5,0)</f>
        <v>2107875</v>
      </c>
      <c r="C5" s="236">
        <f>'(참고)생활임금적용'!$G$17</f>
        <v>11550</v>
      </c>
      <c r="D5" s="167">
        <f>(8+8+8+0)/4*365/12</f>
        <v>182.5</v>
      </c>
      <c r="E5" s="124" t="s">
        <v>137</v>
      </c>
      <c r="F5" s="235" t="s">
        <v>194</v>
      </c>
      <c r="G5" s="150"/>
      <c r="H5" s="151"/>
      <c r="I5" s="151"/>
      <c r="J5" s="151"/>
      <c r="K5" s="149"/>
      <c r="L5" s="143"/>
    </row>
    <row r="6" spans="1:12" ht="38.1" customHeight="1">
      <c r="A6" s="61" t="s">
        <v>51</v>
      </c>
      <c r="B6" s="84">
        <f>ROUNDDOWN((C6*D6)*50%,0)</f>
        <v>346500</v>
      </c>
      <c r="C6" s="236">
        <v>11550</v>
      </c>
      <c r="D6" s="48">
        <f>ROUNDDOWN(8/4*365/12,0)</f>
        <v>60</v>
      </c>
      <c r="E6" s="124" t="s">
        <v>124</v>
      </c>
      <c r="F6" s="88" t="s">
        <v>125</v>
      </c>
      <c r="G6" s="237"/>
      <c r="H6" s="149"/>
      <c r="I6" s="152">
        <f>10940*1.05</f>
        <v>11487</v>
      </c>
      <c r="J6" s="152"/>
      <c r="K6" s="152"/>
      <c r="L6" s="144"/>
    </row>
    <row r="7" spans="1:12" ht="38.1" customHeight="1">
      <c r="A7" s="61" t="s">
        <v>53</v>
      </c>
      <c r="B7" s="84">
        <f>ROUNDDOWN(C7*D7,0)</f>
        <v>392700</v>
      </c>
      <c r="C7" s="236">
        <f>'(참고)생활임금적용'!$G$17</f>
        <v>11550</v>
      </c>
      <c r="D7" s="48">
        <f>ROUNDDOWN((8*52)/12,0)</f>
        <v>34</v>
      </c>
      <c r="E7" s="124" t="s">
        <v>126</v>
      </c>
      <c r="F7" s="88" t="s">
        <v>115</v>
      </c>
      <c r="G7" s="153">
        <f>D5+D7</f>
        <v>216.5</v>
      </c>
      <c r="H7" s="153"/>
      <c r="I7" s="154">
        <v>11210</v>
      </c>
      <c r="J7" s="154" t="s">
        <v>152</v>
      </c>
      <c r="K7" s="155">
        <v>0.87995000000000001</v>
      </c>
      <c r="L7" s="143"/>
    </row>
    <row r="8" spans="1:12" ht="38.1" customHeight="1">
      <c r="A8" s="61" t="s">
        <v>138</v>
      </c>
      <c r="B8" s="84">
        <f>ROUNDDOWN(C8*D8*50%,0)</f>
        <v>43312</v>
      </c>
      <c r="C8" s="236">
        <f>'(참고)생활임금적용'!$G$17</f>
        <v>11550</v>
      </c>
      <c r="D8" s="111">
        <f>G7-209</f>
        <v>7.5</v>
      </c>
      <c r="E8" s="124" t="s">
        <v>139</v>
      </c>
      <c r="F8" s="88"/>
      <c r="G8" s="153"/>
      <c r="H8" s="153"/>
      <c r="I8" s="152">
        <f>I7/87.995%</f>
        <v>12739.360190919939</v>
      </c>
      <c r="J8" s="152"/>
      <c r="K8" s="152"/>
      <c r="L8" s="143"/>
    </row>
    <row r="9" spans="1:12" ht="38.1" hidden="1" customHeight="1">
      <c r="A9" s="61" t="s">
        <v>140</v>
      </c>
      <c r="B9" s="84">
        <f>ROUNDDOWN(C9*D9*150%,0)</f>
        <v>0</v>
      </c>
      <c r="C9" s="47"/>
      <c r="D9" s="112">
        <f>ROUNDDOWN(8/12,3)</f>
        <v>0.66600000000000004</v>
      </c>
      <c r="E9" s="124" t="s">
        <v>141</v>
      </c>
      <c r="F9" s="88"/>
      <c r="G9" s="153"/>
      <c r="H9" s="153"/>
      <c r="I9" s="152">
        <f>SUM(I8-I7)</f>
        <v>1529.3601909199388</v>
      </c>
      <c r="J9" s="152"/>
      <c r="K9" s="152"/>
      <c r="L9" s="143"/>
    </row>
    <row r="10" spans="1:12" s="132" customFormat="1" ht="38.1" customHeight="1">
      <c r="A10" s="118" t="s">
        <v>52</v>
      </c>
      <c r="B10" s="119">
        <f>ROUNDDOWN(C10*8*D10/12,0)</f>
        <v>0</v>
      </c>
      <c r="C10" s="47"/>
      <c r="D10" s="121">
        <v>11</v>
      </c>
      <c r="E10" s="137" t="s">
        <v>150</v>
      </c>
      <c r="F10" s="91" t="s">
        <v>11</v>
      </c>
      <c r="G10" s="202">
        <f>B10*12</f>
        <v>0</v>
      </c>
      <c r="H10" s="153"/>
      <c r="I10" s="149"/>
      <c r="J10" s="149"/>
      <c r="K10" s="149"/>
      <c r="L10" s="143"/>
    </row>
    <row r="11" spans="1:12" ht="38.1" customHeight="1">
      <c r="A11" s="61" t="s">
        <v>127</v>
      </c>
      <c r="B11" s="84">
        <f>SUM(B5:B10)</f>
        <v>2890387</v>
      </c>
      <c r="C11" s="47"/>
      <c r="D11" s="48"/>
      <c r="E11" s="125"/>
      <c r="F11" s="88"/>
      <c r="G11" s="203"/>
      <c r="H11" s="156"/>
      <c r="I11" s="149"/>
      <c r="J11" s="149"/>
      <c r="K11" s="149"/>
      <c r="L11" s="143"/>
    </row>
    <row r="12" spans="1:12" ht="38.1" customHeight="1">
      <c r="A12" s="61" t="s">
        <v>56</v>
      </c>
      <c r="B12" s="84">
        <f>ROUNDUP(B11/12,0)</f>
        <v>240866</v>
      </c>
      <c r="C12" s="47"/>
      <c r="D12" s="112"/>
      <c r="E12" s="125" t="s">
        <v>128</v>
      </c>
      <c r="F12" s="88" t="s">
        <v>117</v>
      </c>
      <c r="G12" s="156">
        <v>2526528</v>
      </c>
      <c r="H12" s="149"/>
      <c r="I12" s="149"/>
      <c r="J12" s="149"/>
      <c r="K12" s="150"/>
      <c r="L12" s="143"/>
    </row>
    <row r="13" spans="1:12" ht="38.1" customHeight="1">
      <c r="A13" s="61" t="s">
        <v>100</v>
      </c>
      <c r="B13" s="84">
        <f>B11+B12</f>
        <v>3131253</v>
      </c>
      <c r="C13" s="47"/>
      <c r="D13" s="48"/>
      <c r="E13" s="125"/>
      <c r="F13" s="93"/>
      <c r="G13" s="156">
        <f>G12*H4</f>
        <v>2204640.3105130326</v>
      </c>
      <c r="H13" s="149"/>
      <c r="I13" s="149"/>
      <c r="J13" s="149"/>
      <c r="K13" s="149"/>
      <c r="L13" s="143"/>
    </row>
    <row r="14" spans="1:12" ht="22.5" customHeight="1">
      <c r="A14" s="94"/>
      <c r="B14" s="95"/>
      <c r="C14" s="95"/>
      <c r="D14" s="95"/>
      <c r="E14" s="89"/>
      <c r="F14" s="51"/>
      <c r="G14" s="156">
        <f>B13*12*15</f>
        <v>563625540</v>
      </c>
      <c r="H14" s="149"/>
      <c r="I14" s="149"/>
      <c r="J14" s="149"/>
      <c r="K14" s="149"/>
      <c r="L14" s="143"/>
    </row>
    <row r="15" spans="1:12" ht="38.1" customHeight="1">
      <c r="A15" s="96" t="s">
        <v>129</v>
      </c>
      <c r="B15" s="95"/>
      <c r="C15" s="95"/>
      <c r="D15" s="95"/>
      <c r="E15" s="89"/>
      <c r="F15" s="97"/>
      <c r="G15" s="156"/>
      <c r="H15" s="149"/>
      <c r="I15" s="149"/>
      <c r="J15" s="149"/>
      <c r="K15" s="149"/>
      <c r="L15" s="143"/>
    </row>
    <row r="16" spans="1:12" ht="38.1" customHeight="1">
      <c r="A16" s="61" t="s">
        <v>92</v>
      </c>
      <c r="B16" s="133" t="s">
        <v>93</v>
      </c>
      <c r="C16" s="62" t="s">
        <v>94</v>
      </c>
      <c r="D16" s="62" t="s">
        <v>122</v>
      </c>
      <c r="E16" s="92" t="s">
        <v>123</v>
      </c>
      <c r="F16" s="52" t="s">
        <v>97</v>
      </c>
      <c r="G16" s="156"/>
      <c r="H16" s="149"/>
      <c r="I16" s="149"/>
      <c r="J16" s="149"/>
      <c r="K16" s="149"/>
      <c r="L16" s="143"/>
    </row>
    <row r="17" spans="1:12" s="130" customFormat="1" ht="38.1" customHeight="1">
      <c r="A17" s="61" t="s">
        <v>104</v>
      </c>
      <c r="B17" s="98">
        <f>ROUNDUP(C17*D17,0)</f>
        <v>144520</v>
      </c>
      <c r="C17" s="47">
        <f>B11</f>
        <v>2890387</v>
      </c>
      <c r="D17" s="99">
        <v>0.05</v>
      </c>
      <c r="E17" s="92" t="s">
        <v>174</v>
      </c>
      <c r="F17" s="93" t="s">
        <v>59</v>
      </c>
      <c r="G17" s="157">
        <f>B11*4.5%</f>
        <v>130067.41499999999</v>
      </c>
      <c r="H17" s="220">
        <f>5/100</f>
        <v>0.05</v>
      </c>
      <c r="I17" s="158"/>
      <c r="J17" s="158"/>
      <c r="K17" s="158"/>
      <c r="L17" s="145"/>
    </row>
    <row r="18" spans="1:12" s="130" customFormat="1" ht="38.1" customHeight="1">
      <c r="A18" s="61" t="s">
        <v>105</v>
      </c>
      <c r="B18" s="136">
        <f>ROUNDUP(C18*D18,0)</f>
        <v>103910</v>
      </c>
      <c r="C18" s="120">
        <f>B11</f>
        <v>2890387</v>
      </c>
      <c r="D18" s="223">
        <v>3.5950000000000003E-2</v>
      </c>
      <c r="E18" s="90" t="s">
        <v>178</v>
      </c>
      <c r="F18" s="100" t="s">
        <v>149</v>
      </c>
      <c r="G18" s="157">
        <f>B11*3.12%</f>
        <v>90180.074400000012</v>
      </c>
      <c r="H18" s="220">
        <f>3.595/100</f>
        <v>3.5950000000000003E-2</v>
      </c>
      <c r="I18" s="158"/>
      <c r="J18" s="158"/>
      <c r="K18" s="158"/>
      <c r="L18" s="145"/>
    </row>
    <row r="19" spans="1:12" s="130" customFormat="1" ht="40.5">
      <c r="A19" s="61" t="s">
        <v>106</v>
      </c>
      <c r="B19" s="136">
        <f t="shared" ref="B19:B22" si="0">ROUNDUP(C19*D19,0)</f>
        <v>24858</v>
      </c>
      <c r="C19" s="120">
        <f>B11</f>
        <v>2890387</v>
      </c>
      <c r="D19" s="138">
        <v>8.6E-3</v>
      </c>
      <c r="E19" s="90" t="s">
        <v>189</v>
      </c>
      <c r="F19" s="198" t="s">
        <v>158</v>
      </c>
      <c r="G19" s="145"/>
      <c r="H19" s="222"/>
      <c r="I19" s="145"/>
      <c r="J19" s="145"/>
      <c r="K19" s="145"/>
      <c r="L19" s="145"/>
    </row>
    <row r="20" spans="1:12" s="130" customFormat="1" ht="38.1" customHeight="1">
      <c r="A20" s="61" t="s">
        <v>107</v>
      </c>
      <c r="B20" s="136">
        <f>ROUNDUP(C20*D20,0)</f>
        <v>33240</v>
      </c>
      <c r="C20" s="120">
        <f>B11</f>
        <v>2890387</v>
      </c>
      <c r="D20" s="138">
        <v>1.15E-2</v>
      </c>
      <c r="E20" s="90" t="s">
        <v>183</v>
      </c>
      <c r="F20" s="100" t="s">
        <v>32</v>
      </c>
      <c r="H20" s="221"/>
    </row>
    <row r="21" spans="1:12" s="130" customFormat="1" ht="38.1" customHeight="1">
      <c r="A21" s="61" t="s">
        <v>65</v>
      </c>
      <c r="B21" s="136">
        <f t="shared" si="0"/>
        <v>13654</v>
      </c>
      <c r="C21" s="120">
        <f>B18</f>
        <v>103910</v>
      </c>
      <c r="D21" s="138">
        <v>0.13139999999999999</v>
      </c>
      <c r="E21" s="90" t="s">
        <v>182</v>
      </c>
      <c r="F21" s="93" t="s">
        <v>66</v>
      </c>
      <c r="H21" s="221"/>
    </row>
    <row r="22" spans="1:12" s="130" customFormat="1" ht="38.1" customHeight="1">
      <c r="A22" s="61" t="s">
        <v>67</v>
      </c>
      <c r="B22" s="98">
        <f t="shared" si="0"/>
        <v>2602</v>
      </c>
      <c r="C22" s="47">
        <f>B11</f>
        <v>2890387</v>
      </c>
      <c r="D22" s="101">
        <v>8.9999999999999998E-4</v>
      </c>
      <c r="E22" s="92" t="s">
        <v>179</v>
      </c>
      <c r="F22" s="93" t="s">
        <v>68</v>
      </c>
      <c r="H22" s="221"/>
    </row>
    <row r="23" spans="1:12" s="130" customFormat="1" ht="38.1" customHeight="1">
      <c r="A23" s="127" t="s">
        <v>100</v>
      </c>
      <c r="B23" s="47">
        <f>SUM(B17:B22)</f>
        <v>322784</v>
      </c>
      <c r="C23" s="128"/>
      <c r="D23" s="131"/>
      <c r="E23" s="125"/>
      <c r="F23" s="129"/>
    </row>
    <row r="24" spans="1:12" ht="26.25" customHeight="1">
      <c r="A24" s="94"/>
      <c r="B24" s="95"/>
      <c r="C24" s="95"/>
      <c r="D24" s="95"/>
      <c r="E24" s="89"/>
      <c r="F24" s="51"/>
      <c r="G24" s="13"/>
    </row>
    <row r="25" spans="1:12" ht="38.1" customHeight="1">
      <c r="A25" s="96" t="s">
        <v>130</v>
      </c>
      <c r="B25" s="95"/>
      <c r="C25" s="95"/>
      <c r="D25" s="95"/>
      <c r="E25" s="89"/>
      <c r="F25" s="97"/>
    </row>
    <row r="26" spans="1:12" ht="38.1" customHeight="1">
      <c r="A26" s="61" t="s">
        <v>92</v>
      </c>
      <c r="B26" s="62" t="s">
        <v>93</v>
      </c>
      <c r="C26" s="62" t="s">
        <v>94</v>
      </c>
      <c r="D26" s="62" t="s">
        <v>122</v>
      </c>
      <c r="E26" s="92" t="s">
        <v>123</v>
      </c>
      <c r="F26" s="52" t="s">
        <v>97</v>
      </c>
    </row>
    <row r="27" spans="1:12" ht="38.1" customHeight="1">
      <c r="A27" s="241" t="s">
        <v>175</v>
      </c>
      <c r="B27" s="242">
        <f>ROUNDDOWN(C27*D27,0)</f>
        <v>100000</v>
      </c>
      <c r="C27" s="238">
        <v>100000</v>
      </c>
      <c r="D27" s="242">
        <v>1</v>
      </c>
      <c r="E27" s="240" t="s">
        <v>196</v>
      </c>
      <c r="F27" s="239" t="s">
        <v>195</v>
      </c>
      <c r="I27" s="126"/>
    </row>
    <row r="28" spans="1:12" ht="38.1" customHeight="1" thickBot="1">
      <c r="A28" s="102" t="s">
        <v>131</v>
      </c>
      <c r="B28" s="113">
        <f>B27</f>
        <v>100000</v>
      </c>
      <c r="C28" s="113"/>
      <c r="D28" s="114"/>
      <c r="E28" s="105"/>
      <c r="F28" s="106"/>
      <c r="G28" s="29"/>
    </row>
    <row r="29" spans="1:12" ht="21" customHeight="1" thickBot="1">
      <c r="A29" s="94"/>
      <c r="B29" s="95"/>
      <c r="C29" s="95"/>
      <c r="D29" s="95"/>
      <c r="E29" s="89"/>
      <c r="F29" s="51"/>
      <c r="G29" s="29"/>
    </row>
    <row r="30" spans="1:12" ht="43.5" customHeight="1" thickBot="1">
      <c r="A30" s="107" t="s">
        <v>132</v>
      </c>
      <c r="B30" s="115">
        <f>SUM(B13,B23,B28)</f>
        <v>3554037</v>
      </c>
      <c r="C30" s="108"/>
      <c r="D30" s="108"/>
      <c r="E30" s="116"/>
      <c r="F30" s="110"/>
      <c r="G30" s="29"/>
    </row>
    <row r="31" spans="1:12" ht="43.5" customHeight="1">
      <c r="A31" s="20"/>
      <c r="B31" s="21"/>
      <c r="C31" s="21"/>
      <c r="D31" s="21"/>
      <c r="E31" s="22"/>
      <c r="F31" s="23"/>
    </row>
    <row r="32" spans="1:12">
      <c r="A32" s="24"/>
      <c r="B32" s="25"/>
      <c r="C32" s="25"/>
      <c r="D32" s="25"/>
      <c r="E32" s="26"/>
      <c r="F32" s="19"/>
    </row>
    <row r="35" spans="6:6">
      <c r="F35" s="6"/>
    </row>
  </sheetData>
  <mergeCells count="1">
    <mergeCell ref="A1:F1"/>
  </mergeCells>
  <phoneticPr fontId="2" type="noConversion"/>
  <printOptions horizontalCentered="1"/>
  <pageMargins left="0.35433070866141736" right="0.35433070866141736" top="0.98425196850393704" bottom="0.59055118110236227" header="0.51181102362204722" footer="0.31496062992125984"/>
  <pageSetup paperSize="9" scale="64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52DA6-8503-46D6-8EEE-6AB5F86FD3C3}">
  <sheetPr>
    <tabColor theme="9"/>
  </sheetPr>
  <dimension ref="A1:Q18"/>
  <sheetViews>
    <sheetView view="pageBreakPreview" zoomScaleNormal="100" zoomScaleSheetLayoutView="100" workbookViewId="0">
      <selection activeCell="G17" sqref="G17"/>
    </sheetView>
  </sheetViews>
  <sheetFormatPr defaultRowHeight="20.100000000000001" customHeight="1"/>
  <cols>
    <col min="1" max="1" width="11.44140625" customWidth="1"/>
    <col min="3" max="3" width="11.21875" customWidth="1"/>
    <col min="6" max="6" width="10.5546875" customWidth="1"/>
    <col min="7" max="7" width="17.6640625" customWidth="1"/>
    <col min="9" max="9" width="9.33203125" bestFit="1" customWidth="1"/>
    <col min="11" max="11" width="12.33203125" bestFit="1" customWidth="1"/>
    <col min="13" max="13" width="9" bestFit="1" customWidth="1"/>
    <col min="15" max="15" width="9" bestFit="1" customWidth="1"/>
  </cols>
  <sheetData>
    <row r="1" spans="2:17" ht="29.1" customHeight="1"/>
    <row r="2" spans="2:17" ht="29.1" customHeight="1">
      <c r="B2" s="305" t="s">
        <v>165</v>
      </c>
      <c r="C2" s="305"/>
      <c r="D2" s="305"/>
      <c r="E2" s="305"/>
      <c r="F2" s="305"/>
      <c r="G2" s="305"/>
      <c r="I2" s="206">
        <v>10850</v>
      </c>
      <c r="J2" s="207"/>
      <c r="K2" s="208">
        <f>I2*209</f>
        <v>2267650</v>
      </c>
      <c r="L2" s="207"/>
      <c r="M2" s="207">
        <v>110</v>
      </c>
      <c r="N2" s="149"/>
      <c r="O2" s="151">
        <f>SUM(I2-I3)</f>
        <v>990</v>
      </c>
      <c r="P2" s="149"/>
      <c r="Q2" s="149"/>
    </row>
    <row r="3" spans="2:17" ht="29.1" customHeight="1">
      <c r="B3" s="306" t="s">
        <v>166</v>
      </c>
      <c r="C3" s="306"/>
      <c r="D3" s="306"/>
      <c r="E3" s="306"/>
      <c r="F3" s="306"/>
      <c r="G3" s="306"/>
      <c r="I3" s="206">
        <v>9860</v>
      </c>
      <c r="J3" s="207"/>
      <c r="K3" s="208"/>
      <c r="L3" s="207"/>
      <c r="M3" s="207"/>
      <c r="N3" s="149"/>
      <c r="O3" s="151"/>
      <c r="P3" s="149"/>
      <c r="Q3" s="149"/>
    </row>
    <row r="4" spans="2:17" ht="29.1" hidden="1" customHeight="1">
      <c r="B4" s="209" t="s">
        <v>167</v>
      </c>
      <c r="C4" s="209"/>
      <c r="D4" s="209"/>
      <c r="E4" s="209"/>
      <c r="F4" s="209"/>
      <c r="G4" s="209"/>
      <c r="I4" s="206"/>
      <c r="J4" s="207"/>
      <c r="K4" s="208"/>
      <c r="L4" s="207"/>
      <c r="M4" s="207"/>
      <c r="N4" s="149"/>
      <c r="O4" s="151"/>
      <c r="P4" s="149"/>
      <c r="Q4" s="149"/>
    </row>
    <row r="5" spans="2:17" ht="29.1" customHeight="1">
      <c r="B5" s="212" t="s">
        <v>177</v>
      </c>
      <c r="C5" s="212"/>
      <c r="D5" s="201"/>
      <c r="E5" s="201"/>
      <c r="F5" s="201"/>
      <c r="G5" s="201"/>
      <c r="I5" s="206"/>
      <c r="J5" s="207"/>
      <c r="K5" s="208"/>
      <c r="L5" s="207"/>
      <c r="M5" s="207"/>
      <c r="N5" s="149"/>
      <c r="O5" s="151"/>
      <c r="P5" s="149"/>
      <c r="Q5" s="149"/>
    </row>
    <row r="6" spans="2:17" ht="29.1" customHeight="1">
      <c r="B6" s="212"/>
      <c r="C6" s="212"/>
      <c r="D6" s="209"/>
      <c r="E6" s="209"/>
      <c r="F6" s="209"/>
      <c r="G6" s="209"/>
      <c r="I6" s="206">
        <v>10940</v>
      </c>
      <c r="J6" s="207"/>
      <c r="K6" s="208">
        <f t="shared" ref="K6:K10" si="0">I6*209</f>
        <v>2286460</v>
      </c>
      <c r="L6" s="207"/>
      <c r="M6" s="207">
        <v>109</v>
      </c>
      <c r="N6" s="149"/>
      <c r="O6" s="151">
        <f t="shared" ref="O6:O10" si="1">SUM(I6-I7)</f>
        <v>910</v>
      </c>
      <c r="P6" s="149"/>
      <c r="Q6" s="149"/>
    </row>
    <row r="7" spans="2:17" ht="29.1" customHeight="1">
      <c r="B7" s="305" t="s">
        <v>170</v>
      </c>
      <c r="C7" s="305"/>
      <c r="D7" s="305"/>
      <c r="E7" s="305"/>
      <c r="F7" s="305"/>
      <c r="G7" s="305"/>
      <c r="I7" s="206">
        <v>10030</v>
      </c>
      <c r="J7" s="207"/>
      <c r="K7" s="208"/>
      <c r="L7" s="207"/>
      <c r="M7" s="207"/>
      <c r="N7" s="149"/>
      <c r="O7" s="151"/>
      <c r="P7" s="149"/>
      <c r="Q7" s="149"/>
    </row>
    <row r="8" spans="2:17" ht="29.1" customHeight="1">
      <c r="B8" s="306" t="s">
        <v>171</v>
      </c>
      <c r="C8" s="306"/>
      <c r="D8" s="306"/>
      <c r="E8" s="306"/>
      <c r="F8" s="306"/>
      <c r="G8" s="306"/>
      <c r="I8" s="206"/>
      <c r="J8" s="207"/>
      <c r="K8" s="208"/>
      <c r="L8" s="207"/>
      <c r="M8" s="207"/>
      <c r="N8" s="149"/>
      <c r="O8" s="151"/>
      <c r="P8" s="149"/>
      <c r="Q8" s="149"/>
    </row>
    <row r="9" spans="2:17" ht="29.1" customHeight="1">
      <c r="B9" s="209" t="s">
        <v>168</v>
      </c>
      <c r="C9" s="209"/>
      <c r="D9" s="209"/>
      <c r="E9" s="209"/>
      <c r="F9" s="209"/>
      <c r="G9" s="209"/>
      <c r="I9" s="206"/>
      <c r="J9" s="207"/>
      <c r="K9" s="208"/>
      <c r="L9" s="207"/>
      <c r="M9" s="207"/>
      <c r="N9" s="149"/>
      <c r="O9" s="151"/>
      <c r="P9" s="149"/>
      <c r="Q9" s="149"/>
    </row>
    <row r="10" spans="2:17" ht="29.1" customHeight="1">
      <c r="B10" s="201"/>
      <c r="C10" s="201"/>
      <c r="D10" s="201"/>
      <c r="E10" s="201"/>
      <c r="F10" s="201"/>
      <c r="G10" s="201"/>
      <c r="I10" s="206">
        <v>11210</v>
      </c>
      <c r="J10" s="207"/>
      <c r="K10" s="208">
        <f t="shared" si="0"/>
        <v>2342890</v>
      </c>
      <c r="L10" s="207"/>
      <c r="M10" s="207">
        <v>109</v>
      </c>
      <c r="N10" s="149"/>
      <c r="O10" s="151">
        <f t="shared" si="1"/>
        <v>890</v>
      </c>
      <c r="P10" s="149"/>
      <c r="Q10" s="149"/>
    </row>
    <row r="11" spans="2:17" ht="29.1" customHeight="1">
      <c r="B11" s="305" t="s">
        <v>163</v>
      </c>
      <c r="C11" s="305"/>
      <c r="D11" s="305"/>
      <c r="E11" s="305"/>
      <c r="F11" s="305"/>
      <c r="G11" s="305"/>
      <c r="I11" s="206">
        <v>10320</v>
      </c>
      <c r="J11" s="207"/>
      <c r="K11" s="207"/>
      <c r="L11" s="207"/>
      <c r="M11" s="207"/>
      <c r="N11" s="149"/>
      <c r="O11" s="151"/>
      <c r="P11" s="149"/>
      <c r="Q11" s="149"/>
    </row>
    <row r="12" spans="2:17" ht="29.1" customHeight="1">
      <c r="B12" s="306" t="s">
        <v>164</v>
      </c>
      <c r="C12" s="306"/>
      <c r="D12" s="306"/>
      <c r="E12" s="306"/>
      <c r="F12" s="306"/>
      <c r="G12" s="306"/>
      <c r="I12" s="206"/>
      <c r="J12" s="207"/>
      <c r="K12" s="207"/>
      <c r="L12" s="207"/>
      <c r="M12" s="207"/>
      <c r="N12" s="149"/>
      <c r="O12" s="151"/>
      <c r="P12" s="149"/>
      <c r="Q12" s="149"/>
    </row>
    <row r="13" spans="2:17" ht="29.1" customHeight="1">
      <c r="B13" s="201" t="s">
        <v>169</v>
      </c>
      <c r="C13" s="200"/>
      <c r="D13" s="200"/>
      <c r="E13" s="200"/>
      <c r="F13" s="200"/>
      <c r="G13" s="200"/>
      <c r="I13" s="206"/>
      <c r="J13" s="207"/>
      <c r="K13" s="207"/>
      <c r="L13" s="207"/>
      <c r="M13" s="207"/>
      <c r="N13" s="149"/>
      <c r="O13" s="151"/>
      <c r="P13" s="149"/>
      <c r="Q13" s="149"/>
    </row>
    <row r="14" spans="2:17" ht="29.1" customHeight="1">
      <c r="B14" s="200"/>
      <c r="C14" s="200"/>
      <c r="D14" s="200"/>
      <c r="E14" s="200"/>
      <c r="F14" s="200"/>
      <c r="G14" s="200"/>
      <c r="I14" s="206">
        <v>11540</v>
      </c>
      <c r="J14" s="207"/>
      <c r="K14" s="210">
        <v>2411860</v>
      </c>
      <c r="L14" s="207"/>
      <c r="M14" s="207">
        <v>110</v>
      </c>
      <c r="N14" s="149"/>
      <c r="O14" s="151" t="e">
        <f>SUM(I14-#REF!)</f>
        <v>#REF!</v>
      </c>
      <c r="P14" s="149"/>
      <c r="Q14" s="149"/>
    </row>
    <row r="15" spans="2:17" ht="29.1" customHeight="1" thickBot="1">
      <c r="B15" s="305" t="s">
        <v>192</v>
      </c>
      <c r="C15" s="305"/>
      <c r="D15" s="305"/>
      <c r="E15" s="305"/>
      <c r="F15" s="305"/>
      <c r="G15" s="305"/>
      <c r="I15" s="4"/>
    </row>
    <row r="16" spans="2:17" ht="29.1" customHeight="1" thickTop="1" thickBot="1">
      <c r="C16" s="213" t="s">
        <v>172</v>
      </c>
      <c r="D16" s="214"/>
      <c r="E16" s="215"/>
      <c r="F16" s="214"/>
      <c r="G16" s="216" t="s">
        <v>173</v>
      </c>
      <c r="H16" s="149"/>
      <c r="I16" s="4"/>
    </row>
    <row r="17" spans="1:14" ht="29.1" customHeight="1" thickBot="1">
      <c r="A17" s="10">
        <f>G17*87.995%</f>
        <v>10163.422500000001</v>
      </c>
      <c r="C17" s="217">
        <v>11550</v>
      </c>
      <c r="D17" s="218"/>
      <c r="E17" s="230"/>
      <c r="F17" s="231"/>
      <c r="G17" s="234">
        <f>ROUNDUP(C17+E17,0)</f>
        <v>11550</v>
      </c>
      <c r="H17" s="149"/>
      <c r="I17" s="206">
        <v>10700</v>
      </c>
      <c r="J17" s="207"/>
      <c r="K17" s="207"/>
      <c r="L17" s="207"/>
      <c r="M17" s="207"/>
      <c r="N17" s="149"/>
    </row>
    <row r="18" spans="1:14" ht="20.100000000000001" customHeight="1" thickTop="1">
      <c r="G18" s="10"/>
    </row>
  </sheetData>
  <mergeCells count="7">
    <mergeCell ref="B15:G15"/>
    <mergeCell ref="B12:G12"/>
    <mergeCell ref="B2:G2"/>
    <mergeCell ref="B3:G3"/>
    <mergeCell ref="B7:G7"/>
    <mergeCell ref="B8:G8"/>
    <mergeCell ref="B11:G11"/>
  </mergeCells>
  <phoneticPr fontId="2" type="noConversion"/>
  <printOptions horizontalCentered="1"/>
  <pageMargins left="0.74803149606299213" right="0.74803149606299213" top="0.98425196850393704" bottom="0.47244094488188981" header="0.51181102362204722" footer="0.51181102362204722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8</vt:i4>
      </vt:variant>
    </vt:vector>
  </HeadingPairs>
  <TitlesOfParts>
    <vt:vector size="17" baseType="lpstr">
      <vt:lpstr>결재</vt:lpstr>
      <vt:lpstr>원가계산서</vt:lpstr>
      <vt:lpstr>현장대리인 내역서(총괄)</vt:lpstr>
      <vt:lpstr>현장대리인 내역서(1인당)</vt:lpstr>
      <vt:lpstr>모니터링요원(조장)(총괄)</vt:lpstr>
      <vt:lpstr>모니터링 요원(조장) 내역서(1인당)</vt:lpstr>
      <vt:lpstr>모니터링요원(총괄)</vt:lpstr>
      <vt:lpstr>모니터링 요원  내역서(1인당)</vt:lpstr>
      <vt:lpstr>(참고)생활임금적용</vt:lpstr>
      <vt:lpstr>'(참고)생활임금적용'!Print_Area</vt:lpstr>
      <vt:lpstr>'모니터링 요원  내역서(1인당)'!Print_Area</vt:lpstr>
      <vt:lpstr>'모니터링 요원(조장) 내역서(1인당)'!Print_Area</vt:lpstr>
      <vt:lpstr>'모니터링요원(조장)(총괄)'!Print_Area</vt:lpstr>
      <vt:lpstr>'모니터링요원(총괄)'!Print_Area</vt:lpstr>
      <vt:lpstr>원가계산서!Print_Area</vt:lpstr>
      <vt:lpstr>'현장대리인 내역서(1인당)'!Print_Area</vt:lpstr>
      <vt:lpstr>'현장대리인 내역서(총괄)'!Print_Area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21-1-000</cp:lastModifiedBy>
  <cp:lastPrinted>2026-08-14T08:26:49Z</cp:lastPrinted>
  <dcterms:created xsi:type="dcterms:W3CDTF">2010-11-24T06:29:57Z</dcterms:created>
  <dcterms:modified xsi:type="dcterms:W3CDTF">2026-10-08T01:14:18Z</dcterms:modified>
</cp:coreProperties>
</file>