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ju\Desktop\공내역서 모음\"/>
    </mc:Choice>
  </mc:AlternateContent>
  <xr:revisionPtr revIDLastSave="0" documentId="8_{B7F3ED9D-5774-4846-A523-A4C51CA55405}" xr6:coauthVersionLast="36" xr6:coauthVersionMax="36" xr10:uidLastSave="{00000000-0000-0000-0000-000000000000}"/>
  <bookViews>
    <workbookView xWindow="32760" yWindow="32760" windowWidth="21360" windowHeight="7680" firstSheet="10" activeTab="10"/>
  </bookViews>
  <sheets>
    <sheet name="자재단가" sheetId="1" state="hidden" r:id="rId1"/>
    <sheet name="노임단가" sheetId="2" state="hidden" r:id="rId2"/>
    <sheet name="견적및기타" sheetId="3" state="hidden" r:id="rId3"/>
    <sheet name="건설기계 적용기준" sheetId="4" state="hidden" r:id="rId4"/>
    <sheet name="건설기계" sheetId="5" state="hidden" r:id="rId5"/>
    <sheet name="건설기계 목록" sheetId="6" state="hidden" r:id="rId6"/>
    <sheet name="단가산출" sheetId="7" state="hidden" r:id="rId7"/>
    <sheet name="단가산출 목록" sheetId="8" state="hidden" r:id="rId8"/>
    <sheet name="일위대가" sheetId="9" state="hidden" r:id="rId9"/>
    <sheet name="일위대가 목록" sheetId="10" state="hidden" r:id="rId10"/>
    <sheet name="내역서" sheetId="11" r:id="rId11"/>
    <sheet name="원가계산서" sheetId="12" r:id="rId12"/>
    <sheet name="총공사비집계표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Single"/>
      </xcalcf:calcFeatures>
    </ext>
  </extLst>
</workbook>
</file>

<file path=xl/calcChain.xml><?xml version="1.0" encoding="utf-8"?>
<calcChain xmlns="http://schemas.openxmlformats.org/spreadsheetml/2006/main">
  <c r="J6" i="5" l="1"/>
  <c r="L6" i="5"/>
  <c r="J7" i="5"/>
  <c r="L7" i="5"/>
  <c r="H8" i="5"/>
  <c r="L8" i="5"/>
  <c r="C9" i="5"/>
  <c r="H9" i="5"/>
  <c r="E9" i="5"/>
  <c r="E10" i="5"/>
  <c r="F10" i="5"/>
  <c r="H10" i="5"/>
  <c r="J10" i="5"/>
  <c r="L10" i="5"/>
  <c r="J14" i="5"/>
  <c r="L14" i="5"/>
  <c r="J15" i="5"/>
  <c r="L15" i="5"/>
  <c r="H16" i="5"/>
  <c r="L16" i="5"/>
  <c r="C17" i="5"/>
  <c r="E17" i="5"/>
  <c r="H17" i="5"/>
  <c r="J17" i="5"/>
  <c r="L17" i="5"/>
  <c r="E18" i="5"/>
  <c r="H18" i="5"/>
  <c r="J18" i="5"/>
  <c r="L18" i="5"/>
  <c r="J22" i="5"/>
  <c r="L22" i="5"/>
  <c r="L27" i="5"/>
  <c r="J23" i="5"/>
  <c r="L23" i="5"/>
  <c r="H24" i="5"/>
  <c r="L24" i="5"/>
  <c r="C25" i="5"/>
  <c r="E25" i="5"/>
  <c r="H25" i="5"/>
  <c r="F25" i="5"/>
  <c r="J25" i="5"/>
  <c r="L25" i="5"/>
  <c r="E26" i="5"/>
  <c r="F26" i="5"/>
  <c r="H26" i="5"/>
  <c r="J26" i="5"/>
  <c r="L26" i="5"/>
  <c r="J30" i="5"/>
  <c r="L30" i="5"/>
  <c r="J31" i="5"/>
  <c r="L31" i="5"/>
  <c r="H32" i="5"/>
  <c r="I32" i="5"/>
  <c r="E32" i="5"/>
  <c r="J32" i="5"/>
  <c r="L32" i="5"/>
  <c r="C33" i="5"/>
  <c r="L33" i="5"/>
  <c r="E33" i="5"/>
  <c r="H33" i="5"/>
  <c r="J33" i="5"/>
  <c r="F33" i="5"/>
  <c r="E34" i="5"/>
  <c r="H34" i="5"/>
  <c r="J34" i="5"/>
  <c r="L34" i="5"/>
  <c r="F34" i="5"/>
  <c r="J38" i="5"/>
  <c r="L38" i="5"/>
  <c r="J39" i="5"/>
  <c r="L39" i="5"/>
  <c r="F40" i="5"/>
  <c r="H40" i="5"/>
  <c r="I40" i="5"/>
  <c r="E40" i="5"/>
  <c r="J40" i="5"/>
  <c r="L40" i="5"/>
  <c r="C41" i="5"/>
  <c r="H41" i="5"/>
  <c r="E41" i="5"/>
  <c r="E42" i="5"/>
  <c r="F42" i="5"/>
  <c r="H42" i="5"/>
  <c r="J42" i="5"/>
  <c r="L42" i="5"/>
  <c r="J46" i="5"/>
  <c r="J50" i="5"/>
  <c r="L46" i="5"/>
  <c r="J47" i="5"/>
  <c r="L47" i="5"/>
  <c r="C48" i="5"/>
  <c r="E48" i="5"/>
  <c r="H48" i="5"/>
  <c r="J48" i="5"/>
  <c r="F48" i="5"/>
  <c r="L48" i="5"/>
  <c r="E49" i="5"/>
  <c r="H49" i="5"/>
  <c r="J49" i="5"/>
  <c r="L49" i="5"/>
  <c r="F49" i="5"/>
  <c r="J53" i="5"/>
  <c r="L53" i="5"/>
  <c r="J54" i="5"/>
  <c r="L54" i="5"/>
  <c r="H55" i="5"/>
  <c r="L55" i="5"/>
  <c r="C56" i="5"/>
  <c r="H56" i="5"/>
  <c r="E56" i="5"/>
  <c r="E58" i="5"/>
  <c r="H58" i="5"/>
  <c r="J58" i="5"/>
  <c r="F58" i="5"/>
  <c r="L58" i="5"/>
  <c r="C62" i="5"/>
  <c r="J62" i="5"/>
  <c r="J64" i="5"/>
  <c r="I57" i="5"/>
  <c r="J57" i="5"/>
  <c r="E62" i="5"/>
  <c r="H62" i="5"/>
  <c r="H64" i="5"/>
  <c r="E63" i="5"/>
  <c r="H63" i="5"/>
  <c r="F63" i="5"/>
  <c r="J63" i="5"/>
  <c r="L63" i="5"/>
  <c r="J67" i="5"/>
  <c r="L67" i="5"/>
  <c r="J68" i="5"/>
  <c r="L68" i="5"/>
  <c r="H69" i="5"/>
  <c r="L69" i="5"/>
  <c r="C70" i="5"/>
  <c r="E70" i="5"/>
  <c r="H70" i="5"/>
  <c r="J70" i="5"/>
  <c r="L70" i="5"/>
  <c r="F70" i="5"/>
  <c r="E71" i="5"/>
  <c r="H71" i="5"/>
  <c r="J71" i="5"/>
  <c r="F71" i="5"/>
  <c r="L71" i="5"/>
  <c r="J75" i="5"/>
  <c r="L75" i="5"/>
  <c r="J76" i="5"/>
  <c r="L76" i="5"/>
  <c r="H77" i="5"/>
  <c r="I77" i="5"/>
  <c r="L77" i="5"/>
  <c r="C78" i="5"/>
  <c r="H78" i="5"/>
  <c r="E78" i="5"/>
  <c r="L78" i="5"/>
  <c r="E79" i="5"/>
  <c r="H79" i="5"/>
  <c r="F79" i="5"/>
  <c r="J79" i="5"/>
  <c r="L79" i="5"/>
  <c r="L80" i="5"/>
  <c r="J83" i="5"/>
  <c r="L83" i="5"/>
  <c r="J84" i="5"/>
  <c r="L84" i="5"/>
  <c r="H85" i="5"/>
  <c r="I85" i="5"/>
  <c r="E85" i="5"/>
  <c r="L85" i="5"/>
  <c r="C86" i="5"/>
  <c r="L86" i="5"/>
  <c r="E86" i="5"/>
  <c r="E87" i="5"/>
  <c r="H87" i="5"/>
  <c r="J87" i="5"/>
  <c r="L87" i="5"/>
  <c r="G12" i="6"/>
  <c r="E5" i="3"/>
  <c r="J5" i="3"/>
  <c r="K5" i="3"/>
  <c r="L5" i="3"/>
  <c r="M5" i="3"/>
  <c r="E6" i="3"/>
  <c r="J6" i="3"/>
  <c r="K6" i="3"/>
  <c r="L6" i="3"/>
  <c r="M6" i="3"/>
  <c r="E7" i="3"/>
  <c r="K7" i="3"/>
  <c r="L7" i="3"/>
  <c r="M7" i="3"/>
  <c r="H12" i="11"/>
  <c r="J12" i="11"/>
  <c r="L12" i="11"/>
  <c r="H18" i="11"/>
  <c r="J18" i="11"/>
  <c r="L18" i="11"/>
  <c r="H25" i="11"/>
  <c r="J25" i="11"/>
  <c r="L25" i="11"/>
  <c r="H26" i="11"/>
  <c r="J26" i="11"/>
  <c r="L26" i="11"/>
  <c r="F26" i="11"/>
  <c r="J29" i="11"/>
  <c r="J28" i="11"/>
  <c r="J27" i="11"/>
  <c r="L29" i="11"/>
  <c r="J30" i="11"/>
  <c r="L30" i="11"/>
  <c r="L28" i="11"/>
  <c r="J31" i="11"/>
  <c r="L31" i="11"/>
  <c r="J33" i="11"/>
  <c r="L33" i="11"/>
  <c r="J34" i="11"/>
  <c r="J32" i="11"/>
  <c r="L34" i="11"/>
  <c r="L32" i="11"/>
  <c r="L27" i="11"/>
  <c r="I36" i="11"/>
  <c r="J36" i="11"/>
  <c r="J35" i="11"/>
  <c r="K36" i="11"/>
  <c r="L36" i="11"/>
  <c r="L35" i="11"/>
  <c r="K5" i="2"/>
  <c r="K6" i="2"/>
  <c r="K7" i="2"/>
  <c r="K8" i="2"/>
  <c r="K9" i="2"/>
  <c r="I8" i="5"/>
  <c r="K10" i="2"/>
  <c r="I16" i="5"/>
  <c r="E16" i="5"/>
  <c r="K11" i="2"/>
  <c r="K82" i="7"/>
  <c r="K12" i="2"/>
  <c r="K13" i="2"/>
  <c r="J10" i="7"/>
  <c r="T10" i="7"/>
  <c r="AD10" i="7"/>
  <c r="J12" i="7"/>
  <c r="V12" i="7"/>
  <c r="J14" i="7"/>
  <c r="K30" i="7"/>
  <c r="U30" i="7"/>
  <c r="AF30" i="7"/>
  <c r="K32" i="7"/>
  <c r="S32" i="7"/>
  <c r="AD32" i="7"/>
  <c r="K34" i="7"/>
  <c r="AL34" i="7"/>
  <c r="CX51" i="7"/>
  <c r="K57" i="7"/>
  <c r="U57" i="7"/>
  <c r="AE57" i="7"/>
  <c r="AI57" i="7"/>
  <c r="AP57" i="7"/>
  <c r="K59" i="7"/>
  <c r="Q59" i="7"/>
  <c r="X59" i="7"/>
  <c r="AJ59" i="7"/>
  <c r="K61" i="7"/>
  <c r="CX78" i="7"/>
  <c r="U82" i="7"/>
  <c r="AE82" i="7"/>
  <c r="U84" i="7"/>
  <c r="AE84" i="7"/>
  <c r="CY88" i="7"/>
  <c r="DA88" i="7"/>
  <c r="J92" i="7"/>
  <c r="W92" i="7"/>
  <c r="Z108" i="7"/>
  <c r="Z110" i="7"/>
  <c r="Y112" i="7"/>
  <c r="Z122" i="7"/>
  <c r="CX135" i="7"/>
  <c r="K139" i="7"/>
  <c r="W139" i="7"/>
  <c r="AI139" i="7"/>
  <c r="AM139" i="7"/>
  <c r="AT139" i="7"/>
  <c r="J141" i="7"/>
  <c r="X141" i="7"/>
  <c r="J143" i="7"/>
  <c r="J157" i="7"/>
  <c r="V157" i="7"/>
  <c r="AG157" i="7"/>
  <c r="I159" i="7"/>
  <c r="U159" i="7"/>
  <c r="I161" i="7"/>
  <c r="T161" i="7"/>
  <c r="M161" i="7"/>
  <c r="AG161" i="7"/>
  <c r="AS161" i="7"/>
  <c r="AJ169" i="7"/>
  <c r="T163" i="7"/>
  <c r="AA163" i="7"/>
  <c r="Z165" i="7"/>
  <c r="Y167" i="7"/>
  <c r="O169" i="7"/>
  <c r="X169" i="7"/>
  <c r="AE169" i="7"/>
  <c r="J171" i="7"/>
  <c r="V171" i="7"/>
  <c r="AH171" i="7"/>
  <c r="AY171" i="7"/>
  <c r="I175" i="7"/>
  <c r="CX192" i="7"/>
  <c r="J198" i="7"/>
  <c r="P200" i="7"/>
  <c r="DA200" i="7"/>
  <c r="DA210" i="7"/>
  <c r="V200" i="7"/>
  <c r="AC200" i="7"/>
  <c r="CX200" i="7"/>
  <c r="D206" i="7"/>
  <c r="O206" i="7"/>
  <c r="DA206" i="7"/>
  <c r="CX206" i="7"/>
  <c r="U206" i="7"/>
  <c r="CY210" i="7"/>
  <c r="CZ210" i="7"/>
  <c r="CY212" i="7"/>
  <c r="CZ212" i="7"/>
  <c r="CX215" i="7"/>
  <c r="L219" i="7"/>
  <c r="L221" i="7"/>
  <c r="L223" i="7"/>
  <c r="X223" i="7"/>
  <c r="L225" i="7"/>
  <c r="L229" i="7"/>
  <c r="K231" i="7"/>
  <c r="U245" i="7"/>
  <c r="AK245" i="7"/>
  <c r="CY249" i="7"/>
  <c r="DA249" i="7"/>
  <c r="H253" i="7"/>
  <c r="AA253" i="7"/>
  <c r="H255" i="7"/>
  <c r="R255" i="7"/>
  <c r="O259" i="7"/>
  <c r="Y259" i="7"/>
  <c r="AF259" i="7"/>
  <c r="I261" i="7"/>
  <c r="R261" i="7"/>
  <c r="H265" i="7"/>
  <c r="CY275" i="7"/>
  <c r="CZ275" i="7"/>
  <c r="CX282" i="7"/>
  <c r="H286" i="7"/>
  <c r="AJ290" i="7"/>
  <c r="AA286" i="7"/>
  <c r="AG286" i="7"/>
  <c r="AN286" i="7"/>
  <c r="H288" i="7"/>
  <c r="R288" i="7"/>
  <c r="AD288" i="7"/>
  <c r="N290" i="7"/>
  <c r="X290" i="7"/>
  <c r="AE290" i="7"/>
  <c r="H292" i="7"/>
  <c r="S292" i="7"/>
  <c r="G296" i="7"/>
  <c r="CY306" i="7"/>
  <c r="CZ306" i="7"/>
  <c r="CZ308" i="7"/>
  <c r="J23" i="11"/>
  <c r="CY308" i="7"/>
  <c r="H23" i="11"/>
  <c r="CX311" i="7"/>
  <c r="R315" i="7"/>
  <c r="M317" i="7"/>
  <c r="X317" i="7"/>
  <c r="AH319" i="7"/>
  <c r="AJ317" i="7"/>
  <c r="AD319" i="7"/>
  <c r="R321" i="7"/>
  <c r="AA321" i="7"/>
  <c r="AH321" i="7"/>
  <c r="L325" i="7"/>
  <c r="Q325" i="7"/>
  <c r="AM329" i="7"/>
  <c r="CY335" i="7"/>
  <c r="CZ335" i="7"/>
  <c r="CZ337" i="7"/>
  <c r="CY337" i="7"/>
  <c r="CX340" i="7"/>
  <c r="R344" i="7"/>
  <c r="AM350" i="7"/>
  <c r="M346" i="7"/>
  <c r="X346" i="7"/>
  <c r="AJ346" i="7"/>
  <c r="AD348" i="7"/>
  <c r="R350" i="7"/>
  <c r="AA350" i="7"/>
  <c r="AH350" i="7"/>
  <c r="L354" i="7"/>
  <c r="Q354" i="7"/>
  <c r="AM358" i="7"/>
  <c r="CY364" i="7"/>
  <c r="CZ364" i="7"/>
  <c r="CZ366" i="7"/>
  <c r="G13" i="8"/>
  <c r="CX369" i="7"/>
  <c r="O379" i="7"/>
  <c r="O383" i="7"/>
  <c r="CY387" i="7"/>
  <c r="CZ387" i="7"/>
  <c r="CZ389" i="7"/>
  <c r="CY389" i="7"/>
  <c r="F9" i="8"/>
  <c r="G9" i="8"/>
  <c r="G11" i="8"/>
  <c r="G12" i="8"/>
  <c r="E22" i="9"/>
  <c r="F22" i="9"/>
  <c r="H22" i="9"/>
  <c r="J22" i="9"/>
  <c r="L22" i="9"/>
  <c r="E23" i="9"/>
  <c r="H23" i="9"/>
  <c r="J23" i="9"/>
  <c r="F23" i="9"/>
  <c r="L23" i="9"/>
  <c r="E24" i="9"/>
  <c r="F24" i="9"/>
  <c r="H24" i="9"/>
  <c r="I24" i="9"/>
  <c r="J24" i="9"/>
  <c r="L24" i="9"/>
  <c r="H25" i="9"/>
  <c r="I25" i="9"/>
  <c r="L25" i="9"/>
  <c r="H27" i="9"/>
  <c r="J27" i="9"/>
  <c r="E28" i="9"/>
  <c r="E29" i="9"/>
  <c r="E33" i="9"/>
  <c r="H33" i="9"/>
  <c r="J33" i="9"/>
  <c r="L33" i="9"/>
  <c r="E34" i="9"/>
  <c r="H34" i="9"/>
  <c r="J34" i="9"/>
  <c r="F34" i="9"/>
  <c r="L34" i="9"/>
  <c r="E35" i="9"/>
  <c r="H35" i="9"/>
  <c r="I35" i="9"/>
  <c r="J35" i="9"/>
  <c r="F35" i="9"/>
  <c r="L35" i="9"/>
  <c r="H36" i="9"/>
  <c r="I36" i="9"/>
  <c r="L36" i="9"/>
  <c r="H38" i="9"/>
  <c r="J38" i="9"/>
  <c r="E39" i="9"/>
  <c r="E40" i="9"/>
  <c r="E44" i="9"/>
  <c r="F44" i="9"/>
  <c r="H44" i="9"/>
  <c r="J44" i="9"/>
  <c r="L44" i="9"/>
  <c r="G45" i="9"/>
  <c r="E45" i="9"/>
  <c r="H45" i="9"/>
  <c r="J45" i="9"/>
  <c r="L45" i="9"/>
  <c r="J46" i="9"/>
  <c r="L46" i="9"/>
  <c r="J47" i="9"/>
  <c r="L47" i="9"/>
  <c r="E48" i="9"/>
  <c r="H48" i="9"/>
  <c r="I48" i="9"/>
  <c r="J48" i="9"/>
  <c r="L48" i="9"/>
  <c r="H49" i="9"/>
  <c r="I49" i="9"/>
  <c r="E49" i="9"/>
  <c r="J49" i="9"/>
  <c r="L49" i="9"/>
  <c r="H50" i="9"/>
  <c r="J50" i="9"/>
  <c r="E54" i="9"/>
  <c r="H54" i="9"/>
  <c r="J54" i="9"/>
  <c r="L54" i="9"/>
  <c r="E55" i="9"/>
  <c r="F55" i="9"/>
  <c r="H55" i="9"/>
  <c r="J55" i="9"/>
  <c r="L55" i="9"/>
  <c r="E56" i="9"/>
  <c r="H56" i="9"/>
  <c r="I56" i="9"/>
  <c r="J56" i="9"/>
  <c r="L56" i="9"/>
  <c r="H57" i="9"/>
  <c r="L57" i="9"/>
  <c r="H58" i="9"/>
  <c r="J58" i="9"/>
  <c r="J59" i="9"/>
  <c r="L59" i="9"/>
  <c r="E60" i="9"/>
  <c r="E64" i="9"/>
  <c r="H64" i="9"/>
  <c r="F64" i="9"/>
  <c r="J64" i="9"/>
  <c r="L64" i="9"/>
  <c r="H66" i="9"/>
  <c r="I66" i="9"/>
  <c r="E66" i="9"/>
  <c r="L66" i="9"/>
  <c r="H67" i="9"/>
  <c r="F67" i="9"/>
  <c r="I67" i="9"/>
  <c r="J67" i="9"/>
  <c r="L67" i="9"/>
  <c r="J68" i="9"/>
  <c r="L68" i="9"/>
  <c r="H69" i="9"/>
  <c r="J69" i="9"/>
  <c r="E73" i="9"/>
  <c r="H73" i="9"/>
  <c r="J73" i="9"/>
  <c r="J76" i="9"/>
  <c r="L73" i="9"/>
  <c r="L76" i="9"/>
  <c r="G74" i="9"/>
  <c r="H74" i="9"/>
  <c r="J74" i="9"/>
  <c r="L74" i="9"/>
  <c r="H75" i="9"/>
  <c r="F75" i="9"/>
  <c r="J75" i="9"/>
  <c r="L75" i="9"/>
  <c r="E79" i="9"/>
  <c r="H79" i="9"/>
  <c r="F79" i="9"/>
  <c r="J79" i="9"/>
  <c r="L79" i="9"/>
  <c r="E85" i="9"/>
  <c r="H85" i="9"/>
  <c r="J85" i="9"/>
  <c r="L85" i="9"/>
  <c r="E86" i="9"/>
  <c r="H86" i="9"/>
  <c r="J86" i="9"/>
  <c r="L86" i="9"/>
  <c r="F86" i="9"/>
  <c r="H87" i="9"/>
  <c r="I87" i="9"/>
  <c r="E87" i="9"/>
  <c r="L87" i="9"/>
  <c r="E88" i="9"/>
  <c r="H88" i="9"/>
  <c r="H90" i="9"/>
  <c r="I88" i="9"/>
  <c r="J88" i="9"/>
  <c r="L88" i="9"/>
  <c r="H89" i="9"/>
  <c r="J89" i="9"/>
  <c r="J93" i="9"/>
  <c r="L93" i="9"/>
  <c r="H94" i="9"/>
  <c r="L94" i="9"/>
  <c r="L95" i="9"/>
  <c r="J98" i="9"/>
  <c r="L98" i="9"/>
  <c r="E99" i="9"/>
  <c r="H99" i="9"/>
  <c r="F99" i="9"/>
  <c r="J99" i="9"/>
  <c r="L99" i="9"/>
  <c r="J100" i="9"/>
  <c r="L100" i="9"/>
  <c r="H101" i="9"/>
  <c r="I101" i="9"/>
  <c r="J101" i="9"/>
  <c r="F101" i="9"/>
  <c r="L101" i="9"/>
  <c r="R5" i="1"/>
  <c r="R6" i="1"/>
  <c r="R7" i="1"/>
  <c r="H30" i="11"/>
  <c r="F30" i="11"/>
  <c r="R8" i="1"/>
  <c r="R9" i="1"/>
  <c r="G59" i="9"/>
  <c r="E59" i="9"/>
  <c r="R10" i="1"/>
  <c r="G99" i="9"/>
  <c r="R11" i="1"/>
  <c r="R12" i="1"/>
  <c r="R13" i="1"/>
  <c r="G75" i="9"/>
  <c r="E75" i="9"/>
  <c r="R14" i="1"/>
  <c r="G93" i="9"/>
  <c r="E93" i="9"/>
  <c r="R15" i="1"/>
  <c r="G98" i="9"/>
  <c r="R16" i="1"/>
  <c r="G100" i="9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F15" i="10"/>
  <c r="G80" i="9"/>
  <c r="G13" i="10"/>
  <c r="I65" i="9"/>
  <c r="J65" i="9"/>
  <c r="H93" i="9"/>
  <c r="F14" i="8"/>
  <c r="L36" i="7"/>
  <c r="G10" i="6"/>
  <c r="F16" i="5"/>
  <c r="F41" i="5"/>
  <c r="K14" i="9"/>
  <c r="L14" i="9"/>
  <c r="L15" i="9"/>
  <c r="H16" i="10"/>
  <c r="G46" i="9"/>
  <c r="G47" i="9"/>
  <c r="F45" i="9"/>
  <c r="AM321" i="7"/>
  <c r="W323" i="7"/>
  <c r="AB325" i="7"/>
  <c r="E101" i="9"/>
  <c r="F73" i="9"/>
  <c r="H76" i="9"/>
  <c r="H59" i="9"/>
  <c r="F59" i="9"/>
  <c r="E25" i="9"/>
  <c r="J25" i="9"/>
  <c r="E98" i="9"/>
  <c r="H98" i="9"/>
  <c r="F88" i="9"/>
  <c r="E36" i="9"/>
  <c r="J36" i="9"/>
  <c r="K38" i="9"/>
  <c r="F49" i="9"/>
  <c r="L102" i="9"/>
  <c r="H33" i="11"/>
  <c r="F33" i="11"/>
  <c r="E74" i="9"/>
  <c r="H13" i="10"/>
  <c r="K65" i="9"/>
  <c r="L65" i="9"/>
  <c r="F56" i="9"/>
  <c r="CX210" i="7"/>
  <c r="DA212" i="7"/>
  <c r="H29" i="11"/>
  <c r="F74" i="9"/>
  <c r="AH348" i="7"/>
  <c r="W352" i="7"/>
  <c r="AB354" i="7"/>
  <c r="J21" i="11"/>
  <c r="F85" i="9"/>
  <c r="G14" i="8"/>
  <c r="J24" i="11"/>
  <c r="J102" i="9"/>
  <c r="K50" i="9"/>
  <c r="F54" i="9"/>
  <c r="F12" i="8"/>
  <c r="F48" i="9"/>
  <c r="J51" i="9"/>
  <c r="E67" i="9"/>
  <c r="E100" i="9"/>
  <c r="H100" i="9"/>
  <c r="F100" i="9"/>
  <c r="CY366" i="7"/>
  <c r="H36" i="11"/>
  <c r="F36" i="11"/>
  <c r="AM61" i="7"/>
  <c r="F200" i="7"/>
  <c r="AI200" i="7"/>
  <c r="J7" i="3"/>
  <c r="G6" i="5"/>
  <c r="G38" i="5"/>
  <c r="G53" i="5"/>
  <c r="G83" i="5"/>
  <c r="G30" i="5"/>
  <c r="G67" i="5"/>
  <c r="G14" i="5"/>
  <c r="G46" i="5"/>
  <c r="AA206" i="7"/>
  <c r="H21" i="11"/>
  <c r="H20" i="11"/>
  <c r="G75" i="5"/>
  <c r="G57" i="5"/>
  <c r="F12" i="6"/>
  <c r="G22" i="5"/>
  <c r="J16" i="5"/>
  <c r="AK259" i="7"/>
  <c r="L19" i="5"/>
  <c r="AR82" i="7"/>
  <c r="CZ82" i="7"/>
  <c r="L35" i="5"/>
  <c r="AJ167" i="7"/>
  <c r="AS173" i="7"/>
  <c r="AJ175" i="7"/>
  <c r="AM143" i="7"/>
  <c r="L88" i="5"/>
  <c r="E77" i="5"/>
  <c r="J77" i="5"/>
  <c r="L72" i="5"/>
  <c r="J35" i="5"/>
  <c r="F18" i="5"/>
  <c r="E8" i="5"/>
  <c r="J8" i="5"/>
  <c r="F87" i="5"/>
  <c r="F77" i="5"/>
  <c r="J87" i="9"/>
  <c r="J66" i="9"/>
  <c r="F33" i="9"/>
  <c r="AH92" i="7"/>
  <c r="H14" i="6"/>
  <c r="L124" i="7"/>
  <c r="X124" i="7"/>
  <c r="DA124" i="7"/>
  <c r="J19" i="5"/>
  <c r="AT34" i="7"/>
  <c r="AL14" i="7"/>
  <c r="F17" i="5"/>
  <c r="J86" i="5"/>
  <c r="H86" i="5"/>
  <c r="K245" i="7"/>
  <c r="AQ245" i="7"/>
  <c r="CZ245" i="7"/>
  <c r="K84" i="7"/>
  <c r="AR84" i="7"/>
  <c r="CZ84" i="7"/>
  <c r="CX84" i="7"/>
  <c r="I57" i="9"/>
  <c r="F25" i="9"/>
  <c r="AG294" i="7"/>
  <c r="AE296" i="7"/>
  <c r="AI223" i="7"/>
  <c r="AA227" i="7"/>
  <c r="L50" i="5"/>
  <c r="F32" i="5"/>
  <c r="K181" i="7"/>
  <c r="H7" i="6"/>
  <c r="I69" i="5"/>
  <c r="L56" i="5"/>
  <c r="F56" i="5"/>
  <c r="L41" i="5"/>
  <c r="L43" i="5"/>
  <c r="L9" i="5"/>
  <c r="L11" i="5"/>
  <c r="L62" i="5"/>
  <c r="J56" i="5"/>
  <c r="J41" i="5"/>
  <c r="J43" i="5"/>
  <c r="J9" i="5"/>
  <c r="F9" i="5"/>
  <c r="F11" i="8"/>
  <c r="I24" i="5"/>
  <c r="J85" i="5"/>
  <c r="J88" i="5"/>
  <c r="J78" i="5"/>
  <c r="J80" i="5"/>
  <c r="I55" i="5"/>
  <c r="L122" i="7"/>
  <c r="AD122" i="7"/>
  <c r="CZ122" i="7"/>
  <c r="CZ128" i="7"/>
  <c r="G14" i="6"/>
  <c r="L235" i="7"/>
  <c r="L147" i="7"/>
  <c r="Z147" i="7"/>
  <c r="CZ147" i="7"/>
  <c r="G15" i="6"/>
  <c r="CX245" i="7"/>
  <c r="CZ249" i="7"/>
  <c r="CX249" i="7"/>
  <c r="J300" i="7"/>
  <c r="X300" i="7"/>
  <c r="DA300" i="7"/>
  <c r="CX300" i="7"/>
  <c r="G6" i="6"/>
  <c r="J269" i="7"/>
  <c r="F13" i="10"/>
  <c r="E13" i="10"/>
  <c r="F76" i="9"/>
  <c r="G65" i="9"/>
  <c r="F85" i="5"/>
  <c r="E38" i="5"/>
  <c r="H38" i="5"/>
  <c r="F29" i="11"/>
  <c r="H80" i="9"/>
  <c r="E53" i="5"/>
  <c r="H53" i="5"/>
  <c r="E24" i="5"/>
  <c r="J24" i="5"/>
  <c r="F78" i="5"/>
  <c r="T36" i="7"/>
  <c r="CZ36" i="7"/>
  <c r="CZ44" i="7"/>
  <c r="H10" i="6"/>
  <c r="L40" i="7"/>
  <c r="X40" i="7"/>
  <c r="DA40" i="7"/>
  <c r="I9" i="9"/>
  <c r="J9" i="9"/>
  <c r="G10" i="10"/>
  <c r="H9" i="8"/>
  <c r="E9" i="8"/>
  <c r="H8" i="6"/>
  <c r="L100" i="7"/>
  <c r="Z100" i="7"/>
  <c r="DA100" i="7"/>
  <c r="L67" i="7"/>
  <c r="AA67" i="7"/>
  <c r="DA67" i="7"/>
  <c r="L20" i="7"/>
  <c r="Z20" i="7"/>
  <c r="DA20" i="7"/>
  <c r="CX212" i="7"/>
  <c r="E30" i="5"/>
  <c r="H30" i="5"/>
  <c r="CZ88" i="7"/>
  <c r="CX82" i="7"/>
  <c r="L110" i="7"/>
  <c r="AF110" i="7"/>
  <c r="CZ110" i="7"/>
  <c r="G9" i="6"/>
  <c r="H6" i="6"/>
  <c r="J271" i="7"/>
  <c r="J302" i="7"/>
  <c r="W302" i="7"/>
  <c r="DA302" i="7"/>
  <c r="CX302" i="7"/>
  <c r="E55" i="5"/>
  <c r="J55" i="5"/>
  <c r="J69" i="5"/>
  <c r="E69" i="5"/>
  <c r="K69" i="9"/>
  <c r="F66" i="9"/>
  <c r="E83" i="5"/>
  <c r="H83" i="5"/>
  <c r="J70" i="9"/>
  <c r="F86" i="5"/>
  <c r="X181" i="7"/>
  <c r="DA181" i="7"/>
  <c r="E6" i="5"/>
  <c r="H6" i="5"/>
  <c r="E38" i="9"/>
  <c r="L38" i="9"/>
  <c r="F38" i="9"/>
  <c r="H60" i="9"/>
  <c r="F98" i="9"/>
  <c r="H102" i="9"/>
  <c r="E47" i="9"/>
  <c r="H47" i="9"/>
  <c r="F47" i="9"/>
  <c r="I94" i="9"/>
  <c r="H95" i="9"/>
  <c r="F93" i="9"/>
  <c r="L149" i="7"/>
  <c r="Z149" i="7"/>
  <c r="DA149" i="7"/>
  <c r="H15" i="6"/>
  <c r="L237" i="7"/>
  <c r="K18" i="9"/>
  <c r="L18" i="9"/>
  <c r="L19" i="9"/>
  <c r="H17" i="10"/>
  <c r="R257" i="7"/>
  <c r="AH263" i="7"/>
  <c r="AF265" i="7"/>
  <c r="AE231" i="7"/>
  <c r="CX124" i="7"/>
  <c r="DA128" i="7"/>
  <c r="J11" i="5"/>
  <c r="F8" i="5"/>
  <c r="L64" i="5"/>
  <c r="F62" i="5"/>
  <c r="L18" i="7"/>
  <c r="Z18" i="7"/>
  <c r="CZ18" i="7"/>
  <c r="L65" i="7"/>
  <c r="AA65" i="7"/>
  <c r="CZ65" i="7"/>
  <c r="L98" i="7"/>
  <c r="Z98" i="7"/>
  <c r="CZ98" i="7"/>
  <c r="G8" i="6"/>
  <c r="H46" i="5"/>
  <c r="E46" i="5"/>
  <c r="E46" i="9"/>
  <c r="H46" i="9"/>
  <c r="F36" i="9"/>
  <c r="H5" i="6"/>
  <c r="O331" i="7"/>
  <c r="AB331" i="7"/>
  <c r="DA331" i="7"/>
  <c r="CX331" i="7"/>
  <c r="H13" i="6"/>
  <c r="K26" i="9"/>
  <c r="L26" i="9"/>
  <c r="K37" i="9"/>
  <c r="L37" i="9"/>
  <c r="L39" i="9"/>
  <c r="L40" i="9"/>
  <c r="L41" i="9"/>
  <c r="E22" i="5"/>
  <c r="H22" i="5"/>
  <c r="H14" i="5"/>
  <c r="E14" i="5"/>
  <c r="F13" i="8"/>
  <c r="E50" i="9"/>
  <c r="L50" i="9"/>
  <c r="H24" i="11"/>
  <c r="H57" i="5"/>
  <c r="K89" i="9"/>
  <c r="J90" i="9"/>
  <c r="F87" i="9"/>
  <c r="E75" i="5"/>
  <c r="H75" i="5"/>
  <c r="H9" i="6"/>
  <c r="L112" i="7"/>
  <c r="AE112" i="7"/>
  <c r="DA112" i="7"/>
  <c r="J57" i="9"/>
  <c r="E57" i="9"/>
  <c r="H67" i="5"/>
  <c r="E67" i="5"/>
  <c r="I18" i="9"/>
  <c r="J18" i="9"/>
  <c r="J19" i="9"/>
  <c r="G17" i="10"/>
  <c r="K27" i="9"/>
  <c r="L16" i="11"/>
  <c r="H6" i="10"/>
  <c r="DA44" i="7"/>
  <c r="CX40" i="7"/>
  <c r="DA24" i="7"/>
  <c r="DA46" i="7"/>
  <c r="DA48" i="7"/>
  <c r="CX20" i="7"/>
  <c r="H31" i="11"/>
  <c r="CZ116" i="7"/>
  <c r="CZ130" i="7"/>
  <c r="CZ132" i="7"/>
  <c r="CX110" i="7"/>
  <c r="G68" i="5"/>
  <c r="F67" i="5"/>
  <c r="G47" i="5"/>
  <c r="F46" i="5"/>
  <c r="CX88" i="7"/>
  <c r="L27" i="9"/>
  <c r="F27" i="9"/>
  <c r="E27" i="9"/>
  <c r="L51" i="9"/>
  <c r="F50" i="9"/>
  <c r="DA71" i="7"/>
  <c r="DA73" i="7"/>
  <c r="DA75" i="7"/>
  <c r="CX67" i="7"/>
  <c r="G23" i="5"/>
  <c r="F22" i="5"/>
  <c r="G18" i="9"/>
  <c r="F102" i="9"/>
  <c r="F17" i="10"/>
  <c r="E17" i="10"/>
  <c r="CX65" i="7"/>
  <c r="CZ71" i="7"/>
  <c r="CZ73" i="7"/>
  <c r="CZ75" i="7"/>
  <c r="CX149" i="7"/>
  <c r="DA153" i="7"/>
  <c r="DA185" i="7"/>
  <c r="CX181" i="7"/>
  <c r="CZ153" i="7"/>
  <c r="CX147" i="7"/>
  <c r="CZ104" i="7"/>
  <c r="CX98" i="7"/>
  <c r="H61" i="9"/>
  <c r="F30" i="5"/>
  <c r="G31" i="5"/>
  <c r="K58" i="9"/>
  <c r="J60" i="9"/>
  <c r="J61" i="9"/>
  <c r="F57" i="9"/>
  <c r="CX18" i="7"/>
  <c r="CZ24" i="7"/>
  <c r="CZ46" i="7"/>
  <c r="CZ48" i="7"/>
  <c r="F55" i="5"/>
  <c r="J59" i="5"/>
  <c r="DA104" i="7"/>
  <c r="CX100" i="7"/>
  <c r="H34" i="11"/>
  <c r="F34" i="11"/>
  <c r="O327" i="7"/>
  <c r="AB327" i="7"/>
  <c r="DA327" i="7"/>
  <c r="G5" i="6"/>
  <c r="E94" i="9"/>
  <c r="J94" i="9"/>
  <c r="W271" i="7"/>
  <c r="DA271" i="7"/>
  <c r="CX271" i="7"/>
  <c r="AA235" i="7"/>
  <c r="CZ235" i="7"/>
  <c r="G54" i="5"/>
  <c r="F53" i="5"/>
  <c r="K7" i="9"/>
  <c r="L7" i="9"/>
  <c r="H9" i="10"/>
  <c r="L69" i="9"/>
  <c r="E69" i="9"/>
  <c r="X269" i="7"/>
  <c r="DA269" i="7"/>
  <c r="CX269" i="7"/>
  <c r="L28" i="9"/>
  <c r="L29" i="9"/>
  <c r="L30" i="9"/>
  <c r="L17" i="11"/>
  <c r="H7" i="10"/>
  <c r="AA237" i="7"/>
  <c r="DA237" i="7"/>
  <c r="F69" i="5"/>
  <c r="J72" i="5"/>
  <c r="G39" i="5"/>
  <c r="F38" i="5"/>
  <c r="G15" i="10"/>
  <c r="I80" i="9"/>
  <c r="G12" i="10"/>
  <c r="I8" i="9"/>
  <c r="J8" i="9"/>
  <c r="L21" i="11"/>
  <c r="L20" i="11"/>
  <c r="L19" i="11"/>
  <c r="L7" i="13"/>
  <c r="CX112" i="7"/>
  <c r="DA116" i="7"/>
  <c r="F6" i="5"/>
  <c r="G7" i="5"/>
  <c r="F75" i="5"/>
  <c r="G76" i="5"/>
  <c r="K57" i="5"/>
  <c r="H12" i="6"/>
  <c r="E12" i="6"/>
  <c r="F64" i="5"/>
  <c r="F46" i="9"/>
  <c r="H51" i="9"/>
  <c r="G14" i="9"/>
  <c r="F16" i="10"/>
  <c r="G7" i="10"/>
  <c r="J17" i="11"/>
  <c r="E89" i="9"/>
  <c r="L89" i="9"/>
  <c r="G15" i="5"/>
  <c r="F14" i="5"/>
  <c r="F83" i="5"/>
  <c r="G84" i="5"/>
  <c r="J27" i="5"/>
  <c r="F24" i="5"/>
  <c r="E65" i="9"/>
  <c r="H65" i="9"/>
  <c r="J10" i="11"/>
  <c r="G7" i="8"/>
  <c r="E47" i="5"/>
  <c r="H47" i="5"/>
  <c r="L9" i="11"/>
  <c r="H6" i="8"/>
  <c r="CX327" i="7"/>
  <c r="H31" i="5"/>
  <c r="E31" i="5"/>
  <c r="F89" i="9"/>
  <c r="L90" i="9"/>
  <c r="H76" i="5"/>
  <c r="E76" i="5"/>
  <c r="E68" i="5"/>
  <c r="H68" i="5"/>
  <c r="G13" i="6"/>
  <c r="I26" i="9"/>
  <c r="J26" i="9"/>
  <c r="J28" i="9"/>
  <c r="J29" i="9"/>
  <c r="J30" i="9"/>
  <c r="I37" i="9"/>
  <c r="J37" i="9"/>
  <c r="J39" i="9"/>
  <c r="J40" i="9"/>
  <c r="J41" i="9"/>
  <c r="J9" i="11"/>
  <c r="G6" i="8"/>
  <c r="H84" i="5"/>
  <c r="E84" i="5"/>
  <c r="G81" i="9"/>
  <c r="F11" i="10"/>
  <c r="F31" i="11"/>
  <c r="H28" i="11"/>
  <c r="J95" i="9"/>
  <c r="F94" i="9"/>
  <c r="CX237" i="7"/>
  <c r="DA241" i="7"/>
  <c r="DA130" i="7"/>
  <c r="DA132" i="7"/>
  <c r="K6" i="9"/>
  <c r="L6" i="9"/>
  <c r="H8" i="10"/>
  <c r="I81" i="9"/>
  <c r="J81" i="9"/>
  <c r="G11" i="10"/>
  <c r="E7" i="5"/>
  <c r="H7" i="5"/>
  <c r="L58" i="9"/>
  <c r="E58" i="9"/>
  <c r="K179" i="7"/>
  <c r="Y179" i="7"/>
  <c r="CZ179" i="7"/>
  <c r="G7" i="6"/>
  <c r="E39" i="5"/>
  <c r="H39" i="5"/>
  <c r="H14" i="9"/>
  <c r="F69" i="9"/>
  <c r="L70" i="9"/>
  <c r="K9" i="9"/>
  <c r="L9" i="9"/>
  <c r="H10" i="10"/>
  <c r="H5" i="8"/>
  <c r="L8" i="11"/>
  <c r="G68" i="9"/>
  <c r="F65" i="9"/>
  <c r="J80" i="9"/>
  <c r="DA187" i="7"/>
  <c r="DA189" i="7"/>
  <c r="G9" i="9"/>
  <c r="F51" i="9"/>
  <c r="F10" i="10"/>
  <c r="E10" i="10"/>
  <c r="E15" i="5"/>
  <c r="H15" i="5"/>
  <c r="E54" i="5"/>
  <c r="H54" i="5"/>
  <c r="G11" i="6"/>
  <c r="O356" i="7"/>
  <c r="AB356" i="7"/>
  <c r="DA356" i="7"/>
  <c r="E18" i="9"/>
  <c r="H18" i="9"/>
  <c r="L57" i="5"/>
  <c r="E57" i="5"/>
  <c r="CX235" i="7"/>
  <c r="CZ241" i="7"/>
  <c r="CZ277" i="7"/>
  <c r="CZ279" i="7"/>
  <c r="G5" i="8"/>
  <c r="J8" i="11"/>
  <c r="E23" i="5"/>
  <c r="H23" i="5"/>
  <c r="F39" i="5"/>
  <c r="H43" i="5"/>
  <c r="L10" i="11"/>
  <c r="H7" i="8"/>
  <c r="F15" i="5"/>
  <c r="H19" i="5"/>
  <c r="E68" i="9"/>
  <c r="H68" i="9"/>
  <c r="I7" i="9"/>
  <c r="J7" i="9"/>
  <c r="G9" i="10"/>
  <c r="L60" i="9"/>
  <c r="F58" i="9"/>
  <c r="I6" i="9"/>
  <c r="J6" i="9"/>
  <c r="G8" i="10"/>
  <c r="CZ185" i="7"/>
  <c r="CZ187" i="7"/>
  <c r="CZ189" i="7"/>
  <c r="CX179" i="7"/>
  <c r="J22" i="11"/>
  <c r="J20" i="11"/>
  <c r="J19" i="11"/>
  <c r="J7" i="13"/>
  <c r="G10" i="8"/>
  <c r="E9" i="9"/>
  <c r="H9" i="9"/>
  <c r="F9" i="9"/>
  <c r="F47" i="5"/>
  <c r="H50" i="5"/>
  <c r="CX356" i="7"/>
  <c r="K8" i="9"/>
  <c r="L8" i="9"/>
  <c r="H12" i="10"/>
  <c r="F84" i="5"/>
  <c r="H88" i="5"/>
  <c r="F7" i="5"/>
  <c r="H11" i="5"/>
  <c r="H8" i="8"/>
  <c r="L11" i="11"/>
  <c r="L7" i="11"/>
  <c r="L6" i="11"/>
  <c r="H15" i="9"/>
  <c r="F76" i="5"/>
  <c r="H80" i="5"/>
  <c r="J82" i="9"/>
  <c r="F31" i="5"/>
  <c r="H35" i="5"/>
  <c r="L59" i="5"/>
  <c r="F57" i="5"/>
  <c r="H19" i="9"/>
  <c r="F18" i="9"/>
  <c r="I14" i="9"/>
  <c r="G16" i="10"/>
  <c r="E16" i="10"/>
  <c r="F95" i="9"/>
  <c r="F68" i="5"/>
  <c r="H72" i="5"/>
  <c r="F23" i="5"/>
  <c r="H27" i="5"/>
  <c r="F54" i="5"/>
  <c r="H59" i="5"/>
  <c r="H81" i="9"/>
  <c r="K80" i="9"/>
  <c r="H15" i="10"/>
  <c r="E15" i="10"/>
  <c r="F90" i="9"/>
  <c r="F11" i="6"/>
  <c r="E11" i="6"/>
  <c r="O358" i="7"/>
  <c r="AX358" i="7"/>
  <c r="DA358" i="7"/>
  <c r="F59" i="5"/>
  <c r="F8" i="6"/>
  <c r="E8" i="6"/>
  <c r="L16" i="7"/>
  <c r="Z16" i="7"/>
  <c r="CY16" i="7"/>
  <c r="L63" i="7"/>
  <c r="AA63" i="7"/>
  <c r="CY63" i="7"/>
  <c r="L96" i="7"/>
  <c r="Z96" i="7"/>
  <c r="CY96" i="7"/>
  <c r="F35" i="5"/>
  <c r="F5" i="6"/>
  <c r="E5" i="6"/>
  <c r="F11" i="5"/>
  <c r="O329" i="7"/>
  <c r="AX329" i="7"/>
  <c r="DA329" i="7"/>
  <c r="H11" i="6"/>
  <c r="O360" i="7"/>
  <c r="AB360" i="7"/>
  <c r="DA360" i="7"/>
  <c r="CX360" i="7"/>
  <c r="F68" i="9"/>
  <c r="H70" i="9"/>
  <c r="J267" i="7"/>
  <c r="W267" i="7"/>
  <c r="DA267" i="7"/>
  <c r="F19" i="5"/>
  <c r="F6" i="6"/>
  <c r="E6" i="6"/>
  <c r="J298" i="7"/>
  <c r="W298" i="7"/>
  <c r="DA298" i="7"/>
  <c r="L61" i="9"/>
  <c r="F60" i="9"/>
  <c r="G37" i="9"/>
  <c r="G26" i="9"/>
  <c r="F13" i="6"/>
  <c r="E13" i="6"/>
  <c r="F72" i="5"/>
  <c r="I10" i="9"/>
  <c r="J10" i="9"/>
  <c r="G14" i="10"/>
  <c r="F15" i="6"/>
  <c r="E15" i="6"/>
  <c r="L145" i="7"/>
  <c r="Z145" i="7"/>
  <c r="CY145" i="7"/>
  <c r="F88" i="5"/>
  <c r="L233" i="7"/>
  <c r="AA233" i="7"/>
  <c r="CY233" i="7"/>
  <c r="L38" i="7"/>
  <c r="X38" i="7"/>
  <c r="CY38" i="7"/>
  <c r="F10" i="6"/>
  <c r="E10" i="6"/>
  <c r="F50" i="5"/>
  <c r="K177" i="7"/>
  <c r="AS177" i="7"/>
  <c r="CY177" i="7"/>
  <c r="F27" i="5"/>
  <c r="F7" i="6"/>
  <c r="E7" i="6"/>
  <c r="F14" i="6"/>
  <c r="E14" i="6"/>
  <c r="L120" i="7"/>
  <c r="X120" i="7"/>
  <c r="CY120" i="7"/>
  <c r="F80" i="5"/>
  <c r="H82" i="9"/>
  <c r="F6" i="10"/>
  <c r="J11" i="9"/>
  <c r="F9" i="6"/>
  <c r="E9" i="6"/>
  <c r="F43" i="5"/>
  <c r="L108" i="7"/>
  <c r="AF108" i="7"/>
  <c r="CY108" i="7"/>
  <c r="J11" i="11"/>
  <c r="G8" i="8"/>
  <c r="L80" i="9"/>
  <c r="E80" i="9"/>
  <c r="J14" i="9"/>
  <c r="E14" i="9"/>
  <c r="F7" i="10"/>
  <c r="E7" i="10"/>
  <c r="F19" i="9"/>
  <c r="CY241" i="7"/>
  <c r="CX233" i="7"/>
  <c r="CY71" i="7"/>
  <c r="CX63" i="7"/>
  <c r="E37" i="9"/>
  <c r="H37" i="9"/>
  <c r="H17" i="11"/>
  <c r="H11" i="10"/>
  <c r="E11" i="10"/>
  <c r="K81" i="9"/>
  <c r="F61" i="9"/>
  <c r="CY24" i="7"/>
  <c r="CX16" i="7"/>
  <c r="DA306" i="7"/>
  <c r="CX298" i="7"/>
  <c r="G10" i="9"/>
  <c r="F14" i="10"/>
  <c r="CX267" i="7"/>
  <c r="DA275" i="7"/>
  <c r="CX96" i="7"/>
  <c r="CY104" i="7"/>
  <c r="CY128" i="7"/>
  <c r="CX128" i="7"/>
  <c r="CX120" i="7"/>
  <c r="F70" i="9"/>
  <c r="F12" i="10"/>
  <c r="E12" i="10"/>
  <c r="G8" i="9"/>
  <c r="J15" i="11"/>
  <c r="J14" i="11"/>
  <c r="J13" i="11"/>
  <c r="J6" i="13"/>
  <c r="G5" i="10"/>
  <c r="H16" i="11"/>
  <c r="J15" i="9"/>
  <c r="F14" i="9"/>
  <c r="CX358" i="7"/>
  <c r="DA364" i="7"/>
  <c r="CY44" i="7"/>
  <c r="CX44" i="7"/>
  <c r="CX38" i="7"/>
  <c r="CX145" i="7"/>
  <c r="CY153" i="7"/>
  <c r="F80" i="9"/>
  <c r="CX108" i="7"/>
  <c r="CY116" i="7"/>
  <c r="CX116" i="7"/>
  <c r="CX177" i="7"/>
  <c r="CY185" i="7"/>
  <c r="CX185" i="7"/>
  <c r="E26" i="9"/>
  <c r="H26" i="9"/>
  <c r="CX329" i="7"/>
  <c r="DA335" i="7"/>
  <c r="CX104" i="7"/>
  <c r="CY130" i="7"/>
  <c r="CY46" i="7"/>
  <c r="CX24" i="7"/>
  <c r="G6" i="10"/>
  <c r="E6" i="10"/>
  <c r="F15" i="9"/>
  <c r="CY187" i="7"/>
  <c r="CX153" i="7"/>
  <c r="F37" i="9"/>
  <c r="H39" i="9"/>
  <c r="CX275" i="7"/>
  <c r="DA277" i="7"/>
  <c r="DA279" i="7"/>
  <c r="DA366" i="7"/>
  <c r="CX364" i="7"/>
  <c r="DA337" i="7"/>
  <c r="CX335" i="7"/>
  <c r="H10" i="9"/>
  <c r="L81" i="9"/>
  <c r="E81" i="9"/>
  <c r="F26" i="9"/>
  <c r="H28" i="9"/>
  <c r="E8" i="9"/>
  <c r="H8" i="9"/>
  <c r="F8" i="9"/>
  <c r="CY73" i="7"/>
  <c r="CX71" i="7"/>
  <c r="DA308" i="7"/>
  <c r="CX306" i="7"/>
  <c r="CX241" i="7"/>
  <c r="CY277" i="7"/>
  <c r="CX187" i="7"/>
  <c r="CY189" i="7"/>
  <c r="H12" i="8"/>
  <c r="E12" i="8"/>
  <c r="DA379" i="7"/>
  <c r="CX337" i="7"/>
  <c r="E379" i="7"/>
  <c r="S379" i="7"/>
  <c r="H11" i="8"/>
  <c r="E11" i="8"/>
  <c r="CX308" i="7"/>
  <c r="J16" i="11"/>
  <c r="F81" i="9"/>
  <c r="L82" i="9"/>
  <c r="DA383" i="7"/>
  <c r="CX383" i="7"/>
  <c r="H13" i="8"/>
  <c r="E13" i="8"/>
  <c r="E383" i="7"/>
  <c r="S383" i="7"/>
  <c r="CX366" i="7"/>
  <c r="CY279" i="7"/>
  <c r="CX277" i="7"/>
  <c r="F28" i="9"/>
  <c r="H29" i="9"/>
  <c r="CX46" i="7"/>
  <c r="CY48" i="7"/>
  <c r="CX73" i="7"/>
  <c r="CY75" i="7"/>
  <c r="CY132" i="7"/>
  <c r="CX130" i="7"/>
  <c r="H40" i="9"/>
  <c r="F39" i="9"/>
  <c r="L22" i="11"/>
  <c r="H10" i="8"/>
  <c r="L23" i="11"/>
  <c r="DA387" i="7"/>
  <c r="CX379" i="7"/>
  <c r="H30" i="9"/>
  <c r="F29" i="9"/>
  <c r="F10" i="8"/>
  <c r="E10" i="8"/>
  <c r="CX279" i="7"/>
  <c r="CX132" i="7"/>
  <c r="F7" i="8"/>
  <c r="E7" i="8"/>
  <c r="CX189" i="7"/>
  <c r="F8" i="8"/>
  <c r="E8" i="8"/>
  <c r="F5" i="8"/>
  <c r="E5" i="8"/>
  <c r="CX48" i="7"/>
  <c r="F40" i="9"/>
  <c r="H41" i="9"/>
  <c r="F6" i="8"/>
  <c r="E6" i="8"/>
  <c r="CX75" i="7"/>
  <c r="H14" i="10"/>
  <c r="E14" i="10"/>
  <c r="K10" i="9"/>
  <c r="F82" i="9"/>
  <c r="H9" i="11"/>
  <c r="H7" i="11"/>
  <c r="H22" i="11"/>
  <c r="H8" i="11"/>
  <c r="L10" i="9"/>
  <c r="E10" i="9"/>
  <c r="DA389" i="7"/>
  <c r="CX387" i="7"/>
  <c r="H11" i="11"/>
  <c r="G7" i="9"/>
  <c r="F41" i="9"/>
  <c r="F9" i="10"/>
  <c r="E9" i="10"/>
  <c r="G6" i="9"/>
  <c r="F8" i="10"/>
  <c r="E8" i="10"/>
  <c r="F30" i="9"/>
  <c r="H10" i="11"/>
  <c r="H14" i="8"/>
  <c r="E14" i="8"/>
  <c r="CX389" i="7"/>
  <c r="E6" i="9"/>
  <c r="H6" i="9"/>
  <c r="F8" i="11"/>
  <c r="L11" i="9"/>
  <c r="F10" i="9"/>
  <c r="H7" i="9"/>
  <c r="F7" i="9"/>
  <c r="E7" i="9"/>
  <c r="L15" i="11"/>
  <c r="L14" i="11"/>
  <c r="L13" i="11"/>
  <c r="L6" i="13"/>
  <c r="H5" i="10"/>
  <c r="F6" i="9"/>
  <c r="H11" i="9"/>
  <c r="L24" i="11"/>
  <c r="F24" i="11"/>
  <c r="F11" i="9"/>
  <c r="F5" i="10"/>
  <c r="E5" i="10"/>
  <c r="H15" i="11"/>
  <c r="H14" i="11"/>
  <c r="L5" i="13"/>
  <c r="L8" i="13"/>
  <c r="L5" i="11"/>
  <c r="C8" i="12"/>
  <c r="F11" i="11"/>
  <c r="F25" i="11"/>
  <c r="F18" i="11"/>
  <c r="F21" i="11"/>
  <c r="F9" i="11"/>
  <c r="F12" i="11"/>
  <c r="F10" i="11"/>
  <c r="J7" i="11"/>
  <c r="J6" i="11"/>
  <c r="F28" i="11"/>
  <c r="F22" i="11"/>
  <c r="F23" i="11"/>
  <c r="F16" i="11"/>
  <c r="F17" i="11"/>
  <c r="F7" i="11"/>
  <c r="H6" i="11"/>
  <c r="H19" i="11"/>
  <c r="F20" i="11"/>
  <c r="H13" i="11"/>
  <c r="F14" i="11"/>
  <c r="F15" i="11"/>
  <c r="H35" i="11"/>
  <c r="F35" i="11"/>
  <c r="H32" i="11"/>
  <c r="J5" i="11"/>
  <c r="C7" i="12"/>
  <c r="J5" i="13"/>
  <c r="J8" i="13"/>
  <c r="F32" i="11"/>
  <c r="H27" i="11"/>
  <c r="F27" i="11"/>
  <c r="F27" i="13"/>
  <c r="F13" i="11"/>
  <c r="H6" i="13"/>
  <c r="F6" i="13"/>
  <c r="H5" i="11"/>
  <c r="F6" i="11"/>
  <c r="H5" i="13"/>
  <c r="F19" i="11"/>
  <c r="H7" i="13"/>
  <c r="F7" i="13"/>
  <c r="C13" i="12"/>
  <c r="F13" i="13"/>
  <c r="C12" i="12"/>
  <c r="C10" i="12"/>
  <c r="F10" i="13"/>
  <c r="C9" i="12"/>
  <c r="F9" i="13"/>
  <c r="F5" i="11"/>
  <c r="C5" i="12"/>
  <c r="C6" i="12"/>
  <c r="F5" i="13"/>
  <c r="H8" i="13"/>
  <c r="F8" i="13"/>
  <c r="C14" i="12"/>
  <c r="F14" i="13"/>
  <c r="F12" i="13"/>
  <c r="C11" i="12"/>
  <c r="F11" i="13"/>
  <c r="C20" i="12"/>
  <c r="F20" i="13"/>
  <c r="C19" i="12"/>
  <c r="F19" i="13"/>
  <c r="C17" i="12"/>
  <c r="F17" i="13"/>
  <c r="C16" i="12"/>
  <c r="F16" i="13"/>
  <c r="C18" i="12"/>
  <c r="F18" i="13"/>
  <c r="C15" i="12"/>
  <c r="C21" i="12"/>
  <c r="F21" i="13"/>
  <c r="F23" i="13"/>
  <c r="F15" i="13"/>
  <c r="F22" i="13"/>
  <c r="F24" i="13"/>
  <c r="F25" i="13"/>
  <c r="F26" i="13"/>
  <c r="F28" i="13"/>
</calcChain>
</file>

<file path=xl/sharedStrings.xml><?xml version="1.0" encoding="utf-8"?>
<sst xmlns="http://schemas.openxmlformats.org/spreadsheetml/2006/main" count="3134" uniqueCount="700">
  <si>
    <t xml:space="preserve">  4. 간 접 노 무 비</t>
  </si>
  <si>
    <t>[3+5]*&lt;3.56%&gt;</t>
  </si>
  <si>
    <t xml:space="preserve">  </t>
  </si>
  <si>
    <t>t</t>
  </si>
  <si>
    <t>t3</t>
  </si>
  <si>
    <t>(</t>
  </si>
  <si>
    <t>D</t>
  </si>
  <si>
    <t>0</t>
  </si>
  <si>
    <t/>
  </si>
  <si>
    <t>S2-0045</t>
  </si>
  <si>
    <t>순 성 토 운 반</t>
  </si>
  <si>
    <t>T3</t>
  </si>
  <si>
    <t>L</t>
  </si>
  <si>
    <t>hr</t>
  </si>
  <si>
    <t>,</t>
  </si>
  <si>
    <t xml:space="preserve"> 0.7 ton,조정원제외</t>
  </si>
  <si>
    <t xml:space="preserve"> </t>
  </si>
  <si>
    <t>[1+5..16]*&lt;8.0%&gt;</t>
  </si>
  <si>
    <t xml:space="preserve">      철 근 소 운 반</t>
  </si>
  <si>
    <t xml:space="preserve">  6. 고 용 보 험 료</t>
  </si>
  <si>
    <t xml:space="preserve">  건설기계운전사 : 283,297.00 x 16/12 x 1/8 x 25/20 = 59,020.00 원</t>
  </si>
  <si>
    <t>형  틀  목  공</t>
  </si>
  <si>
    <t>물 가 자 료</t>
  </si>
  <si>
    <t>방    수    공</t>
  </si>
  <si>
    <t>W0-0088</t>
  </si>
  <si>
    <t>W0-0084</t>
  </si>
  <si>
    <t>결    속    선</t>
  </si>
  <si>
    <t>:B103-00811</t>
  </si>
  <si>
    <t>수축이음(지수판)</t>
  </si>
  <si>
    <t>단 가</t>
  </si>
  <si>
    <t>16/12 * 1/8 * 25/20</t>
  </si>
  <si>
    <t xml:space="preserve">        소    계</t>
  </si>
  <si>
    <t xml:space="preserve">800x800,개거부 </t>
  </si>
  <si>
    <t>"◈ 레 미 콘 소 운 반(덤프2.5ton,L=0.06Km) ; ㎥당"&amp;C_&amp;C_"1. 운 반(덤프 트럭 2.5ton)"&amp;C_&amp;C_  L = 0.06 "km", q = 2.5 / 2.3  = "㎥/대" &amp;C_&amp;C_  f = 1.0, E = 0.95, T1 = 3&amp;C_&amp;C_ T2 = (?L / 10 + ?L / 15) * 60 = "min"&amp;C_&amp;C_ T3 = 0.8, T4 = 0.42&amp;C_&amp;C_ Cm = ?T1 + ?T2 + ?T3 + ?T4 =  "min"&amp;C_&amp;C_ Q = 60 * q * f * E / ?Cm=  "㎥/hr"&amp;C_&amp;C_  "재 료 비:"[D0602-0025:ME] / ?Q = "￦/㎥"&amp;C_&amp;C_  "노 무 비:"[D0602-0025:LE] / ?Q = "￦/㎥"&amp;C_&amp;C_  "경    비:"[D0602-0025] / ?Q = "￦/㎥"&amp;C_&amp;C_/==&amp;C_&amp;C_++&gt;&amp;C_</t>
  </si>
  <si>
    <t xml:space="preserve">   1.기계터파기(100%)굴삭기0.2㎥</t>
  </si>
  <si>
    <t>D0201-0040</t>
  </si>
  <si>
    <t xml:space="preserve">      성 토 및 다 짐</t>
  </si>
  <si>
    <t>제  13 호표 ：신 축 이 음 ㎡ 당</t>
  </si>
  <si>
    <t>B100-150-10</t>
  </si>
  <si>
    <t>굴삭기(무한궤도)</t>
  </si>
  <si>
    <t>트랙트및트레일러</t>
  </si>
  <si>
    <t>수량</t>
  </si>
  <si>
    <t xml:space="preserve">        순공사비</t>
  </si>
  <si>
    <t>B000-1704</t>
  </si>
  <si>
    <t>◈ 순 성 토 운 반(덤프4.5Ton,L=5.0Km) ; ㎥당</t>
  </si>
  <si>
    <t>㎥/대</t>
  </si>
  <si>
    <t>ton/hr</t>
  </si>
  <si>
    <t xml:space="preserve">내수합판12mm,1.22X2.44 </t>
  </si>
  <si>
    <t>산근   1 호표 ：성 토 및 다 짐 (굴삭기0.2㎥,기계100%) ㎥ 당</t>
  </si>
  <si>
    <t xml:space="preserve">      레미콘 소운반</t>
  </si>
  <si>
    <t xml:space="preserve">      배    수    로</t>
  </si>
  <si>
    <t>산근  1호표</t>
  </si>
  <si>
    <t>제   8 호표 ：합 판 거 푸 집 (6회,간단) ㎡ 당</t>
  </si>
  <si>
    <t>[20..21]</t>
  </si>
  <si>
    <t>qo</t>
  </si>
  <si>
    <t>금  액</t>
  </si>
  <si>
    <t xml:space="preserve">   17. 일 반 관 리 비</t>
  </si>
  <si>
    <t>qs</t>
  </si>
  <si>
    <t>:B100-150-60</t>
  </si>
  <si>
    <t>2085</t>
  </si>
  <si>
    <t>S_JB_HP_LAST</t>
  </si>
  <si>
    <t>S_K_SONLYO</t>
  </si>
  <si>
    <t>별 도 계 산</t>
  </si>
  <si>
    <t>회/hr</t>
  </si>
  <si>
    <t>재료비</t>
  </si>
  <si>
    <t>#W-13</t>
  </si>
  <si>
    <t>합 판 거 푸 집</t>
  </si>
  <si>
    <t>"◈ 터파기 (토사;굴삭기0.2㎥,;기계100%) ㎥ 당"&amp;C_&amp;C_   "* 품셈 8-2-3굴삭기 "&amp;C_&amp;C_&amp;C_   "1.기계터파기(100%)굴삭기0.2㎥"&amp;C_&amp;C_     q = 0.2, k = 0.9, f = 1 / 1.24 =&amp;C_&amp;C_     E = 0.7-0.05=, Cm = 15"Sec"&amp;C_&amp;C_     Q = 3600 * q * k * f * E / Cm = "㎥/hr"&amp;C_&amp;C_   "&amp;M_:" [D0201-0020] / ?Q  = "￦/㎥"&amp;C_&amp;C_   "&amp;L_:" [D0201-0020] / ?Q  = "￦/㎥"&amp;C_&amp;C_   "&amp;E_:" [D0201-0020] / ?Q  = "￦/㎥"&amp;C_&amp;C_&amp;C_/-&amp;C_&amp;C_+&gt;&amp;C_&amp;C_++&gt;</t>
  </si>
  <si>
    <t>☞품셈8-2-5</t>
  </si>
  <si>
    <t>#W-17</t>
  </si>
  <si>
    <t>[1+5..18]</t>
  </si>
  <si>
    <t>:D0211-00601</t>
  </si>
  <si>
    <t>울주군청 ------ 공사중점</t>
  </si>
  <si>
    <t>철  근  조  립</t>
  </si>
  <si>
    <t>2..2</t>
  </si>
  <si>
    <t xml:space="preserve">   18. 이          윤</t>
  </si>
  <si>
    <t>%GYE/??</t>
  </si>
  <si>
    <t>품셈6-1-1</t>
  </si>
  <si>
    <t>D0211-0018</t>
  </si>
  <si>
    <t>S_LABCGYESU</t>
  </si>
  <si>
    <t>재료비의</t>
  </si>
  <si>
    <t>기계손료</t>
  </si>
  <si>
    <t>M0901-500</t>
  </si>
  <si>
    <t>[8] x 13.14%</t>
  </si>
  <si>
    <t>제  6호표</t>
  </si>
  <si>
    <t>◈ 터파기 (토사;굴삭기0.2㎥,;기계100%) ㎥ 당</t>
  </si>
  <si>
    <t>단  가</t>
  </si>
  <si>
    <t>가 격 정 보</t>
  </si>
  <si>
    <t>%SUM</t>
  </si>
  <si>
    <t>[3] x 3.595%</t>
  </si>
  <si>
    <t>합판거푸집(재료비)</t>
  </si>
  <si>
    <t>M2351-200</t>
  </si>
  <si>
    <t>B103-0081</t>
  </si>
  <si>
    <t>원 가 계 산 서</t>
  </si>
  <si>
    <t>제  7호표</t>
  </si>
  <si>
    <t xml:space="preserve"> 태화강역 하치장-------공사중점 L = 20km이내</t>
  </si>
  <si>
    <t xml:space="preserve"> 철 근 운 반: ton 당</t>
  </si>
  <si>
    <t>⊙ 품셈8-2-9</t>
  </si>
  <si>
    <t xml:space="preserve">             계             </t>
  </si>
  <si>
    <t>Type-1,공장가공+현장조립</t>
  </si>
  <si>
    <t>D0602-0025</t>
  </si>
  <si>
    <t>덤  프  트  럭</t>
  </si>
  <si>
    <t xml:space="preserve">  7. 건 강 보 험 료</t>
  </si>
  <si>
    <t xml:space="preserve">    8. 건 강 보 험 료</t>
  </si>
  <si>
    <t>{B||*.순공사비|L}</t>
  </si>
  <si>
    <t>비      고</t>
  </si>
  <si>
    <t>B2009-S</t>
  </si>
  <si>
    <t>[4..17]</t>
  </si>
  <si>
    <t>기  구  손  료</t>
  </si>
  <si>
    <t>B01132</t>
  </si>
  <si>
    <t>:S2-002</t>
  </si>
  <si>
    <t>#W-22</t>
  </si>
  <si>
    <t>*. 순 공 사 비</t>
  </si>
  <si>
    <t>:S2-006</t>
  </si>
  <si>
    <t>30x1000x1000</t>
  </si>
  <si>
    <t xml:space="preserve">    9. 연 금 보 험 료</t>
  </si>
  <si>
    <t>Type-1,공장가공</t>
  </si>
  <si>
    <t xml:space="preserve"> 12. 기  타  경  비</t>
  </si>
  <si>
    <t>[3+5]*&lt;0.006%&gt;</t>
  </si>
  <si>
    <t>B000-6060</t>
  </si>
  <si>
    <t>분 로프해체시간</t>
  </si>
  <si>
    <t>산근   6 호표 ：철 근 소 운 반 (덤프2.5Ton,L=0.06Km) Ton 당</t>
  </si>
  <si>
    <t xml:space="preserve">    3. 직 접 노 무 비</t>
  </si>
  <si>
    <t>콘 크 리 트 공</t>
  </si>
  <si>
    <t>M000-1020</t>
  </si>
  <si>
    <t>일시공량63㎥적용</t>
  </si>
  <si>
    <t xml:space="preserve">"◈ 순 성 토 운 반(덤프4.5Ton,L=5.0Km) ; ㎥당"&amp;C_&amp;C_"1. 기 계 (굴삭기 0.4㎥)품셈8-2-3"&amp;C_&amp;C_    qs = 0.4 , k = 1.1 , f = 1/1.24 =&amp;C_&amp;C_    E = 0.50 , Cm = 15 "sec(90˚)"&amp;C_&amp;C_    Q = 3600*qs*k*f*E / Cm = "㎥/hr"&amp;C_&amp;C_   "&amp;M_:" [D0201-0040] / ?Q = "\/㎥"&amp;C_&amp;C_   "&amp;L_:" [D0201-0040] / ?Q = "\/㎥"&amp;C_&amp;C_   "&amp;E_:" [D0201-0040] / ?Q = "\/㎥"&amp;C_&amp;C_ /--&amp;C_+&gt;&amp;C_&amp;C_"2. 운 반(덤프4.5ton)"&amp;C_&amp;C_   Es = 0.50, Q1 = 4.5, qo = 1.60&amp;C_&amp;C_   k = 1.2, Cms = 15&amp;C_ &amp;C_   f = 1 / 1.24 = , E = 0.9 , L = 5.0"km"&amp;C_&amp;C_   q = ?Q1 / qo * 1.24 =&amp;C_&amp;C_   n = ?q / (?qs*?k) =&amp;C_&amp;C_   t1 = (?Cms*?n) / (60*?Es) ="min"&amp;C_ &amp;C_   t2 =(L/30+L/35)*60 = "min"&amp;C_&amp;C_   t3 = 1.05, t4 = 0.42, t5 = 0.5"(자동덮게)",t6=1.5&amp;C_&amp;C_   Cmt = ?t1 + ?t2 + ?t3 + ?t4 +?t5 + t6 ="min"&amp;C_&amp;C_   Q = 60 * ?q * ?f * ?E / ?Cmt = "㎥/hr"&amp;C_&amp;C_   "&amp;M_:"[D0602-0045] / ?Q*(Cmt-t1)/Cmt = "\/㎥"&amp;C_&amp;C_   "&amp;L_:"[D0602-0045] / ?Q = "\/㎥"&amp;C_&amp;C_   "&amp;E_:"[D0602-0045] / ?Q = "\/㎥"&amp;C_&amp;C_  /==&amp;C_+&gt;&amp;C_  ++&gt;&amp;C_ </t>
  </si>
  <si>
    <t>:D1306-0071</t>
  </si>
  <si>
    <t xml:space="preserve"> 1. 운반(10.5 ton 구역화물운임)</t>
  </si>
  <si>
    <t>산근   3 호표 ：되메우기및다짐 (소형장비사용) ㎥ 당</t>
  </si>
  <si>
    <t>2967</t>
  </si>
  <si>
    <t>"◈ 중 기 운 반 :  회당" &amp;C_&amp;C_"  1. 트레일러(15.0Ton)" &amp;C_&amp;C_    "울주군청 ------ 공사중점"  L = 8.0"km"&amp;C_&amp;C_      t1 = 10,  t3 = 10,   t4 = 0.42&amp;C_&amp;C_      t = (t1+t3+t4) * 2 =&amp;C_&amp;C_      t2 = (L/40+L/40) * 60 =&amp;C_&amp;C_      Cm = t + t2 =  "min"&amp;C_&amp;C_      N = 60 * 0.9 / Cm = "@C999 회/hr"&amp;C_&amp;C_       "&amp;L_:"[D0602-0150:LE] / N = "원/회"&amp;C_&amp;C_       "&amp;M_:"[D0602-0150:ME]/N*(Cm-t1*2)/Cm="원/회"&amp;C_&amp;C_       "&amp;E_:"[D0602-0150] / N = "원/회"&amp;C_&amp;C_    /--&amp;C_&amp;C_    ++&gt;&amp;C_</t>
  </si>
  <si>
    <t>공    종</t>
  </si>
  <si>
    <t>Cm</t>
  </si>
  <si>
    <t xml:space="preserve"> ：굴삭기(무한궤도) [0.4 ㎥]【기계가격：84,000 천원】</t>
  </si>
  <si>
    <t>S_2DRIVER</t>
  </si>
  <si>
    <t>재 료 비:</t>
  </si>
  <si>
    <t>cm</t>
  </si>
  <si>
    <t>15 Ton</t>
  </si>
  <si>
    <t>제   9 호표 ：합판거푸집(재료비) ㎡ 당</t>
  </si>
  <si>
    <t>2. 보 조 인 부</t>
  </si>
  <si>
    <t xml:space="preserve">   1) 굴삭기0.2㎥</t>
  </si>
  <si>
    <t>산근 10호표</t>
  </si>
  <si>
    <t>S_JB_JBK_RMK</t>
  </si>
  <si>
    <t>계 ÷ 55</t>
  </si>
  <si>
    <t>금  액  조  정</t>
  </si>
  <si>
    <t>[3]*&lt;3.595%&gt;</t>
  </si>
  <si>
    <t xml:space="preserve">      철  근  운  반</t>
  </si>
  <si>
    <t xml:space="preserve">       ------------------------------------------------------------</t>
  </si>
  <si>
    <t>\/㎥</t>
  </si>
  <si>
    <t>원/㎥</t>
  </si>
  <si>
    <t>S_1DRIVER</t>
  </si>
  <si>
    <t>M3501-700</t>
  </si>
  <si>
    <t>소  모  자  재</t>
  </si>
  <si>
    <t>#W-9</t>
  </si>
  <si>
    <t>#W-5</t>
  </si>
  <si>
    <t xml:space="preserve">  1. 트레일러(20.0Ton):----1대</t>
  </si>
  <si>
    <t>" 철 근 운 반: ton 당"&amp;C_&amp;C_ "태화강역 하치장-------공사중점 L = 20km이내"&amp;C_&amp;C_" 1. 운반(10.5 ton 구역화물운임) "&amp;C_&amp;C_    L = 20 "km적용"&amp;C_&amp;C_    [E1-010-020] / 1.1 / 10.5 * 1.6 =&amp;C_&amp;C_/--&amp;C_&amp;C_" 2. 하 차 비 "&amp;C_&amp;C_  [E000-1020] /1.1 *1.6 =&amp;C_&amp;C_ /==&amp;C_&amp;C_++&gt;</t>
  </si>
  <si>
    <t>[3+5]*&lt;0.090%&gt;</t>
  </si>
  <si>
    <t xml:space="preserve">  3) 진동 로울러:핸드가이드식0.7ton</t>
  </si>
  <si>
    <t>#B-9</t>
  </si>
  <si>
    <t xml:space="preserve">    1] 배  수  로</t>
  </si>
  <si>
    <t>6회,간단</t>
  </si>
  <si>
    <t>품    명</t>
  </si>
  <si>
    <t>공 장 관 리 비</t>
  </si>
  <si>
    <t>W1049</t>
  </si>
  <si>
    <t xml:space="preserve">    조 달 수 수 료</t>
  </si>
  <si>
    <t>[2+3] x 3.15% x 1.2</t>
  </si>
  <si>
    <t xml:space="preserve">      중 기 운 반 비</t>
  </si>
  <si>
    <t>S_VOLATILE</t>
  </si>
  <si>
    <t>[2+3]*&lt;3.15%&gt;*1.2</t>
  </si>
  <si>
    <t>유로품조립해체</t>
  </si>
  <si>
    <t>T4</t>
  </si>
  <si>
    <t>+</t>
  </si>
  <si>
    <t>K</t>
  </si>
  <si>
    <t>거 래 가 격</t>
  </si>
  <si>
    <t xml:space="preserve">  9. 노인요양보험료</t>
  </si>
  <si>
    <t>제   7 호표 ：철 근 조 립 (Type-1,현장조립) Ton 당</t>
  </si>
  <si>
    <t>무근구조물,장비사용</t>
  </si>
  <si>
    <t>t4</t>
  </si>
  <si>
    <t>W</t>
  </si>
  <si>
    <t>/</t>
  </si>
  <si>
    <t>k</t>
  </si>
  <si>
    <t>600×1200mm</t>
  </si>
  <si>
    <t>제   6 호표 ：유로품조립해체 (6회,보통) ㎡ 당</t>
  </si>
  <si>
    <t>소형장비사용</t>
  </si>
  <si>
    <t>S_JB_NO_JEOKYONG</t>
  </si>
  <si>
    <t>S_JB_HP_MAKE</t>
  </si>
  <si>
    <t xml:space="preserve"> 17. 이          윤</t>
  </si>
  <si>
    <t xml:space="preserve">   15. 석 면 분 담 금 </t>
  </si>
  <si>
    <t>재 료 비</t>
  </si>
  <si>
    <t>계 ÷ 63</t>
  </si>
  <si>
    <t>굴삭기0.2㎥,기계100%</t>
  </si>
  <si>
    <t>W0-0083</t>
  </si>
  <si>
    <t xml:space="preserve">     총  공  사  비</t>
  </si>
  <si>
    <t>%SON-LYO</t>
  </si>
  <si>
    <t>[1]*&lt;0.32%&gt;</t>
  </si>
  <si>
    <t xml:space="preserve">   16. 임금채권부담금</t>
  </si>
  <si>
    <t>(자동덮게)</t>
  </si>
  <si>
    <t>진동로울러(핸드가이드식)</t>
  </si>
  <si>
    <t>▣ 유 류 대</t>
  </si>
  <si>
    <t>산근  2호표</t>
  </si>
  <si>
    <t>제  9호표</t>
  </si>
  <si>
    <t>1. 현 장 조  립</t>
  </si>
  <si>
    <t>B2009-JS</t>
  </si>
  <si>
    <t>S_JB_METHOD</t>
  </si>
  <si>
    <t>수용성</t>
  </si>
  <si>
    <t>M0401-910</t>
  </si>
  <si>
    <t>주자재의</t>
  </si>
  <si>
    <t>S_GYESUDEC</t>
  </si>
  <si>
    <t xml:space="preserve">  ⊙ 노임산출계수(보통)</t>
  </si>
  <si>
    <t xml:space="preserve"> 10. 건설기계대여대금지급보증</t>
  </si>
  <si>
    <t>------------------------------</t>
  </si>
  <si>
    <t>(Cm</t>
  </si>
  <si>
    <t>Es</t>
  </si>
  <si>
    <t>소</t>
  </si>
  <si>
    <t>[1] x 0.8%</t>
  </si>
  <si>
    <t>:S008-000-010</t>
  </si>
  <si>
    <t xml:space="preserve"> ：덤  프  트  럭 (4.5 ton)【기계가격：25,662 천원】</t>
  </si>
  <si>
    <t xml:space="preserve"> 18. 부 가 가 치 세</t>
  </si>
  <si>
    <t xml:space="preserve">  3. 부    대    공</t>
  </si>
  <si>
    <t>인</t>
  </si>
  <si>
    <t>부 자 재</t>
  </si>
  <si>
    <t>sec</t>
  </si>
  <si>
    <t xml:space="preserve"> 0.4 ㎥</t>
  </si>
  <si>
    <t>㎏</t>
  </si>
  <si>
    <t>낙찰율(%)</t>
  </si>
  <si>
    <t>#W-10</t>
  </si>
  <si>
    <t>M25-18-12</t>
  </si>
  <si>
    <t>06/02</t>
  </si>
  <si>
    <t>#W-18</t>
  </si>
  <si>
    <t xml:space="preserve"> 15. 임금채권부담금</t>
  </si>
  <si>
    <t>#W-14</t>
  </si>
  <si>
    <t>15.0 ton</t>
  </si>
  <si>
    <t xml:space="preserve">    이  형  철  근</t>
  </si>
  <si>
    <t>"◈ 성토 및 다짐  (굴삭기0.2㎥;기계100%) : ㎥당"&amp;C_&amp;C_&amp;C_"1.기  계 (굴삭기0.2㎥)"&amp;C_&amp;C_    q = 0.2, k = 1.1, f = 1&amp;C_&amp;C_    E = 0.65, cm = 15"sec" &amp;C_&amp;C_    Q = 3600 * q * k * f * E / cm = "㎥/hr"&amp;C_&amp;C_    "&amp;M_:"[D0201-0020] / ?Q = "￦/㎥"&amp;C_&amp;C_    "&amp;L_:"[D0201-0020] / ?Q = "￦/㎥"&amp;C_&amp;C_    "&amp;E_:"[D0201-0020] / ?Q = "￦/㎥"&amp;C_&amp;C_/-&amp;C_&amp;C_+&gt;&amp;C_&amp;C_"2. 진동 로울러(핸드가이드식0.7ton)"&amp;C_&amp;C_ "* 품셈 8-2-9 롤러 "&amp;C_&amp;C_     V = 1.0, W = 0.65, E = 0.6 &amp;C_&amp;C_     N = 6, D = 0.30, F=1&amp;C_&amp;C_     Q = 1000*V*W*E*D*f*1/N = "㎥/hr"&amp;C_&amp;C_    "&amp;L_:"[D1306-0071]/Q= "원/㎥"&amp;C_&amp;C_    "&amp;M_:"[D1306-0071]/Q= "원/㎥"        &amp;C_&amp;C_    "&amp;E_:"[D1306-0071]/Q= "원/㎥"&amp;C_&amp;C_/-&amp;C_&amp;C_+&gt;&amp;C_&amp;C_++&gt;</t>
  </si>
  <si>
    <t xml:space="preserve"> ：덤  프  트  럭 (2.5 ton)【기계가격：21,982 천원】</t>
  </si>
  <si>
    <t>[3]*&lt;19.1%&gt;</t>
  </si>
  <si>
    <t>중  기  운  반</t>
  </si>
  <si>
    <t>ℓ</t>
  </si>
  <si>
    <t xml:space="preserve">    레    미    콘</t>
  </si>
  <si>
    <t xml:space="preserve">  경    유 : 1,657.00 원</t>
  </si>
  <si>
    <t>합    계</t>
  </si>
  <si>
    <t>SD400,HD13mm</t>
  </si>
  <si>
    <t>제  5호표</t>
  </si>
  <si>
    <t>트레일러20Ton</t>
  </si>
  <si>
    <t>2684</t>
  </si>
  <si>
    <t>2279</t>
  </si>
  <si>
    <t>M000-0001</t>
  </si>
  <si>
    <t>유 통 물 가</t>
  </si>
  <si>
    <t>:D0602-0045</t>
  </si>
  <si>
    <t>DX-150,150x5T</t>
  </si>
  <si>
    <t>덤프2.5Ton,L=0.06Km</t>
  </si>
  <si>
    <t>일시공량55㎥적용</t>
  </si>
  <si>
    <t>Type-1,현장조립</t>
  </si>
  <si>
    <t>품셈6-2-1</t>
  </si>
  <si>
    <t>중 기 운 반 비</t>
  </si>
  <si>
    <t>회</t>
  </si>
  <si>
    <t xml:space="preserve">    1. 순  공  사  비</t>
  </si>
  <si>
    <t xml:space="preserve">    1] 토      공</t>
  </si>
  <si>
    <t>철 근 소 운 반</t>
  </si>
  <si>
    <t>단 가 산 출  목 록 표</t>
  </si>
  <si>
    <t>:S111-002-A</t>
  </si>
  <si>
    <t>29</t>
  </si>
  <si>
    <t>◈ 중 기 운 반 비:  회당</t>
  </si>
  <si>
    <t>특별인부:</t>
  </si>
  <si>
    <t>철  근  가  공</t>
  </si>
  <si>
    <t>품셈6-3-1</t>
  </si>
  <si>
    <t>㎥/hr</t>
  </si>
  <si>
    <t>S_DRIVER</t>
  </si>
  <si>
    <t xml:space="preserve">   22. 관 급 자 재 대</t>
  </si>
  <si>
    <t>*. 관 급 자 재 대</t>
  </si>
  <si>
    <t xml:space="preserve">      순 성 토 운 반</t>
  </si>
  <si>
    <t>%RAN*ML</t>
  </si>
  <si>
    <t>산근   8 호표 ：중 기 운 반 (트레일러20Ton) 회 당</t>
  </si>
  <si>
    <t>3.4</t>
  </si>
  <si>
    <t>S_JB_AMTDEC</t>
  </si>
  <si>
    <t>외     송</t>
  </si>
  <si>
    <t>제  4호표</t>
  </si>
  <si>
    <t>◈ 레 미 콘 소 운 반(덤프2.5ton,L=0.06Km) ; ㎥당</t>
  </si>
  <si>
    <t>D0610-0150</t>
  </si>
  <si>
    <t>M000-0101</t>
  </si>
  <si>
    <t>"◈ 중 기 운 반 비:  회당" &amp;C_&amp;C_"  1. 트레일러(20.0Ton):----1대" &amp;C_&amp;C_"  2. 덤프트럭(15.0Ton):----1대" &amp;C_&amp;C_"------------------------------"&amp;C_&amp;C_  "트레일러(20ton):"&amp;C_&amp;C_   [S008-000-010]*1=&amp;C_&amp;C_  "덤프트럭(15ton):"&amp;C_&amp;C_   [S008-000-0105]*1=&amp;C_&amp;C_    /--&amp;C_&amp;C_    ++&gt;&amp;C_</t>
  </si>
  <si>
    <t>경 비(적용)</t>
  </si>
  <si>
    <t>성 토 및 다 짐</t>
  </si>
  <si>
    <t>주연료비의 %</t>
  </si>
  <si>
    <t>[1..3]</t>
  </si>
  <si>
    <t>[19..20]</t>
  </si>
  <si>
    <t xml:space="preserve">      되메우기및다짐</t>
  </si>
  <si>
    <t>S_JADD_MX2</t>
  </si>
  <si>
    <t>일반기계 운전사</t>
  </si>
  <si>
    <t>5..6</t>
  </si>
  <si>
    <t>계 ÷ 3.4</t>
  </si>
  <si>
    <t>:D1306-007</t>
  </si>
  <si>
    <t>D0602-0150</t>
  </si>
  <si>
    <t xml:space="preserve"> ：진동롤러(핸드가이드식) [0.7TON]【기계가격：6,966 천원】</t>
  </si>
  <si>
    <t>건설기계운전사</t>
  </si>
  <si>
    <t>2. 운 반(덤프4.5ton)</t>
  </si>
  <si>
    <t>분</t>
  </si>
  <si>
    <t>기손</t>
  </si>
  <si>
    <t>기타단가</t>
  </si>
  <si>
    <t>비  고</t>
  </si>
  <si>
    <t>%RAN*TM</t>
  </si>
  <si>
    <t>매</t>
  </si>
  <si>
    <t>{B||*.순공사비|M}</t>
  </si>
  <si>
    <t>:B103-0083</t>
  </si>
  <si>
    <t>B000-000-135</t>
  </si>
  <si>
    <t>B0113</t>
  </si>
  <si>
    <t>규 격</t>
  </si>
  <si>
    <t>대</t>
  </si>
  <si>
    <t>산근  3호표</t>
  </si>
  <si>
    <t>제  8호표</t>
  </si>
  <si>
    <t>#W-6</t>
  </si>
  <si>
    <t>경    비:</t>
  </si>
  <si>
    <t>:D0201-0020</t>
  </si>
  <si>
    <t>Φ 0.9mm</t>
  </si>
  <si>
    <t xml:space="preserve">  2. 배     수     공</t>
  </si>
  <si>
    <t>[3+4+5+6+7+8+9+10+11+12+13+14+15+16+17]  x 14.9879%</t>
  </si>
  <si>
    <t>:B2009-JS</t>
  </si>
  <si>
    <t>산근  10 호표 ：중 기 운 반 비 회 당</t>
  </si>
  <si>
    <t>산근   2 호표 ：터 파 기(토사,육상) (굴삭기0.2㎥,기계100%) ㎥ 당</t>
  </si>
  <si>
    <t xml:space="preserve">    주.야간 할증계수: 1.120</t>
  </si>
  <si>
    <t>#B-2</t>
  </si>
  <si>
    <t>노 임 단 가</t>
  </si>
  <si>
    <t>M4301-700</t>
  </si>
  <si>
    <t>[19+20]</t>
  </si>
  <si>
    <t>:S008-000-0105</t>
  </si>
  <si>
    <t>(Cmt</t>
  </si>
  <si>
    <t>계</t>
  </si>
  <si>
    <t>노무비:</t>
  </si>
  <si>
    <t>기구손료</t>
  </si>
  <si>
    <t>S111-002003</t>
  </si>
  <si>
    <t>S008-000-0105</t>
  </si>
  <si>
    <t>산근   9 호표 ：중 기 운 반 (덤프15.0Ton) 회 당</t>
  </si>
  <si>
    <t>D7204-005500</t>
  </si>
  <si>
    <t>S2-006</t>
  </si>
  <si>
    <t>분 : 로프결승시간</t>
  </si>
  <si>
    <t>신  축  이  음</t>
  </si>
  <si>
    <t>:B01132</t>
  </si>
  <si>
    <t>S2-002</t>
  </si>
  <si>
    <t>2113</t>
  </si>
  <si>
    <t>제  11 호표 ：철 근 가 공 (Type-1,공장가공) Ton 당</t>
  </si>
  <si>
    <t>레 미 콘 타 설</t>
  </si>
  <si>
    <t>T1</t>
  </si>
  <si>
    <t>t5</t>
  </si>
  <si>
    <t>N</t>
  </si>
  <si>
    <t>V</t>
  </si>
  <si>
    <t>f</t>
  </si>
  <si>
    <t>단 가 산 출 근 거</t>
  </si>
  <si>
    <t>시간</t>
  </si>
  <si>
    <t>건 설 기 계  손 료</t>
  </si>
  <si>
    <t>Ton</t>
  </si>
  <si>
    <t xml:space="preserve">  트레일러(20ton):</t>
  </si>
  <si>
    <t>(L</t>
  </si>
  <si>
    <t>t1</t>
  </si>
  <si>
    <t>n</t>
  </si>
  <si>
    <t>F</t>
  </si>
  <si>
    <t>*</t>
  </si>
  <si>
    <t>2</t>
  </si>
  <si>
    <t xml:space="preserve">    야   간 할증계수: 1.110</t>
  </si>
  <si>
    <t xml:space="preserve">  덤프트럭(15ton):</t>
  </si>
  <si>
    <t>:D7204-005500</t>
  </si>
  <si>
    <t>E1-010-020</t>
  </si>
  <si>
    <t xml:space="preserve">배    수    로  </t>
  </si>
  <si>
    <t>W0-0008</t>
  </si>
  <si>
    <t>W0-0004</t>
  </si>
  <si>
    <t>수 량</t>
  </si>
  <si>
    <t>산근  7호표</t>
  </si>
  <si>
    <t>0.6 ㎥</t>
  </si>
  <si>
    <t>[2+3+5] x 5.5%</t>
  </si>
  <si>
    <t xml:space="preserve">   11. 건설기계대여대금지급보증</t>
  </si>
  <si>
    <t>제   4 호표 ：레 미 콘 타 설 (무근구조물,장비사용) ㎥ 당</t>
  </si>
  <si>
    <t>1. 기 계 (굴삭기 0.4㎥)품셈8-2-3</t>
  </si>
  <si>
    <t xml:space="preserve">      터 파 기(토사,육상)</t>
  </si>
  <si>
    <t>B000-161</t>
  </si>
  <si>
    <t>S_1LABCGYESU</t>
  </si>
  <si>
    <t>:B000-000-135</t>
  </si>
  <si>
    <t>3..4</t>
  </si>
  <si>
    <t>적용단가</t>
  </si>
  <si>
    <t>km적용</t>
  </si>
  <si>
    <t>하    차    비</t>
  </si>
  <si>
    <t>◈ ◈ 적    용    기    준 ◈ ◈</t>
  </si>
  <si>
    <t>제   1 호표 ：배  수  로 (800x800,개거부) M 당</t>
  </si>
  <si>
    <t>1.기  계 (굴삭기0.2㎥)</t>
  </si>
  <si>
    <t>각          재</t>
  </si>
  <si>
    <t>[3+5] x 1.01%</t>
  </si>
  <si>
    <t>⊙ 품셈8-2-8-0610</t>
  </si>
  <si>
    <t>잡  재  료  비</t>
  </si>
  <si>
    <t>Q1</t>
  </si>
  <si>
    <t xml:space="preserve">      계</t>
  </si>
  <si>
    <t>[3+5] x 0.090%</t>
  </si>
  <si>
    <t xml:space="preserve">  1. 트레일러(15.0Ton)</t>
  </si>
  <si>
    <t>식</t>
  </si>
  <si>
    <t>노무비(적용)</t>
  </si>
  <si>
    <t xml:space="preserve">    1] 운       반</t>
  </si>
  <si>
    <t>E000-040</t>
  </si>
  <si>
    <t>자 재 단 가</t>
  </si>
  <si>
    <t>레    미    콘</t>
  </si>
  <si>
    <t>기 타 가 격</t>
  </si>
  <si>
    <t>Cms</t>
  </si>
  <si>
    <t>#W-15</t>
  </si>
  <si>
    <t xml:space="preserve">   12. 산업안전보건관리비</t>
  </si>
  <si>
    <t>제 10호표</t>
  </si>
  <si>
    <t>경  비</t>
  </si>
  <si>
    <t>☞품셈8-2-3</t>
  </si>
  <si>
    <t>합          판</t>
  </si>
  <si>
    <t xml:space="preserve"> 14. 석 면 분 담 금 </t>
  </si>
  <si>
    <t>#W-11</t>
  </si>
  <si>
    <t>{B||*.관급자재대|T}</t>
  </si>
  <si>
    <t>ton : 1회적재량</t>
  </si>
  <si>
    <t>:D0201-0040</t>
  </si>
  <si>
    <t>25..26</t>
  </si>
  <si>
    <t>제   5 호표 ：레 미 콘 타 설 (철근구조물,장비사용) ㎥ 당</t>
  </si>
  <si>
    <t>B103-00811</t>
  </si>
  <si>
    <t xml:space="preserve">   * 품셈 8-2-3굴삭기</t>
  </si>
  <si>
    <t xml:space="preserve">   19. 공  급  가  액</t>
  </si>
  <si>
    <t>[3+4+5+6+7+8+9+10+11+12+13+14+15+16+17]x14.9879%= 3,060,136(≒3,057,675)</t>
  </si>
  <si>
    <t xml:space="preserve">      신축이음설치(개거부)</t>
  </si>
  <si>
    <t xml:space="preserve">        공급가액</t>
  </si>
  <si>
    <t>W1026</t>
  </si>
  <si>
    <t>[19]*&lt;10.0%&gt;</t>
  </si>
  <si>
    <t>Page</t>
  </si>
  <si>
    <t>⊙ 품셈8-2-23-7204</t>
  </si>
  <si>
    <t>제  12 호표 ：수 축 이 음 M 당</t>
  </si>
  <si>
    <t>합</t>
  </si>
  <si>
    <t>:B2009-S</t>
  </si>
  <si>
    <t>품셈6-2-4</t>
  </si>
  <si>
    <t>구역화물(20㎞)</t>
  </si>
  <si>
    <t>::</t>
  </si>
  <si>
    <t>B103-0083</t>
  </si>
  <si>
    <t>5/50</t>
  </si>
  <si>
    <t>63</t>
  </si>
  <si>
    <t>n)</t>
  </si>
  <si>
    <t>25-21-120</t>
  </si>
  <si>
    <t>1. 공 장 가  공</t>
  </si>
  <si>
    <t>예  산  내  역  서</t>
  </si>
  <si>
    <t>S301-001-0111</t>
  </si>
  <si>
    <t>⊙ 품셈8-2-3</t>
  </si>
  <si>
    <t>%RAN*MM</t>
  </si>
  <si>
    <t>S_JB_RES_RMK</t>
  </si>
  <si>
    <t>철    근    공</t>
  </si>
  <si>
    <t xml:space="preserve">   23. 총  공  사  비</t>
  </si>
  <si>
    <t xml:space="preserve">   21. 도 급 예 정 액</t>
  </si>
  <si>
    <t>[1]*&lt;0.8%&gt;</t>
  </si>
  <si>
    <t>:B100-150-10</t>
  </si>
  <si>
    <t>철근구조물,장비사용</t>
  </si>
  <si>
    <t xml:space="preserve">  2. 덤프트럭(15.0Ton):----1대</t>
  </si>
  <si>
    <t>:S301-001-0111</t>
  </si>
  <si>
    <t xml:space="preserve">  일반기계운전사 : 173,995.00 x 16/12 x 1/8 x 25/20 = 36,248.00 원</t>
  </si>
  <si>
    <t>S_JB_LNK_MODE</t>
  </si>
  <si>
    <t>W0-0026</t>
  </si>
  <si>
    <t>%SUM-TOT</t>
  </si>
  <si>
    <t>{B||*.순공사비|T}</t>
  </si>
  <si>
    <t>▣ 노 무 비</t>
  </si>
  <si>
    <t>Ton/hr</t>
  </si>
  <si>
    <t xml:space="preserve">  3. 금 액 조 정</t>
  </si>
  <si>
    <t>제  1호표</t>
  </si>
  <si>
    <t>:B0113</t>
  </si>
  <si>
    <t>1. 운 반(덤프 트럭 2.5ton)</t>
  </si>
  <si>
    <t xml:space="preserve"> ：진동로울러(핸드가이드식) [0.7 ton,조정원제외]【기계가격：6,966 천원】</t>
  </si>
  <si>
    <t xml:space="preserve"> ：굴삭기(무한궤도) [0.2 ㎥]【기계가격：66,538 천원】</t>
  </si>
  <si>
    <t>제 11호표</t>
  </si>
  <si>
    <t>레미콘 소운반</t>
  </si>
  <si>
    <t>S_JADD_MX3</t>
  </si>
  <si>
    <t>저 유 황</t>
  </si>
  <si>
    <t>[1+5+6+7+8+9+10+11+12+13+14+15+16] x 8.0%</t>
  </si>
  <si>
    <t>[2+3+5]*&lt;5.5%&gt;</t>
  </si>
  <si>
    <t>E000-1020</t>
  </si>
  <si>
    <t>[20] * 0.1</t>
  </si>
  <si>
    <t>[3+5] x 0.006%</t>
  </si>
  <si>
    <t xml:space="preserve"> 19. 관 급 자 재 대</t>
  </si>
  <si>
    <t>2576</t>
  </si>
  <si>
    <t>공  구  손  료</t>
  </si>
  <si>
    <t>노무비의</t>
  </si>
  <si>
    <t>S008-000-010</t>
  </si>
  <si>
    <t>노무비</t>
  </si>
  <si>
    <t>노 무 비</t>
  </si>
  <si>
    <t>[3+4..17]*&lt;15.0%&gt;</t>
  </si>
  <si>
    <t>개소</t>
  </si>
  <si>
    <t>k)</t>
  </si>
  <si>
    <t>km</t>
  </si>
  <si>
    <t>2. 진동 로울러(핸드가이드식0.7ton)</t>
  </si>
  <si>
    <t>이  형  철  근</t>
  </si>
  <si>
    <t xml:space="preserve">     도 급 예 정 액</t>
  </si>
  <si>
    <t xml:space="preserve"> 2.5 ton</t>
  </si>
  <si>
    <t>S_1EXCHANGE</t>
  </si>
  <si>
    <t>0.03/1000</t>
  </si>
  <si>
    <t>D1306-0071</t>
  </si>
  <si>
    <t>S_LABJARISU</t>
  </si>
  <si>
    <t>0.23/1000</t>
  </si>
  <si>
    <t>1/40</t>
  </si>
  <si>
    <t>[21+22]</t>
  </si>
  <si>
    <t>#W-7</t>
  </si>
  <si>
    <t>10^-7*1000</t>
  </si>
  <si>
    <t>제   3 호표 ：신축이음설치(개거부) (20m/1개소) 개소 당</t>
  </si>
  <si>
    <t>S_JB_HP_FIRST</t>
  </si>
  <si>
    <t>경    비</t>
  </si>
  <si>
    <t>복 합 지 수 판</t>
  </si>
  <si>
    <t>수축이음설치(개거부)</t>
  </si>
  <si>
    <t>3. 운 반(덤프 트럭 2.5ton)</t>
  </si>
  <si>
    <t>sec(90˚)</t>
  </si>
  <si>
    <t>기  계  손  료</t>
  </si>
  <si>
    <t>[22..23]</t>
  </si>
  <si>
    <t xml:space="preserve">  5. 산 재 보 험 료</t>
  </si>
  <si>
    <t xml:space="preserve">  1. 레   미   콘</t>
  </si>
  <si>
    <t>산근  6호표</t>
  </si>
  <si>
    <t>D1306-007</t>
  </si>
  <si>
    <t>S_LIGHTOIL</t>
  </si>
  <si>
    <t>아  스  팔  트</t>
  </si>
  <si>
    <t>제  10 호표 ：철근 가공 조립 (Type-1,공장가공+현장조립) Ton 당</t>
  </si>
  <si>
    <t>:B000-161</t>
  </si>
  <si>
    <t>B100-150-60</t>
  </si>
  <si>
    <t>:S2-0045</t>
  </si>
  <si>
    <t xml:space="preserve">  2) 물탱크5500L</t>
  </si>
  <si>
    <t xml:space="preserve"> 4.5 ton</t>
  </si>
  <si>
    <t>1.110</t>
  </si>
  <si>
    <t xml:space="preserve"> 13. 환 경 보 전 비</t>
  </si>
  <si>
    <t>[19] x 10.0%</t>
  </si>
  <si>
    <t>"◈ 철 근  소 운 반(덤프2.5ton,L=0.06Km) ; T0n당"&amp;C_&amp;C_ "1. 적  재(굴삭기0.4㎥)"&amp;C_&amp;C_     qo = 1.0"ton : 1회적재량"&amp;C_&amp;C_     t1 = 1.0"분 : 로프결승시간"&amp;C_&amp;C_     t2 = 1.0"분" * 2 "회" =&amp;C_&amp;C_     t3 = 1.0"분 로프해체시간"&amp;C_&amp;C_     Cm = t1 + t2 + t3 = "분"&amp;C_&amp;C_     Es = 0.7 &amp;C_&amp;C_     Q = 60 * qo * Es / Cm = "ton/hr"&amp;C_&amp;C_   "&amp;M_:" [D0201-0040] / ?Q  = "￦/㎥"&amp;C_&amp;C_   "&amp;L_:" [D0201-0040] / ?Q  = "￦/㎥"&amp;C_&amp;C_   "&amp;E_:" [D0201-0040] / ?Q  = "￦/㎥"&amp;C_&amp;C_/--&amp;C_+&gt;&amp;C_&amp;C_"2. 보 조 인 부"&amp;C_&amp;C_   "보통인부:"[W0-0084] * 2 "인" * Cm / 450 =&amp;C_&amp;C_/--&amp;C_+&gt; &amp;C_&amp;C_&amp;C_"3. 운 반(덤프 트럭 2.5ton)"&amp;C_&amp;C_  L = 0.06 "km", q = 2.5  "Ton/대" &amp;C_&amp;C_  f = 1.0, E = 0.9&amp;C_&amp;C_  T1 = Cm * q =&amp;C_&amp;C_  T2 = (?L / 10 + ?L / 15) * 60 = "min"&amp;C_&amp;C_  T3 = 1, T4 = 0.42&amp;C_&amp;C_  Cm = ?T1 + ?T2 + ?T3 + ?T4 =  "min"&amp;C_&amp;C_  Q = 60 * q * f * E / ?Cm=  "Ton/hr"&amp;C_&amp;C_  "재 료 비:"[D0602-0025:ME] / ?Q = "￦/㎥"&amp;C_&amp;C_  "노 무 비:"[D0602-0025:LE] / ?Q = "￦/㎥"&amp;C_&amp;C_  "경    비:"[D0602-0025] / ?Q = "￦/㎥"&amp;C_&amp;C_/==&amp;C_+&gt;&amp;C_++&gt;&amp;C_</t>
  </si>
  <si>
    <t>:D0602-0025</t>
  </si>
  <si>
    <t>[1+5+6+7+8+9+10+11+12+13+14+15+16+17+18]</t>
  </si>
  <si>
    <t>진동롤러(핸드가이드식)</t>
  </si>
  <si>
    <t>D00263</t>
  </si>
  <si>
    <t>판          넬</t>
  </si>
  <si>
    <t>S2-003</t>
  </si>
  <si>
    <t>원/회</t>
  </si>
  <si>
    <t>D0211-00601</t>
  </si>
  <si>
    <t>T2</t>
  </si>
  <si>
    <t>t6</t>
  </si>
  <si>
    <t>-</t>
  </si>
  <si>
    <t>q</t>
  </si>
  <si>
    <t>M</t>
  </si>
  <si>
    <t>)</t>
  </si>
  <si>
    <t>t2</t>
  </si>
  <si>
    <t>Q</t>
  </si>
  <si>
    <t>E</t>
  </si>
  <si>
    <t>=</t>
  </si>
  <si>
    <t>%</t>
  </si>
  <si>
    <t>1</t>
  </si>
  <si>
    <t xml:space="preserve"> ：트랙트및트레일러 (20Ton)【기계가격：67,216 천원】</t>
  </si>
  <si>
    <t xml:space="preserve"> 11. 산업안전보건관리비</t>
  </si>
  <si>
    <t>산근  4호표</t>
  </si>
  <si>
    <t>일  위  대  가  표</t>
  </si>
  <si>
    <t xml:space="preserve"> 1. 적  재(굴삭기0.4㎥)</t>
  </si>
  <si>
    <t>◈ 철 근  소 운 반(덤프2.5ton,L=0.06Km) ; T0n당</t>
  </si>
  <si>
    <t>1. 인  력</t>
  </si>
  <si>
    <t>D0602-0045</t>
  </si>
  <si>
    <t xml:space="preserve">  ⊙ 재료비 할증</t>
  </si>
  <si>
    <t>W0-0085</t>
  </si>
  <si>
    <t>25-18-120</t>
  </si>
  <si>
    <t>총 공 사 비  집 계 표</t>
  </si>
  <si>
    <t>덤프2.5ton,L=0.06km</t>
  </si>
  <si>
    <t xml:space="preserve"> 2. 하 차 비</t>
  </si>
  <si>
    <t>철근 가공 조립</t>
  </si>
  <si>
    <t>직 종 명</t>
  </si>
  <si>
    <t xml:space="preserve">   10. 노인요양보험료</t>
  </si>
  <si>
    <t>합  계</t>
  </si>
  <si>
    <t>◈ 되메우기및다짐(소형장비사용) : ㎥당</t>
  </si>
  <si>
    <t>물 가 정 보</t>
  </si>
  <si>
    <t xml:space="preserve">   20. 부 가 가 치 세</t>
  </si>
  <si>
    <t xml:space="preserve">    5. 간 접 노 무 비</t>
  </si>
  <si>
    <t>보통인부:</t>
  </si>
  <si>
    <t xml:space="preserve">   ------------------------------------------------------------</t>
  </si>
  <si>
    <t>S_2LABCGYESU</t>
  </si>
  <si>
    <t>되메우기및다짐</t>
  </si>
  <si>
    <t>재료비:</t>
  </si>
  <si>
    <t xml:space="preserve">    7. 고 용 보 험 료</t>
  </si>
  <si>
    <t xml:space="preserve">  1. 토            공</t>
  </si>
  <si>
    <t xml:space="preserve">    2. 재    료    비</t>
  </si>
  <si>
    <t>55</t>
  </si>
  <si>
    <t>%GYE</t>
  </si>
  <si>
    <t>구역화물</t>
  </si>
  <si>
    <t>M1202-500</t>
  </si>
  <si>
    <t>#B-15</t>
  </si>
  <si>
    <t>제 13호표</t>
  </si>
  <si>
    <t>◈ 성토 및 다짐  (굴삭기0.2㎥;기계100%) : ㎥당</t>
  </si>
  <si>
    <t>산      출      근      거</t>
  </si>
  <si>
    <t>제  3호표</t>
  </si>
  <si>
    <t>산근   5 호표 ：철 근 운 반 (구역화물) Ton 당</t>
  </si>
  <si>
    <t>2825</t>
  </si>
  <si>
    <t>신축이음설치(개거부)</t>
  </si>
  <si>
    <t>:S111-002003</t>
  </si>
  <si>
    <t>Cmt</t>
  </si>
  <si>
    <t>Sec</t>
  </si>
  <si>
    <t>㎥</t>
  </si>
  <si>
    <t>주연료비의</t>
  </si>
  <si>
    <t>㎡</t>
  </si>
  <si>
    <t>#W-16</t>
  </si>
  <si>
    <t>2/50</t>
  </si>
  <si>
    <t>◈ 중 기 운 반 :  회당</t>
  </si>
  <si>
    <t>물탱크(살수차)</t>
  </si>
  <si>
    <t>#W-12</t>
  </si>
  <si>
    <t>6회,보통</t>
  </si>
  <si>
    <t>☞품셈8-2-8</t>
  </si>
  <si>
    <t xml:space="preserve"> * 품셈 8-2-9 롤러</t>
  </si>
  <si>
    <t>건 설 협 회</t>
  </si>
  <si>
    <t>[3]*&lt;4.75%&gt;</t>
  </si>
  <si>
    <t>잡          품</t>
  </si>
  <si>
    <t xml:space="preserve">   14. 환 경 보 전 비</t>
  </si>
  <si>
    <t>M25-21-12</t>
  </si>
  <si>
    <t>일 위 대 가  목 록 표</t>
  </si>
  <si>
    <t xml:space="preserve"> 16. 일 반 관 리 비</t>
  </si>
  <si>
    <t xml:space="preserve">    금  액  조  정</t>
  </si>
  <si>
    <t>철  근  운  반</t>
  </si>
  <si>
    <t xml:space="preserve"> 0.2 ㎥</t>
  </si>
  <si>
    <t xml:space="preserve"> ：덤  프  트  럭 (15 Ton)【기계가격：90,653 천원】</t>
  </si>
  <si>
    <t xml:space="preserve">  1. 트레일러(20.0Ton)</t>
  </si>
  <si>
    <t>:B000-1704</t>
  </si>
  <si>
    <t>M000-1313</t>
  </si>
  <si>
    <t xml:space="preserve"> 1.120</t>
  </si>
  <si>
    <t>4/40</t>
  </si>
  <si>
    <t>(t1</t>
  </si>
  <si>
    <t>견 적  및  기 타 단 가</t>
  </si>
  <si>
    <t>[3] x 4.75%</t>
  </si>
  <si>
    <t xml:space="preserve">  화물차  운전사 : 238,936.00 x 16/12 x 1/8 x 25/20 = 49,778.00 원</t>
  </si>
  <si>
    <t>품셈6-3-3</t>
  </si>
  <si>
    <t>"◈ 되메우기및다짐(소형장비사용) : ㎥당"&amp;C_&amp;C_&amp;C_"1. 인  력"&amp;C_&amp;C_  "특별인부:" [W0-0083] * 1"인" /130 "㎥" = &amp;C_&amp;C_  "보통인부:" [W0-0084] * 1"인" /130 "㎥" = &amp;C_&amp;C_/--&amp;C_+&gt;&amp;C_&amp;C_"2. 기  계 (굴삭기0.2㎥)"&amp;C_&amp;C_    Q = 130 "㎥" / 8 "hr"=  "㎥/hr"&amp;C_&amp;C_   "1) 굴삭기0.2㎥"&amp;C_&amp;C_    "&amp;M_:"[D0201-0020] / ?Q = "￦/㎥"&amp;C_&amp;C_    "&amp;L_:"[D0201-0020] / ?Q = "￦/㎥"&amp;C_&amp;C_    "&amp;E_:"[D0201-0020] / ?Q = "￦/㎥"&amp;C_&amp;C_/-&amp;C_&amp;C_+&gt;&amp;C_&amp;C_  "2) 물탱크5500L"&amp;C_&amp;C_    "&amp;M_:"[D7204-005500] / ?Q * 0.5 = "￦/㎥"&amp;C_&amp;C_    "&amp;L_:"[D7204-005500] / ?Q * 0.5 = "￦/㎥"&amp;C_&amp;C_    "&amp;E_:"[D7204-005500] / ?Q * 0.5 = "￦/㎥"&amp;C_&amp;C_/--&amp;C_+&gt;&amp;C_&amp;C_&amp;C_  "3) 진동 로울러:핸드가이드식0.7ton"&amp;C_&amp;C_    "&amp;M_:"[D1306-007] / Q = "원/㎥"   &amp;C_&amp;C_    "&amp;L_:"[D1306-007] / Q  * 0 = "원/㎥"&amp;C_   &amp;C_    "&amp;E_:"[D1306-007] / Q = "원/㎥"&amp;C_&amp;C_/-&amp;C_&amp;C_+&gt;&amp;C_&amp;C_++&gt;</t>
  </si>
  <si>
    <t>⊙ 품셈8-2-8</t>
  </si>
  <si>
    <t xml:space="preserve">  8. 연 금 보 험 료</t>
  </si>
  <si>
    <t>[21..22]</t>
  </si>
  <si>
    <t>:D00263</t>
  </si>
  <si>
    <t>2. 기  계 (굴삭기0.2㎥)</t>
  </si>
  <si>
    <t>10.5 Ton</t>
  </si>
  <si>
    <t>보  통  인  부</t>
  </si>
  <si>
    <t>[3] x 19.1%</t>
  </si>
  <si>
    <t>건 설 기 계  목 록 표</t>
  </si>
  <si>
    <t>호표</t>
  </si>
  <si>
    <t>구    분</t>
  </si>
  <si>
    <t>경          유</t>
  </si>
  <si>
    <t>"◈ 중 기 운 반 :  회당" &amp;C_&amp;C_"  1. 트레일러(20.0Ton)" &amp;C_&amp;C_    "울주군청 ------ 공사중점"  L = 8.0"km"&amp;C_&amp;C_      t1 = 10,  t3 = 10,   t4 = 0.42&amp;C_&amp;C_      t = (t1+t3+t4) * 2 =&amp;C_&amp;C_      t2 = (L/40+L/40) * 60 =&amp;C_&amp;C_      Cm = t + t2 =  "min"&amp;C_&amp;C_      N = 60 * 0.9 / Cm = "@C999 회/hr"&amp;C_&amp;C_       "&amp;L_:"[D00263:LE] / N = "원/회"&amp;C_&amp;C_       "&amp;M_:"[D00263:ME]/N*(Cm-t1*2)/Cm="원/회"&amp;C_&amp;C_       "&amp;E_:"[D00263] / N = "원/회"&amp;C_&amp;C_    /--&amp;C_&amp;C_    ++&gt;&amp;C_</t>
  </si>
  <si>
    <t>:S2-003</t>
  </si>
  <si>
    <t>D0201-0020</t>
  </si>
  <si>
    <t>[1] x 0.32%</t>
  </si>
  <si>
    <t>산    출    근    거</t>
  </si>
  <si>
    <t xml:space="preserve"> ：굴삭기(무한궤도) [0.6㎥]【기계가격：112,342 천원】</t>
  </si>
  <si>
    <t>[3+5] x 3.56%</t>
  </si>
  <si>
    <t>금    액</t>
  </si>
  <si>
    <t>화물차 운전사</t>
  </si>
  <si>
    <t>[3+5]*&lt;1.01%&gt;</t>
  </si>
  <si>
    <t>30x1000x1500</t>
  </si>
  <si>
    <t>덤프 트럭 자동덮개</t>
  </si>
  <si>
    <t>하반기</t>
  </si>
  <si>
    <t>규  격</t>
  </si>
  <si>
    <t>0.7TON</t>
  </si>
  <si>
    <t>0.6㎥</t>
  </si>
  <si>
    <t>[8]*&lt;13.14%&gt;</t>
  </si>
  <si>
    <t>설   치   비</t>
  </si>
  <si>
    <t>산근   4 호표 ：순 성 토 운 반 (덤프4.5Ton,L=5.0Km) ㎥ 당</t>
  </si>
  <si>
    <t xml:space="preserve">  2. 철       근</t>
  </si>
  <si>
    <t>제  2호표</t>
  </si>
  <si>
    <t>수  축  이  음</t>
  </si>
  <si>
    <t>덤프15.0Ton</t>
  </si>
  <si>
    <t>산근   7 호표 ：레미콘 소운반 (덤프2.5ton,L=0.06km) ㎥ 당</t>
  </si>
  <si>
    <t xml:space="preserve">    6. 산 재 보 험 료</t>
  </si>
  <si>
    <t>제 12호표</t>
  </si>
  <si>
    <t>경  비:</t>
  </si>
  <si>
    <t>합 계(적용)</t>
  </si>
  <si>
    <t>특  별  인  부</t>
  </si>
  <si>
    <t>:D0602-0150</t>
  </si>
  <si>
    <t>▣ 주.야간 할증</t>
  </si>
  <si>
    <t>S_3LABCGYESU</t>
  </si>
  <si>
    <t xml:space="preserve"> ：물탱크(살수차) [5500 L]【기계가격：47,263 천원】</t>
  </si>
  <si>
    <t>익스펜션죠인트</t>
  </si>
  <si>
    <t>%RAN*LE</t>
  </si>
  <si>
    <t>S008-000-2010</t>
  </si>
  <si>
    <t xml:space="preserve">내수12mm </t>
  </si>
  <si>
    <t>:S008-000-2010</t>
  </si>
  <si>
    <t>신축이음(익스펜션조인트)</t>
  </si>
  <si>
    <t>단위</t>
  </si>
  <si>
    <t>{B||*.순공사비|E}</t>
  </si>
  <si>
    <t>:B103-0081</t>
  </si>
  <si>
    <t>5500 L</t>
  </si>
  <si>
    <t>상반기</t>
  </si>
  <si>
    <t>#W-8</t>
  </si>
  <si>
    <t xml:space="preserve">    4. 경          비</t>
  </si>
  <si>
    <t xml:space="preserve">      수축이음설치(개거부)</t>
  </si>
  <si>
    <t>제   2 호표 ：수축이음설치(개거부) (20m/1개소) 개소 당</t>
  </si>
  <si>
    <t>조  달  청</t>
  </si>
  <si>
    <t>모          래</t>
  </si>
  <si>
    <t>￦/㎥</t>
  </si>
  <si>
    <t>:D0610-0150</t>
  </si>
  <si>
    <t>[18..19]</t>
  </si>
  <si>
    <t xml:space="preserve">20m/1개소 </t>
  </si>
  <si>
    <t>재료비(적용)</t>
  </si>
  <si>
    <t>번호</t>
  </si>
  <si>
    <t xml:space="preserve">공사명 : 웅촌 대대(141) 배수로 정비공사 </t>
  </si>
  <si>
    <t>터 파 기(토사,육상)</t>
  </si>
  <si>
    <t>노 무 비:</t>
  </si>
  <si>
    <t>Ton/대</t>
  </si>
  <si>
    <t>min</t>
  </si>
  <si>
    <t xml:space="preserve">   13. 기  타  경  비</t>
  </si>
  <si>
    <t>:B000-6060</t>
  </si>
  <si>
    <t>Es)</t>
  </si>
  <si>
    <t>20Ton</t>
  </si>
  <si>
    <t>M3116-010</t>
  </si>
  <si>
    <t>산근  5호표</t>
  </si>
  <si>
    <t>덤프4.5Ton,L=5.0Km</t>
  </si>
  <si>
    <t>S111-002-A</t>
  </si>
  <si>
    <t xml:space="preserve"> ：덤프 트럭 자동덮개 (15.0 ton)【기계가격：1,634 천원】</t>
  </si>
  <si>
    <t>M0000-100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</si>
</sst>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80" formatCode="_-* #,##0.00_-;\-* #,##0.00_-;_-* &quot;-&quot;_-;_-@_-"/>
    <numFmt numFmtId="181" formatCode="#,##0.0########"/>
    <numFmt numFmtId="182" formatCode="###"/>
    <numFmt numFmtId="183" formatCode="_-* #,##0.0_-;\-* #,##0.0_-;_-* &quot;-&quot;_-;_-@_-"/>
    <numFmt numFmtId="184" formatCode="_-* #,##0.00_-;\-* #,##0.00_-;_-* &quot;&quot;_-;_-@_-"/>
    <numFmt numFmtId="185" formatCode="#,##0.#######"/>
  </numFmts>
  <fonts count="13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9"/>
      <color indexed="17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17"/>
      <name val="굴림체"/>
      <family val="3"/>
      <charset val="129"/>
    </font>
    <font>
      <sz val="9"/>
      <color indexed="20"/>
      <name val="굴림체"/>
      <family val="3"/>
      <charset val="129"/>
    </font>
    <font>
      <b/>
      <sz val="9"/>
      <color indexed="29"/>
      <name val="굴림체"/>
      <family val="3"/>
      <charset val="129"/>
    </font>
    <font>
      <u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180" fontId="1" fillId="0" borderId="2" xfId="0" applyNumberFormat="1" applyFont="1" applyFill="1" applyBorder="1" applyAlignment="1" applyProtection="1">
      <alignment horizontal="righ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80" fontId="1" fillId="0" borderId="11" xfId="0" applyNumberFormat="1" applyFont="1" applyFill="1" applyBorder="1" applyAlignment="1" applyProtection="1">
      <alignment horizontal="right" vertical="center"/>
    </xf>
    <xf numFmtId="0" fontId="1" fillId="0" borderId="12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80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NumberFormat="1" applyFont="1" applyFill="1" applyBorder="1" applyAlignment="1" applyProtection="1">
      <alignment vertical="center"/>
    </xf>
    <xf numFmtId="0" fontId="4" fillId="0" borderId="14" xfId="0" applyNumberFormat="1" applyFont="1" applyFill="1" applyBorder="1" applyAlignment="1" applyProtection="1">
      <alignment vertical="center"/>
    </xf>
    <xf numFmtId="0" fontId="4" fillId="0" borderId="15" xfId="0" applyNumberFormat="1" applyFont="1" applyFill="1" applyBorder="1" applyAlignment="1" applyProtection="1">
      <alignment vertical="center"/>
    </xf>
    <xf numFmtId="0" fontId="4" fillId="0" borderId="16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17" xfId="0" applyNumberFormat="1" applyFont="1" applyFill="1" applyBorder="1" applyAlignment="1" applyProtection="1">
      <alignment vertical="center"/>
    </xf>
    <xf numFmtId="0" fontId="4" fillId="0" borderId="18" xfId="0" applyNumberFormat="1" applyFont="1" applyFill="1" applyBorder="1" applyAlignment="1" applyProtection="1">
      <alignment vertical="center"/>
    </xf>
    <xf numFmtId="0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vertical="center"/>
    </xf>
    <xf numFmtId="181" fontId="1" fillId="0" borderId="11" xfId="0" applyNumberFormat="1" applyFont="1" applyFill="1" applyBorder="1" applyAlignment="1" applyProtection="1">
      <alignment vertical="center"/>
    </xf>
    <xf numFmtId="183" fontId="1" fillId="0" borderId="11" xfId="0" applyNumberFormat="1" applyFont="1" applyFill="1" applyBorder="1" applyAlignment="1" applyProtection="1">
      <alignment horizontal="right" vertical="center"/>
    </xf>
    <xf numFmtId="3" fontId="1" fillId="0" borderId="11" xfId="0" applyNumberFormat="1" applyFont="1" applyFill="1" applyBorder="1" applyAlignment="1" applyProtection="1">
      <alignment vertical="center"/>
    </xf>
    <xf numFmtId="182" fontId="1" fillId="0" borderId="11" xfId="0" applyNumberFormat="1" applyFont="1" applyFill="1" applyBorder="1" applyAlignment="1" applyProtection="1">
      <alignment vertical="center"/>
    </xf>
    <xf numFmtId="183" fontId="1" fillId="0" borderId="5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vertical="center"/>
    </xf>
    <xf numFmtId="180" fontId="5" fillId="0" borderId="2" xfId="0" applyNumberFormat="1" applyFont="1" applyFill="1" applyBorder="1" applyAlignment="1" applyProtection="1">
      <alignment horizontal="right" vertical="center"/>
    </xf>
    <xf numFmtId="183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vertical="center"/>
    </xf>
    <xf numFmtId="180" fontId="5" fillId="0" borderId="11" xfId="0" applyNumberFormat="1" applyFont="1" applyFill="1" applyBorder="1" applyAlignment="1" applyProtection="1">
      <alignment horizontal="right" vertical="center"/>
    </xf>
    <xf numFmtId="183" fontId="5" fillId="0" borderId="11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vertical="center"/>
    </xf>
    <xf numFmtId="180" fontId="6" fillId="0" borderId="11" xfId="0" applyNumberFormat="1" applyFont="1" applyFill="1" applyBorder="1" applyAlignment="1" applyProtection="1">
      <alignment horizontal="right" vertical="center"/>
    </xf>
    <xf numFmtId="183" fontId="6" fillId="0" borderId="11" xfId="0" applyNumberFormat="1" applyFont="1" applyFill="1" applyBorder="1" applyAlignment="1" applyProtection="1">
      <alignment horizontal="right" vertical="center"/>
    </xf>
    <xf numFmtId="0" fontId="6" fillId="0" borderId="12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NumberFormat="1" applyFont="1" applyFill="1" applyBorder="1" applyAlignment="1" applyProtection="1">
      <alignment horizontal="right" vertical="center"/>
    </xf>
    <xf numFmtId="41" fontId="1" fillId="0" borderId="2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horizontal="right"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184" fontId="1" fillId="0" borderId="8" xfId="0" applyNumberFormat="1" applyFont="1" applyFill="1" applyBorder="1" applyAlignment="1" applyProtection="1">
      <alignment horizontal="right" vertical="center"/>
    </xf>
    <xf numFmtId="184" fontId="1" fillId="0" borderId="21" xfId="0" applyNumberFormat="1" applyFont="1" applyFill="1" applyBorder="1" applyAlignment="1" applyProtection="1">
      <alignment horizontal="right" vertical="center"/>
    </xf>
    <xf numFmtId="184" fontId="1" fillId="0" borderId="22" xfId="0" applyNumberFormat="1" applyFont="1" applyFill="1" applyBorder="1" applyAlignment="1" applyProtection="1">
      <alignment horizontal="right" vertical="center"/>
    </xf>
    <xf numFmtId="184" fontId="1" fillId="0" borderId="23" xfId="0" applyNumberFormat="1" applyFont="1" applyFill="1" applyBorder="1" applyAlignment="1" applyProtection="1">
      <alignment horizontal="right" vertical="center"/>
    </xf>
    <xf numFmtId="184" fontId="1" fillId="0" borderId="7" xfId="0" applyNumberFormat="1" applyFont="1" applyFill="1" applyBorder="1" applyAlignment="1" applyProtection="1">
      <alignment horizontal="right" vertical="center"/>
    </xf>
    <xf numFmtId="184" fontId="1" fillId="0" borderId="24" xfId="0" applyNumberFormat="1" applyFont="1" applyFill="1" applyBorder="1" applyAlignment="1" applyProtection="1">
      <alignment horizontal="right" vertical="center"/>
    </xf>
    <xf numFmtId="185" fontId="1" fillId="0" borderId="16" xfId="0" applyNumberFormat="1" applyFont="1" applyFill="1" applyBorder="1" applyAlignment="1" applyProtection="1">
      <alignment vertical="center"/>
    </xf>
    <xf numFmtId="185" fontId="1" fillId="0" borderId="0" xfId="0" applyNumberFormat="1" applyFont="1" applyFill="1" applyBorder="1" applyAlignment="1" applyProtection="1">
      <alignment vertical="center"/>
    </xf>
    <xf numFmtId="185" fontId="1" fillId="0" borderId="7" xfId="0" applyNumberFormat="1" applyFont="1" applyFill="1" applyBorder="1" applyAlignment="1" applyProtection="1">
      <alignment vertical="center"/>
    </xf>
    <xf numFmtId="185" fontId="1" fillId="0" borderId="18" xfId="0" applyNumberFormat="1" applyFont="1" applyFill="1" applyBorder="1" applyAlignment="1" applyProtection="1">
      <alignment vertical="center"/>
    </xf>
    <xf numFmtId="185" fontId="1" fillId="0" borderId="19" xfId="0" applyNumberFormat="1" applyFont="1" applyFill="1" applyBorder="1" applyAlignment="1" applyProtection="1">
      <alignment vertical="center"/>
    </xf>
    <xf numFmtId="185" fontId="1" fillId="0" borderId="24" xfId="0" applyNumberFormat="1" applyFont="1" applyFill="1" applyBorder="1" applyAlignment="1" applyProtection="1">
      <alignment vertical="center"/>
    </xf>
    <xf numFmtId="184" fontId="7" fillId="0" borderId="25" xfId="0" applyNumberFormat="1" applyFont="1" applyFill="1" applyBorder="1" applyAlignment="1" applyProtection="1">
      <alignment horizontal="right" vertical="center"/>
    </xf>
    <xf numFmtId="184" fontId="7" fillId="0" borderId="26" xfId="0" applyNumberFormat="1" applyFont="1" applyFill="1" applyBorder="1" applyAlignment="1" applyProtection="1">
      <alignment horizontal="right" vertical="center"/>
    </xf>
    <xf numFmtId="184" fontId="7" fillId="0" borderId="27" xfId="0" applyNumberFormat="1" applyFont="1" applyFill="1" applyBorder="1" applyAlignment="1" applyProtection="1">
      <alignment horizontal="right" vertical="center"/>
    </xf>
    <xf numFmtId="184" fontId="7" fillId="0" borderId="28" xfId="0" applyNumberFormat="1" applyFont="1" applyFill="1" applyBorder="1" applyAlignment="1" applyProtection="1">
      <alignment horizontal="right" vertical="center"/>
    </xf>
    <xf numFmtId="184" fontId="7" fillId="0" borderId="29" xfId="0" applyNumberFormat="1" applyFont="1" applyFill="1" applyBorder="1" applyAlignment="1" applyProtection="1">
      <alignment horizontal="right" vertical="center"/>
    </xf>
    <xf numFmtId="184" fontId="7" fillId="0" borderId="30" xfId="0" applyNumberFormat="1" applyFont="1" applyFill="1" applyBorder="1" applyAlignment="1" applyProtection="1">
      <alignment horizontal="right" vertical="center"/>
    </xf>
    <xf numFmtId="185" fontId="6" fillId="0" borderId="16" xfId="0" applyNumberFormat="1" applyFont="1" applyFill="1" applyBorder="1" applyAlignment="1" applyProtection="1">
      <alignment vertical="center"/>
    </xf>
    <xf numFmtId="185" fontId="6" fillId="0" borderId="0" xfId="0" applyNumberFormat="1" applyFont="1" applyFill="1" applyBorder="1" applyAlignment="1" applyProtection="1">
      <alignment vertical="center"/>
    </xf>
    <xf numFmtId="185" fontId="6" fillId="0" borderId="7" xfId="0" applyNumberFormat="1" applyFont="1" applyFill="1" applyBorder="1" applyAlignment="1" applyProtection="1">
      <alignment vertical="center"/>
    </xf>
    <xf numFmtId="184" fontId="6" fillId="0" borderId="7" xfId="0" applyNumberFormat="1" applyFont="1" applyFill="1" applyBorder="1" applyAlignment="1" applyProtection="1">
      <alignment horizontal="right" vertical="center"/>
    </xf>
    <xf numFmtId="184" fontId="6" fillId="0" borderId="8" xfId="0" applyNumberFormat="1" applyFont="1" applyFill="1" applyBorder="1" applyAlignment="1" applyProtection="1">
      <alignment horizontal="right" vertical="center"/>
    </xf>
    <xf numFmtId="184" fontId="6" fillId="0" borderId="21" xfId="0" applyNumberFormat="1" applyFont="1" applyFill="1" applyBorder="1" applyAlignment="1" applyProtection="1">
      <alignment horizontal="right" vertical="center"/>
    </xf>
    <xf numFmtId="185" fontId="8" fillId="0" borderId="16" xfId="0" applyNumberFormat="1" applyFont="1" applyFill="1" applyBorder="1" applyAlignment="1" applyProtection="1">
      <alignment vertical="center"/>
    </xf>
    <xf numFmtId="185" fontId="8" fillId="0" borderId="0" xfId="0" applyNumberFormat="1" applyFont="1" applyFill="1" applyBorder="1" applyAlignment="1" applyProtection="1">
      <alignment vertical="center"/>
    </xf>
    <xf numFmtId="185" fontId="8" fillId="0" borderId="7" xfId="0" applyNumberFormat="1" applyFont="1" applyFill="1" applyBorder="1" applyAlignment="1" applyProtection="1">
      <alignment vertical="center"/>
    </xf>
    <xf numFmtId="184" fontId="8" fillId="0" borderId="7" xfId="0" applyNumberFormat="1" applyFont="1" applyFill="1" applyBorder="1" applyAlignment="1" applyProtection="1">
      <alignment horizontal="right" vertical="center"/>
    </xf>
    <xf numFmtId="184" fontId="8" fillId="0" borderId="8" xfId="0" applyNumberFormat="1" applyFont="1" applyFill="1" applyBorder="1" applyAlignment="1" applyProtection="1">
      <alignment horizontal="right" vertical="center"/>
    </xf>
    <xf numFmtId="184" fontId="8" fillId="0" borderId="21" xfId="0" applyNumberFormat="1" applyFont="1" applyFill="1" applyBorder="1" applyAlignment="1" applyProtection="1">
      <alignment horizontal="right" vertical="center"/>
    </xf>
    <xf numFmtId="185" fontId="9" fillId="0" borderId="16" xfId="0" applyNumberFormat="1" applyFont="1" applyFill="1" applyBorder="1" applyAlignment="1" applyProtection="1">
      <alignment vertical="center"/>
    </xf>
    <xf numFmtId="185" fontId="9" fillId="0" borderId="0" xfId="0" applyNumberFormat="1" applyFont="1" applyFill="1" applyBorder="1" applyAlignment="1" applyProtection="1">
      <alignment vertical="center"/>
    </xf>
    <xf numFmtId="185" fontId="9" fillId="0" borderId="7" xfId="0" applyNumberFormat="1" applyFont="1" applyFill="1" applyBorder="1" applyAlignment="1" applyProtection="1">
      <alignment vertical="center"/>
    </xf>
    <xf numFmtId="184" fontId="9" fillId="0" borderId="7" xfId="0" applyNumberFormat="1" applyFont="1" applyFill="1" applyBorder="1" applyAlignment="1" applyProtection="1">
      <alignment horizontal="right" vertical="center"/>
    </xf>
    <xf numFmtId="184" fontId="9" fillId="0" borderId="8" xfId="0" applyNumberFormat="1" applyFont="1" applyFill="1" applyBorder="1" applyAlignment="1" applyProtection="1">
      <alignment horizontal="right" vertical="center"/>
    </xf>
    <xf numFmtId="184" fontId="9" fillId="0" borderId="21" xfId="0" applyNumberFormat="1" applyFont="1" applyFill="1" applyBorder="1" applyAlignment="1" applyProtection="1">
      <alignment horizontal="right" vertical="center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2" xfId="0" applyNumberFormat="1" applyFont="1" applyFill="1" applyBorder="1" applyAlignment="1" applyProtection="1">
      <alignment horizontal="center" vertical="center"/>
    </xf>
    <xf numFmtId="0" fontId="10" fillId="0" borderId="2" xfId="0" applyNumberFormat="1" applyFont="1" applyFill="1" applyBorder="1" applyAlignment="1" applyProtection="1">
      <alignment vertical="center"/>
    </xf>
    <xf numFmtId="180" fontId="10" fillId="0" borderId="2" xfId="0" applyNumberFormat="1" applyFont="1" applyFill="1" applyBorder="1" applyAlignment="1" applyProtection="1">
      <alignment horizontal="right" vertical="center"/>
    </xf>
    <xf numFmtId="183" fontId="10" fillId="0" borderId="2" xfId="0" applyNumberFormat="1" applyFont="1" applyFill="1" applyBorder="1" applyAlignment="1" applyProtection="1">
      <alignment horizontal="right" vertical="center"/>
    </xf>
    <xf numFmtId="0" fontId="10" fillId="0" borderId="3" xfId="0" applyNumberFormat="1" applyFont="1" applyFill="1" applyBorder="1" applyAlignment="1" applyProtection="1">
      <alignment vertical="center"/>
    </xf>
    <xf numFmtId="0" fontId="10" fillId="0" borderId="10" xfId="0" applyNumberFormat="1" applyFont="1" applyFill="1" applyBorder="1" applyAlignment="1" applyProtection="1">
      <alignment vertical="center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10" fillId="0" borderId="11" xfId="0" applyNumberFormat="1" applyFont="1" applyFill="1" applyBorder="1" applyAlignment="1" applyProtection="1">
      <alignment vertical="center"/>
    </xf>
    <xf numFmtId="180" fontId="10" fillId="0" borderId="11" xfId="0" applyNumberFormat="1" applyFont="1" applyFill="1" applyBorder="1" applyAlignment="1" applyProtection="1">
      <alignment horizontal="right" vertical="center"/>
    </xf>
    <xf numFmtId="183" fontId="10" fillId="0" borderId="11" xfId="0" applyNumberFormat="1" applyFont="1" applyFill="1" applyBorder="1" applyAlignment="1" applyProtection="1">
      <alignment horizontal="right" vertical="center"/>
    </xf>
    <xf numFmtId="0" fontId="10" fillId="0" borderId="12" xfId="0" applyNumberFormat="1" applyFont="1" applyFill="1" applyBorder="1" applyAlignment="1" applyProtection="1">
      <alignment vertical="center"/>
    </xf>
    <xf numFmtId="182" fontId="1" fillId="0" borderId="2" xfId="0" applyNumberFormat="1" applyFont="1" applyFill="1" applyBorder="1" applyAlignment="1" applyProtection="1">
      <alignment vertical="center"/>
    </xf>
    <xf numFmtId="3" fontId="1" fillId="0" borderId="5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3" fillId="0" borderId="33" xfId="0" applyNumberFormat="1" applyFont="1" applyFill="1" applyBorder="1" applyAlignment="1" applyProtection="1">
      <alignment horizontal="center" vertical="center"/>
    </xf>
    <xf numFmtId="0" fontId="3" fillId="0" borderId="34" xfId="0" applyNumberFormat="1" applyFont="1" applyFill="1" applyBorder="1" applyAlignment="1" applyProtection="1">
      <alignment horizontal="center" vertical="center"/>
    </xf>
    <xf numFmtId="0" fontId="3" fillId="0" borderId="36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3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0" fontId="3" fillId="0" borderId="35" xfId="0" applyNumberFormat="1" applyFont="1" applyFill="1" applyBorder="1" applyAlignment="1" applyProtection="1">
      <alignment horizontal="center" vertical="center"/>
    </xf>
    <xf numFmtId="0" fontId="3" fillId="0" borderId="37" xfId="0" applyNumberFormat="1" applyFont="1" applyFill="1" applyBorder="1" applyAlignment="1" applyProtection="1">
      <alignment horizontal="center" vertical="center"/>
    </xf>
    <xf numFmtId="0" fontId="3" fillId="0" borderId="38" xfId="0" applyNumberFormat="1" applyFont="1" applyFill="1" applyBorder="1" applyAlignment="1" applyProtection="1">
      <alignment horizontal="center" vertical="center"/>
    </xf>
    <xf numFmtId="0" fontId="3" fillId="0" borderId="39" xfId="0" applyNumberFormat="1" applyFont="1" applyFill="1" applyBorder="1" applyAlignment="1" applyProtection="1">
      <alignment horizontal="center" vertical="center"/>
    </xf>
    <xf numFmtId="185" fontId="7" fillId="0" borderId="10" xfId="0" applyNumberFormat="1" applyFont="1" applyFill="1" applyBorder="1" applyAlignment="1" applyProtection="1">
      <alignment vertical="center"/>
    </xf>
    <xf numFmtId="185" fontId="7" fillId="0" borderId="1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7"/>
  <sheetViews>
    <sheetView showGridLines="0" workbookViewId="0">
      <selection activeCell="A5" sqref="A5:CW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4.7109375" customWidth="1"/>
    <col min="4" max="4" width="11" customWidth="1"/>
    <col min="5" max="5" width="7.85546875" customWidth="1"/>
    <col min="6" max="6" width="11" customWidth="1"/>
    <col min="7" max="7" width="7.85546875" customWidth="1"/>
    <col min="8" max="8" width="11" customWidth="1"/>
    <col min="9" max="9" width="7.85546875" customWidth="1"/>
    <col min="10" max="10" width="11" customWidth="1"/>
    <col min="11" max="11" width="7.85546875" customWidth="1"/>
    <col min="12" max="12" width="11" customWidth="1"/>
    <col min="13" max="13" width="7.85546875" customWidth="1"/>
    <col min="14" max="14" width="11" customWidth="1"/>
    <col min="15" max="15" width="7.85546875" customWidth="1"/>
    <col min="16" max="16" width="11" customWidth="1"/>
    <col min="17" max="17" width="11.7109375" customWidth="1"/>
    <col min="18" max="18" width="11" customWidth="1"/>
    <col min="19" max="19" width="12.42578125" customWidth="1"/>
    <col min="20" max="116" width="9.140625" customWidth="1"/>
    <col min="117" max="118" width="0" hidden="1" customWidth="1"/>
  </cols>
  <sheetData>
    <row r="1" spans="1:119" ht="26.1" customHeight="1" x14ac:dyDescent="0.2">
      <c r="A1" s="127" t="s">
        <v>396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128" t="s">
        <v>163</v>
      </c>
      <c r="B3" s="121" t="s">
        <v>642</v>
      </c>
      <c r="C3" s="121" t="s">
        <v>668</v>
      </c>
      <c r="D3" s="125" t="s">
        <v>87</v>
      </c>
      <c r="E3" s="126"/>
      <c r="F3" s="125" t="s">
        <v>22</v>
      </c>
      <c r="G3" s="126"/>
      <c r="H3" s="125" t="s">
        <v>558</v>
      </c>
      <c r="I3" s="126"/>
      <c r="J3" s="125" t="s">
        <v>175</v>
      </c>
      <c r="K3" s="126"/>
      <c r="L3" s="125" t="s">
        <v>249</v>
      </c>
      <c r="M3" s="126"/>
      <c r="N3" s="125" t="s">
        <v>398</v>
      </c>
      <c r="O3" s="125"/>
      <c r="P3" s="131" t="s">
        <v>86</v>
      </c>
      <c r="Q3" s="121" t="s">
        <v>226</v>
      </c>
      <c r="R3" s="121" t="s">
        <v>378</v>
      </c>
      <c r="S3" s="123" t="s">
        <v>301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129"/>
      <c r="B4" s="122"/>
      <c r="C4" s="130"/>
      <c r="D4" s="10" t="s">
        <v>86</v>
      </c>
      <c r="E4" s="11" t="s">
        <v>421</v>
      </c>
      <c r="F4" s="11" t="s">
        <v>86</v>
      </c>
      <c r="G4" s="11" t="s">
        <v>421</v>
      </c>
      <c r="H4" s="11" t="s">
        <v>86</v>
      </c>
      <c r="I4" s="11" t="s">
        <v>421</v>
      </c>
      <c r="J4" s="11" t="s">
        <v>86</v>
      </c>
      <c r="K4" s="11" t="s">
        <v>421</v>
      </c>
      <c r="L4" s="11" t="s">
        <v>86</v>
      </c>
      <c r="M4" s="11" t="s">
        <v>421</v>
      </c>
      <c r="N4" s="11" t="s">
        <v>86</v>
      </c>
      <c r="O4" s="12" t="s">
        <v>421</v>
      </c>
      <c r="P4" s="122"/>
      <c r="Q4" s="122"/>
      <c r="R4" s="122"/>
      <c r="S4" s="124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 x14ac:dyDescent="0.2">
      <c r="A5" s="2" t="s">
        <v>628</v>
      </c>
      <c r="B5" s="13" t="s">
        <v>464</v>
      </c>
      <c r="C5" s="13" t="s">
        <v>239</v>
      </c>
      <c r="D5" s="14">
        <v>1657</v>
      </c>
      <c r="E5" s="13" t="s">
        <v>229</v>
      </c>
      <c r="F5" s="14">
        <v>0</v>
      </c>
      <c r="G5" s="13" t="s">
        <v>8</v>
      </c>
      <c r="H5" s="14">
        <v>0</v>
      </c>
      <c r="I5" s="13" t="s">
        <v>8</v>
      </c>
      <c r="J5" s="14">
        <v>0</v>
      </c>
      <c r="K5" s="13" t="s">
        <v>8</v>
      </c>
      <c r="L5" s="14">
        <v>0</v>
      </c>
      <c r="M5" s="13" t="s">
        <v>8</v>
      </c>
      <c r="N5" s="14">
        <v>0</v>
      </c>
      <c r="O5" s="13" t="s">
        <v>8</v>
      </c>
      <c r="P5" s="14">
        <v>1657</v>
      </c>
      <c r="Q5" s="14">
        <v>0</v>
      </c>
      <c r="R5" s="14">
        <f t="shared" ref="R5:R16" si="0">IF(Q5=0,P5,TRUNC(Q5/100*P5,0))</f>
        <v>1657</v>
      </c>
      <c r="S5" s="15" t="s">
        <v>8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281</v>
      </c>
      <c r="DN5" s="1" t="s">
        <v>8</v>
      </c>
      <c r="DO5" s="1"/>
    </row>
    <row r="6" spans="1:119" ht="18" customHeight="1" x14ac:dyDescent="0.2">
      <c r="A6" s="16" t="s">
        <v>397</v>
      </c>
      <c r="B6" s="17" t="s">
        <v>549</v>
      </c>
      <c r="C6" s="17" t="s">
        <v>584</v>
      </c>
      <c r="D6" s="18">
        <v>93430</v>
      </c>
      <c r="E6" s="17">
        <v>23734421</v>
      </c>
      <c r="F6" s="18">
        <v>0</v>
      </c>
      <c r="G6" s="17" t="s">
        <v>8</v>
      </c>
      <c r="H6" s="18">
        <v>0</v>
      </c>
      <c r="I6" s="17" t="s">
        <v>8</v>
      </c>
      <c r="J6" s="18">
        <v>0</v>
      </c>
      <c r="K6" s="17" t="s">
        <v>8</v>
      </c>
      <c r="L6" s="18">
        <v>0</v>
      </c>
      <c r="M6" s="17" t="s">
        <v>8</v>
      </c>
      <c r="N6" s="18">
        <v>0</v>
      </c>
      <c r="O6" s="17" t="s">
        <v>8</v>
      </c>
      <c r="P6" s="18">
        <v>93430</v>
      </c>
      <c r="Q6" s="18">
        <v>0</v>
      </c>
      <c r="R6" s="18">
        <f t="shared" si="0"/>
        <v>93430</v>
      </c>
      <c r="S6" s="19" t="s">
        <v>8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228</v>
      </c>
      <c r="DN6" s="1" t="s">
        <v>174</v>
      </c>
      <c r="DO6" s="1"/>
    </row>
    <row r="7" spans="1:119" ht="18" customHeight="1" x14ac:dyDescent="0.2">
      <c r="A7" s="16" t="s">
        <v>397</v>
      </c>
      <c r="B7" s="17" t="s">
        <v>433</v>
      </c>
      <c r="C7" s="17" t="s">
        <v>584</v>
      </c>
      <c r="D7" s="18">
        <v>99010</v>
      </c>
      <c r="E7" s="17">
        <v>23734428</v>
      </c>
      <c r="F7" s="18">
        <v>0</v>
      </c>
      <c r="G7" s="17" t="s">
        <v>8</v>
      </c>
      <c r="H7" s="18">
        <v>0</v>
      </c>
      <c r="I7" s="17" t="s">
        <v>8</v>
      </c>
      <c r="J7" s="18">
        <v>0</v>
      </c>
      <c r="K7" s="17" t="s">
        <v>8</v>
      </c>
      <c r="L7" s="18">
        <v>0</v>
      </c>
      <c r="M7" s="17" t="s">
        <v>8</v>
      </c>
      <c r="N7" s="18">
        <v>0</v>
      </c>
      <c r="O7" s="17" t="s">
        <v>8</v>
      </c>
      <c r="P7" s="18">
        <v>99010</v>
      </c>
      <c r="Q7" s="18">
        <v>0</v>
      </c>
      <c r="R7" s="18">
        <f t="shared" si="0"/>
        <v>99010</v>
      </c>
      <c r="S7" s="19" t="s">
        <v>8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599</v>
      </c>
      <c r="DN7" s="1" t="s">
        <v>174</v>
      </c>
      <c r="DO7" s="1"/>
    </row>
    <row r="8" spans="1:119" ht="18" customHeight="1" x14ac:dyDescent="0.2">
      <c r="A8" s="16" t="s">
        <v>523</v>
      </c>
      <c r="B8" s="17" t="s">
        <v>183</v>
      </c>
      <c r="C8" s="17" t="s">
        <v>303</v>
      </c>
      <c r="D8" s="18">
        <v>0</v>
      </c>
      <c r="E8" s="17" t="s">
        <v>8</v>
      </c>
      <c r="F8" s="18">
        <v>28500</v>
      </c>
      <c r="G8" s="17">
        <v>107</v>
      </c>
      <c r="H8" s="18">
        <v>33000</v>
      </c>
      <c r="I8" s="17">
        <v>87</v>
      </c>
      <c r="J8" s="18">
        <v>0</v>
      </c>
      <c r="K8" s="17" t="s">
        <v>8</v>
      </c>
      <c r="L8" s="18">
        <v>0</v>
      </c>
      <c r="M8" s="17" t="s">
        <v>8</v>
      </c>
      <c r="N8" s="18">
        <v>0</v>
      </c>
      <c r="O8" s="17" t="s">
        <v>8</v>
      </c>
      <c r="P8" s="18">
        <v>28500</v>
      </c>
      <c r="Q8" s="18">
        <v>0</v>
      </c>
      <c r="R8" s="18">
        <f t="shared" si="0"/>
        <v>28500</v>
      </c>
      <c r="S8" s="19" t="s">
        <v>8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152</v>
      </c>
      <c r="DN8" s="1" t="s">
        <v>8</v>
      </c>
      <c r="DO8" s="1"/>
    </row>
    <row r="9" spans="1:119" ht="18" customHeight="1" x14ac:dyDescent="0.2">
      <c r="A9" s="16" t="s">
        <v>26</v>
      </c>
      <c r="B9" s="17" t="s">
        <v>315</v>
      </c>
      <c r="C9" s="17" t="s">
        <v>225</v>
      </c>
      <c r="D9" s="18">
        <v>0</v>
      </c>
      <c r="E9" s="17" t="s">
        <v>8</v>
      </c>
      <c r="F9" s="18">
        <v>1720</v>
      </c>
      <c r="G9" s="17">
        <v>27</v>
      </c>
      <c r="H9" s="18">
        <v>2380</v>
      </c>
      <c r="I9" s="17">
        <v>36</v>
      </c>
      <c r="J9" s="18">
        <v>0</v>
      </c>
      <c r="K9" s="17" t="s">
        <v>8</v>
      </c>
      <c r="L9" s="18">
        <v>0</v>
      </c>
      <c r="M9" s="17" t="s">
        <v>8</v>
      </c>
      <c r="N9" s="18">
        <v>0</v>
      </c>
      <c r="O9" s="17" t="s">
        <v>8</v>
      </c>
      <c r="P9" s="18">
        <v>1720</v>
      </c>
      <c r="Q9" s="18">
        <v>0</v>
      </c>
      <c r="R9" s="18">
        <f t="shared" si="0"/>
        <v>1720</v>
      </c>
      <c r="S9" s="19" t="s">
        <v>8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207</v>
      </c>
      <c r="DN9" s="1" t="s">
        <v>8</v>
      </c>
      <c r="DO9" s="1"/>
    </row>
    <row r="10" spans="1:119" ht="18" customHeight="1" x14ac:dyDescent="0.2">
      <c r="A10" s="16" t="s">
        <v>678</v>
      </c>
      <c r="B10" s="17" t="s">
        <v>8</v>
      </c>
      <c r="C10" s="17" t="s">
        <v>584</v>
      </c>
      <c r="D10" s="18">
        <v>0</v>
      </c>
      <c r="E10" s="17" t="s">
        <v>8</v>
      </c>
      <c r="F10" s="18">
        <v>48000</v>
      </c>
      <c r="G10" s="17">
        <v>62</v>
      </c>
      <c r="H10" s="18">
        <v>59000</v>
      </c>
      <c r="I10" s="17">
        <v>55</v>
      </c>
      <c r="J10" s="18">
        <v>0</v>
      </c>
      <c r="K10" s="17" t="s">
        <v>8</v>
      </c>
      <c r="L10" s="18">
        <v>0</v>
      </c>
      <c r="M10" s="17" t="s">
        <v>8</v>
      </c>
      <c r="N10" s="18">
        <v>0</v>
      </c>
      <c r="O10" s="17" t="s">
        <v>8</v>
      </c>
      <c r="P10" s="18">
        <v>48000</v>
      </c>
      <c r="Q10" s="18">
        <v>0</v>
      </c>
      <c r="R10" s="18">
        <f t="shared" si="0"/>
        <v>48000</v>
      </c>
      <c r="S10" s="19" t="s">
        <v>8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82</v>
      </c>
      <c r="DN10" s="1" t="s">
        <v>16</v>
      </c>
      <c r="DO10" s="1"/>
    </row>
    <row r="11" spans="1:119" ht="18" customHeight="1" x14ac:dyDescent="0.2">
      <c r="A11" s="16" t="s">
        <v>482</v>
      </c>
      <c r="B11" s="17" t="s">
        <v>243</v>
      </c>
      <c r="C11" s="17" t="s">
        <v>351</v>
      </c>
      <c r="D11" s="18">
        <v>822800</v>
      </c>
      <c r="E11" s="17">
        <v>10063866</v>
      </c>
      <c r="F11" s="18">
        <v>0</v>
      </c>
      <c r="G11" s="17" t="s">
        <v>8</v>
      </c>
      <c r="H11" s="18">
        <v>0</v>
      </c>
      <c r="I11" s="17" t="s">
        <v>8</v>
      </c>
      <c r="J11" s="18">
        <v>0</v>
      </c>
      <c r="K11" s="17" t="s">
        <v>8</v>
      </c>
      <c r="L11" s="18">
        <v>0</v>
      </c>
      <c r="M11" s="17" t="s">
        <v>8</v>
      </c>
      <c r="N11" s="18">
        <v>0</v>
      </c>
      <c r="O11" s="17" t="s">
        <v>8</v>
      </c>
      <c r="P11" s="18">
        <v>822800</v>
      </c>
      <c r="Q11" s="18">
        <v>0</v>
      </c>
      <c r="R11" s="18">
        <f t="shared" si="0"/>
        <v>822800</v>
      </c>
      <c r="S11" s="19" t="s">
        <v>8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608</v>
      </c>
      <c r="DN11" s="1" t="s">
        <v>174</v>
      </c>
      <c r="DO11" s="1"/>
    </row>
    <row r="12" spans="1:119" ht="18" customHeight="1" x14ac:dyDescent="0.2">
      <c r="A12" s="16" t="s">
        <v>405</v>
      </c>
      <c r="B12" s="17" t="s">
        <v>665</v>
      </c>
      <c r="C12" s="17" t="s">
        <v>586</v>
      </c>
      <c r="D12" s="18">
        <v>0</v>
      </c>
      <c r="E12" s="17" t="s">
        <v>8</v>
      </c>
      <c r="F12" s="18">
        <v>11858</v>
      </c>
      <c r="G12" s="17">
        <v>670</v>
      </c>
      <c r="H12" s="18">
        <v>14176</v>
      </c>
      <c r="I12" s="17">
        <v>583</v>
      </c>
      <c r="J12" s="18">
        <v>0</v>
      </c>
      <c r="K12" s="17" t="s">
        <v>8</v>
      </c>
      <c r="L12" s="18">
        <v>0</v>
      </c>
      <c r="M12" s="17" t="s">
        <v>8</v>
      </c>
      <c r="N12" s="18">
        <v>0</v>
      </c>
      <c r="O12" s="17" t="s">
        <v>8</v>
      </c>
      <c r="P12" s="18">
        <v>11858</v>
      </c>
      <c r="Q12" s="18">
        <v>0</v>
      </c>
      <c r="R12" s="18">
        <f t="shared" si="0"/>
        <v>11858</v>
      </c>
      <c r="S12" s="19" t="s">
        <v>8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324</v>
      </c>
      <c r="DN12" s="1" t="s">
        <v>8</v>
      </c>
      <c r="DO12" s="1"/>
    </row>
    <row r="13" spans="1:119" ht="18" customHeight="1" x14ac:dyDescent="0.2">
      <c r="A13" s="16" t="s">
        <v>384</v>
      </c>
      <c r="B13" s="17" t="s">
        <v>277</v>
      </c>
      <c r="C13" s="17" t="s">
        <v>584</v>
      </c>
      <c r="D13" s="18">
        <v>0</v>
      </c>
      <c r="E13" s="17" t="s">
        <v>8</v>
      </c>
      <c r="F13" s="18">
        <v>838323</v>
      </c>
      <c r="G13" s="17">
        <v>98</v>
      </c>
      <c r="H13" s="18">
        <v>0</v>
      </c>
      <c r="I13" s="17" t="s">
        <v>8</v>
      </c>
      <c r="J13" s="18">
        <v>0</v>
      </c>
      <c r="K13" s="17" t="s">
        <v>8</v>
      </c>
      <c r="L13" s="18">
        <v>0</v>
      </c>
      <c r="M13" s="17" t="s">
        <v>8</v>
      </c>
      <c r="N13" s="18">
        <v>0</v>
      </c>
      <c r="O13" s="17" t="s">
        <v>8</v>
      </c>
      <c r="P13" s="18">
        <v>838323</v>
      </c>
      <c r="Q13" s="18">
        <v>0</v>
      </c>
      <c r="R13" s="18">
        <f t="shared" si="0"/>
        <v>838323</v>
      </c>
      <c r="S13" s="19" t="s">
        <v>8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572</v>
      </c>
      <c r="DN13" s="1" t="s">
        <v>8</v>
      </c>
      <c r="DO13" s="1"/>
    </row>
    <row r="14" spans="1:119" ht="18" customHeight="1" x14ac:dyDescent="0.2">
      <c r="A14" s="16" t="s">
        <v>497</v>
      </c>
      <c r="B14" s="17" t="s">
        <v>251</v>
      </c>
      <c r="C14" s="17" t="s">
        <v>531</v>
      </c>
      <c r="D14" s="18">
        <v>0</v>
      </c>
      <c r="E14" s="17" t="s">
        <v>8</v>
      </c>
      <c r="F14" s="18">
        <v>7000</v>
      </c>
      <c r="G14" s="17">
        <v>293</v>
      </c>
      <c r="H14" s="18">
        <v>0</v>
      </c>
      <c r="I14" s="17" t="s">
        <v>8</v>
      </c>
      <c r="J14" s="18">
        <v>0</v>
      </c>
      <c r="K14" s="17" t="s">
        <v>8</v>
      </c>
      <c r="L14" s="18">
        <v>0</v>
      </c>
      <c r="M14" s="17" t="s">
        <v>8</v>
      </c>
      <c r="N14" s="18">
        <v>0</v>
      </c>
      <c r="O14" s="17" t="s">
        <v>8</v>
      </c>
      <c r="P14" s="18">
        <v>7000</v>
      </c>
      <c r="Q14" s="18">
        <v>0</v>
      </c>
      <c r="R14" s="18">
        <f t="shared" si="0"/>
        <v>7000</v>
      </c>
      <c r="S14" s="19" t="s">
        <v>8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91</v>
      </c>
      <c r="DN14" s="1" t="s">
        <v>16</v>
      </c>
      <c r="DO14" s="1"/>
    </row>
    <row r="15" spans="1:119" ht="18" customHeight="1" x14ac:dyDescent="0.2">
      <c r="A15" s="16" t="s">
        <v>662</v>
      </c>
      <c r="B15" s="17" t="s">
        <v>114</v>
      </c>
      <c r="C15" s="17" t="s">
        <v>586</v>
      </c>
      <c r="D15" s="18">
        <v>0</v>
      </c>
      <c r="E15" s="17" t="s">
        <v>8</v>
      </c>
      <c r="F15" s="18">
        <v>0</v>
      </c>
      <c r="G15" s="17" t="s">
        <v>8</v>
      </c>
      <c r="H15" s="18">
        <v>24000</v>
      </c>
      <c r="I15" s="17">
        <v>184</v>
      </c>
      <c r="J15" s="18">
        <v>0</v>
      </c>
      <c r="K15" s="17" t="s">
        <v>8</v>
      </c>
      <c r="L15" s="18">
        <v>0</v>
      </c>
      <c r="M15" s="17" t="s">
        <v>8</v>
      </c>
      <c r="N15" s="18">
        <v>0</v>
      </c>
      <c r="O15" s="17" t="s">
        <v>8</v>
      </c>
      <c r="P15" s="18">
        <v>24000</v>
      </c>
      <c r="Q15" s="18">
        <v>0</v>
      </c>
      <c r="R15" s="18">
        <f t="shared" si="0"/>
        <v>24000</v>
      </c>
      <c r="S15" s="19" t="s">
        <v>8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694</v>
      </c>
      <c r="DN15" s="1" t="s">
        <v>16</v>
      </c>
      <c r="DO15" s="1"/>
    </row>
    <row r="16" spans="1:119" ht="18" customHeight="1" x14ac:dyDescent="0.2">
      <c r="A16" s="5" t="s">
        <v>508</v>
      </c>
      <c r="B16" s="20" t="s">
        <v>206</v>
      </c>
      <c r="C16" s="20" t="s">
        <v>239</v>
      </c>
      <c r="D16" s="21">
        <v>0</v>
      </c>
      <c r="E16" s="20" t="s">
        <v>8</v>
      </c>
      <c r="F16" s="21">
        <v>2200</v>
      </c>
      <c r="G16" s="20">
        <v>462</v>
      </c>
      <c r="H16" s="21">
        <v>0</v>
      </c>
      <c r="I16" s="20" t="s">
        <v>8</v>
      </c>
      <c r="J16" s="21">
        <v>0</v>
      </c>
      <c r="K16" s="20" t="s">
        <v>8</v>
      </c>
      <c r="L16" s="21">
        <v>0</v>
      </c>
      <c r="M16" s="20" t="s">
        <v>8</v>
      </c>
      <c r="N16" s="21">
        <v>0</v>
      </c>
      <c r="O16" s="20" t="s">
        <v>8</v>
      </c>
      <c r="P16" s="21">
        <v>2200</v>
      </c>
      <c r="Q16" s="21">
        <v>0</v>
      </c>
      <c r="R16" s="21">
        <f t="shared" si="0"/>
        <v>2200</v>
      </c>
      <c r="S16" s="22" t="s">
        <v>8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124</v>
      </c>
      <c r="DN16" s="1" t="s">
        <v>8</v>
      </c>
      <c r="DO16" s="1"/>
    </row>
    <row r="17" spans="1:119" ht="18" customHeight="1" x14ac:dyDescent="0.2">
      <c r="A17" s="1"/>
      <c r="B17" s="8"/>
      <c r="C17" s="8"/>
      <c r="D17" s="1"/>
      <c r="E17" s="8"/>
      <c r="F17" s="1"/>
      <c r="G17" s="8"/>
      <c r="H17" s="1"/>
      <c r="I17" s="8"/>
      <c r="J17" s="1"/>
      <c r="K17" s="8"/>
      <c r="L17" s="1"/>
      <c r="M17" s="8"/>
      <c r="N17" s="1"/>
      <c r="O17" s="8"/>
      <c r="P17" s="1"/>
      <c r="Q17" s="1"/>
      <c r="R17" s="1"/>
      <c r="S17" s="9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</row>
  </sheetData>
  <mergeCells count="14">
    <mergeCell ref="A1:S1"/>
    <mergeCell ref="A3:A4"/>
    <mergeCell ref="B3:B4"/>
    <mergeCell ref="C3:C4"/>
    <mergeCell ref="P3:P4"/>
    <mergeCell ref="Q3:Q4"/>
    <mergeCell ref="R3:R4"/>
    <mergeCell ref="S3:S4"/>
    <mergeCell ref="D3:E3"/>
    <mergeCell ref="F3:G3"/>
    <mergeCell ref="H3:I3"/>
    <mergeCell ref="J3:K3"/>
    <mergeCell ref="L3:M3"/>
    <mergeCell ref="N3:O3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4"/>
  <sheetViews>
    <sheetView showGridLines="0" workbookViewId="0">
      <selection activeCell="A5" sqref="A5:CW5"/>
    </sheetView>
  </sheetViews>
  <sheetFormatPr defaultRowHeight="18" customHeight="1" x14ac:dyDescent="0.2"/>
  <cols>
    <col min="1" max="1" width="7.85546875" customWidth="1"/>
    <col min="2" max="2" width="31.28515625" customWidth="1"/>
    <col min="3" max="3" width="7.85546875" customWidth="1"/>
    <col min="4" max="9" width="15.5703125" customWidth="1"/>
    <col min="10" max="10" width="11.7109375" customWidth="1"/>
    <col min="11" max="11" width="15.5703125" customWidth="1"/>
    <col min="12" max="12" width="12.42578125" customWidth="1"/>
    <col min="13" max="116" width="9.140625" customWidth="1"/>
    <col min="117" max="118" width="0" hidden="1" customWidth="1"/>
  </cols>
  <sheetData>
    <row r="1" spans="1:118" ht="26.1" customHeight="1" x14ac:dyDescent="0.2">
      <c r="A1" s="127" t="s">
        <v>323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</row>
    <row r="2" spans="1:11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</row>
    <row r="3" spans="1:118" ht="18" customHeight="1" x14ac:dyDescent="0.2">
      <c r="A3" s="128" t="s">
        <v>684</v>
      </c>
      <c r="B3" s="121" t="s">
        <v>554</v>
      </c>
      <c r="C3" s="121" t="s">
        <v>668</v>
      </c>
      <c r="D3" s="125" t="s">
        <v>595</v>
      </c>
      <c r="E3" s="126"/>
      <c r="F3" s="125" t="s">
        <v>677</v>
      </c>
      <c r="G3" s="125"/>
      <c r="H3" s="131" t="s">
        <v>300</v>
      </c>
      <c r="I3" s="121" t="s">
        <v>86</v>
      </c>
      <c r="J3" s="121" t="s">
        <v>226</v>
      </c>
      <c r="K3" s="121" t="s">
        <v>378</v>
      </c>
      <c r="L3" s="123" t="s">
        <v>301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</row>
    <row r="4" spans="1:118" ht="18" customHeight="1" x14ac:dyDescent="0.2">
      <c r="A4" s="129"/>
      <c r="B4" s="122"/>
      <c r="C4" s="130"/>
      <c r="D4" s="10" t="s">
        <v>672</v>
      </c>
      <c r="E4" s="11" t="s">
        <v>641</v>
      </c>
      <c r="F4" s="11" t="s">
        <v>672</v>
      </c>
      <c r="G4" s="12" t="s">
        <v>641</v>
      </c>
      <c r="H4" s="122"/>
      <c r="I4" s="122"/>
      <c r="J4" s="122"/>
      <c r="K4" s="122"/>
      <c r="L4" s="12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</row>
    <row r="5" spans="1:118" ht="18" customHeight="1" x14ac:dyDescent="0.2">
      <c r="A5" s="23">
        <v>1</v>
      </c>
      <c r="B5" s="3" t="s">
        <v>623</v>
      </c>
      <c r="C5" s="13" t="s">
        <v>221</v>
      </c>
      <c r="D5" s="14">
        <v>172068</v>
      </c>
      <c r="E5" s="14">
        <v>0</v>
      </c>
      <c r="F5" s="14">
        <v>0</v>
      </c>
      <c r="G5" s="14">
        <v>0</v>
      </c>
      <c r="H5" s="14">
        <v>0</v>
      </c>
      <c r="I5" s="14">
        <v>172068</v>
      </c>
      <c r="J5" s="14">
        <v>0</v>
      </c>
      <c r="K5" s="14">
        <f t="shared" ref="K5:K13" si="0">IF(J5=0,I5,TRUNC(J5/100*I5,0))</f>
        <v>172068</v>
      </c>
      <c r="L5" s="4" t="s">
        <v>8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25</v>
      </c>
      <c r="DN5" s="1"/>
    </row>
    <row r="6" spans="1:118" ht="18" customHeight="1" x14ac:dyDescent="0.2">
      <c r="A6" s="24">
        <v>2</v>
      </c>
      <c r="B6" s="25" t="s">
        <v>123</v>
      </c>
      <c r="C6" s="17" t="s">
        <v>221</v>
      </c>
      <c r="D6" s="18">
        <v>273540</v>
      </c>
      <c r="E6" s="18">
        <v>0</v>
      </c>
      <c r="F6" s="18">
        <v>0</v>
      </c>
      <c r="G6" s="18">
        <v>0</v>
      </c>
      <c r="H6" s="18">
        <v>0</v>
      </c>
      <c r="I6" s="18">
        <v>273540</v>
      </c>
      <c r="J6" s="18">
        <v>0</v>
      </c>
      <c r="K6" s="18">
        <f t="shared" si="0"/>
        <v>273540</v>
      </c>
      <c r="L6" s="26" t="s">
        <v>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450</v>
      </c>
      <c r="DN6" s="1"/>
    </row>
    <row r="7" spans="1:118" ht="18" customHeight="1" x14ac:dyDescent="0.2">
      <c r="A7" s="24">
        <v>3</v>
      </c>
      <c r="B7" s="25" t="s">
        <v>21</v>
      </c>
      <c r="C7" s="17" t="s">
        <v>221</v>
      </c>
      <c r="D7" s="18">
        <v>275790</v>
      </c>
      <c r="E7" s="18">
        <v>0</v>
      </c>
      <c r="F7" s="18">
        <v>0</v>
      </c>
      <c r="G7" s="18">
        <v>0</v>
      </c>
      <c r="H7" s="18">
        <v>0</v>
      </c>
      <c r="I7" s="18">
        <v>275790</v>
      </c>
      <c r="J7" s="18">
        <v>0</v>
      </c>
      <c r="K7" s="18">
        <f t="shared" si="0"/>
        <v>275790</v>
      </c>
      <c r="L7" s="26" t="s">
        <v>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365</v>
      </c>
      <c r="DN7" s="1"/>
    </row>
    <row r="8" spans="1:118" ht="18" customHeight="1" x14ac:dyDescent="0.2">
      <c r="A8" s="24">
        <v>4</v>
      </c>
      <c r="B8" s="25" t="s">
        <v>440</v>
      </c>
      <c r="C8" s="17" t="s">
        <v>221</v>
      </c>
      <c r="D8" s="18">
        <v>268187</v>
      </c>
      <c r="E8" s="18">
        <v>0</v>
      </c>
      <c r="F8" s="18">
        <v>0</v>
      </c>
      <c r="G8" s="18">
        <v>0</v>
      </c>
      <c r="H8" s="18">
        <v>0</v>
      </c>
      <c r="I8" s="18">
        <v>268187</v>
      </c>
      <c r="J8" s="18">
        <v>0</v>
      </c>
      <c r="K8" s="18">
        <f t="shared" si="0"/>
        <v>268187</v>
      </c>
      <c r="L8" s="26" t="s">
        <v>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364</v>
      </c>
      <c r="DN8" s="1"/>
    </row>
    <row r="9" spans="1:118" ht="18" customHeight="1" x14ac:dyDescent="0.2">
      <c r="A9" s="24">
        <v>5</v>
      </c>
      <c r="B9" s="25" t="s">
        <v>296</v>
      </c>
      <c r="C9" s="17" t="s">
        <v>221</v>
      </c>
      <c r="D9" s="18">
        <v>283297</v>
      </c>
      <c r="E9" s="18">
        <v>0</v>
      </c>
      <c r="F9" s="18">
        <v>0</v>
      </c>
      <c r="G9" s="18">
        <v>0</v>
      </c>
      <c r="H9" s="18">
        <v>0</v>
      </c>
      <c r="I9" s="18">
        <v>283297</v>
      </c>
      <c r="J9" s="18">
        <v>0</v>
      </c>
      <c r="K9" s="18">
        <f t="shared" si="0"/>
        <v>283297</v>
      </c>
      <c r="L9" s="26" t="s">
        <v>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548</v>
      </c>
      <c r="DN9" s="1"/>
    </row>
    <row r="10" spans="1:118" ht="18" customHeight="1" x14ac:dyDescent="0.2">
      <c r="A10" s="24">
        <v>6</v>
      </c>
      <c r="B10" s="25" t="s">
        <v>637</v>
      </c>
      <c r="C10" s="17" t="s">
        <v>221</v>
      </c>
      <c r="D10" s="18">
        <v>238936</v>
      </c>
      <c r="E10" s="18">
        <v>0</v>
      </c>
      <c r="F10" s="18">
        <v>0</v>
      </c>
      <c r="G10" s="18">
        <v>0</v>
      </c>
      <c r="H10" s="18">
        <v>0</v>
      </c>
      <c r="I10" s="18">
        <v>238936</v>
      </c>
      <c r="J10" s="18">
        <v>0</v>
      </c>
      <c r="K10" s="18">
        <f t="shared" si="0"/>
        <v>238936</v>
      </c>
      <c r="L10" s="26" t="s">
        <v>8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165</v>
      </c>
      <c r="DN10" s="1"/>
    </row>
    <row r="11" spans="1:118" ht="18" customHeight="1" x14ac:dyDescent="0.2">
      <c r="A11" s="24">
        <v>7</v>
      </c>
      <c r="B11" s="25" t="s">
        <v>657</v>
      </c>
      <c r="C11" s="17" t="s">
        <v>221</v>
      </c>
      <c r="D11" s="18">
        <v>226122</v>
      </c>
      <c r="E11" s="18">
        <v>0</v>
      </c>
      <c r="F11" s="18">
        <v>0</v>
      </c>
      <c r="G11" s="18">
        <v>0</v>
      </c>
      <c r="H11" s="18">
        <v>0</v>
      </c>
      <c r="I11" s="18">
        <v>226122</v>
      </c>
      <c r="J11" s="18">
        <v>0</v>
      </c>
      <c r="K11" s="18">
        <f t="shared" si="0"/>
        <v>226122</v>
      </c>
      <c r="L11" s="26" t="s">
        <v>8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193</v>
      </c>
      <c r="DN11" s="1"/>
    </row>
    <row r="12" spans="1:118" ht="18" customHeight="1" x14ac:dyDescent="0.2">
      <c r="A12" s="24">
        <v>8</v>
      </c>
      <c r="B12" s="25" t="s">
        <v>290</v>
      </c>
      <c r="C12" s="17" t="s">
        <v>221</v>
      </c>
      <c r="D12" s="18">
        <v>173995</v>
      </c>
      <c r="E12" s="18">
        <v>0</v>
      </c>
      <c r="F12" s="18">
        <v>0</v>
      </c>
      <c r="G12" s="18">
        <v>0</v>
      </c>
      <c r="H12" s="18">
        <v>0</v>
      </c>
      <c r="I12" s="18">
        <v>173995</v>
      </c>
      <c r="J12" s="18">
        <v>0</v>
      </c>
      <c r="K12" s="18">
        <f t="shared" si="0"/>
        <v>173995</v>
      </c>
      <c r="L12" s="26" t="s">
        <v>8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24</v>
      </c>
      <c r="DN12" s="1"/>
    </row>
    <row r="13" spans="1:118" ht="18" customHeight="1" x14ac:dyDescent="0.2">
      <c r="A13" s="27">
        <v>9</v>
      </c>
      <c r="B13" s="6" t="s">
        <v>23</v>
      </c>
      <c r="C13" s="20" t="s">
        <v>221</v>
      </c>
      <c r="D13" s="21">
        <v>228286</v>
      </c>
      <c r="E13" s="21">
        <v>0</v>
      </c>
      <c r="F13" s="21">
        <v>0</v>
      </c>
      <c r="G13" s="21">
        <v>0</v>
      </c>
      <c r="H13" s="21">
        <v>0</v>
      </c>
      <c r="I13" s="21">
        <v>228286</v>
      </c>
      <c r="J13" s="21">
        <v>0</v>
      </c>
      <c r="K13" s="21">
        <f t="shared" si="0"/>
        <v>228286</v>
      </c>
      <c r="L13" s="7" t="s">
        <v>8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419</v>
      </c>
      <c r="DN13" s="1"/>
    </row>
    <row r="14" spans="1:118" ht="18" customHeight="1" x14ac:dyDescent="0.2">
      <c r="A14" s="8"/>
      <c r="B14" s="1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</row>
  </sheetData>
  <mergeCells count="11">
    <mergeCell ref="L3:L4"/>
    <mergeCell ref="D3:E3"/>
    <mergeCell ref="F3:G3"/>
    <mergeCell ref="A1:L1"/>
    <mergeCell ref="A3:A4"/>
    <mergeCell ref="B3:B4"/>
    <mergeCell ref="C3:C4"/>
    <mergeCell ref="H3:H4"/>
    <mergeCell ref="I3:I4"/>
    <mergeCell ref="J3:J4"/>
    <mergeCell ref="K3:K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8"/>
  <sheetViews>
    <sheetView showGridLines="0" workbookViewId="0">
      <selection activeCell="A5" sqref="A5:CW5"/>
    </sheetView>
  </sheetViews>
  <sheetFormatPr defaultRowHeight="18" customHeight="1" x14ac:dyDescent="0.2"/>
  <cols>
    <col min="1" max="1" width="27.28515625" customWidth="1"/>
    <col min="2" max="2" width="19.5703125" customWidth="1"/>
    <col min="3" max="3" width="7.85546875" customWidth="1"/>
    <col min="4" max="4" width="6.28515625" customWidth="1"/>
    <col min="5" max="8" width="11.7109375" customWidth="1"/>
    <col min="9" max="9" width="11" customWidth="1"/>
    <col min="10" max="13" width="13.28515625" customWidth="1"/>
    <col min="14" max="14" width="11" customWidth="1"/>
    <col min="15" max="116" width="9.140625" customWidth="1"/>
    <col min="117" max="118" width="0" hidden="1" customWidth="1"/>
  </cols>
  <sheetData>
    <row r="1" spans="1:127" ht="26.1" customHeight="1" x14ac:dyDescent="0.2">
      <c r="A1" s="127" t="s">
        <v>612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8" t="s">
        <v>627</v>
      </c>
      <c r="B3" s="121" t="s">
        <v>642</v>
      </c>
      <c r="C3" s="121" t="s">
        <v>41</v>
      </c>
      <c r="D3" s="121" t="s">
        <v>668</v>
      </c>
      <c r="E3" s="121" t="s">
        <v>242</v>
      </c>
      <c r="F3" s="121" t="s">
        <v>190</v>
      </c>
      <c r="G3" s="121" t="s">
        <v>476</v>
      </c>
      <c r="H3" s="121" t="s">
        <v>496</v>
      </c>
      <c r="I3" s="121" t="s">
        <v>226</v>
      </c>
      <c r="J3" s="121" t="s">
        <v>656</v>
      </c>
      <c r="K3" s="121" t="s">
        <v>683</v>
      </c>
      <c r="L3" s="121" t="s">
        <v>393</v>
      </c>
      <c r="M3" s="121" t="s">
        <v>283</v>
      </c>
      <c r="N3" s="123" t="s">
        <v>301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9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2" t="s">
        <v>145</v>
      </c>
      <c r="B5" s="13" t="s">
        <v>8</v>
      </c>
      <c r="C5" s="3">
        <v>1</v>
      </c>
      <c r="D5" s="13" t="s">
        <v>392</v>
      </c>
      <c r="E5" s="14">
        <f>F5+G5+H5</f>
        <v>5907</v>
      </c>
      <c r="F5" s="14">
        <v>5907</v>
      </c>
      <c r="G5" s="14">
        <v>0</v>
      </c>
      <c r="H5" s="14">
        <v>0</v>
      </c>
      <c r="I5" s="14">
        <v>0</v>
      </c>
      <c r="J5" s="14">
        <f>K5+L5+M5</f>
        <v>5907</v>
      </c>
      <c r="K5" s="14">
        <f>IF(I5=0,F5,TRUNC(I5/100*F5,0))</f>
        <v>5907</v>
      </c>
      <c r="L5" s="14">
        <f>IF(I5=0,G5,TRUNC(I5/100*G5,0))</f>
        <v>0</v>
      </c>
      <c r="M5" s="14">
        <f>IF(I5=0,H5,TRUNC(I5/100*H5,0))</f>
        <v>0</v>
      </c>
      <c r="N5" s="4" t="s">
        <v>8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395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6" t="s">
        <v>380</v>
      </c>
      <c r="B6" s="17" t="s">
        <v>8</v>
      </c>
      <c r="C6" s="25">
        <v>1</v>
      </c>
      <c r="D6" s="17" t="s">
        <v>351</v>
      </c>
      <c r="E6" s="18">
        <f>F6+G6+H6</f>
        <v>2261.69</v>
      </c>
      <c r="F6" s="18">
        <v>0</v>
      </c>
      <c r="G6" s="18">
        <v>0</v>
      </c>
      <c r="H6" s="18">
        <v>2261.69</v>
      </c>
      <c r="I6" s="18">
        <v>0</v>
      </c>
      <c r="J6" s="18">
        <f>K6+L6+M6</f>
        <v>2261.69</v>
      </c>
      <c r="K6" s="18">
        <f>IF(I6=0,F6,TRUNC(I6/100*F6,0))</f>
        <v>0</v>
      </c>
      <c r="L6" s="18">
        <f>IF(I6=0,G6,TRUNC(I6/100*G6,0))</f>
        <v>0</v>
      </c>
      <c r="M6" s="18">
        <f>IF(I6=0,H6,TRUNC(I6/100*H6,0))</f>
        <v>2261.69</v>
      </c>
      <c r="N6" s="26" t="s">
        <v>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467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5" t="s">
        <v>427</v>
      </c>
      <c r="B7" s="20" t="s">
        <v>622</v>
      </c>
      <c r="C7" s="6">
        <v>1</v>
      </c>
      <c r="D7" s="20" t="s">
        <v>309</v>
      </c>
      <c r="E7" s="21">
        <f>F7+G7+H7</f>
        <v>111240</v>
      </c>
      <c r="F7" s="21">
        <v>0</v>
      </c>
      <c r="G7" s="21">
        <v>0</v>
      </c>
      <c r="H7" s="21">
        <v>111240</v>
      </c>
      <c r="I7" s="21">
        <v>0</v>
      </c>
      <c r="J7" s="21">
        <f>K7+L7+M7</f>
        <v>111240</v>
      </c>
      <c r="K7" s="21">
        <f>IF(I7=0,F7,TRUNC(I7/100*F7,0))</f>
        <v>0</v>
      </c>
      <c r="L7" s="21">
        <f>IF(I7=0,G7,TRUNC(I7/100*G7,0))</f>
        <v>0</v>
      </c>
      <c r="M7" s="21">
        <f>IF(I7=0,H7,TRUNC(I7/100*H7,0))</f>
        <v>111240</v>
      </c>
      <c r="N7" s="7" t="s">
        <v>8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362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"/>
      <c r="B8" s="8"/>
      <c r="C8" s="1"/>
      <c r="D8" s="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</row>
  </sheetData>
  <mergeCells count="15">
    <mergeCell ref="K3:K4"/>
    <mergeCell ref="L3:L4"/>
    <mergeCell ref="M3:M4"/>
    <mergeCell ref="N3:N4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29"/>
  <sheetViews>
    <sheetView showGridLines="0" workbookViewId="0">
      <selection activeCell="A5" sqref="A5:CW5"/>
    </sheetView>
  </sheetViews>
  <sheetFormatPr defaultRowHeight="18" customHeight="1" x14ac:dyDescent="0.2"/>
  <cols>
    <col min="1" max="1" width="3.85546875" customWidth="1"/>
    <col min="2" max="9" width="19.5703125" customWidth="1"/>
    <col min="10" max="116" width="9.140625" customWidth="1"/>
    <col min="117" max="118" width="0" hidden="1" customWidth="1"/>
  </cols>
  <sheetData>
    <row r="1" spans="1:128" ht="18" customHeight="1" x14ac:dyDescent="0.2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</row>
    <row r="2" spans="1:128" ht="18" customHeight="1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</row>
    <row r="3" spans="1:128" ht="18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</row>
    <row r="4" spans="1:128" ht="18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</row>
    <row r="5" spans="1:128" ht="18" customHeight="1" x14ac:dyDescent="0.2">
      <c r="A5" s="28"/>
      <c r="B5" s="29"/>
      <c r="C5" s="30" t="s">
        <v>8</v>
      </c>
      <c r="D5" s="30"/>
      <c r="E5" s="30"/>
      <c r="F5" s="30"/>
      <c r="G5" s="30"/>
      <c r="H5" s="30"/>
      <c r="I5" s="31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 t="s">
        <v>485</v>
      </c>
      <c r="DN5" s="28" t="s">
        <v>248</v>
      </c>
      <c r="DO5" s="28"/>
      <c r="DP5" s="28"/>
      <c r="DQ5" s="28"/>
      <c r="DR5" s="28"/>
      <c r="DS5" s="28"/>
      <c r="DT5" s="28"/>
      <c r="DU5" s="28"/>
      <c r="DV5" s="28"/>
      <c r="DW5" s="28"/>
      <c r="DX5" s="28"/>
    </row>
    <row r="6" spans="1:128" ht="18" customHeight="1" x14ac:dyDescent="0.2">
      <c r="A6" s="28"/>
      <c r="B6" s="32"/>
      <c r="C6" s="33" t="s">
        <v>381</v>
      </c>
      <c r="D6" s="33"/>
      <c r="E6" s="33"/>
      <c r="F6" s="33"/>
      <c r="G6" s="33"/>
      <c r="H6" s="33"/>
      <c r="I6" s="34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 t="s">
        <v>169</v>
      </c>
      <c r="DN6" s="28" t="s">
        <v>699</v>
      </c>
      <c r="DO6" s="28"/>
      <c r="DP6" s="28"/>
      <c r="DQ6" s="28"/>
      <c r="DR6" s="28"/>
      <c r="DS6" s="28"/>
      <c r="DT6" s="28"/>
      <c r="DU6" s="28"/>
      <c r="DV6" s="28"/>
      <c r="DW6" s="28"/>
      <c r="DX6" s="28"/>
    </row>
    <row r="7" spans="1:128" ht="18" customHeight="1" x14ac:dyDescent="0.2">
      <c r="A7" s="28"/>
      <c r="B7" s="32"/>
      <c r="C7" s="33" t="s">
        <v>8</v>
      </c>
      <c r="D7" s="33"/>
      <c r="E7" s="33"/>
      <c r="F7" s="33"/>
      <c r="G7" s="33"/>
      <c r="H7" s="33"/>
      <c r="I7" s="34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 t="s">
        <v>507</v>
      </c>
      <c r="DN7" s="28" t="s">
        <v>281</v>
      </c>
      <c r="DO7" s="28"/>
      <c r="DP7" s="28"/>
      <c r="DQ7" s="28"/>
      <c r="DR7" s="28"/>
      <c r="DS7" s="28"/>
      <c r="DT7" s="28"/>
      <c r="DU7" s="28"/>
      <c r="DV7" s="28"/>
      <c r="DW7" s="28"/>
      <c r="DX7" s="28"/>
    </row>
    <row r="8" spans="1:128" ht="18" customHeight="1" x14ac:dyDescent="0.2">
      <c r="A8" s="28"/>
      <c r="B8" s="32"/>
      <c r="C8" s="33" t="s">
        <v>200</v>
      </c>
      <c r="D8" s="33"/>
      <c r="E8" s="33"/>
      <c r="F8" s="33"/>
      <c r="G8" s="33"/>
      <c r="H8" s="33"/>
      <c r="I8" s="34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 t="s">
        <v>289</v>
      </c>
      <c r="DN8" s="28" t="s">
        <v>515</v>
      </c>
      <c r="DO8" s="28"/>
      <c r="DP8" s="28"/>
      <c r="DQ8" s="28"/>
      <c r="DR8" s="28"/>
      <c r="DS8" s="28"/>
      <c r="DT8" s="28"/>
      <c r="DU8" s="28"/>
      <c r="DV8" s="28"/>
      <c r="DW8" s="28"/>
      <c r="DX8" s="28"/>
    </row>
    <row r="9" spans="1:128" ht="18" customHeight="1" x14ac:dyDescent="0.2">
      <c r="A9" s="28"/>
      <c r="B9" s="32"/>
      <c r="C9" s="33" t="s">
        <v>241</v>
      </c>
      <c r="D9" s="33"/>
      <c r="E9" s="33"/>
      <c r="F9" s="33"/>
      <c r="G9" s="33"/>
      <c r="H9" s="33"/>
      <c r="I9" s="34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 t="s">
        <v>463</v>
      </c>
      <c r="DN9" s="28" t="s">
        <v>609</v>
      </c>
      <c r="DO9" s="28"/>
      <c r="DP9" s="28"/>
      <c r="DQ9" s="28"/>
      <c r="DR9" s="28"/>
      <c r="DS9" s="28"/>
      <c r="DT9" s="28"/>
      <c r="DU9" s="28"/>
      <c r="DV9" s="28"/>
      <c r="DW9" s="28"/>
      <c r="DX9" s="28"/>
    </row>
    <row r="10" spans="1:128" ht="18" customHeight="1" x14ac:dyDescent="0.2">
      <c r="A10" s="28"/>
      <c r="B10" s="32"/>
      <c r="C10" s="33" t="s">
        <v>8</v>
      </c>
      <c r="D10" s="33"/>
      <c r="E10" s="33"/>
      <c r="F10" s="33"/>
      <c r="G10" s="33"/>
      <c r="H10" s="33"/>
      <c r="I10" s="34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 t="s">
        <v>269</v>
      </c>
      <c r="DN10" s="28" t="s">
        <v>548</v>
      </c>
      <c r="DO10" s="28"/>
      <c r="DP10" s="28"/>
      <c r="DQ10" s="28"/>
      <c r="DR10" s="28"/>
      <c r="DS10" s="28"/>
      <c r="DT10" s="28"/>
      <c r="DU10" s="28"/>
      <c r="DV10" s="28"/>
      <c r="DW10" s="28"/>
      <c r="DX10" s="28"/>
    </row>
    <row r="11" spans="1:128" ht="18" customHeight="1" x14ac:dyDescent="0.2">
      <c r="A11" s="28"/>
      <c r="B11" s="32"/>
      <c r="C11" s="33" t="s">
        <v>453</v>
      </c>
      <c r="D11" s="33"/>
      <c r="E11" s="33"/>
      <c r="F11" s="33"/>
      <c r="G11" s="33"/>
      <c r="H11" s="33"/>
      <c r="I11" s="34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 t="s">
        <v>151</v>
      </c>
      <c r="DN11" s="28" t="s">
        <v>165</v>
      </c>
      <c r="DO11" s="28"/>
      <c r="DP11" s="28"/>
      <c r="DQ11" s="28"/>
      <c r="DR11" s="28"/>
      <c r="DS11" s="28"/>
      <c r="DT11" s="28"/>
      <c r="DU11" s="28"/>
      <c r="DV11" s="28"/>
      <c r="DW11" s="28"/>
      <c r="DX11" s="28"/>
    </row>
    <row r="12" spans="1:128" ht="18" customHeight="1" x14ac:dyDescent="0.2">
      <c r="A12" s="28"/>
      <c r="B12" s="32"/>
      <c r="C12" s="33" t="s">
        <v>210</v>
      </c>
      <c r="D12" s="33"/>
      <c r="E12" s="33"/>
      <c r="F12" s="33"/>
      <c r="G12" s="33"/>
      <c r="H12" s="33"/>
      <c r="I12" s="34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 t="s">
        <v>135</v>
      </c>
      <c r="DN12" s="28" t="s">
        <v>24</v>
      </c>
      <c r="DO12" s="28"/>
      <c r="DP12" s="28"/>
      <c r="DQ12" s="28"/>
      <c r="DR12" s="28"/>
      <c r="DS12" s="28"/>
      <c r="DT12" s="28"/>
      <c r="DU12" s="28"/>
      <c r="DV12" s="28"/>
      <c r="DW12" s="28"/>
      <c r="DX12" s="28"/>
    </row>
    <row r="13" spans="1:128" ht="18" customHeight="1" x14ac:dyDescent="0.2">
      <c r="A13" s="28"/>
      <c r="B13" s="32"/>
      <c r="C13" s="33" t="s">
        <v>20</v>
      </c>
      <c r="D13" s="33"/>
      <c r="E13" s="33"/>
      <c r="F13" s="33"/>
      <c r="G13" s="33"/>
      <c r="H13" s="33"/>
      <c r="I13" s="34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 t="s">
        <v>79</v>
      </c>
      <c r="DN13" s="28" t="s">
        <v>30</v>
      </c>
      <c r="DO13" s="28"/>
      <c r="DP13" s="28"/>
      <c r="DQ13" s="28"/>
      <c r="DR13" s="28"/>
      <c r="DS13" s="28"/>
      <c r="DT13" s="28"/>
      <c r="DU13" s="28"/>
      <c r="DV13" s="28"/>
      <c r="DW13" s="28"/>
      <c r="DX13" s="28"/>
    </row>
    <row r="14" spans="1:128" ht="18" customHeight="1" x14ac:dyDescent="0.2">
      <c r="A14" s="28"/>
      <c r="B14" s="32"/>
      <c r="C14" s="33" t="s">
        <v>614</v>
      </c>
      <c r="D14" s="33"/>
      <c r="E14" s="33"/>
      <c r="F14" s="33"/>
      <c r="G14" s="33"/>
      <c r="H14" s="33"/>
      <c r="I14" s="34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 t="s">
        <v>375</v>
      </c>
      <c r="DN14" s="28" t="s">
        <v>30</v>
      </c>
      <c r="DO14" s="28"/>
      <c r="DP14" s="28"/>
      <c r="DQ14" s="28"/>
      <c r="DR14" s="28"/>
      <c r="DS14" s="28"/>
      <c r="DT14" s="28"/>
      <c r="DU14" s="28"/>
      <c r="DV14" s="28"/>
      <c r="DW14" s="28"/>
      <c r="DX14" s="28"/>
    </row>
    <row r="15" spans="1:128" ht="18" customHeight="1" x14ac:dyDescent="0.2">
      <c r="A15" s="28"/>
      <c r="B15" s="32"/>
      <c r="C15" s="33" t="s">
        <v>448</v>
      </c>
      <c r="D15" s="33"/>
      <c r="E15" s="33"/>
      <c r="F15" s="33"/>
      <c r="G15" s="33"/>
      <c r="H15" s="33"/>
      <c r="I15" s="34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 t="s">
        <v>563</v>
      </c>
      <c r="DN15" s="28" t="s">
        <v>30</v>
      </c>
      <c r="DO15" s="28"/>
      <c r="DP15" s="28"/>
      <c r="DQ15" s="28"/>
      <c r="DR15" s="28"/>
      <c r="DS15" s="28"/>
      <c r="DT15" s="28"/>
      <c r="DU15" s="28"/>
      <c r="DV15" s="28"/>
      <c r="DW15" s="28"/>
      <c r="DX15" s="28"/>
    </row>
    <row r="16" spans="1:128" ht="18" customHeight="1" x14ac:dyDescent="0.2">
      <c r="A16" s="28"/>
      <c r="B16" s="32"/>
      <c r="C16" s="33" t="s">
        <v>8</v>
      </c>
      <c r="D16" s="33"/>
      <c r="E16" s="33"/>
      <c r="F16" s="33"/>
      <c r="G16" s="33"/>
      <c r="H16" s="33"/>
      <c r="I16" s="34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 t="s">
        <v>660</v>
      </c>
      <c r="DN16" s="28" t="s">
        <v>30</v>
      </c>
      <c r="DO16" s="28"/>
      <c r="DP16" s="28"/>
      <c r="DQ16" s="28"/>
      <c r="DR16" s="28"/>
      <c r="DS16" s="28"/>
      <c r="DT16" s="28"/>
      <c r="DU16" s="28"/>
      <c r="DV16" s="28"/>
      <c r="DW16" s="28"/>
      <c r="DX16" s="28"/>
    </row>
    <row r="17" spans="1:128" ht="18" customHeight="1" x14ac:dyDescent="0.2">
      <c r="A17" s="28"/>
      <c r="B17" s="32"/>
      <c r="C17" s="33" t="s">
        <v>659</v>
      </c>
      <c r="D17" s="33"/>
      <c r="E17" s="33"/>
      <c r="F17" s="33"/>
      <c r="G17" s="33"/>
      <c r="H17" s="33"/>
      <c r="I17" s="34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 t="s">
        <v>209</v>
      </c>
      <c r="DN17" s="28" t="s">
        <v>7</v>
      </c>
      <c r="DO17" s="28"/>
      <c r="DP17" s="28"/>
      <c r="DQ17" s="28"/>
      <c r="DR17" s="28"/>
      <c r="DS17" s="28"/>
      <c r="DT17" s="28"/>
      <c r="DU17" s="28"/>
      <c r="DV17" s="28"/>
      <c r="DW17" s="28"/>
      <c r="DX17" s="28"/>
    </row>
    <row r="18" spans="1:128" ht="18" customHeight="1" x14ac:dyDescent="0.2">
      <c r="A18" s="28"/>
      <c r="B18" s="32"/>
      <c r="C18" s="33" t="s">
        <v>547</v>
      </c>
      <c r="D18" s="33"/>
      <c r="E18" s="33"/>
      <c r="F18" s="33"/>
      <c r="G18" s="33"/>
      <c r="H18" s="33"/>
      <c r="I18" s="34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 t="s">
        <v>488</v>
      </c>
      <c r="DN18" s="28" t="s">
        <v>7</v>
      </c>
      <c r="DO18" s="28"/>
      <c r="DP18" s="28"/>
      <c r="DQ18" s="28"/>
      <c r="DR18" s="28"/>
      <c r="DS18" s="28"/>
      <c r="DT18" s="28"/>
      <c r="DU18" s="28"/>
      <c r="DV18" s="28"/>
      <c r="DW18" s="28"/>
      <c r="DX18" s="28"/>
    </row>
    <row r="19" spans="1:128" ht="18" customHeight="1" x14ac:dyDescent="0.2">
      <c r="A19" s="28"/>
      <c r="B19" s="32"/>
      <c r="C19" s="33" t="s">
        <v>359</v>
      </c>
      <c r="D19" s="33"/>
      <c r="E19" s="33"/>
      <c r="F19" s="33"/>
      <c r="G19" s="33"/>
      <c r="H19" s="33"/>
      <c r="I19" s="34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 t="s">
        <v>61</v>
      </c>
      <c r="DN19" s="28" t="s">
        <v>493</v>
      </c>
      <c r="DO19" s="28"/>
      <c r="DP19" s="28"/>
      <c r="DQ19" s="28"/>
      <c r="DR19" s="28"/>
      <c r="DS19" s="28"/>
      <c r="DT19" s="28"/>
      <c r="DU19" s="28"/>
      <c r="DV19" s="28"/>
      <c r="DW19" s="28"/>
      <c r="DX19" s="28"/>
    </row>
    <row r="20" spans="1:128" ht="18" customHeight="1" x14ac:dyDescent="0.2">
      <c r="A20" s="28"/>
      <c r="B20" s="32"/>
      <c r="C20" s="33" t="s">
        <v>321</v>
      </c>
      <c r="D20" s="33"/>
      <c r="E20" s="33"/>
      <c r="F20" s="33"/>
      <c r="G20" s="33"/>
      <c r="H20" s="33"/>
      <c r="I20" s="34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 t="s">
        <v>205</v>
      </c>
      <c r="DN20" s="28" t="s">
        <v>358</v>
      </c>
      <c r="DO20" s="28"/>
      <c r="DP20" s="28"/>
      <c r="DQ20" s="28"/>
      <c r="DR20" s="28"/>
      <c r="DS20" s="28"/>
      <c r="DT20" s="28"/>
      <c r="DU20" s="28"/>
      <c r="DV20" s="28"/>
      <c r="DW20" s="28"/>
      <c r="DX20" s="28"/>
    </row>
    <row r="21" spans="1:128" ht="18" customHeight="1" x14ac:dyDescent="0.2">
      <c r="A21" s="28"/>
      <c r="B21" s="32"/>
      <c r="C21" s="33" t="s">
        <v>8</v>
      </c>
      <c r="D21" s="33"/>
      <c r="E21" s="33"/>
      <c r="F21" s="33"/>
      <c r="G21" s="33"/>
      <c r="H21" s="33"/>
      <c r="I21" s="34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 t="s">
        <v>276</v>
      </c>
      <c r="DN21" s="28" t="s">
        <v>538</v>
      </c>
      <c r="DO21" s="28"/>
      <c r="DP21" s="28"/>
      <c r="DQ21" s="28"/>
      <c r="DR21" s="28"/>
      <c r="DS21" s="28"/>
      <c r="DT21" s="28"/>
      <c r="DU21" s="28"/>
      <c r="DV21" s="28"/>
      <c r="DW21" s="28"/>
      <c r="DX21" s="28"/>
    </row>
    <row r="22" spans="1:128" ht="18" customHeight="1" x14ac:dyDescent="0.2">
      <c r="A22" s="28"/>
      <c r="B22" s="35"/>
      <c r="C22" s="36"/>
      <c r="D22" s="36"/>
      <c r="E22" s="36"/>
      <c r="F22" s="36"/>
      <c r="G22" s="36"/>
      <c r="H22" s="36"/>
      <c r="I22" s="37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 t="s">
        <v>439</v>
      </c>
      <c r="DN22" s="28" t="s">
        <v>7</v>
      </c>
      <c r="DO22" s="28"/>
      <c r="DP22" s="28"/>
      <c r="DQ22" s="28"/>
      <c r="DR22" s="28"/>
      <c r="DS22" s="28"/>
      <c r="DT22" s="28"/>
      <c r="DU22" s="28"/>
      <c r="DV22" s="28"/>
      <c r="DW22" s="28"/>
      <c r="DX22" s="28"/>
    </row>
    <row r="23" spans="1:128" ht="18" customHeight="1" x14ac:dyDescent="0.2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 t="s">
        <v>143</v>
      </c>
      <c r="DN23" s="28" t="s">
        <v>538</v>
      </c>
      <c r="DO23" s="28"/>
      <c r="DP23" s="28"/>
      <c r="DQ23" s="28"/>
      <c r="DR23" s="28"/>
      <c r="DS23" s="28"/>
      <c r="DT23" s="28"/>
      <c r="DU23" s="28"/>
      <c r="DV23" s="28"/>
      <c r="DW23" s="28"/>
      <c r="DX23" s="28"/>
    </row>
    <row r="24" spans="1:128" ht="18" customHeight="1" x14ac:dyDescent="0.2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 t="s">
        <v>187</v>
      </c>
      <c r="DN24" s="28" t="s">
        <v>7</v>
      </c>
      <c r="DO24" s="28"/>
      <c r="DP24" s="28"/>
      <c r="DQ24" s="28"/>
      <c r="DR24" s="28"/>
      <c r="DS24" s="28"/>
      <c r="DT24" s="28"/>
      <c r="DU24" s="28"/>
      <c r="DV24" s="28"/>
      <c r="DW24" s="28"/>
      <c r="DX24" s="28"/>
    </row>
    <row r="25" spans="1:128" ht="18" customHeight="1" x14ac:dyDescent="0.2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 t="s">
        <v>495</v>
      </c>
      <c r="DN25" s="28" t="s">
        <v>299</v>
      </c>
      <c r="DO25" s="28"/>
      <c r="DP25" s="28"/>
      <c r="DQ25" s="28"/>
      <c r="DR25" s="28"/>
      <c r="DS25" s="28"/>
      <c r="DT25" s="28"/>
      <c r="DU25" s="28"/>
      <c r="DV25" s="28"/>
      <c r="DW25" s="28"/>
      <c r="DX25" s="28"/>
    </row>
    <row r="26" spans="1:128" ht="18" customHeight="1" x14ac:dyDescent="0.2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 t="s">
        <v>60</v>
      </c>
      <c r="DN26" s="28" t="s">
        <v>626</v>
      </c>
      <c r="DO26" s="28"/>
      <c r="DP26" s="28"/>
      <c r="DQ26" s="28"/>
      <c r="DR26" s="28"/>
      <c r="DS26" s="28"/>
      <c r="DT26" s="28"/>
      <c r="DU26" s="28"/>
      <c r="DV26" s="28"/>
      <c r="DW26" s="28"/>
      <c r="DX26" s="28"/>
    </row>
    <row r="27" spans="1:128" ht="18" customHeight="1" x14ac:dyDescent="0.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 t="s">
        <v>186</v>
      </c>
      <c r="DN27" s="28" t="s">
        <v>7</v>
      </c>
      <c r="DO27" s="28"/>
      <c r="DP27" s="28"/>
      <c r="DQ27" s="28"/>
      <c r="DR27" s="28"/>
      <c r="DS27" s="28"/>
      <c r="DT27" s="28"/>
      <c r="DU27" s="28"/>
      <c r="DV27" s="28"/>
      <c r="DW27" s="28"/>
      <c r="DX27" s="28"/>
    </row>
    <row r="28" spans="1:128" ht="18" customHeight="1" x14ac:dyDescent="0.2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 t="s">
        <v>449</v>
      </c>
      <c r="DN28" s="28" t="s">
        <v>358</v>
      </c>
      <c r="DO28" s="28"/>
      <c r="DP28" s="28"/>
      <c r="DQ28" s="28"/>
      <c r="DR28" s="28"/>
      <c r="DS28" s="28"/>
      <c r="DT28" s="28"/>
      <c r="DU28" s="28"/>
      <c r="DV28" s="28"/>
      <c r="DW28" s="28"/>
      <c r="DX28" s="28"/>
    </row>
    <row r="29" spans="1:128" ht="18" customHeight="1" x14ac:dyDescent="0.2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</row>
  </sheetData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9"/>
  <sheetViews>
    <sheetView showGridLines="0" workbookViewId="0">
      <selection activeCell="A5" sqref="A5:CW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1" customWidth="1"/>
    <col min="6" max="6" width="13.28515625" customWidth="1"/>
    <col min="7" max="7" width="11" customWidth="1"/>
    <col min="8" max="8" width="13.28515625" customWidth="1"/>
    <col min="9" max="9" width="11" customWidth="1"/>
    <col min="10" max="10" width="13.28515625" customWidth="1"/>
    <col min="11" max="11" width="11" customWidth="1"/>
    <col min="12" max="12" width="13.28515625" customWidth="1"/>
    <col min="13" max="13" width="14" customWidth="1"/>
    <col min="14" max="116" width="9.140625" customWidth="1"/>
    <col min="117" max="118" width="0" hidden="1" customWidth="1"/>
  </cols>
  <sheetData>
    <row r="1" spans="1:128" ht="26.1" customHeight="1" x14ac:dyDescent="0.2">
      <c r="A1" s="127" t="s">
        <v>350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8" t="s">
        <v>627</v>
      </c>
      <c r="B3" s="121" t="s">
        <v>308</v>
      </c>
      <c r="C3" s="121" t="s">
        <v>41</v>
      </c>
      <c r="D3" s="121" t="s">
        <v>668</v>
      </c>
      <c r="E3" s="125" t="s">
        <v>242</v>
      </c>
      <c r="F3" s="126"/>
      <c r="G3" s="125" t="s">
        <v>190</v>
      </c>
      <c r="H3" s="126"/>
      <c r="I3" s="125" t="s">
        <v>476</v>
      </c>
      <c r="J3" s="126"/>
      <c r="K3" s="125" t="s">
        <v>496</v>
      </c>
      <c r="L3" s="125"/>
      <c r="M3" s="132" t="s">
        <v>301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9"/>
      <c r="B4" s="122"/>
      <c r="C4" s="122"/>
      <c r="D4" s="130"/>
      <c r="E4" s="10" t="s">
        <v>29</v>
      </c>
      <c r="F4" s="11" t="s">
        <v>55</v>
      </c>
      <c r="G4" s="11" t="s">
        <v>29</v>
      </c>
      <c r="H4" s="11" t="s">
        <v>55</v>
      </c>
      <c r="I4" s="11" t="s">
        <v>29</v>
      </c>
      <c r="J4" s="11" t="s">
        <v>55</v>
      </c>
      <c r="K4" s="11" t="s">
        <v>29</v>
      </c>
      <c r="L4" s="12" t="s">
        <v>55</v>
      </c>
      <c r="M4" s="12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43" t="s">
        <v>539</v>
      </c>
      <c r="B5" s="44"/>
      <c r="C5" s="45"/>
      <c r="D5" s="44"/>
      <c r="E5" s="46"/>
      <c r="F5" s="47"/>
      <c r="G5" s="46"/>
      <c r="H5" s="47"/>
      <c r="I5" s="46"/>
      <c r="J5" s="47"/>
      <c r="K5" s="46"/>
      <c r="L5" s="47"/>
      <c r="M5" s="4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620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6" t="s">
        <v>628</v>
      </c>
      <c r="B6" s="17" t="s">
        <v>464</v>
      </c>
      <c r="C6" s="38">
        <v>16.5</v>
      </c>
      <c r="D6" s="17" t="s">
        <v>239</v>
      </c>
      <c r="E6" s="18">
        <f t="shared" ref="E6:F10" si="0">G6+I6+K6</f>
        <v>1657</v>
      </c>
      <c r="F6" s="39">
        <f t="shared" si="0"/>
        <v>27340.5</v>
      </c>
      <c r="G6" s="18">
        <f>자재단가!R5</f>
        <v>1657</v>
      </c>
      <c r="H6" s="39">
        <f>TRUNC(C6*G6,1)</f>
        <v>27340.5</v>
      </c>
      <c r="I6" s="18">
        <v>0</v>
      </c>
      <c r="J6" s="39">
        <f>TRUNC(C6*I6,1)</f>
        <v>0</v>
      </c>
      <c r="K6" s="18">
        <v>0</v>
      </c>
      <c r="L6" s="39">
        <f>TRUNC(C6*K6,1)</f>
        <v>0</v>
      </c>
      <c r="M6" s="26" t="s">
        <v>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281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6" t="s">
        <v>597</v>
      </c>
      <c r="B7" s="17" t="s">
        <v>585</v>
      </c>
      <c r="C7" s="40">
        <v>39</v>
      </c>
      <c r="D7" s="17" t="s">
        <v>537</v>
      </c>
      <c r="E7" s="18">
        <f t="shared" si="0"/>
        <v>27340.5</v>
      </c>
      <c r="F7" s="39">
        <f t="shared" si="0"/>
        <v>10662.7</v>
      </c>
      <c r="G7" s="18">
        <f>H6</f>
        <v>27340.5</v>
      </c>
      <c r="H7" s="39">
        <f>TRUNC(C7/100*G7,1)</f>
        <v>10662.7</v>
      </c>
      <c r="I7" s="18">
        <v>0</v>
      </c>
      <c r="J7" s="39">
        <f>TRUNC(C7/100*I7,1)</f>
        <v>0</v>
      </c>
      <c r="K7" s="18">
        <v>0</v>
      </c>
      <c r="L7" s="39">
        <f>TRUNC(C7/100*K7,1)</f>
        <v>0</v>
      </c>
      <c r="M7" s="26" t="s">
        <v>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438</v>
      </c>
      <c r="DN7" s="1" t="s">
        <v>538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6" t="s">
        <v>296</v>
      </c>
      <c r="B8" s="17" t="s">
        <v>8</v>
      </c>
      <c r="C8" s="40">
        <v>1</v>
      </c>
      <c r="D8" s="17" t="s">
        <v>221</v>
      </c>
      <c r="E8" s="18">
        <f t="shared" si="0"/>
        <v>59020</v>
      </c>
      <c r="F8" s="39">
        <f t="shared" si="0"/>
        <v>59020</v>
      </c>
      <c r="G8" s="18">
        <v>0</v>
      </c>
      <c r="H8" s="39">
        <f>TRUNC(C8*G8,1)</f>
        <v>0</v>
      </c>
      <c r="I8" s="18">
        <f>TRUNC(노임단가!K9*16/12*1/8*25/20,0)</f>
        <v>59020</v>
      </c>
      <c r="J8" s="39">
        <f>TRUNC(C8*I8,1)</f>
        <v>59020</v>
      </c>
      <c r="K8" s="18">
        <v>0</v>
      </c>
      <c r="L8" s="39">
        <f>TRUNC(C8*K8,1)</f>
        <v>0</v>
      </c>
      <c r="M8" s="26" t="s">
        <v>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548</v>
      </c>
      <c r="DN8" s="1" t="s">
        <v>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6" t="s">
        <v>81</v>
      </c>
      <c r="B9" s="17" t="s">
        <v>8</v>
      </c>
      <c r="C9" s="38">
        <f>2576*10^-7*1000</f>
        <v>0.2576</v>
      </c>
      <c r="D9" s="17" t="s">
        <v>8</v>
      </c>
      <c r="E9" s="18">
        <f t="shared" si="0"/>
        <v>67216</v>
      </c>
      <c r="F9" s="39">
        <f t="shared" si="0"/>
        <v>17314.8</v>
      </c>
      <c r="G9" s="18">
        <v>0</v>
      </c>
      <c r="H9" s="39">
        <f>TRUNC(C9*G9,1)</f>
        <v>0</v>
      </c>
      <c r="I9" s="18">
        <v>0</v>
      </c>
      <c r="J9" s="39">
        <f>TRUNC(C9*I9,1)</f>
        <v>0</v>
      </c>
      <c r="K9" s="18">
        <v>67216</v>
      </c>
      <c r="L9" s="39">
        <f>TRUNC(C9*K9,1)</f>
        <v>17314.8</v>
      </c>
      <c r="M9" s="26" t="s">
        <v>8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195</v>
      </c>
      <c r="DN9" s="1" t="s">
        <v>471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6" t="s">
        <v>68</v>
      </c>
      <c r="B10" s="17" t="s">
        <v>8</v>
      </c>
      <c r="C10" s="41">
        <v>0</v>
      </c>
      <c r="D10" s="17" t="s">
        <v>8</v>
      </c>
      <c r="E10" s="18">
        <f t="shared" si="0"/>
        <v>0</v>
      </c>
      <c r="F10" s="39">
        <f t="shared" si="0"/>
        <v>0</v>
      </c>
      <c r="G10" s="18">
        <v>0</v>
      </c>
      <c r="H10" s="39">
        <f>TRUNC(C10*G10,1)</f>
        <v>0</v>
      </c>
      <c r="I10" s="18">
        <v>0</v>
      </c>
      <c r="J10" s="39">
        <f>TRUNC(C10*I10,1)</f>
        <v>0</v>
      </c>
      <c r="K10" s="18">
        <v>0</v>
      </c>
      <c r="L10" s="39">
        <f>TRUNC(C10*K10,1)</f>
        <v>0</v>
      </c>
      <c r="M10" s="26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</v>
      </c>
      <c r="DN10" s="1" t="s">
        <v>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55" t="s">
        <v>98</v>
      </c>
      <c r="B11" s="56"/>
      <c r="C11" s="57"/>
      <c r="D11" s="56"/>
      <c r="E11" s="58"/>
      <c r="F11" s="59">
        <f>H11+J11+L11</f>
        <v>114337</v>
      </c>
      <c r="G11" s="58"/>
      <c r="H11" s="59">
        <f>ROUNDDOWN(SUM(H6:H10),0)</f>
        <v>38003</v>
      </c>
      <c r="I11" s="58"/>
      <c r="J11" s="59">
        <f>ROUNDDOWN(SUM(J6:J10),0)</f>
        <v>59020</v>
      </c>
      <c r="K11" s="58"/>
      <c r="L11" s="59">
        <f>ROUNDDOWN(SUM(L6:L10),0)</f>
        <v>17314</v>
      </c>
      <c r="M11" s="6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6"/>
      <c r="B12" s="17"/>
      <c r="C12" s="25"/>
      <c r="D12" s="17"/>
      <c r="E12" s="18"/>
      <c r="F12" s="39"/>
      <c r="G12" s="18"/>
      <c r="H12" s="39"/>
      <c r="I12" s="18"/>
      <c r="J12" s="39"/>
      <c r="K12" s="18"/>
      <c r="L12" s="39"/>
      <c r="M12" s="2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49" t="s">
        <v>236</v>
      </c>
      <c r="B13" s="50"/>
      <c r="C13" s="51"/>
      <c r="D13" s="50"/>
      <c r="E13" s="52"/>
      <c r="F13" s="53"/>
      <c r="G13" s="52"/>
      <c r="H13" s="53"/>
      <c r="I13" s="52"/>
      <c r="J13" s="53"/>
      <c r="K13" s="52"/>
      <c r="L13" s="53"/>
      <c r="M13" s="5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519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6" t="s">
        <v>628</v>
      </c>
      <c r="B14" s="17" t="s">
        <v>464</v>
      </c>
      <c r="C14" s="38">
        <v>2.9</v>
      </c>
      <c r="D14" s="17" t="s">
        <v>239</v>
      </c>
      <c r="E14" s="18">
        <f t="shared" ref="E14:F18" si="1">G14+I14+K14</f>
        <v>1657</v>
      </c>
      <c r="F14" s="39">
        <f t="shared" si="1"/>
        <v>4805.3</v>
      </c>
      <c r="G14" s="18">
        <f>자재단가!R5</f>
        <v>1657</v>
      </c>
      <c r="H14" s="39">
        <f>TRUNC(C14*G14,1)</f>
        <v>4805.3</v>
      </c>
      <c r="I14" s="18">
        <v>0</v>
      </c>
      <c r="J14" s="39">
        <f>TRUNC(C14*I14,1)</f>
        <v>0</v>
      </c>
      <c r="K14" s="18">
        <v>0</v>
      </c>
      <c r="L14" s="39">
        <f>TRUNC(C14*K14,1)</f>
        <v>0</v>
      </c>
      <c r="M14" s="26" t="s">
        <v>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281</v>
      </c>
      <c r="DN14" s="1" t="s">
        <v>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6" t="s">
        <v>597</v>
      </c>
      <c r="B15" s="17" t="s">
        <v>285</v>
      </c>
      <c r="C15" s="40">
        <v>38</v>
      </c>
      <c r="D15" s="17" t="s">
        <v>537</v>
      </c>
      <c r="E15" s="18">
        <f t="shared" si="1"/>
        <v>4805.3</v>
      </c>
      <c r="F15" s="39">
        <f t="shared" si="1"/>
        <v>1826</v>
      </c>
      <c r="G15" s="18">
        <f>H14</f>
        <v>4805.3</v>
      </c>
      <c r="H15" s="39">
        <f>TRUNC(C15/100*G15,1)</f>
        <v>1826</v>
      </c>
      <c r="I15" s="18">
        <v>0</v>
      </c>
      <c r="J15" s="39">
        <f>TRUNC(C15/100*I15,1)</f>
        <v>0</v>
      </c>
      <c r="K15" s="18">
        <v>0</v>
      </c>
      <c r="L15" s="39">
        <f>TRUNC(C15/100*K15,1)</f>
        <v>0</v>
      </c>
      <c r="M15" s="26" t="s">
        <v>8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438</v>
      </c>
      <c r="DN15" s="1" t="s">
        <v>538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6" t="s">
        <v>637</v>
      </c>
      <c r="B16" s="17" t="s">
        <v>8</v>
      </c>
      <c r="C16" s="40">
        <v>1</v>
      </c>
      <c r="D16" s="17" t="s">
        <v>221</v>
      </c>
      <c r="E16" s="18">
        <f t="shared" si="1"/>
        <v>49778</v>
      </c>
      <c r="F16" s="39">
        <f t="shared" si="1"/>
        <v>49778</v>
      </c>
      <c r="G16" s="18">
        <v>0</v>
      </c>
      <c r="H16" s="39">
        <f>TRUNC(C16*G16,1)</f>
        <v>0</v>
      </c>
      <c r="I16" s="18">
        <f>TRUNC(노임단가!K10*16/12*1/8*25/20,0)</f>
        <v>49778</v>
      </c>
      <c r="J16" s="39">
        <f>TRUNC(C16*I16,1)</f>
        <v>49778</v>
      </c>
      <c r="K16" s="18">
        <v>0</v>
      </c>
      <c r="L16" s="39">
        <f>TRUNC(C16*K16,1)</f>
        <v>0</v>
      </c>
      <c r="M16" s="26" t="s">
        <v>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165</v>
      </c>
      <c r="DN16" s="1" t="s">
        <v>8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6" t="s">
        <v>501</v>
      </c>
      <c r="B17" s="17" t="s">
        <v>8</v>
      </c>
      <c r="C17" s="38">
        <f>2967*10^-7*1000</f>
        <v>0.29670000000000002</v>
      </c>
      <c r="D17" s="17" t="s">
        <v>8</v>
      </c>
      <c r="E17" s="18">
        <f t="shared" si="1"/>
        <v>21982</v>
      </c>
      <c r="F17" s="39">
        <f t="shared" si="1"/>
        <v>6522</v>
      </c>
      <c r="G17" s="18">
        <v>0</v>
      </c>
      <c r="H17" s="39">
        <f>TRUNC(C17*G17,1)</f>
        <v>0</v>
      </c>
      <c r="I17" s="18">
        <v>0</v>
      </c>
      <c r="J17" s="39">
        <f>TRUNC(C17*I17,1)</f>
        <v>0</v>
      </c>
      <c r="K17" s="18">
        <v>21982</v>
      </c>
      <c r="L17" s="39">
        <f>TRUNC(C17*K17,1)</f>
        <v>6522</v>
      </c>
      <c r="M17" s="26" t="s">
        <v>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195</v>
      </c>
      <c r="DN17" s="1" t="s">
        <v>130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6" t="s">
        <v>617</v>
      </c>
      <c r="B18" s="17" t="s">
        <v>8</v>
      </c>
      <c r="C18" s="41">
        <v>0</v>
      </c>
      <c r="D18" s="17" t="s">
        <v>8</v>
      </c>
      <c r="E18" s="18">
        <f t="shared" si="1"/>
        <v>0</v>
      </c>
      <c r="F18" s="39">
        <f t="shared" si="1"/>
        <v>0</v>
      </c>
      <c r="G18" s="18">
        <v>0</v>
      </c>
      <c r="H18" s="39">
        <f>TRUNC(C18*G18,1)</f>
        <v>0</v>
      </c>
      <c r="I18" s="18">
        <v>0</v>
      </c>
      <c r="J18" s="39">
        <f>TRUNC(C18*I18,1)</f>
        <v>0</v>
      </c>
      <c r="K18" s="18">
        <v>0</v>
      </c>
      <c r="L18" s="39">
        <f>TRUNC(C18*K18,1)</f>
        <v>0</v>
      </c>
      <c r="M18" s="26" t="s">
        <v>8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</v>
      </c>
      <c r="DN18" s="1" t="s">
        <v>8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55" t="s">
        <v>98</v>
      </c>
      <c r="B19" s="56"/>
      <c r="C19" s="57"/>
      <c r="D19" s="56"/>
      <c r="E19" s="58"/>
      <c r="F19" s="59">
        <f>H19+J19+L19</f>
        <v>62931</v>
      </c>
      <c r="G19" s="58"/>
      <c r="H19" s="59">
        <f>ROUNDDOWN(SUM(H14:H18),0)</f>
        <v>6631</v>
      </c>
      <c r="I19" s="58"/>
      <c r="J19" s="59">
        <f>ROUNDDOWN(SUM(J14:J18),0)</f>
        <v>49778</v>
      </c>
      <c r="K19" s="58"/>
      <c r="L19" s="59">
        <f>ROUNDDOWN(SUM(L14:L18),0)</f>
        <v>6522</v>
      </c>
      <c r="M19" s="6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6"/>
      <c r="B20" s="17"/>
      <c r="C20" s="25"/>
      <c r="D20" s="17"/>
      <c r="E20" s="18"/>
      <c r="F20" s="39"/>
      <c r="G20" s="18"/>
      <c r="H20" s="39"/>
      <c r="I20" s="18"/>
      <c r="J20" s="39"/>
      <c r="K20" s="18"/>
      <c r="L20" s="39"/>
      <c r="M20" s="26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49" t="s">
        <v>218</v>
      </c>
      <c r="B21" s="50"/>
      <c r="C21" s="51"/>
      <c r="D21" s="50"/>
      <c r="E21" s="52"/>
      <c r="F21" s="53"/>
      <c r="G21" s="52"/>
      <c r="H21" s="53"/>
      <c r="I21" s="52"/>
      <c r="J21" s="53"/>
      <c r="K21" s="52"/>
      <c r="L21" s="53"/>
      <c r="M21" s="5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250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6" t="s">
        <v>628</v>
      </c>
      <c r="B22" s="17" t="s">
        <v>464</v>
      </c>
      <c r="C22" s="38">
        <v>5</v>
      </c>
      <c r="D22" s="17" t="s">
        <v>239</v>
      </c>
      <c r="E22" s="18">
        <f t="shared" ref="E22:F26" si="2">G22+I22+K22</f>
        <v>1657</v>
      </c>
      <c r="F22" s="39">
        <f t="shared" si="2"/>
        <v>8285</v>
      </c>
      <c r="G22" s="18">
        <f>자재단가!R5</f>
        <v>1657</v>
      </c>
      <c r="H22" s="39">
        <f>TRUNC(C22*G22,1)</f>
        <v>8285</v>
      </c>
      <c r="I22" s="18">
        <v>0</v>
      </c>
      <c r="J22" s="39">
        <f>TRUNC(C22*I22,1)</f>
        <v>0</v>
      </c>
      <c r="K22" s="18">
        <v>0</v>
      </c>
      <c r="L22" s="39">
        <f>TRUNC(C22*K22,1)</f>
        <v>0</v>
      </c>
      <c r="M22" s="26" t="s">
        <v>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281</v>
      </c>
      <c r="DN22" s="1" t="s">
        <v>8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6" t="s">
        <v>597</v>
      </c>
      <c r="B23" s="17" t="s">
        <v>285</v>
      </c>
      <c r="C23" s="40">
        <v>38</v>
      </c>
      <c r="D23" s="17" t="s">
        <v>537</v>
      </c>
      <c r="E23" s="18">
        <f t="shared" si="2"/>
        <v>8285</v>
      </c>
      <c r="F23" s="39">
        <f t="shared" si="2"/>
        <v>3148.3</v>
      </c>
      <c r="G23" s="18">
        <f>H22</f>
        <v>8285</v>
      </c>
      <c r="H23" s="39">
        <f>TRUNC(C23/100*G23,1)</f>
        <v>3148.3</v>
      </c>
      <c r="I23" s="18">
        <v>0</v>
      </c>
      <c r="J23" s="39">
        <f>TRUNC(C23/100*I23,1)</f>
        <v>0</v>
      </c>
      <c r="K23" s="18">
        <v>0</v>
      </c>
      <c r="L23" s="39">
        <f>TRUNC(C23/100*K23,1)</f>
        <v>0</v>
      </c>
      <c r="M23" s="26" t="s">
        <v>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438</v>
      </c>
      <c r="DN23" s="1" t="s">
        <v>538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6" t="s">
        <v>637</v>
      </c>
      <c r="B24" s="17" t="s">
        <v>8</v>
      </c>
      <c r="C24" s="40">
        <v>1</v>
      </c>
      <c r="D24" s="17" t="s">
        <v>221</v>
      </c>
      <c r="E24" s="18">
        <f t="shared" si="2"/>
        <v>49778</v>
      </c>
      <c r="F24" s="39">
        <f t="shared" si="2"/>
        <v>49778</v>
      </c>
      <c r="G24" s="18">
        <v>0</v>
      </c>
      <c r="H24" s="39">
        <f>TRUNC(C24*G24,1)</f>
        <v>0</v>
      </c>
      <c r="I24" s="18">
        <f>TRUNC(노임단가!K10*16/12*1/8*25/20,0)</f>
        <v>49778</v>
      </c>
      <c r="J24" s="39">
        <f>TRUNC(C24*I24,1)</f>
        <v>49778</v>
      </c>
      <c r="K24" s="18">
        <v>0</v>
      </c>
      <c r="L24" s="39">
        <f>TRUNC(C24*K24,1)</f>
        <v>0</v>
      </c>
      <c r="M24" s="26" t="s">
        <v>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165</v>
      </c>
      <c r="DN24" s="1" t="s">
        <v>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6" t="s">
        <v>501</v>
      </c>
      <c r="B25" s="17" t="s">
        <v>8</v>
      </c>
      <c r="C25" s="38">
        <f>2967*10^-7*1000</f>
        <v>0.29670000000000002</v>
      </c>
      <c r="D25" s="17" t="s">
        <v>8</v>
      </c>
      <c r="E25" s="18">
        <f t="shared" si="2"/>
        <v>25662</v>
      </c>
      <c r="F25" s="39">
        <f t="shared" si="2"/>
        <v>7613.9</v>
      </c>
      <c r="G25" s="18">
        <v>0</v>
      </c>
      <c r="H25" s="39">
        <f>TRUNC(C25*G25,1)</f>
        <v>0</v>
      </c>
      <c r="I25" s="18">
        <v>0</v>
      </c>
      <c r="J25" s="39">
        <f>TRUNC(C25*I25,1)</f>
        <v>0</v>
      </c>
      <c r="K25" s="18">
        <v>25662</v>
      </c>
      <c r="L25" s="39">
        <f>TRUNC(C25*K25,1)</f>
        <v>7613.9</v>
      </c>
      <c r="M25" s="26" t="s">
        <v>8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195</v>
      </c>
      <c r="DN25" s="1" t="s">
        <v>130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6" t="s">
        <v>617</v>
      </c>
      <c r="B26" s="17" t="s">
        <v>8</v>
      </c>
      <c r="C26" s="41">
        <v>0</v>
      </c>
      <c r="D26" s="17" t="s">
        <v>8</v>
      </c>
      <c r="E26" s="18">
        <f t="shared" si="2"/>
        <v>0</v>
      </c>
      <c r="F26" s="39">
        <f t="shared" si="2"/>
        <v>0</v>
      </c>
      <c r="G26" s="18">
        <v>0</v>
      </c>
      <c r="H26" s="39">
        <f>TRUNC(C26*G26,1)</f>
        <v>0</v>
      </c>
      <c r="I26" s="18">
        <v>0</v>
      </c>
      <c r="J26" s="39">
        <f>TRUNC(C26*I26,1)</f>
        <v>0</v>
      </c>
      <c r="K26" s="18">
        <v>0</v>
      </c>
      <c r="L26" s="39">
        <f>TRUNC(C26*K26,1)</f>
        <v>0</v>
      </c>
      <c r="M26" s="26" t="s">
        <v>8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</v>
      </c>
      <c r="DN26" s="1" t="s">
        <v>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55" t="s">
        <v>98</v>
      </c>
      <c r="B27" s="56"/>
      <c r="C27" s="57"/>
      <c r="D27" s="56"/>
      <c r="E27" s="58"/>
      <c r="F27" s="59">
        <f>H27+J27+L27</f>
        <v>68824</v>
      </c>
      <c r="G27" s="58"/>
      <c r="H27" s="59">
        <f>ROUNDDOWN(SUM(H22:H26),0)</f>
        <v>11433</v>
      </c>
      <c r="I27" s="58"/>
      <c r="J27" s="59">
        <f>ROUNDDOWN(SUM(J22:J26),0)</f>
        <v>49778</v>
      </c>
      <c r="K27" s="58"/>
      <c r="L27" s="59">
        <f>ROUNDDOWN(SUM(L22:L26),0)</f>
        <v>7613</v>
      </c>
      <c r="M27" s="6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6"/>
      <c r="B28" s="17"/>
      <c r="C28" s="25"/>
      <c r="D28" s="17"/>
      <c r="E28" s="18"/>
      <c r="F28" s="39"/>
      <c r="G28" s="18"/>
      <c r="H28" s="39"/>
      <c r="I28" s="18"/>
      <c r="J28" s="39"/>
      <c r="K28" s="18"/>
      <c r="L28" s="39"/>
      <c r="M28" s="26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49" t="s">
        <v>460</v>
      </c>
      <c r="B29" s="50"/>
      <c r="C29" s="51"/>
      <c r="D29" s="50"/>
      <c r="E29" s="52"/>
      <c r="F29" s="53"/>
      <c r="G29" s="52"/>
      <c r="H29" s="53"/>
      <c r="I29" s="52"/>
      <c r="J29" s="53"/>
      <c r="K29" s="52"/>
      <c r="L29" s="53"/>
      <c r="M29" s="5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314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6" t="s">
        <v>628</v>
      </c>
      <c r="B30" s="17" t="s">
        <v>464</v>
      </c>
      <c r="C30" s="38">
        <v>5</v>
      </c>
      <c r="D30" s="17" t="s">
        <v>239</v>
      </c>
      <c r="E30" s="18">
        <f t="shared" ref="E30:F34" si="3">G30+I30+K30</f>
        <v>1657</v>
      </c>
      <c r="F30" s="39">
        <f t="shared" si="3"/>
        <v>8285</v>
      </c>
      <c r="G30" s="18">
        <f>자재단가!R5</f>
        <v>1657</v>
      </c>
      <c r="H30" s="39">
        <f>TRUNC(C30*G30,1)</f>
        <v>8285</v>
      </c>
      <c r="I30" s="18">
        <v>0</v>
      </c>
      <c r="J30" s="39">
        <f>TRUNC(C30*I30,1)</f>
        <v>0</v>
      </c>
      <c r="K30" s="18">
        <v>0</v>
      </c>
      <c r="L30" s="39">
        <f>TRUNC(C30*K30,1)</f>
        <v>0</v>
      </c>
      <c r="M30" s="26" t="s">
        <v>8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281</v>
      </c>
      <c r="DN30" s="1" t="s">
        <v>8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6" t="s">
        <v>597</v>
      </c>
      <c r="B31" s="17" t="s">
        <v>285</v>
      </c>
      <c r="C31" s="40">
        <v>21</v>
      </c>
      <c r="D31" s="17" t="s">
        <v>537</v>
      </c>
      <c r="E31" s="18">
        <f t="shared" si="3"/>
        <v>8285</v>
      </c>
      <c r="F31" s="39">
        <f t="shared" si="3"/>
        <v>1739.8</v>
      </c>
      <c r="G31" s="18">
        <f>H30</f>
        <v>8285</v>
      </c>
      <c r="H31" s="39">
        <f>TRUNC(C31/100*G31,1)</f>
        <v>1739.8</v>
      </c>
      <c r="I31" s="18">
        <v>0</v>
      </c>
      <c r="J31" s="39">
        <f>TRUNC(C31/100*I31,1)</f>
        <v>0</v>
      </c>
      <c r="K31" s="18">
        <v>0</v>
      </c>
      <c r="L31" s="39">
        <f>TRUNC(C31/100*K31,1)</f>
        <v>0</v>
      </c>
      <c r="M31" s="26" t="s">
        <v>8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438</v>
      </c>
      <c r="DN31" s="1" t="s">
        <v>538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6" t="s">
        <v>296</v>
      </c>
      <c r="B32" s="17" t="s">
        <v>8</v>
      </c>
      <c r="C32" s="40">
        <v>1</v>
      </c>
      <c r="D32" s="17" t="s">
        <v>221</v>
      </c>
      <c r="E32" s="18">
        <f t="shared" si="3"/>
        <v>59020</v>
      </c>
      <c r="F32" s="39">
        <f t="shared" si="3"/>
        <v>59020</v>
      </c>
      <c r="G32" s="18">
        <v>0</v>
      </c>
      <c r="H32" s="39">
        <f>TRUNC(C32*G32,1)</f>
        <v>0</v>
      </c>
      <c r="I32" s="18">
        <f>TRUNC(노임단가!K9*16/12*1/8*25/20,0)</f>
        <v>59020</v>
      </c>
      <c r="J32" s="39">
        <f>TRUNC(C32*I32,1)</f>
        <v>59020</v>
      </c>
      <c r="K32" s="18">
        <v>0</v>
      </c>
      <c r="L32" s="39">
        <f>TRUNC(C32*K32,1)</f>
        <v>0</v>
      </c>
      <c r="M32" s="26" t="s">
        <v>8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548</v>
      </c>
      <c r="DN32" s="1" t="s">
        <v>8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6" t="s">
        <v>501</v>
      </c>
      <c r="B33" s="17" t="s">
        <v>8</v>
      </c>
      <c r="C33" s="38">
        <f>2085*10^-7*1000</f>
        <v>0.20849999999999999</v>
      </c>
      <c r="D33" s="17" t="s">
        <v>8</v>
      </c>
      <c r="E33" s="18">
        <f t="shared" si="3"/>
        <v>66538</v>
      </c>
      <c r="F33" s="39">
        <f t="shared" si="3"/>
        <v>13873.1</v>
      </c>
      <c r="G33" s="18">
        <v>0</v>
      </c>
      <c r="H33" s="39">
        <f>TRUNC(C33*G33,1)</f>
        <v>0</v>
      </c>
      <c r="I33" s="18">
        <v>0</v>
      </c>
      <c r="J33" s="39">
        <f>TRUNC(C33*I33,1)</f>
        <v>0</v>
      </c>
      <c r="K33" s="18">
        <v>66538</v>
      </c>
      <c r="L33" s="39">
        <f>TRUNC(C33*K33,1)</f>
        <v>13873.1</v>
      </c>
      <c r="M33" s="26" t="s">
        <v>8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195</v>
      </c>
      <c r="DN33" s="1" t="s">
        <v>59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6" t="s">
        <v>404</v>
      </c>
      <c r="B34" s="17" t="s">
        <v>8</v>
      </c>
      <c r="C34" s="41">
        <v>0</v>
      </c>
      <c r="D34" s="17" t="s">
        <v>8</v>
      </c>
      <c r="E34" s="18">
        <f t="shared" si="3"/>
        <v>0</v>
      </c>
      <c r="F34" s="39">
        <f t="shared" si="3"/>
        <v>0</v>
      </c>
      <c r="G34" s="18">
        <v>0</v>
      </c>
      <c r="H34" s="39">
        <f>TRUNC(C34*G34,1)</f>
        <v>0</v>
      </c>
      <c r="I34" s="18">
        <v>0</v>
      </c>
      <c r="J34" s="39">
        <f>TRUNC(C34*I34,1)</f>
        <v>0</v>
      </c>
      <c r="K34" s="18">
        <v>0</v>
      </c>
      <c r="L34" s="39">
        <f>TRUNC(C34*K34,1)</f>
        <v>0</v>
      </c>
      <c r="M34" s="26" t="s">
        <v>8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8</v>
      </c>
      <c r="DN34" s="1" t="s">
        <v>8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55" t="s">
        <v>98</v>
      </c>
      <c r="B35" s="56"/>
      <c r="C35" s="57"/>
      <c r="D35" s="56"/>
      <c r="E35" s="58"/>
      <c r="F35" s="59">
        <f>H35+J35+L35</f>
        <v>82917</v>
      </c>
      <c r="G35" s="58"/>
      <c r="H35" s="59">
        <f>ROUNDDOWN(SUM(H30:H34),0)</f>
        <v>10024</v>
      </c>
      <c r="I35" s="58"/>
      <c r="J35" s="59">
        <f>ROUNDDOWN(SUM(J30:J34),0)</f>
        <v>59020</v>
      </c>
      <c r="K35" s="58"/>
      <c r="L35" s="59">
        <f>ROUNDDOWN(SUM(L30:L34),0)</f>
        <v>13873</v>
      </c>
      <c r="M35" s="6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6"/>
      <c r="B36" s="17"/>
      <c r="C36" s="25"/>
      <c r="D36" s="17"/>
      <c r="E36" s="18"/>
      <c r="F36" s="39"/>
      <c r="G36" s="18"/>
      <c r="H36" s="39"/>
      <c r="I36" s="18"/>
      <c r="J36" s="39"/>
      <c r="K36" s="18"/>
      <c r="L36" s="39"/>
      <c r="M36" s="26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49" t="s">
        <v>661</v>
      </c>
      <c r="B37" s="50"/>
      <c r="C37" s="51"/>
      <c r="D37" s="50"/>
      <c r="E37" s="52"/>
      <c r="F37" s="53"/>
      <c r="G37" s="52"/>
      <c r="H37" s="53"/>
      <c r="I37" s="52"/>
      <c r="J37" s="53"/>
      <c r="K37" s="52"/>
      <c r="L37" s="53"/>
      <c r="M37" s="5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361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6" t="s">
        <v>628</v>
      </c>
      <c r="B38" s="17" t="s">
        <v>464</v>
      </c>
      <c r="C38" s="38">
        <v>9.3000000000000007</v>
      </c>
      <c r="D38" s="17" t="s">
        <v>239</v>
      </c>
      <c r="E38" s="18">
        <f t="shared" ref="E38:F42" si="4">G38+I38+K38</f>
        <v>1657</v>
      </c>
      <c r="F38" s="39">
        <f t="shared" si="4"/>
        <v>15410.1</v>
      </c>
      <c r="G38" s="18">
        <f>자재단가!R5</f>
        <v>1657</v>
      </c>
      <c r="H38" s="39">
        <f>TRUNC(C38*G38,1)</f>
        <v>15410.1</v>
      </c>
      <c r="I38" s="18">
        <v>0</v>
      </c>
      <c r="J38" s="39">
        <f>TRUNC(C38*I38,1)</f>
        <v>0</v>
      </c>
      <c r="K38" s="18">
        <v>0</v>
      </c>
      <c r="L38" s="39">
        <f>TRUNC(C38*K38,1)</f>
        <v>0</v>
      </c>
      <c r="M38" s="26" t="s">
        <v>8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281</v>
      </c>
      <c r="DN38" s="1" t="s">
        <v>8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6" t="s">
        <v>597</v>
      </c>
      <c r="B39" s="17" t="s">
        <v>285</v>
      </c>
      <c r="C39" s="40">
        <v>30</v>
      </c>
      <c r="D39" s="17" t="s">
        <v>537</v>
      </c>
      <c r="E39" s="18">
        <f t="shared" si="4"/>
        <v>15410.1</v>
      </c>
      <c r="F39" s="39">
        <f t="shared" si="4"/>
        <v>4623</v>
      </c>
      <c r="G39" s="18">
        <f>H38</f>
        <v>15410.1</v>
      </c>
      <c r="H39" s="39">
        <f>TRUNC(C39/100*G39,1)</f>
        <v>4623</v>
      </c>
      <c r="I39" s="18">
        <v>0</v>
      </c>
      <c r="J39" s="39">
        <f>TRUNC(C39/100*I39,1)</f>
        <v>0</v>
      </c>
      <c r="K39" s="18">
        <v>0</v>
      </c>
      <c r="L39" s="39">
        <f>TRUNC(C39/100*K39,1)</f>
        <v>0</v>
      </c>
      <c r="M39" s="26" t="s">
        <v>8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438</v>
      </c>
      <c r="DN39" s="1" t="s">
        <v>538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6" t="s">
        <v>637</v>
      </c>
      <c r="B40" s="17" t="s">
        <v>8</v>
      </c>
      <c r="C40" s="40">
        <v>1</v>
      </c>
      <c r="D40" s="17" t="s">
        <v>221</v>
      </c>
      <c r="E40" s="18">
        <f t="shared" si="4"/>
        <v>49778</v>
      </c>
      <c r="F40" s="39">
        <f t="shared" si="4"/>
        <v>49778</v>
      </c>
      <c r="G40" s="18">
        <v>0</v>
      </c>
      <c r="H40" s="39">
        <f>TRUNC(C40*G40,1)</f>
        <v>0</v>
      </c>
      <c r="I40" s="18">
        <f>TRUNC(노임단가!K10*16/12*1/8*25/20,0)</f>
        <v>49778</v>
      </c>
      <c r="J40" s="39">
        <f>TRUNC(C40*I40,1)</f>
        <v>49778</v>
      </c>
      <c r="K40" s="18">
        <v>0</v>
      </c>
      <c r="L40" s="39">
        <f>TRUNC(C40*K40,1)</f>
        <v>0</v>
      </c>
      <c r="M40" s="26" t="s">
        <v>8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165</v>
      </c>
      <c r="DN40" s="1" t="s">
        <v>8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6" t="s">
        <v>501</v>
      </c>
      <c r="B41" s="17" t="s">
        <v>8</v>
      </c>
      <c r="C41" s="38">
        <f>2113*10^-7*1000</f>
        <v>0.21129999999999999</v>
      </c>
      <c r="D41" s="17" t="s">
        <v>8</v>
      </c>
      <c r="E41" s="18">
        <f t="shared" si="4"/>
        <v>47263</v>
      </c>
      <c r="F41" s="39">
        <f t="shared" si="4"/>
        <v>9986.6</v>
      </c>
      <c r="G41" s="18">
        <v>0</v>
      </c>
      <c r="H41" s="39">
        <f>TRUNC(C41*G41,1)</f>
        <v>0</v>
      </c>
      <c r="I41" s="18">
        <v>0</v>
      </c>
      <c r="J41" s="39">
        <f>TRUNC(C41*I41,1)</f>
        <v>0</v>
      </c>
      <c r="K41" s="18">
        <v>47263</v>
      </c>
      <c r="L41" s="39">
        <f>TRUNC(C41*K41,1)</f>
        <v>9986.6</v>
      </c>
      <c r="M41" s="26" t="s">
        <v>8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195</v>
      </c>
      <c r="DN41" s="1" t="s">
        <v>340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16" t="s">
        <v>422</v>
      </c>
      <c r="B42" s="17" t="s">
        <v>8</v>
      </c>
      <c r="C42" s="41">
        <v>0</v>
      </c>
      <c r="D42" s="17" t="s">
        <v>8</v>
      </c>
      <c r="E42" s="18">
        <f t="shared" si="4"/>
        <v>0</v>
      </c>
      <c r="F42" s="39">
        <f t="shared" si="4"/>
        <v>0</v>
      </c>
      <c r="G42" s="18">
        <v>0</v>
      </c>
      <c r="H42" s="39">
        <f>TRUNC(C42*G42,1)</f>
        <v>0</v>
      </c>
      <c r="I42" s="18">
        <v>0</v>
      </c>
      <c r="J42" s="39">
        <f>TRUNC(C42*I42,1)</f>
        <v>0</v>
      </c>
      <c r="K42" s="18">
        <v>0</v>
      </c>
      <c r="L42" s="39">
        <f>TRUNC(C42*K42,1)</f>
        <v>0</v>
      </c>
      <c r="M42" s="26" t="s">
        <v>8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</v>
      </c>
      <c r="DN42" s="1" t="s">
        <v>8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55" t="s">
        <v>98</v>
      </c>
      <c r="B43" s="56"/>
      <c r="C43" s="57"/>
      <c r="D43" s="56"/>
      <c r="E43" s="58"/>
      <c r="F43" s="59">
        <f>H43+J43+L43</f>
        <v>79797</v>
      </c>
      <c r="G43" s="58"/>
      <c r="H43" s="59">
        <f>ROUNDDOWN(SUM(H38:H42),0)</f>
        <v>20033</v>
      </c>
      <c r="I43" s="58"/>
      <c r="J43" s="59">
        <f>ROUNDDOWN(SUM(J38:J42),0)</f>
        <v>49778</v>
      </c>
      <c r="K43" s="58"/>
      <c r="L43" s="59">
        <f>ROUNDDOWN(SUM(L38:L42),0)</f>
        <v>9986</v>
      </c>
      <c r="M43" s="60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6"/>
      <c r="B44" s="17"/>
      <c r="C44" s="25"/>
      <c r="D44" s="17"/>
      <c r="E44" s="18"/>
      <c r="F44" s="39"/>
      <c r="G44" s="18"/>
      <c r="H44" s="39"/>
      <c r="I44" s="18"/>
      <c r="J44" s="39"/>
      <c r="K44" s="18"/>
      <c r="L44" s="39"/>
      <c r="M44" s="26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49" t="s">
        <v>459</v>
      </c>
      <c r="B45" s="50"/>
      <c r="C45" s="51"/>
      <c r="D45" s="50"/>
      <c r="E45" s="52"/>
      <c r="F45" s="53"/>
      <c r="G45" s="52"/>
      <c r="H45" s="53"/>
      <c r="I45" s="52"/>
      <c r="J45" s="53"/>
      <c r="K45" s="52"/>
      <c r="L45" s="53"/>
      <c r="M45" s="54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127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6" t="s">
        <v>628</v>
      </c>
      <c r="B46" s="17" t="s">
        <v>464</v>
      </c>
      <c r="C46" s="38">
        <v>2.2000000000000002</v>
      </c>
      <c r="D46" s="17" t="s">
        <v>239</v>
      </c>
      <c r="E46" s="18">
        <f t="shared" ref="E46:F49" si="5">G46+I46+K46</f>
        <v>1657</v>
      </c>
      <c r="F46" s="39">
        <f t="shared" si="5"/>
        <v>3645.4</v>
      </c>
      <c r="G46" s="18">
        <f>자재단가!R5</f>
        <v>1657</v>
      </c>
      <c r="H46" s="39">
        <f>TRUNC(C46*G46,1)</f>
        <v>3645.4</v>
      </c>
      <c r="I46" s="18">
        <v>0</v>
      </c>
      <c r="J46" s="39">
        <f>TRUNC(C46*I46,1)</f>
        <v>0</v>
      </c>
      <c r="K46" s="18">
        <v>0</v>
      </c>
      <c r="L46" s="39">
        <f>TRUNC(C46*K46,1)</f>
        <v>0</v>
      </c>
      <c r="M46" s="26" t="s">
        <v>8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281</v>
      </c>
      <c r="DN46" s="1" t="s">
        <v>8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6" t="s">
        <v>597</v>
      </c>
      <c r="B47" s="17" t="s">
        <v>285</v>
      </c>
      <c r="C47" s="40">
        <v>13</v>
      </c>
      <c r="D47" s="17" t="s">
        <v>537</v>
      </c>
      <c r="E47" s="18">
        <f t="shared" si="5"/>
        <v>3645.4</v>
      </c>
      <c r="F47" s="39">
        <f t="shared" si="5"/>
        <v>473.9</v>
      </c>
      <c r="G47" s="18">
        <f>H46+J46+L46</f>
        <v>3645.4</v>
      </c>
      <c r="H47" s="39">
        <f>TRUNC(C47/100*G47,1)</f>
        <v>473.9</v>
      </c>
      <c r="I47" s="18">
        <v>0</v>
      </c>
      <c r="J47" s="39">
        <f>TRUNC(C47/100*I47,1)</f>
        <v>0</v>
      </c>
      <c r="K47" s="18">
        <v>0</v>
      </c>
      <c r="L47" s="39">
        <f>TRUNC(C47/100*K47,1)</f>
        <v>0</v>
      </c>
      <c r="M47" s="26" t="s">
        <v>8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302</v>
      </c>
      <c r="DN47" s="1" t="s">
        <v>538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6" t="s">
        <v>501</v>
      </c>
      <c r="B48" s="17" t="s">
        <v>8</v>
      </c>
      <c r="C48" s="38">
        <f>2825*10^-7*1000</f>
        <v>0.28249999999999997</v>
      </c>
      <c r="D48" s="17" t="s">
        <v>8</v>
      </c>
      <c r="E48" s="18">
        <f t="shared" si="5"/>
        <v>6966</v>
      </c>
      <c r="F48" s="39">
        <f t="shared" si="5"/>
        <v>1967.8</v>
      </c>
      <c r="G48" s="18">
        <v>0</v>
      </c>
      <c r="H48" s="39">
        <f>TRUNC(C48*G48,1)</f>
        <v>0</v>
      </c>
      <c r="I48" s="18">
        <v>0</v>
      </c>
      <c r="J48" s="39">
        <f>TRUNC(C48*I48,1)</f>
        <v>0</v>
      </c>
      <c r="K48" s="18">
        <v>6966</v>
      </c>
      <c r="L48" s="39">
        <f>TRUNC(C48*K48,1)</f>
        <v>1967.8</v>
      </c>
      <c r="M48" s="26" t="s">
        <v>8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195</v>
      </c>
      <c r="DN48" s="1" t="s">
        <v>579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6" t="s">
        <v>97</v>
      </c>
      <c r="B49" s="17" t="s">
        <v>8</v>
      </c>
      <c r="C49" s="41">
        <v>0</v>
      </c>
      <c r="D49" s="17" t="s">
        <v>8</v>
      </c>
      <c r="E49" s="18">
        <f t="shared" si="5"/>
        <v>0</v>
      </c>
      <c r="F49" s="39">
        <f t="shared" si="5"/>
        <v>0</v>
      </c>
      <c r="G49" s="18">
        <v>0</v>
      </c>
      <c r="H49" s="39">
        <f>TRUNC(C49*G49,1)</f>
        <v>0</v>
      </c>
      <c r="I49" s="18">
        <v>0</v>
      </c>
      <c r="J49" s="39">
        <f>TRUNC(C49*I49,1)</f>
        <v>0</v>
      </c>
      <c r="K49" s="18">
        <v>0</v>
      </c>
      <c r="L49" s="39">
        <f>TRUNC(C49*K49,1)</f>
        <v>0</v>
      </c>
      <c r="M49" s="26" t="s">
        <v>8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8</v>
      </c>
      <c r="DN49" s="1" t="s">
        <v>8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55" t="s">
        <v>98</v>
      </c>
      <c r="B50" s="56"/>
      <c r="C50" s="57"/>
      <c r="D50" s="56"/>
      <c r="E50" s="58"/>
      <c r="F50" s="59">
        <f>H50+J50+L50</f>
        <v>6086</v>
      </c>
      <c r="G50" s="58"/>
      <c r="H50" s="59">
        <f>ROUNDDOWN(SUM(H46:H49),0)</f>
        <v>4119</v>
      </c>
      <c r="I50" s="58"/>
      <c r="J50" s="59">
        <f>ROUNDDOWN(SUM(J46:J49),0)</f>
        <v>0</v>
      </c>
      <c r="K50" s="58"/>
      <c r="L50" s="59">
        <f>ROUNDDOWN(SUM(L46:L49),0)</f>
        <v>1967</v>
      </c>
      <c r="M50" s="60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6"/>
      <c r="B51" s="17"/>
      <c r="C51" s="25"/>
      <c r="D51" s="17"/>
      <c r="E51" s="18"/>
      <c r="F51" s="39"/>
      <c r="G51" s="18"/>
      <c r="H51" s="39"/>
      <c r="I51" s="18"/>
      <c r="J51" s="39"/>
      <c r="K51" s="18"/>
      <c r="L51" s="39"/>
      <c r="M51" s="2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49" t="s">
        <v>605</v>
      </c>
      <c r="B52" s="50"/>
      <c r="C52" s="51"/>
      <c r="D52" s="50"/>
      <c r="E52" s="52"/>
      <c r="F52" s="53"/>
      <c r="G52" s="52"/>
      <c r="H52" s="53"/>
      <c r="I52" s="52"/>
      <c r="J52" s="53"/>
      <c r="K52" s="52"/>
      <c r="L52" s="53"/>
      <c r="M52" s="54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658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6" t="s">
        <v>628</v>
      </c>
      <c r="B53" s="17" t="s">
        <v>464</v>
      </c>
      <c r="C53" s="38">
        <v>15.9</v>
      </c>
      <c r="D53" s="17" t="s">
        <v>239</v>
      </c>
      <c r="E53" s="18">
        <f t="shared" ref="E53:F58" si="6">G53+I53+K53</f>
        <v>1657</v>
      </c>
      <c r="F53" s="39">
        <f t="shared" si="6"/>
        <v>26346.3</v>
      </c>
      <c r="G53" s="18">
        <f>자재단가!R5</f>
        <v>1657</v>
      </c>
      <c r="H53" s="39">
        <f>TRUNC(C53*G53,1)</f>
        <v>26346.3</v>
      </c>
      <c r="I53" s="18">
        <v>0</v>
      </c>
      <c r="J53" s="39">
        <f>TRUNC(C53*I53,1)</f>
        <v>0</v>
      </c>
      <c r="K53" s="18">
        <v>0</v>
      </c>
      <c r="L53" s="39">
        <f>TRUNC(C53*K53,1)</f>
        <v>0</v>
      </c>
      <c r="M53" s="26" t="s">
        <v>8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281</v>
      </c>
      <c r="DN53" s="1" t="s">
        <v>8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6" t="s">
        <v>597</v>
      </c>
      <c r="B54" s="17" t="s">
        <v>285</v>
      </c>
      <c r="C54" s="40">
        <v>38</v>
      </c>
      <c r="D54" s="17" t="s">
        <v>537</v>
      </c>
      <c r="E54" s="18">
        <f t="shared" si="6"/>
        <v>26346.3</v>
      </c>
      <c r="F54" s="39">
        <f t="shared" si="6"/>
        <v>10011.5</v>
      </c>
      <c r="G54" s="18">
        <f>H53</f>
        <v>26346.3</v>
      </c>
      <c r="H54" s="39">
        <f>TRUNC(C54/100*G54,1)</f>
        <v>10011.5</v>
      </c>
      <c r="I54" s="18">
        <v>0</v>
      </c>
      <c r="J54" s="39">
        <f>TRUNC(C54/100*I54,1)</f>
        <v>0</v>
      </c>
      <c r="K54" s="18">
        <v>0</v>
      </c>
      <c r="L54" s="39">
        <f>TRUNC(C54/100*K54,1)</f>
        <v>0</v>
      </c>
      <c r="M54" s="26" t="s">
        <v>8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438</v>
      </c>
      <c r="DN54" s="1" t="s">
        <v>538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6" t="s">
        <v>296</v>
      </c>
      <c r="B55" s="17" t="s">
        <v>8</v>
      </c>
      <c r="C55" s="40">
        <v>1</v>
      </c>
      <c r="D55" s="17" t="s">
        <v>221</v>
      </c>
      <c r="E55" s="18">
        <f t="shared" si="6"/>
        <v>59020</v>
      </c>
      <c r="F55" s="39">
        <f t="shared" si="6"/>
        <v>59020</v>
      </c>
      <c r="G55" s="18">
        <v>0</v>
      </c>
      <c r="H55" s="39">
        <f>TRUNC(C55*G55,1)</f>
        <v>0</v>
      </c>
      <c r="I55" s="18">
        <f>TRUNC(노임단가!K9*16/12*1/8*25/20,0)</f>
        <v>59020</v>
      </c>
      <c r="J55" s="39">
        <f>TRUNC(C55*I55,1)</f>
        <v>59020</v>
      </c>
      <c r="K55" s="18">
        <v>0</v>
      </c>
      <c r="L55" s="39">
        <f>TRUNC(C55*K55,1)</f>
        <v>0</v>
      </c>
      <c r="M55" s="26" t="s">
        <v>8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548</v>
      </c>
      <c r="DN55" s="1" t="s">
        <v>8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6" t="s">
        <v>81</v>
      </c>
      <c r="B56" s="17" t="s">
        <v>8</v>
      </c>
      <c r="C56" s="38">
        <f>2279*10^-7*1000</f>
        <v>0.22789999999999999</v>
      </c>
      <c r="D56" s="17" t="s">
        <v>8</v>
      </c>
      <c r="E56" s="18">
        <f t="shared" si="6"/>
        <v>90653</v>
      </c>
      <c r="F56" s="39">
        <f t="shared" si="6"/>
        <v>20659.8</v>
      </c>
      <c r="G56" s="18">
        <v>0</v>
      </c>
      <c r="H56" s="39">
        <f>TRUNC(C56*G56,1)</f>
        <v>0</v>
      </c>
      <c r="I56" s="18">
        <v>0</v>
      </c>
      <c r="J56" s="39">
        <f>TRUNC(C56*I56,1)</f>
        <v>0</v>
      </c>
      <c r="K56" s="18">
        <v>90653</v>
      </c>
      <c r="L56" s="39">
        <f>TRUNC(C56*K56,1)</f>
        <v>20659.8</v>
      </c>
      <c r="M56" s="26" t="s">
        <v>8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195</v>
      </c>
      <c r="DN56" s="1" t="s">
        <v>247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6" t="s">
        <v>640</v>
      </c>
      <c r="B57" s="17" t="s">
        <v>233</v>
      </c>
      <c r="C57" s="40">
        <v>1</v>
      </c>
      <c r="D57" s="17" t="s">
        <v>349</v>
      </c>
      <c r="E57" s="18">
        <f t="shared" si="6"/>
        <v>438</v>
      </c>
      <c r="F57" s="39">
        <f t="shared" si="6"/>
        <v>438</v>
      </c>
      <c r="G57" s="18">
        <f>H64</f>
        <v>0</v>
      </c>
      <c r="H57" s="39">
        <f>TRUNC(C57*G57,1)</f>
        <v>0</v>
      </c>
      <c r="I57" s="18">
        <f>J64</f>
        <v>0</v>
      </c>
      <c r="J57" s="39">
        <f>TRUNC(C57*I57,1)</f>
        <v>0</v>
      </c>
      <c r="K57" s="18">
        <f>L64</f>
        <v>438</v>
      </c>
      <c r="L57" s="39">
        <f>TRUNC(C57*K57,1)</f>
        <v>438</v>
      </c>
      <c r="M57" s="26" t="s">
        <v>8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280</v>
      </c>
      <c r="DN57" s="1" t="s">
        <v>8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6" t="s">
        <v>593</v>
      </c>
      <c r="B58" s="17" t="s">
        <v>8</v>
      </c>
      <c r="C58" s="41">
        <v>0</v>
      </c>
      <c r="D58" s="17" t="s">
        <v>8</v>
      </c>
      <c r="E58" s="18">
        <f t="shared" si="6"/>
        <v>0</v>
      </c>
      <c r="F58" s="39">
        <f t="shared" si="6"/>
        <v>0</v>
      </c>
      <c r="G58" s="18">
        <v>0</v>
      </c>
      <c r="H58" s="39">
        <f>TRUNC(C58*G58,1)</f>
        <v>0</v>
      </c>
      <c r="I58" s="18">
        <v>0</v>
      </c>
      <c r="J58" s="39">
        <f>TRUNC(C58*I58,1)</f>
        <v>0</v>
      </c>
      <c r="K58" s="18">
        <v>0</v>
      </c>
      <c r="L58" s="39">
        <f>TRUNC(C58*K58,1)</f>
        <v>0</v>
      </c>
      <c r="M58" s="26" t="s">
        <v>8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8</v>
      </c>
      <c r="DN58" s="1" t="s">
        <v>8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55" t="s">
        <v>98</v>
      </c>
      <c r="B59" s="56"/>
      <c r="C59" s="57"/>
      <c r="D59" s="56"/>
      <c r="E59" s="58"/>
      <c r="F59" s="59">
        <f>H59+J59+L59</f>
        <v>116474</v>
      </c>
      <c r="G59" s="58"/>
      <c r="H59" s="59">
        <f>ROUNDDOWN(SUM(H53:H58),0)</f>
        <v>36357</v>
      </c>
      <c r="I59" s="58"/>
      <c r="J59" s="59">
        <f>ROUNDDOWN(SUM(J53:J58),0)</f>
        <v>59020</v>
      </c>
      <c r="K59" s="58"/>
      <c r="L59" s="59">
        <f>ROUNDDOWN(SUM(L53:L58),0)</f>
        <v>21097</v>
      </c>
      <c r="M59" s="60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6"/>
      <c r="B60" s="17"/>
      <c r="C60" s="25"/>
      <c r="D60" s="17"/>
      <c r="E60" s="18"/>
      <c r="F60" s="39"/>
      <c r="G60" s="18"/>
      <c r="H60" s="39"/>
      <c r="I60" s="18"/>
      <c r="J60" s="39"/>
      <c r="K60" s="18"/>
      <c r="L60" s="39"/>
      <c r="M60" s="26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49" t="s">
        <v>698</v>
      </c>
      <c r="B61" s="50"/>
      <c r="C61" s="51"/>
      <c r="D61" s="50"/>
      <c r="E61" s="52"/>
      <c r="F61" s="53"/>
      <c r="G61" s="52"/>
      <c r="H61" s="53"/>
      <c r="I61" s="52"/>
      <c r="J61" s="53"/>
      <c r="K61" s="52"/>
      <c r="L61" s="53"/>
      <c r="M61" s="54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680</v>
      </c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6" t="s">
        <v>81</v>
      </c>
      <c r="B62" s="17" t="s">
        <v>8</v>
      </c>
      <c r="C62" s="38">
        <f>2684*10^-7*1000</f>
        <v>0.26839999999999997</v>
      </c>
      <c r="D62" s="17" t="s">
        <v>8</v>
      </c>
      <c r="E62" s="18">
        <f>G62+I62+K62</f>
        <v>1634</v>
      </c>
      <c r="F62" s="39">
        <f>H62+J62+L62</f>
        <v>438.5</v>
      </c>
      <c r="G62" s="18">
        <v>0</v>
      </c>
      <c r="H62" s="39">
        <f>TRUNC(C62*G62,1)</f>
        <v>0</v>
      </c>
      <c r="I62" s="18">
        <v>0</v>
      </c>
      <c r="J62" s="39">
        <f>TRUNC(C62*I62,1)</f>
        <v>0</v>
      </c>
      <c r="K62" s="18">
        <v>1634</v>
      </c>
      <c r="L62" s="39">
        <f>TRUNC(C62*K62,1)</f>
        <v>438.5</v>
      </c>
      <c r="M62" s="26" t="s">
        <v>8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195</v>
      </c>
      <c r="DN62" s="1" t="s">
        <v>246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6" t="s">
        <v>386</v>
      </c>
      <c r="B63" s="17" t="s">
        <v>8</v>
      </c>
      <c r="C63" s="41">
        <v>0</v>
      </c>
      <c r="D63" s="17" t="s">
        <v>8</v>
      </c>
      <c r="E63" s="18">
        <f>G63+I63+K63</f>
        <v>0</v>
      </c>
      <c r="F63" s="39">
        <f>H63+J63+L63</f>
        <v>0</v>
      </c>
      <c r="G63" s="18">
        <v>0</v>
      </c>
      <c r="H63" s="39">
        <f>TRUNC(C63*G63,1)</f>
        <v>0</v>
      </c>
      <c r="I63" s="18">
        <v>0</v>
      </c>
      <c r="J63" s="39">
        <f>TRUNC(C63*I63,1)</f>
        <v>0</v>
      </c>
      <c r="K63" s="18">
        <v>0</v>
      </c>
      <c r="L63" s="39">
        <f>TRUNC(C63*K63,1)</f>
        <v>0</v>
      </c>
      <c r="M63" s="26" t="s">
        <v>8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8</v>
      </c>
      <c r="DN63" s="1" t="s">
        <v>8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55" t="s">
        <v>98</v>
      </c>
      <c r="B64" s="56"/>
      <c r="C64" s="57"/>
      <c r="D64" s="56"/>
      <c r="E64" s="58"/>
      <c r="F64" s="59">
        <f>H64+J64+L64</f>
        <v>438</v>
      </c>
      <c r="G64" s="58"/>
      <c r="H64" s="59">
        <f>ROUNDDOWN(SUM(H62:H63),0)</f>
        <v>0</v>
      </c>
      <c r="I64" s="58"/>
      <c r="J64" s="59">
        <f>ROUNDDOWN(SUM(J62:J63),0)</f>
        <v>0</v>
      </c>
      <c r="K64" s="58"/>
      <c r="L64" s="59">
        <f>ROUNDDOWN(SUM(L62:L63),0)</f>
        <v>438</v>
      </c>
      <c r="M64" s="60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6"/>
      <c r="B65" s="17"/>
      <c r="C65" s="25"/>
      <c r="D65" s="17"/>
      <c r="E65" s="18"/>
      <c r="F65" s="39"/>
      <c r="G65" s="18"/>
      <c r="H65" s="39"/>
      <c r="I65" s="18"/>
      <c r="J65" s="39"/>
      <c r="K65" s="18"/>
      <c r="L65" s="39"/>
      <c r="M65" s="26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49" t="s">
        <v>634</v>
      </c>
      <c r="B66" s="50"/>
      <c r="C66" s="51"/>
      <c r="D66" s="50"/>
      <c r="E66" s="52"/>
      <c r="F66" s="53"/>
      <c r="G66" s="52"/>
      <c r="H66" s="53"/>
      <c r="I66" s="52"/>
      <c r="J66" s="53"/>
      <c r="K66" s="52"/>
      <c r="L66" s="53"/>
      <c r="M66" s="54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71</v>
      </c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6" t="s">
        <v>628</v>
      </c>
      <c r="B67" s="17" t="s">
        <v>464</v>
      </c>
      <c r="C67" s="38">
        <v>10.199999999999999</v>
      </c>
      <c r="D67" s="17" t="s">
        <v>239</v>
      </c>
      <c r="E67" s="18">
        <f t="shared" ref="E67:F71" si="7">G67+I67+K67</f>
        <v>1657</v>
      </c>
      <c r="F67" s="39">
        <f t="shared" si="7"/>
        <v>16901.400000000001</v>
      </c>
      <c r="G67" s="18">
        <f>자재단가!R5</f>
        <v>1657</v>
      </c>
      <c r="H67" s="39">
        <f>TRUNC(C67*G67,1)</f>
        <v>16901.400000000001</v>
      </c>
      <c r="I67" s="18">
        <v>0</v>
      </c>
      <c r="J67" s="39">
        <f>TRUNC(C67*I67,1)</f>
        <v>0</v>
      </c>
      <c r="K67" s="18">
        <v>0</v>
      </c>
      <c r="L67" s="39">
        <f>TRUNC(C67*K67,1)</f>
        <v>0</v>
      </c>
      <c r="M67" s="26" t="s">
        <v>8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281</v>
      </c>
      <c r="DN67" s="1" t="s">
        <v>8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6" t="s">
        <v>597</v>
      </c>
      <c r="B68" s="17" t="s">
        <v>285</v>
      </c>
      <c r="C68" s="40">
        <v>22</v>
      </c>
      <c r="D68" s="17" t="s">
        <v>537</v>
      </c>
      <c r="E68" s="18">
        <f t="shared" si="7"/>
        <v>16901.400000000001</v>
      </c>
      <c r="F68" s="39">
        <f t="shared" si="7"/>
        <v>3718.3</v>
      </c>
      <c r="G68" s="18">
        <f>H67</f>
        <v>16901.400000000001</v>
      </c>
      <c r="H68" s="39">
        <f>TRUNC(C68/100*G68,1)</f>
        <v>3718.3</v>
      </c>
      <c r="I68" s="18">
        <v>0</v>
      </c>
      <c r="J68" s="39">
        <f>TRUNC(C68/100*I68,1)</f>
        <v>0</v>
      </c>
      <c r="K68" s="18">
        <v>0</v>
      </c>
      <c r="L68" s="39">
        <f>TRUNC(C68/100*K68,1)</f>
        <v>0</v>
      </c>
      <c r="M68" s="26" t="s">
        <v>8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438</v>
      </c>
      <c r="DN68" s="1" t="s">
        <v>538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6" t="s">
        <v>296</v>
      </c>
      <c r="B69" s="17" t="s">
        <v>8</v>
      </c>
      <c r="C69" s="40">
        <v>1</v>
      </c>
      <c r="D69" s="17" t="s">
        <v>221</v>
      </c>
      <c r="E69" s="18">
        <f t="shared" si="7"/>
        <v>59020</v>
      </c>
      <c r="F69" s="39">
        <f t="shared" si="7"/>
        <v>59020</v>
      </c>
      <c r="G69" s="18">
        <v>0</v>
      </c>
      <c r="H69" s="39">
        <f>TRUNC(C69*G69,1)</f>
        <v>0</v>
      </c>
      <c r="I69" s="18">
        <f>TRUNC(노임단가!K9*16/12*1/8*25/20,0)</f>
        <v>59020</v>
      </c>
      <c r="J69" s="39">
        <f>TRUNC(C69*I69,1)</f>
        <v>59020</v>
      </c>
      <c r="K69" s="18">
        <v>0</v>
      </c>
      <c r="L69" s="39">
        <f>TRUNC(C69*K69,1)</f>
        <v>0</v>
      </c>
      <c r="M69" s="26" t="s">
        <v>8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548</v>
      </c>
      <c r="DN69" s="1" t="s">
        <v>8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6" t="s">
        <v>81</v>
      </c>
      <c r="B70" s="17" t="s">
        <v>8</v>
      </c>
      <c r="C70" s="38">
        <f>2085*10^-7*1000</f>
        <v>0.20849999999999999</v>
      </c>
      <c r="D70" s="17" t="s">
        <v>8</v>
      </c>
      <c r="E70" s="18">
        <f t="shared" si="7"/>
        <v>112342</v>
      </c>
      <c r="F70" s="39">
        <f t="shared" si="7"/>
        <v>23423.3</v>
      </c>
      <c r="G70" s="18">
        <v>0</v>
      </c>
      <c r="H70" s="39">
        <f>TRUNC(C70*G70,1)</f>
        <v>0</v>
      </c>
      <c r="I70" s="18">
        <v>0</v>
      </c>
      <c r="J70" s="39">
        <f>TRUNC(C70*I70,1)</f>
        <v>0</v>
      </c>
      <c r="K70" s="18">
        <v>112342</v>
      </c>
      <c r="L70" s="39">
        <f>TRUNC(C70*K70,1)</f>
        <v>23423.3</v>
      </c>
      <c r="M70" s="26" t="s">
        <v>8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195</v>
      </c>
      <c r="DN70" s="1" t="s">
        <v>59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6" t="s">
        <v>437</v>
      </c>
      <c r="B71" s="17" t="s">
        <v>8</v>
      </c>
      <c r="C71" s="41">
        <v>0</v>
      </c>
      <c r="D71" s="17" t="s">
        <v>8</v>
      </c>
      <c r="E71" s="18">
        <f t="shared" si="7"/>
        <v>0</v>
      </c>
      <c r="F71" s="39">
        <f t="shared" si="7"/>
        <v>0</v>
      </c>
      <c r="G71" s="18">
        <v>0</v>
      </c>
      <c r="H71" s="39">
        <f>TRUNC(C71*G71,1)</f>
        <v>0</v>
      </c>
      <c r="I71" s="18">
        <v>0</v>
      </c>
      <c r="J71" s="39">
        <f>TRUNC(C71*I71,1)</f>
        <v>0</v>
      </c>
      <c r="K71" s="18">
        <v>0</v>
      </c>
      <c r="L71" s="39">
        <f>TRUNC(C71*K71,1)</f>
        <v>0</v>
      </c>
      <c r="M71" s="26" t="s">
        <v>8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8</v>
      </c>
      <c r="DN71" s="1" t="s">
        <v>8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55" t="s">
        <v>98</v>
      </c>
      <c r="B72" s="56"/>
      <c r="C72" s="57"/>
      <c r="D72" s="56"/>
      <c r="E72" s="58"/>
      <c r="F72" s="59">
        <f>H72+J72+L72</f>
        <v>103062</v>
      </c>
      <c r="G72" s="58"/>
      <c r="H72" s="59">
        <f>ROUNDDOWN(SUM(H67:H71),0)</f>
        <v>20619</v>
      </c>
      <c r="I72" s="58"/>
      <c r="J72" s="59">
        <f>ROUNDDOWN(SUM(J67:J71),0)</f>
        <v>59020</v>
      </c>
      <c r="K72" s="58"/>
      <c r="L72" s="59">
        <f>ROUNDDOWN(SUM(L67:L71),0)</f>
        <v>23423</v>
      </c>
      <c r="M72" s="60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6"/>
      <c r="B73" s="17"/>
      <c r="C73" s="25"/>
      <c r="D73" s="17"/>
      <c r="E73" s="18"/>
      <c r="F73" s="39"/>
      <c r="G73" s="18"/>
      <c r="H73" s="39"/>
      <c r="I73" s="18"/>
      <c r="J73" s="39"/>
      <c r="K73" s="18"/>
      <c r="L73" s="39"/>
      <c r="M73" s="26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49" t="s">
        <v>295</v>
      </c>
      <c r="B74" s="50"/>
      <c r="C74" s="51"/>
      <c r="D74" s="50"/>
      <c r="E74" s="52"/>
      <c r="F74" s="53"/>
      <c r="G74" s="52"/>
      <c r="H74" s="53"/>
      <c r="I74" s="52"/>
      <c r="J74" s="53"/>
      <c r="K74" s="52"/>
      <c r="L74" s="53"/>
      <c r="M74" s="54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293</v>
      </c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6" t="s">
        <v>628</v>
      </c>
      <c r="B75" s="17" t="s">
        <v>464</v>
      </c>
      <c r="C75" s="38">
        <v>2.2000000000000002</v>
      </c>
      <c r="D75" s="17" t="s">
        <v>239</v>
      </c>
      <c r="E75" s="18">
        <f t="shared" ref="E75:F79" si="8">G75+I75+K75</f>
        <v>1657</v>
      </c>
      <c r="F75" s="39">
        <f t="shared" si="8"/>
        <v>3645.4</v>
      </c>
      <c r="G75" s="18">
        <f>자재단가!R5</f>
        <v>1657</v>
      </c>
      <c r="H75" s="39">
        <f>TRUNC(C75*G75,1)</f>
        <v>3645.4</v>
      </c>
      <c r="I75" s="18">
        <v>0</v>
      </c>
      <c r="J75" s="39">
        <f>TRUNC(C75*I75,1)</f>
        <v>0</v>
      </c>
      <c r="K75" s="18">
        <v>0</v>
      </c>
      <c r="L75" s="39">
        <f>TRUNC(C75*K75,1)</f>
        <v>0</v>
      </c>
      <c r="M75" s="26" t="s">
        <v>8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281</v>
      </c>
      <c r="DN75" s="1" t="s">
        <v>8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6" t="s">
        <v>597</v>
      </c>
      <c r="B76" s="17" t="s">
        <v>285</v>
      </c>
      <c r="C76" s="40">
        <v>13</v>
      </c>
      <c r="D76" s="17" t="s">
        <v>537</v>
      </c>
      <c r="E76" s="18">
        <f t="shared" si="8"/>
        <v>3645.4</v>
      </c>
      <c r="F76" s="39">
        <f t="shared" si="8"/>
        <v>473.9</v>
      </c>
      <c r="G76" s="18">
        <f>H75+J75+L75</f>
        <v>3645.4</v>
      </c>
      <c r="H76" s="39">
        <f>TRUNC(C76/100*G76,1)</f>
        <v>473.9</v>
      </c>
      <c r="I76" s="18">
        <v>0</v>
      </c>
      <c r="J76" s="39">
        <f>TRUNC(C76/100*I76,1)</f>
        <v>0</v>
      </c>
      <c r="K76" s="18">
        <v>0</v>
      </c>
      <c r="L76" s="39">
        <f>TRUNC(C76/100*K76,1)</f>
        <v>0</v>
      </c>
      <c r="M76" s="26" t="s">
        <v>8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302</v>
      </c>
      <c r="DN76" s="1" t="s">
        <v>538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6" t="s">
        <v>290</v>
      </c>
      <c r="B77" s="17" t="s">
        <v>8</v>
      </c>
      <c r="C77" s="40">
        <v>1</v>
      </c>
      <c r="D77" s="17" t="s">
        <v>221</v>
      </c>
      <c r="E77" s="18">
        <f t="shared" si="8"/>
        <v>36248</v>
      </c>
      <c r="F77" s="39">
        <f t="shared" si="8"/>
        <v>36248</v>
      </c>
      <c r="G77" s="18">
        <v>0</v>
      </c>
      <c r="H77" s="39">
        <f>TRUNC(C77*G77,1)</f>
        <v>0</v>
      </c>
      <c r="I77" s="18">
        <f>TRUNC(노임단가!K12*16/12*1/8*25/20,0)</f>
        <v>36248</v>
      </c>
      <c r="J77" s="39">
        <f>TRUNC(C77*I77,1)</f>
        <v>36248</v>
      </c>
      <c r="K77" s="18">
        <v>0</v>
      </c>
      <c r="L77" s="39">
        <f>TRUNC(C77*K77,1)</f>
        <v>0</v>
      </c>
      <c r="M77" s="26" t="s">
        <v>8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24</v>
      </c>
      <c r="DN77" s="1" t="s">
        <v>8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6" t="s">
        <v>501</v>
      </c>
      <c r="B78" s="17" t="s">
        <v>8</v>
      </c>
      <c r="C78" s="38">
        <f>2825*10^-7*1000</f>
        <v>0.28249999999999997</v>
      </c>
      <c r="D78" s="17" t="s">
        <v>8</v>
      </c>
      <c r="E78" s="18">
        <f t="shared" si="8"/>
        <v>6966</v>
      </c>
      <c r="F78" s="39">
        <f t="shared" si="8"/>
        <v>1967.8</v>
      </c>
      <c r="G78" s="18">
        <v>0</v>
      </c>
      <c r="H78" s="39">
        <f>TRUNC(C78*G78,1)</f>
        <v>0</v>
      </c>
      <c r="I78" s="18">
        <v>0</v>
      </c>
      <c r="J78" s="39">
        <f>TRUNC(C78*I78,1)</f>
        <v>0</v>
      </c>
      <c r="K78" s="18">
        <v>6966</v>
      </c>
      <c r="L78" s="39">
        <f>TRUNC(C78*K78,1)</f>
        <v>1967.8</v>
      </c>
      <c r="M78" s="26" t="s">
        <v>8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195</v>
      </c>
      <c r="DN78" s="1" t="s">
        <v>579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6" t="s">
        <v>97</v>
      </c>
      <c r="B79" s="17" t="s">
        <v>8</v>
      </c>
      <c r="C79" s="41">
        <v>0</v>
      </c>
      <c r="D79" s="17" t="s">
        <v>8</v>
      </c>
      <c r="E79" s="18">
        <f t="shared" si="8"/>
        <v>0</v>
      </c>
      <c r="F79" s="39">
        <f t="shared" si="8"/>
        <v>0</v>
      </c>
      <c r="G79" s="18">
        <v>0</v>
      </c>
      <c r="H79" s="39">
        <f>TRUNC(C79*G79,1)</f>
        <v>0</v>
      </c>
      <c r="I79" s="18">
        <v>0</v>
      </c>
      <c r="J79" s="39">
        <f>TRUNC(C79*I79,1)</f>
        <v>0</v>
      </c>
      <c r="K79" s="18">
        <v>0</v>
      </c>
      <c r="L79" s="39">
        <f>TRUNC(C79*K79,1)</f>
        <v>0</v>
      </c>
      <c r="M79" s="26" t="s">
        <v>8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8</v>
      </c>
      <c r="DN79" s="1" t="s">
        <v>8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55" t="s">
        <v>98</v>
      </c>
      <c r="B80" s="56"/>
      <c r="C80" s="57"/>
      <c r="D80" s="56"/>
      <c r="E80" s="58"/>
      <c r="F80" s="59">
        <f>H80+J80+L80</f>
        <v>42334</v>
      </c>
      <c r="G80" s="58"/>
      <c r="H80" s="59">
        <f>ROUNDDOWN(SUM(H75:H79),0)</f>
        <v>4119</v>
      </c>
      <c r="I80" s="58"/>
      <c r="J80" s="59">
        <f>ROUNDDOWN(SUM(J75:J79),0)</f>
        <v>36248</v>
      </c>
      <c r="K80" s="58"/>
      <c r="L80" s="59">
        <f>ROUNDDOWN(SUM(L75:L79),0)</f>
        <v>1967</v>
      </c>
      <c r="M80" s="60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6"/>
      <c r="B81" s="17"/>
      <c r="C81" s="25"/>
      <c r="D81" s="17"/>
      <c r="E81" s="18"/>
      <c r="F81" s="39"/>
      <c r="G81" s="18"/>
      <c r="H81" s="39"/>
      <c r="I81" s="18"/>
      <c r="J81" s="39"/>
      <c r="K81" s="18"/>
      <c r="L81" s="39"/>
      <c r="M81" s="26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49" t="s">
        <v>134</v>
      </c>
      <c r="B82" s="50"/>
      <c r="C82" s="51"/>
      <c r="D82" s="50"/>
      <c r="E82" s="52"/>
      <c r="F82" s="53"/>
      <c r="G82" s="52"/>
      <c r="H82" s="53"/>
      <c r="I82" s="52"/>
      <c r="J82" s="53"/>
      <c r="K82" s="52"/>
      <c r="L82" s="53"/>
      <c r="M82" s="54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410</v>
      </c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16" t="s">
        <v>628</v>
      </c>
      <c r="B83" s="17" t="s">
        <v>464</v>
      </c>
      <c r="C83" s="38">
        <v>9.9</v>
      </c>
      <c r="D83" s="17" t="s">
        <v>239</v>
      </c>
      <c r="E83" s="18">
        <f t="shared" ref="E83:F87" si="9">G83+I83+K83</f>
        <v>1657</v>
      </c>
      <c r="F83" s="39">
        <f t="shared" si="9"/>
        <v>16404.3</v>
      </c>
      <c r="G83" s="18">
        <f>자재단가!R5</f>
        <v>1657</v>
      </c>
      <c r="H83" s="39">
        <f>TRUNC(C83*G83,1)</f>
        <v>16404.3</v>
      </c>
      <c r="I83" s="18">
        <v>0</v>
      </c>
      <c r="J83" s="39">
        <f>TRUNC(C83*I83,1)</f>
        <v>0</v>
      </c>
      <c r="K83" s="18">
        <v>0</v>
      </c>
      <c r="L83" s="39">
        <f>TRUNC(C83*K83,1)</f>
        <v>0</v>
      </c>
      <c r="M83" s="26" t="s">
        <v>8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281</v>
      </c>
      <c r="DN83" s="1" t="s">
        <v>8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6" t="s">
        <v>597</v>
      </c>
      <c r="B84" s="17" t="s">
        <v>285</v>
      </c>
      <c r="C84" s="40">
        <v>22</v>
      </c>
      <c r="D84" s="17" t="s">
        <v>537</v>
      </c>
      <c r="E84" s="18">
        <f t="shared" si="9"/>
        <v>16404.3</v>
      </c>
      <c r="F84" s="39">
        <f t="shared" si="9"/>
        <v>3608.9</v>
      </c>
      <c r="G84" s="18">
        <f>H83</f>
        <v>16404.3</v>
      </c>
      <c r="H84" s="39">
        <f>TRUNC(C84/100*G84,1)</f>
        <v>3608.9</v>
      </c>
      <c r="I84" s="18">
        <v>0</v>
      </c>
      <c r="J84" s="39">
        <f>TRUNC(C84/100*I84,1)</f>
        <v>0</v>
      </c>
      <c r="K84" s="18">
        <v>0</v>
      </c>
      <c r="L84" s="39">
        <f>TRUNC(C84/100*K84,1)</f>
        <v>0</v>
      </c>
      <c r="M84" s="26" t="s">
        <v>8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438</v>
      </c>
      <c r="DN84" s="1" t="s">
        <v>538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6" t="s">
        <v>296</v>
      </c>
      <c r="B85" s="17" t="s">
        <v>8</v>
      </c>
      <c r="C85" s="40">
        <v>1</v>
      </c>
      <c r="D85" s="17" t="s">
        <v>221</v>
      </c>
      <c r="E85" s="18">
        <f t="shared" si="9"/>
        <v>59020</v>
      </c>
      <c r="F85" s="39">
        <f t="shared" si="9"/>
        <v>59020</v>
      </c>
      <c r="G85" s="18">
        <v>0</v>
      </c>
      <c r="H85" s="39">
        <f>TRUNC(C85*G85,1)</f>
        <v>0</v>
      </c>
      <c r="I85" s="18">
        <f>TRUNC(노임단가!K9*16/12*1/8*25/20,0)</f>
        <v>59020</v>
      </c>
      <c r="J85" s="39">
        <f>TRUNC(C85*I85,1)</f>
        <v>59020</v>
      </c>
      <c r="K85" s="18">
        <v>0</v>
      </c>
      <c r="L85" s="39">
        <f>TRUNC(C85*K85,1)</f>
        <v>0</v>
      </c>
      <c r="M85" s="26" t="s">
        <v>8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548</v>
      </c>
      <c r="DN85" s="1" t="s">
        <v>8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6" t="s">
        <v>81</v>
      </c>
      <c r="B86" s="17" t="s">
        <v>8</v>
      </c>
      <c r="C86" s="38">
        <f>2085*10^-7*1000</f>
        <v>0.20849999999999999</v>
      </c>
      <c r="D86" s="17" t="s">
        <v>8</v>
      </c>
      <c r="E86" s="18">
        <f t="shared" si="9"/>
        <v>84000</v>
      </c>
      <c r="F86" s="39">
        <f t="shared" si="9"/>
        <v>17514</v>
      </c>
      <c r="G86" s="18">
        <v>0</v>
      </c>
      <c r="H86" s="39">
        <f>TRUNC(C86*G86,1)</f>
        <v>0</v>
      </c>
      <c r="I86" s="18">
        <v>0</v>
      </c>
      <c r="J86" s="39">
        <f>TRUNC(C86*I86,1)</f>
        <v>0</v>
      </c>
      <c r="K86" s="18">
        <v>84000</v>
      </c>
      <c r="L86" s="39">
        <f>TRUNC(C86*K86,1)</f>
        <v>17514</v>
      </c>
      <c r="M86" s="26" t="s">
        <v>8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195</v>
      </c>
      <c r="DN86" s="1" t="s">
        <v>59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6" t="s">
        <v>437</v>
      </c>
      <c r="B87" s="17" t="s">
        <v>8</v>
      </c>
      <c r="C87" s="41">
        <v>0</v>
      </c>
      <c r="D87" s="17" t="s">
        <v>8</v>
      </c>
      <c r="E87" s="18">
        <f t="shared" si="9"/>
        <v>0</v>
      </c>
      <c r="F87" s="39">
        <f t="shared" si="9"/>
        <v>0</v>
      </c>
      <c r="G87" s="18">
        <v>0</v>
      </c>
      <c r="H87" s="39">
        <f>TRUNC(C87*G87,1)</f>
        <v>0</v>
      </c>
      <c r="I87" s="18">
        <v>0</v>
      </c>
      <c r="J87" s="39">
        <f>TRUNC(C87*I87,1)</f>
        <v>0</v>
      </c>
      <c r="K87" s="18">
        <v>0</v>
      </c>
      <c r="L87" s="39">
        <f>TRUNC(C87*K87,1)</f>
        <v>0</v>
      </c>
      <c r="M87" s="26" t="s">
        <v>8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8</v>
      </c>
      <c r="DN87" s="1" t="s">
        <v>8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55" t="s">
        <v>98</v>
      </c>
      <c r="B88" s="56"/>
      <c r="C88" s="57"/>
      <c r="D88" s="56"/>
      <c r="E88" s="58"/>
      <c r="F88" s="59">
        <f>H88+J88+L88</f>
        <v>96547</v>
      </c>
      <c r="G88" s="58"/>
      <c r="H88" s="59">
        <f>ROUNDDOWN(SUM(H83:H87),0)</f>
        <v>20013</v>
      </c>
      <c r="I88" s="58"/>
      <c r="J88" s="59">
        <f>ROUNDDOWN(SUM(J83:J87),0)</f>
        <v>59020</v>
      </c>
      <c r="K88" s="58"/>
      <c r="L88" s="59">
        <f>ROUNDDOWN(SUM(L83:L87),0)</f>
        <v>17514</v>
      </c>
      <c r="M88" s="60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5"/>
      <c r="B89" s="20"/>
      <c r="C89" s="6"/>
      <c r="D89" s="20"/>
      <c r="E89" s="21"/>
      <c r="F89" s="42"/>
      <c r="G89" s="21"/>
      <c r="H89" s="42"/>
      <c r="I89" s="21"/>
      <c r="J89" s="42"/>
      <c r="K89" s="21"/>
      <c r="L89" s="42"/>
      <c r="M89" s="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6"/>
  <sheetViews>
    <sheetView showGridLines="0" workbookViewId="0">
      <selection activeCell="A5" sqref="A5:CW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</cols>
  <sheetData>
    <row r="1" spans="1:127" ht="26.1" customHeight="1" x14ac:dyDescent="0.2">
      <c r="A1" s="127" t="s">
        <v>625</v>
      </c>
      <c r="B1" s="127"/>
      <c r="C1" s="127"/>
      <c r="D1" s="127"/>
      <c r="E1" s="127"/>
      <c r="F1" s="127"/>
      <c r="G1" s="127"/>
      <c r="H1" s="127"/>
      <c r="I1" s="12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8" t="s">
        <v>132</v>
      </c>
      <c r="B3" s="121" t="s">
        <v>642</v>
      </c>
      <c r="C3" s="121" t="s">
        <v>366</v>
      </c>
      <c r="D3" s="121" t="s">
        <v>668</v>
      </c>
      <c r="E3" s="121" t="s">
        <v>242</v>
      </c>
      <c r="F3" s="121" t="s">
        <v>190</v>
      </c>
      <c r="G3" s="121" t="s">
        <v>476</v>
      </c>
      <c r="H3" s="121" t="s">
        <v>496</v>
      </c>
      <c r="I3" s="123" t="s">
        <v>301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9"/>
      <c r="B4" s="122"/>
      <c r="C4" s="122"/>
      <c r="D4" s="122"/>
      <c r="E4" s="122"/>
      <c r="F4" s="122"/>
      <c r="G4" s="122"/>
      <c r="H4" s="122"/>
      <c r="I4" s="12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2" t="s">
        <v>40</v>
      </c>
      <c r="B5" s="13" t="s">
        <v>693</v>
      </c>
      <c r="C5" s="62">
        <v>1</v>
      </c>
      <c r="D5" s="13" t="s">
        <v>349</v>
      </c>
      <c r="E5" s="63">
        <f t="shared" ref="E5:E15" si="0">F5+G5+H5</f>
        <v>114337</v>
      </c>
      <c r="F5" s="63">
        <f>건설기계!H11</f>
        <v>38003</v>
      </c>
      <c r="G5" s="63">
        <f>건설기계!J11</f>
        <v>59020</v>
      </c>
      <c r="H5" s="63">
        <f>건설기계!L11</f>
        <v>17314</v>
      </c>
      <c r="I5" s="4" t="s">
        <v>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522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6" t="s">
        <v>101</v>
      </c>
      <c r="B6" s="17" t="s">
        <v>484</v>
      </c>
      <c r="C6" s="64">
        <v>1</v>
      </c>
      <c r="D6" s="17" t="s">
        <v>349</v>
      </c>
      <c r="E6" s="65">
        <f t="shared" si="0"/>
        <v>62931</v>
      </c>
      <c r="F6" s="65">
        <f>건설기계!H19</f>
        <v>6631</v>
      </c>
      <c r="G6" s="65">
        <f>건설기계!J19</f>
        <v>49778</v>
      </c>
      <c r="H6" s="65">
        <f>건설기계!L19</f>
        <v>6522</v>
      </c>
      <c r="I6" s="26" t="s">
        <v>100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100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6" t="s">
        <v>101</v>
      </c>
      <c r="B7" s="17" t="s">
        <v>514</v>
      </c>
      <c r="C7" s="64">
        <v>1</v>
      </c>
      <c r="D7" s="17" t="s">
        <v>349</v>
      </c>
      <c r="E7" s="65">
        <f t="shared" si="0"/>
        <v>68824</v>
      </c>
      <c r="F7" s="65">
        <f>건설기계!H27</f>
        <v>11433</v>
      </c>
      <c r="G7" s="65">
        <f>건설기계!J27</f>
        <v>49778</v>
      </c>
      <c r="H7" s="65">
        <f>건설기계!L27</f>
        <v>7613</v>
      </c>
      <c r="I7" s="26" t="s">
        <v>100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546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6" t="s">
        <v>39</v>
      </c>
      <c r="B8" s="17" t="s">
        <v>604</v>
      </c>
      <c r="C8" s="64">
        <v>1</v>
      </c>
      <c r="D8" s="17" t="s">
        <v>349</v>
      </c>
      <c r="E8" s="65">
        <f t="shared" si="0"/>
        <v>82917</v>
      </c>
      <c r="F8" s="65">
        <f>건설기계!H35</f>
        <v>10024</v>
      </c>
      <c r="G8" s="65">
        <f>건설기계!J35</f>
        <v>59020</v>
      </c>
      <c r="H8" s="65">
        <f>건설기계!L35</f>
        <v>13873</v>
      </c>
      <c r="I8" s="26" t="s">
        <v>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631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6" t="s">
        <v>590</v>
      </c>
      <c r="B9" s="17" t="s">
        <v>671</v>
      </c>
      <c r="C9" s="64">
        <v>1</v>
      </c>
      <c r="D9" s="17" t="s">
        <v>349</v>
      </c>
      <c r="E9" s="65">
        <f t="shared" si="0"/>
        <v>79797</v>
      </c>
      <c r="F9" s="65">
        <f>건설기계!H43</f>
        <v>20033</v>
      </c>
      <c r="G9" s="65">
        <f>건설기계!J43</f>
        <v>49778</v>
      </c>
      <c r="H9" s="65">
        <f>건설기계!L43</f>
        <v>9986</v>
      </c>
      <c r="I9" s="26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334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6" t="s">
        <v>199</v>
      </c>
      <c r="B10" s="17" t="s">
        <v>15</v>
      </c>
      <c r="C10" s="64">
        <v>1</v>
      </c>
      <c r="D10" s="17" t="s">
        <v>349</v>
      </c>
      <c r="E10" s="65">
        <f t="shared" si="0"/>
        <v>6086</v>
      </c>
      <c r="F10" s="65">
        <f>건설기계!H50</f>
        <v>4119</v>
      </c>
      <c r="G10" s="65">
        <f>건설기계!J50</f>
        <v>0</v>
      </c>
      <c r="H10" s="65">
        <f>건설기계!L50</f>
        <v>1967</v>
      </c>
      <c r="I10" s="26" t="s">
        <v>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487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6" t="s">
        <v>101</v>
      </c>
      <c r="B11" s="17" t="s">
        <v>138</v>
      </c>
      <c r="C11" s="64">
        <v>1</v>
      </c>
      <c r="D11" s="17" t="s">
        <v>349</v>
      </c>
      <c r="E11" s="65">
        <f t="shared" si="0"/>
        <v>116474</v>
      </c>
      <c r="F11" s="65">
        <f>건설기계!H59</f>
        <v>36357</v>
      </c>
      <c r="G11" s="65">
        <f>건설기계!J59</f>
        <v>59020</v>
      </c>
      <c r="H11" s="65">
        <f>건설기계!L59</f>
        <v>21097</v>
      </c>
      <c r="I11" s="26" t="s">
        <v>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294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6" t="s">
        <v>640</v>
      </c>
      <c r="B12" s="17" t="s">
        <v>233</v>
      </c>
      <c r="C12" s="64">
        <v>1</v>
      </c>
      <c r="D12" s="17" t="s">
        <v>349</v>
      </c>
      <c r="E12" s="65">
        <f t="shared" si="0"/>
        <v>438</v>
      </c>
      <c r="F12" s="65">
        <f>건설기계!H64</f>
        <v>0</v>
      </c>
      <c r="G12" s="65">
        <f>건설기계!J64</f>
        <v>0</v>
      </c>
      <c r="H12" s="65">
        <f>건설기계!L64</f>
        <v>438</v>
      </c>
      <c r="I12" s="26" t="s">
        <v>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280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6" t="s">
        <v>39</v>
      </c>
      <c r="B13" s="17" t="s">
        <v>644</v>
      </c>
      <c r="C13" s="64">
        <v>1</v>
      </c>
      <c r="D13" s="17" t="s">
        <v>349</v>
      </c>
      <c r="E13" s="65">
        <f t="shared" si="0"/>
        <v>103062</v>
      </c>
      <c r="F13" s="65">
        <f>건설기계!H72</f>
        <v>20619</v>
      </c>
      <c r="G13" s="65">
        <f>건설기계!J72</f>
        <v>59020</v>
      </c>
      <c r="H13" s="65">
        <f>건설기계!L72</f>
        <v>23423</v>
      </c>
      <c r="I13" s="26" t="s">
        <v>78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526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6" t="s">
        <v>521</v>
      </c>
      <c r="B14" s="17" t="s">
        <v>643</v>
      </c>
      <c r="C14" s="64">
        <v>1</v>
      </c>
      <c r="D14" s="17" t="s">
        <v>349</v>
      </c>
      <c r="E14" s="65">
        <f t="shared" si="0"/>
        <v>42334</v>
      </c>
      <c r="F14" s="65">
        <f>건설기계!H80</f>
        <v>4119</v>
      </c>
      <c r="G14" s="65">
        <f>건설기계!J80</f>
        <v>36248</v>
      </c>
      <c r="H14" s="65">
        <f>건설기계!L80</f>
        <v>1967</v>
      </c>
      <c r="I14" s="26" t="s">
        <v>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506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5" t="s">
        <v>39</v>
      </c>
      <c r="B15" s="20" t="s">
        <v>224</v>
      </c>
      <c r="C15" s="66">
        <v>1</v>
      </c>
      <c r="D15" s="20" t="s">
        <v>349</v>
      </c>
      <c r="E15" s="67">
        <f t="shared" si="0"/>
        <v>96547</v>
      </c>
      <c r="F15" s="67">
        <f>건설기계!H88</f>
        <v>20013</v>
      </c>
      <c r="G15" s="67">
        <f>건설기계!J88</f>
        <v>59020</v>
      </c>
      <c r="H15" s="67">
        <f>건설기계!L88</f>
        <v>17514</v>
      </c>
      <c r="I15" s="7" t="s">
        <v>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35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"/>
      <c r="B16" s="8"/>
      <c r="C16" s="61"/>
      <c r="D16" s="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90"/>
  <sheetViews>
    <sheetView showGridLines="0" workbookViewId="0">
      <selection activeCell="A5" sqref="A5:CW5"/>
    </sheetView>
  </sheetViews>
  <sheetFormatPr defaultRowHeight="18" customHeight="1" x14ac:dyDescent="0.2"/>
  <cols>
    <col min="1" max="101" width="1" customWidth="1"/>
    <col min="102" max="105" width="11.7109375" customWidth="1"/>
    <col min="106" max="116" width="9.140625" customWidth="1"/>
    <col min="117" max="118" width="0" hidden="1" customWidth="1"/>
  </cols>
  <sheetData>
    <row r="1" spans="1:128" ht="26.1" customHeight="1" x14ac:dyDescent="0.2">
      <c r="A1" s="127" t="s">
        <v>348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7"/>
      <c r="CN1" s="127"/>
      <c r="CO1" s="127"/>
      <c r="CP1" s="127"/>
      <c r="CQ1" s="127"/>
      <c r="CR1" s="127"/>
      <c r="CS1" s="127"/>
      <c r="CT1" s="127"/>
      <c r="CU1" s="127"/>
      <c r="CV1" s="127"/>
      <c r="CW1" s="127"/>
      <c r="CX1" s="127"/>
      <c r="CY1" s="127"/>
      <c r="CZ1" s="127"/>
      <c r="DA1" s="127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33" t="s">
        <v>576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3"/>
      <c r="CG3" s="133"/>
      <c r="CH3" s="133"/>
      <c r="CI3" s="133"/>
      <c r="CJ3" s="133"/>
      <c r="CK3" s="133"/>
      <c r="CL3" s="133"/>
      <c r="CM3" s="133"/>
      <c r="CN3" s="133"/>
      <c r="CO3" s="133"/>
      <c r="CP3" s="133"/>
      <c r="CQ3" s="133"/>
      <c r="CR3" s="133"/>
      <c r="CS3" s="133"/>
      <c r="CT3" s="133"/>
      <c r="CU3" s="133"/>
      <c r="CV3" s="133"/>
      <c r="CW3" s="128"/>
      <c r="CX3" s="121" t="s">
        <v>556</v>
      </c>
      <c r="CY3" s="121" t="s">
        <v>64</v>
      </c>
      <c r="CZ3" s="121" t="s">
        <v>475</v>
      </c>
      <c r="DA3" s="123" t="s">
        <v>403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34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4"/>
      <c r="CI4" s="134"/>
      <c r="CJ4" s="134"/>
      <c r="CK4" s="134"/>
      <c r="CL4" s="134"/>
      <c r="CM4" s="134"/>
      <c r="CN4" s="134"/>
      <c r="CO4" s="134"/>
      <c r="CP4" s="134"/>
      <c r="CQ4" s="134"/>
      <c r="CR4" s="134"/>
      <c r="CS4" s="134"/>
      <c r="CT4" s="134"/>
      <c r="CU4" s="134"/>
      <c r="CV4" s="134"/>
      <c r="CW4" s="129"/>
      <c r="CX4" s="122"/>
      <c r="CY4" s="122"/>
      <c r="CZ4" s="122"/>
      <c r="DA4" s="124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136" t="s">
        <v>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  <c r="BN5" s="136"/>
      <c r="BO5" s="136"/>
      <c r="BP5" s="136"/>
      <c r="BQ5" s="136"/>
      <c r="BR5" s="136"/>
      <c r="BS5" s="136"/>
      <c r="BT5" s="136"/>
      <c r="BU5" s="136"/>
      <c r="BV5" s="136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  <c r="CL5" s="136"/>
      <c r="CM5" s="136"/>
      <c r="CN5" s="136"/>
      <c r="CO5" s="136"/>
      <c r="CP5" s="136"/>
      <c r="CQ5" s="136"/>
      <c r="CR5" s="136"/>
      <c r="CS5" s="136"/>
      <c r="CT5" s="136"/>
      <c r="CU5" s="136"/>
      <c r="CV5" s="136"/>
      <c r="CW5" s="136"/>
      <c r="CX5" s="80"/>
      <c r="CY5" s="81"/>
      <c r="CZ5" s="81"/>
      <c r="DA5" s="82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113</v>
      </c>
      <c r="DN5" s="1" t="s">
        <v>235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74" t="s">
        <v>575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6"/>
      <c r="CX6" s="72"/>
      <c r="CY6" s="68"/>
      <c r="CZ6" s="68"/>
      <c r="DA6" s="69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74" t="s">
        <v>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6"/>
      <c r="CX7" s="72"/>
      <c r="CY7" s="68"/>
      <c r="CZ7" s="68"/>
      <c r="DA7" s="69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74" t="s">
        <v>383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6"/>
      <c r="CX8" s="72"/>
      <c r="CY8" s="68"/>
      <c r="CZ8" s="68"/>
      <c r="DA8" s="69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74" t="s">
        <v>8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6"/>
      <c r="CX9" s="72"/>
      <c r="CY9" s="68"/>
      <c r="CZ9" s="68"/>
      <c r="DA9" s="69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74"/>
      <c r="B10" s="75"/>
      <c r="C10" s="75"/>
      <c r="D10" s="75"/>
      <c r="E10" s="75"/>
      <c r="F10" s="75" t="s">
        <v>530</v>
      </c>
      <c r="G10" s="75"/>
      <c r="H10" s="75" t="s">
        <v>536</v>
      </c>
      <c r="I10" s="75"/>
      <c r="J10" s="75" t="str">
        <f>TEXT(0.2,"#,##0.0#######")</f>
        <v>0.2</v>
      </c>
      <c r="K10" s="75"/>
      <c r="L10" s="75"/>
      <c r="M10" s="75"/>
      <c r="N10" s="75" t="s">
        <v>14</v>
      </c>
      <c r="O10" s="75"/>
      <c r="P10" s="75" t="s">
        <v>182</v>
      </c>
      <c r="Q10" s="75"/>
      <c r="R10" s="75" t="s">
        <v>536</v>
      </c>
      <c r="S10" s="75"/>
      <c r="T10" s="75" t="str">
        <f>TEXT(1.1,"#,##0.0#######")</f>
        <v>1.1</v>
      </c>
      <c r="U10" s="75"/>
      <c r="V10" s="75"/>
      <c r="W10" s="75"/>
      <c r="X10" s="75" t="s">
        <v>14</v>
      </c>
      <c r="Y10" s="75"/>
      <c r="Z10" s="75" t="s">
        <v>347</v>
      </c>
      <c r="AA10" s="75"/>
      <c r="AB10" s="75" t="s">
        <v>536</v>
      </c>
      <c r="AC10" s="75"/>
      <c r="AD10" s="75" t="str">
        <f>TEXT(1,"#,##0")</f>
        <v>1</v>
      </c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6"/>
      <c r="CX10" s="72"/>
      <c r="CY10" s="68"/>
      <c r="CZ10" s="68"/>
      <c r="DA10" s="69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74" t="s">
        <v>8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6"/>
      <c r="CX11" s="72"/>
      <c r="CY11" s="68"/>
      <c r="CZ11" s="68"/>
      <c r="DA11" s="69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74"/>
      <c r="B12" s="75"/>
      <c r="C12" s="75"/>
      <c r="D12" s="75"/>
      <c r="E12" s="75"/>
      <c r="F12" s="75" t="s">
        <v>535</v>
      </c>
      <c r="G12" s="75"/>
      <c r="H12" s="75" t="s">
        <v>536</v>
      </c>
      <c r="I12" s="75"/>
      <c r="J12" s="75" t="str">
        <f>TEXT(0.65,"#,##0.00#######")</f>
        <v>0.65</v>
      </c>
      <c r="K12" s="75"/>
      <c r="L12" s="75"/>
      <c r="M12" s="75"/>
      <c r="N12" s="75"/>
      <c r="O12" s="75" t="s">
        <v>14</v>
      </c>
      <c r="P12" s="75"/>
      <c r="Q12" s="75" t="s">
        <v>137</v>
      </c>
      <c r="R12" s="75"/>
      <c r="S12" s="75"/>
      <c r="T12" s="75" t="s">
        <v>536</v>
      </c>
      <c r="U12" s="75"/>
      <c r="V12" s="75" t="str">
        <f>TEXT(15,"#,##0")</f>
        <v>15</v>
      </c>
      <c r="W12" s="75"/>
      <c r="X12" s="75"/>
      <c r="Y12" s="75" t="s">
        <v>223</v>
      </c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6"/>
      <c r="CX12" s="72"/>
      <c r="CY12" s="68"/>
      <c r="CZ12" s="68"/>
      <c r="DA12" s="69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74" t="s">
        <v>8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6"/>
      <c r="CX13" s="72"/>
      <c r="CY13" s="68"/>
      <c r="CZ13" s="68"/>
      <c r="DA13" s="69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74"/>
      <c r="B14" s="75"/>
      <c r="C14" s="75"/>
      <c r="D14" s="75"/>
      <c r="E14" s="75"/>
      <c r="F14" s="75" t="s">
        <v>534</v>
      </c>
      <c r="G14" s="75"/>
      <c r="H14" s="75" t="s">
        <v>536</v>
      </c>
      <c r="I14" s="75"/>
      <c r="J14" s="75" t="str">
        <f>TEXT(3600,"#,##0")</f>
        <v>3,600</v>
      </c>
      <c r="K14" s="75"/>
      <c r="L14" s="75"/>
      <c r="M14" s="75"/>
      <c r="N14" s="75"/>
      <c r="O14" s="75" t="s">
        <v>357</v>
      </c>
      <c r="P14" s="75"/>
      <c r="Q14" s="75" t="s">
        <v>530</v>
      </c>
      <c r="R14" s="75"/>
      <c r="S14" s="75" t="s">
        <v>357</v>
      </c>
      <c r="T14" s="75"/>
      <c r="U14" s="75" t="s">
        <v>182</v>
      </c>
      <c r="V14" s="75"/>
      <c r="W14" s="75" t="s">
        <v>357</v>
      </c>
      <c r="X14" s="75"/>
      <c r="Y14" s="75" t="s">
        <v>347</v>
      </c>
      <c r="Z14" s="75"/>
      <c r="AA14" s="75" t="s">
        <v>357</v>
      </c>
      <c r="AB14" s="75"/>
      <c r="AC14" s="75" t="s">
        <v>535</v>
      </c>
      <c r="AD14" s="75"/>
      <c r="AE14" s="75" t="s">
        <v>181</v>
      </c>
      <c r="AF14" s="75"/>
      <c r="AG14" s="75" t="s">
        <v>137</v>
      </c>
      <c r="AH14" s="75"/>
      <c r="AI14" s="75"/>
      <c r="AJ14" s="75" t="s">
        <v>536</v>
      </c>
      <c r="AK14" s="75"/>
      <c r="AL14" s="75" t="str">
        <f>TEXT(ROUND(J14*J10*T10*AD10*J12/V12,2),"#,##0.00#######")</f>
        <v>34.32</v>
      </c>
      <c r="AM14" s="75"/>
      <c r="AN14" s="75"/>
      <c r="AO14" s="75"/>
      <c r="AP14" s="75"/>
      <c r="AQ14" s="75"/>
      <c r="AR14" s="75"/>
      <c r="AS14" s="75" t="s">
        <v>268</v>
      </c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6"/>
      <c r="CX14" s="72"/>
      <c r="CY14" s="68"/>
      <c r="CZ14" s="68"/>
      <c r="DA14" s="69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74" t="s">
        <v>8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6"/>
      <c r="CX15" s="72"/>
      <c r="CY15" s="68"/>
      <c r="CZ15" s="68"/>
      <c r="DA15" s="69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74"/>
      <c r="B16" s="75"/>
      <c r="C16" s="75"/>
      <c r="D16" s="75"/>
      <c r="E16" s="75"/>
      <c r="F16" s="75"/>
      <c r="G16" s="75" t="s">
        <v>565</v>
      </c>
      <c r="H16" s="75"/>
      <c r="I16" s="75"/>
      <c r="J16" s="75"/>
      <c r="K16" s="75"/>
      <c r="L16" s="75" t="str">
        <f>TEXT(TRUNC(건설기계!H35,0),"#,##0")</f>
        <v>10,024</v>
      </c>
      <c r="M16" s="75"/>
      <c r="N16" s="75"/>
      <c r="O16" s="75"/>
      <c r="P16" s="75"/>
      <c r="Q16" s="75"/>
      <c r="R16" s="75"/>
      <c r="S16" s="75" t="s">
        <v>181</v>
      </c>
      <c r="T16" s="75"/>
      <c r="U16" s="75"/>
      <c r="V16" s="75" t="s">
        <v>534</v>
      </c>
      <c r="W16" s="75"/>
      <c r="X16" s="75" t="s">
        <v>536</v>
      </c>
      <c r="Y16" s="75"/>
      <c r="Z16" s="75" t="str">
        <f>TEXT(ROUNDDOWN(L16/AL14,1),"#,##0.0#######")</f>
        <v>292.0</v>
      </c>
      <c r="AA16" s="75"/>
      <c r="AB16" s="75"/>
      <c r="AC16" s="75"/>
      <c r="AD16" s="75"/>
      <c r="AE16" s="75"/>
      <c r="AF16" s="75"/>
      <c r="AG16" s="75" t="s">
        <v>679</v>
      </c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6"/>
      <c r="CX16" s="72">
        <f>CY16+CZ16+DA16</f>
        <v>292</v>
      </c>
      <c r="CY16" s="68" t="str">
        <f>TEXT(Z16,"#,###.0")</f>
        <v>292.0</v>
      </c>
      <c r="CZ16" s="68"/>
      <c r="DA16" s="69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631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74" t="s">
        <v>8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6"/>
      <c r="CX17" s="72"/>
      <c r="CY17" s="68"/>
      <c r="CZ17" s="68"/>
      <c r="DA17" s="69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74"/>
      <c r="B18" s="75"/>
      <c r="C18" s="75"/>
      <c r="D18" s="75"/>
      <c r="E18" s="75"/>
      <c r="F18" s="75"/>
      <c r="G18" s="75" t="s">
        <v>329</v>
      </c>
      <c r="H18" s="75"/>
      <c r="I18" s="75"/>
      <c r="J18" s="75"/>
      <c r="K18" s="75"/>
      <c r="L18" s="75" t="str">
        <f>TEXT(TRUNC(건설기계!J35,0),"#,##0")</f>
        <v>59,020</v>
      </c>
      <c r="M18" s="75"/>
      <c r="N18" s="75"/>
      <c r="O18" s="75"/>
      <c r="P18" s="75"/>
      <c r="Q18" s="75"/>
      <c r="R18" s="75"/>
      <c r="S18" s="75" t="s">
        <v>181</v>
      </c>
      <c r="T18" s="75"/>
      <c r="U18" s="75"/>
      <c r="V18" s="75" t="s">
        <v>534</v>
      </c>
      <c r="W18" s="75"/>
      <c r="X18" s="75" t="s">
        <v>536</v>
      </c>
      <c r="Y18" s="75"/>
      <c r="Z18" s="75" t="str">
        <f>TEXT(ROUNDDOWN(L18/AL14,1),"#,##0.0#######")</f>
        <v>1,719.6</v>
      </c>
      <c r="AA18" s="75"/>
      <c r="AB18" s="75"/>
      <c r="AC18" s="75"/>
      <c r="AD18" s="75"/>
      <c r="AE18" s="75"/>
      <c r="AF18" s="75"/>
      <c r="AG18" s="75"/>
      <c r="AH18" s="75"/>
      <c r="AI18" s="75" t="s">
        <v>679</v>
      </c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5"/>
      <c r="CC18" s="75"/>
      <c r="CD18" s="75"/>
      <c r="CE18" s="75"/>
      <c r="CF18" s="75"/>
      <c r="CG18" s="75"/>
      <c r="CH18" s="75"/>
      <c r="CI18" s="75"/>
      <c r="CJ18" s="75"/>
      <c r="CK18" s="75"/>
      <c r="CL18" s="75"/>
      <c r="CM18" s="75"/>
      <c r="CN18" s="75"/>
      <c r="CO18" s="75"/>
      <c r="CP18" s="75"/>
      <c r="CQ18" s="75"/>
      <c r="CR18" s="75"/>
      <c r="CS18" s="75"/>
      <c r="CT18" s="75"/>
      <c r="CU18" s="75"/>
      <c r="CV18" s="75"/>
      <c r="CW18" s="76"/>
      <c r="CX18" s="72">
        <f>CY18+CZ18+DA18</f>
        <v>1719.6</v>
      </c>
      <c r="CY18" s="68"/>
      <c r="CZ18" s="68" t="str">
        <f>TEXT(Z18,"#,###.0")</f>
        <v>1,719.6</v>
      </c>
      <c r="DA18" s="69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631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74" t="s">
        <v>8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75"/>
      <c r="CF19" s="75"/>
      <c r="CG19" s="75"/>
      <c r="CH19" s="75"/>
      <c r="CI19" s="75"/>
      <c r="CJ19" s="75"/>
      <c r="CK19" s="75"/>
      <c r="CL19" s="75"/>
      <c r="CM19" s="75"/>
      <c r="CN19" s="75"/>
      <c r="CO19" s="75"/>
      <c r="CP19" s="75"/>
      <c r="CQ19" s="75"/>
      <c r="CR19" s="75"/>
      <c r="CS19" s="75"/>
      <c r="CT19" s="75"/>
      <c r="CU19" s="75"/>
      <c r="CV19" s="75"/>
      <c r="CW19" s="76"/>
      <c r="CX19" s="72"/>
      <c r="CY19" s="68"/>
      <c r="CZ19" s="68"/>
      <c r="DA19" s="69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74"/>
      <c r="B20" s="75"/>
      <c r="C20" s="75"/>
      <c r="D20" s="75"/>
      <c r="E20" s="75"/>
      <c r="F20" s="75"/>
      <c r="G20" s="75" t="s">
        <v>655</v>
      </c>
      <c r="H20" s="75"/>
      <c r="I20" s="75"/>
      <c r="J20" s="75"/>
      <c r="K20" s="75"/>
      <c r="L20" s="75" t="str">
        <f>TEXT(TRUNC(건설기계!L35,0),"#,##0")</f>
        <v>13,873</v>
      </c>
      <c r="M20" s="75"/>
      <c r="N20" s="75"/>
      <c r="O20" s="75"/>
      <c r="P20" s="75"/>
      <c r="Q20" s="75"/>
      <c r="R20" s="75"/>
      <c r="S20" s="75" t="s">
        <v>181</v>
      </c>
      <c r="T20" s="75"/>
      <c r="U20" s="75"/>
      <c r="V20" s="75" t="s">
        <v>534</v>
      </c>
      <c r="W20" s="75"/>
      <c r="X20" s="75" t="s">
        <v>536</v>
      </c>
      <c r="Y20" s="75"/>
      <c r="Z20" s="75" t="str">
        <f>TEXT(ROUNDDOWN(L20/AL14,1),"#,##0.0#######")</f>
        <v>404.2</v>
      </c>
      <c r="AA20" s="75"/>
      <c r="AB20" s="75"/>
      <c r="AC20" s="75"/>
      <c r="AD20" s="75"/>
      <c r="AE20" s="75"/>
      <c r="AF20" s="75"/>
      <c r="AG20" s="75" t="s">
        <v>679</v>
      </c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5"/>
      <c r="CC20" s="75"/>
      <c r="CD20" s="75"/>
      <c r="CE20" s="75"/>
      <c r="CF20" s="75"/>
      <c r="CG20" s="75"/>
      <c r="CH20" s="75"/>
      <c r="CI20" s="75"/>
      <c r="CJ20" s="75"/>
      <c r="CK20" s="75"/>
      <c r="CL20" s="75"/>
      <c r="CM20" s="75"/>
      <c r="CN20" s="75"/>
      <c r="CO20" s="75"/>
      <c r="CP20" s="75"/>
      <c r="CQ20" s="75"/>
      <c r="CR20" s="75"/>
      <c r="CS20" s="75"/>
      <c r="CT20" s="75"/>
      <c r="CU20" s="75"/>
      <c r="CV20" s="75"/>
      <c r="CW20" s="76"/>
      <c r="CX20" s="72">
        <f>CY20+CZ20+DA20</f>
        <v>404.2</v>
      </c>
      <c r="CY20" s="68"/>
      <c r="CZ20" s="68"/>
      <c r="DA20" s="69" t="str">
        <f>TEXT(Z20,"#,###.0")</f>
        <v>404.2</v>
      </c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631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74" t="s">
        <v>8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6"/>
      <c r="CX21" s="72"/>
      <c r="CY21" s="68"/>
      <c r="CZ21" s="68"/>
      <c r="DA21" s="69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74" t="s">
        <v>562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5"/>
      <c r="CC22" s="75"/>
      <c r="CD22" s="75"/>
      <c r="CE22" s="75"/>
      <c r="CF22" s="75"/>
      <c r="CG22" s="75"/>
      <c r="CH22" s="75"/>
      <c r="CI22" s="75"/>
      <c r="CJ22" s="75"/>
      <c r="CK22" s="75"/>
      <c r="CL22" s="75"/>
      <c r="CM22" s="75"/>
      <c r="CN22" s="75"/>
      <c r="CO22" s="75"/>
      <c r="CP22" s="75"/>
      <c r="CQ22" s="75"/>
      <c r="CR22" s="75"/>
      <c r="CS22" s="75"/>
      <c r="CT22" s="75"/>
      <c r="CU22" s="75"/>
      <c r="CV22" s="75"/>
      <c r="CW22" s="76"/>
      <c r="CX22" s="72"/>
      <c r="CY22" s="68"/>
      <c r="CZ22" s="68"/>
      <c r="DA22" s="69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74" t="s">
        <v>8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5"/>
      <c r="CC23" s="75"/>
      <c r="CD23" s="75"/>
      <c r="CE23" s="75"/>
      <c r="CF23" s="75"/>
      <c r="CG23" s="75"/>
      <c r="CH23" s="75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  <c r="CV23" s="75"/>
      <c r="CW23" s="76"/>
      <c r="CX23" s="72"/>
      <c r="CY23" s="68"/>
      <c r="CZ23" s="68"/>
      <c r="DA23" s="69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2"/>
      <c r="B24" s="93" t="s">
        <v>215</v>
      </c>
      <c r="C24" s="93"/>
      <c r="D24" s="93"/>
      <c r="E24" s="93"/>
      <c r="F24" s="93" t="s">
        <v>328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  <c r="CN24" s="93"/>
      <c r="CO24" s="93"/>
      <c r="CP24" s="93"/>
      <c r="CQ24" s="93"/>
      <c r="CR24" s="93"/>
      <c r="CS24" s="93"/>
      <c r="CT24" s="93"/>
      <c r="CU24" s="93"/>
      <c r="CV24" s="93"/>
      <c r="CW24" s="94"/>
      <c r="CX24" s="95">
        <f>CY24+CZ24+DA24</f>
        <v>2415.7999999999997</v>
      </c>
      <c r="CY24" s="96" t="str">
        <f>TEXT(TRUNC(CY16+CY18+CY20,1),"#,###.0")</f>
        <v>292.0</v>
      </c>
      <c r="CZ24" s="96" t="str">
        <f>TEXT(TRUNC(CZ16+CZ18+CZ20,1),"#,###.0")</f>
        <v>1,719.6</v>
      </c>
      <c r="DA24" s="97" t="str">
        <f>TEXT(TRUNC(DA16+DA18+DA20,1),"#,###.0")</f>
        <v>404.2</v>
      </c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8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74" t="s">
        <v>8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  <c r="CV25" s="75"/>
      <c r="CW25" s="76"/>
      <c r="CX25" s="72"/>
      <c r="CY25" s="68"/>
      <c r="CZ25" s="68"/>
      <c r="DA25" s="69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74" t="s">
        <v>481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/>
      <c r="CH26" s="75"/>
      <c r="CI26" s="75"/>
      <c r="CJ26" s="75"/>
      <c r="CK26" s="75"/>
      <c r="CL26" s="75"/>
      <c r="CM26" s="75"/>
      <c r="CN26" s="75"/>
      <c r="CO26" s="75"/>
      <c r="CP26" s="75"/>
      <c r="CQ26" s="75"/>
      <c r="CR26" s="75"/>
      <c r="CS26" s="75"/>
      <c r="CT26" s="75"/>
      <c r="CU26" s="75"/>
      <c r="CV26" s="75"/>
      <c r="CW26" s="76"/>
      <c r="CX26" s="72"/>
      <c r="CY26" s="68"/>
      <c r="CZ26" s="68"/>
      <c r="DA26" s="69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74" t="s">
        <v>8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6"/>
      <c r="CX27" s="72"/>
      <c r="CY27" s="68"/>
      <c r="CZ27" s="68"/>
      <c r="DA27" s="69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74" t="s">
        <v>594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76"/>
      <c r="CX28" s="72"/>
      <c r="CY28" s="68"/>
      <c r="CZ28" s="68"/>
      <c r="DA28" s="69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74" t="s">
        <v>8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6"/>
      <c r="CX29" s="72"/>
      <c r="CY29" s="68"/>
      <c r="CZ29" s="68"/>
      <c r="DA29" s="69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74"/>
      <c r="B30" s="75"/>
      <c r="C30" s="75"/>
      <c r="D30" s="75"/>
      <c r="E30" s="75"/>
      <c r="F30" s="75"/>
      <c r="G30" s="75" t="s">
        <v>346</v>
      </c>
      <c r="H30" s="75"/>
      <c r="I30" s="75" t="s">
        <v>536</v>
      </c>
      <c r="J30" s="75"/>
      <c r="K30" s="75" t="str">
        <f>TEXT(1,"#,##0.0#######")</f>
        <v>1.0</v>
      </c>
      <c r="L30" s="75"/>
      <c r="M30" s="75"/>
      <c r="N30" s="75"/>
      <c r="O30" s="75" t="s">
        <v>14</v>
      </c>
      <c r="P30" s="75"/>
      <c r="Q30" s="75" t="s">
        <v>180</v>
      </c>
      <c r="R30" s="75"/>
      <c r="S30" s="75" t="s">
        <v>536</v>
      </c>
      <c r="T30" s="75"/>
      <c r="U30" s="75" t="str">
        <f>TEXT(0.65,"#,##0.00#######")</f>
        <v>0.65</v>
      </c>
      <c r="V30" s="75"/>
      <c r="W30" s="75"/>
      <c r="X30" s="75"/>
      <c r="Y30" s="75"/>
      <c r="Z30" s="75" t="s">
        <v>14</v>
      </c>
      <c r="AA30" s="75"/>
      <c r="AB30" s="75" t="s">
        <v>535</v>
      </c>
      <c r="AC30" s="75"/>
      <c r="AD30" s="75" t="s">
        <v>536</v>
      </c>
      <c r="AE30" s="75"/>
      <c r="AF30" s="75" t="str">
        <f>TEXT(0.6,"#,##0.0#######")</f>
        <v>0.6</v>
      </c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5"/>
      <c r="CC30" s="75"/>
      <c r="CD30" s="75"/>
      <c r="CE30" s="75"/>
      <c r="CF30" s="75"/>
      <c r="CG30" s="75"/>
      <c r="CH30" s="75"/>
      <c r="CI30" s="75"/>
      <c r="CJ30" s="75"/>
      <c r="CK30" s="75"/>
      <c r="CL30" s="75"/>
      <c r="CM30" s="75"/>
      <c r="CN30" s="75"/>
      <c r="CO30" s="75"/>
      <c r="CP30" s="75"/>
      <c r="CQ30" s="75"/>
      <c r="CR30" s="75"/>
      <c r="CS30" s="75"/>
      <c r="CT30" s="75"/>
      <c r="CU30" s="75"/>
      <c r="CV30" s="75"/>
      <c r="CW30" s="76"/>
      <c r="CX30" s="72"/>
      <c r="CY30" s="68"/>
      <c r="CZ30" s="68"/>
      <c r="DA30" s="69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74" t="s">
        <v>8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5"/>
      <c r="CC31" s="75"/>
      <c r="CD31" s="75"/>
      <c r="CE31" s="75"/>
      <c r="CF31" s="75"/>
      <c r="CG31" s="75"/>
      <c r="CH31" s="75"/>
      <c r="CI31" s="75"/>
      <c r="CJ31" s="75"/>
      <c r="CK31" s="75"/>
      <c r="CL31" s="75"/>
      <c r="CM31" s="75"/>
      <c r="CN31" s="75"/>
      <c r="CO31" s="75"/>
      <c r="CP31" s="75"/>
      <c r="CQ31" s="75"/>
      <c r="CR31" s="75"/>
      <c r="CS31" s="75"/>
      <c r="CT31" s="75"/>
      <c r="CU31" s="75"/>
      <c r="CV31" s="75"/>
      <c r="CW31" s="76"/>
      <c r="CX31" s="72"/>
      <c r="CY31" s="68"/>
      <c r="CZ31" s="68"/>
      <c r="DA31" s="69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74"/>
      <c r="B32" s="75"/>
      <c r="C32" s="75"/>
      <c r="D32" s="75"/>
      <c r="E32" s="75"/>
      <c r="F32" s="75"/>
      <c r="G32" s="75" t="s">
        <v>345</v>
      </c>
      <c r="H32" s="75"/>
      <c r="I32" s="75" t="s">
        <v>536</v>
      </c>
      <c r="J32" s="75"/>
      <c r="K32" s="75" t="str">
        <f>TEXT(6,"#,##0")</f>
        <v>6</v>
      </c>
      <c r="L32" s="75"/>
      <c r="M32" s="75" t="s">
        <v>14</v>
      </c>
      <c r="N32" s="75"/>
      <c r="O32" s="75" t="s">
        <v>6</v>
      </c>
      <c r="P32" s="75"/>
      <c r="Q32" s="75" t="s">
        <v>536</v>
      </c>
      <c r="R32" s="75"/>
      <c r="S32" s="75" t="str">
        <f>TEXT(0.3,"#,##0.00#######")</f>
        <v>0.30</v>
      </c>
      <c r="T32" s="75"/>
      <c r="U32" s="75"/>
      <c r="V32" s="75"/>
      <c r="W32" s="75"/>
      <c r="X32" s="75" t="s">
        <v>14</v>
      </c>
      <c r="Y32" s="75"/>
      <c r="Z32" s="75" t="s">
        <v>356</v>
      </c>
      <c r="AA32" s="75"/>
      <c r="AB32" s="75" t="s">
        <v>536</v>
      </c>
      <c r="AC32" s="75"/>
      <c r="AD32" s="75" t="str">
        <f>TEXT(1,"#,##0")</f>
        <v>1</v>
      </c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75"/>
      <c r="CC32" s="75"/>
      <c r="CD32" s="75"/>
      <c r="CE32" s="75"/>
      <c r="CF32" s="75"/>
      <c r="CG32" s="75"/>
      <c r="CH32" s="75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  <c r="CT32" s="75"/>
      <c r="CU32" s="75"/>
      <c r="CV32" s="75"/>
      <c r="CW32" s="76"/>
      <c r="CX32" s="72"/>
      <c r="CY32" s="68"/>
      <c r="CZ32" s="68"/>
      <c r="DA32" s="69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74" t="s">
        <v>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6"/>
      <c r="CX33" s="72"/>
      <c r="CY33" s="68"/>
      <c r="CZ33" s="68"/>
      <c r="DA33" s="69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74"/>
      <c r="B34" s="75"/>
      <c r="C34" s="75"/>
      <c r="D34" s="75"/>
      <c r="E34" s="75"/>
      <c r="F34" s="75"/>
      <c r="G34" s="75" t="s">
        <v>534</v>
      </c>
      <c r="H34" s="75"/>
      <c r="I34" s="75" t="s">
        <v>536</v>
      </c>
      <c r="J34" s="75"/>
      <c r="K34" s="75" t="str">
        <f>TEXT(1000,"#,##0")</f>
        <v>1,000</v>
      </c>
      <c r="L34" s="75"/>
      <c r="M34" s="75"/>
      <c r="N34" s="75"/>
      <c r="O34" s="75"/>
      <c r="P34" s="75" t="s">
        <v>357</v>
      </c>
      <c r="Q34" s="75"/>
      <c r="R34" s="75" t="s">
        <v>346</v>
      </c>
      <c r="S34" s="75"/>
      <c r="T34" s="75" t="s">
        <v>357</v>
      </c>
      <c r="U34" s="75"/>
      <c r="V34" s="75" t="s">
        <v>180</v>
      </c>
      <c r="W34" s="75"/>
      <c r="X34" s="75" t="s">
        <v>357</v>
      </c>
      <c r="Y34" s="75"/>
      <c r="Z34" s="75" t="s">
        <v>535</v>
      </c>
      <c r="AA34" s="75"/>
      <c r="AB34" s="75" t="s">
        <v>357</v>
      </c>
      <c r="AC34" s="75"/>
      <c r="AD34" s="75" t="s">
        <v>6</v>
      </c>
      <c r="AE34" s="75"/>
      <c r="AF34" s="75" t="s">
        <v>357</v>
      </c>
      <c r="AG34" s="75"/>
      <c r="AH34" s="75" t="s">
        <v>347</v>
      </c>
      <c r="AI34" s="75"/>
      <c r="AJ34" s="75" t="s">
        <v>357</v>
      </c>
      <c r="AK34" s="75"/>
      <c r="AL34" s="75" t="str">
        <f>TEXT(1,"#,##0")</f>
        <v>1</v>
      </c>
      <c r="AM34" s="75"/>
      <c r="AN34" s="75" t="s">
        <v>181</v>
      </c>
      <c r="AO34" s="75"/>
      <c r="AP34" s="75" t="s">
        <v>345</v>
      </c>
      <c r="AQ34" s="75"/>
      <c r="AR34" s="75" t="s">
        <v>536</v>
      </c>
      <c r="AS34" s="75"/>
      <c r="AT34" s="75" t="str">
        <f>TEXT(ROUND(K34*K30*U30*AF30*S32*AD10*AL34/K32,1),"#,##0.0#######")</f>
        <v>19.5</v>
      </c>
      <c r="AU34" s="75"/>
      <c r="AV34" s="75"/>
      <c r="AW34" s="75"/>
      <c r="AX34" s="75"/>
      <c r="AY34" s="75"/>
      <c r="AZ34" s="75" t="s">
        <v>268</v>
      </c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5"/>
      <c r="BN34" s="75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5"/>
      <c r="CK34" s="75"/>
      <c r="CL34" s="75"/>
      <c r="CM34" s="75"/>
      <c r="CN34" s="75"/>
      <c r="CO34" s="75"/>
      <c r="CP34" s="75"/>
      <c r="CQ34" s="75"/>
      <c r="CR34" s="75"/>
      <c r="CS34" s="75"/>
      <c r="CT34" s="75"/>
      <c r="CU34" s="75"/>
      <c r="CV34" s="75"/>
      <c r="CW34" s="76"/>
      <c r="CX34" s="72"/>
      <c r="CY34" s="68"/>
      <c r="CZ34" s="68"/>
      <c r="DA34" s="69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8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74" t="s">
        <v>8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5"/>
      <c r="BN35" s="75"/>
      <c r="BO35" s="75"/>
      <c r="BP35" s="75"/>
      <c r="BQ35" s="75"/>
      <c r="BR35" s="75"/>
      <c r="BS35" s="75"/>
      <c r="BT35" s="75"/>
      <c r="BU35" s="75"/>
      <c r="BV35" s="75"/>
      <c r="BW35" s="75"/>
      <c r="BX35" s="75"/>
      <c r="BY35" s="75"/>
      <c r="BZ35" s="75"/>
      <c r="CA35" s="75"/>
      <c r="CB35" s="75"/>
      <c r="CC35" s="75"/>
      <c r="CD35" s="75"/>
      <c r="CE35" s="75"/>
      <c r="CF35" s="75"/>
      <c r="CG35" s="75"/>
      <c r="CH35" s="75"/>
      <c r="CI35" s="75"/>
      <c r="CJ35" s="75"/>
      <c r="CK35" s="75"/>
      <c r="CL35" s="75"/>
      <c r="CM35" s="75"/>
      <c r="CN35" s="75"/>
      <c r="CO35" s="75"/>
      <c r="CP35" s="75"/>
      <c r="CQ35" s="75"/>
      <c r="CR35" s="75"/>
      <c r="CS35" s="75"/>
      <c r="CT35" s="75"/>
      <c r="CU35" s="75"/>
      <c r="CV35" s="75"/>
      <c r="CW35" s="76"/>
      <c r="CX35" s="72"/>
      <c r="CY35" s="68"/>
      <c r="CZ35" s="68"/>
      <c r="DA35" s="69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74"/>
      <c r="B36" s="75"/>
      <c r="C36" s="75"/>
      <c r="D36" s="75"/>
      <c r="E36" s="75"/>
      <c r="F36" s="75"/>
      <c r="G36" s="75" t="s">
        <v>329</v>
      </c>
      <c r="H36" s="75"/>
      <c r="I36" s="75"/>
      <c r="J36" s="75"/>
      <c r="K36" s="75"/>
      <c r="L36" s="75" t="str">
        <f>TEXT(TRUNC(건설기계!J50,0),"#,##0")</f>
        <v>0</v>
      </c>
      <c r="M36" s="75"/>
      <c r="N36" s="75" t="s">
        <v>181</v>
      </c>
      <c r="O36" s="75"/>
      <c r="P36" s="75" t="s">
        <v>534</v>
      </c>
      <c r="Q36" s="75"/>
      <c r="R36" s="75" t="s">
        <v>536</v>
      </c>
      <c r="S36" s="75"/>
      <c r="T36" s="75" t="str">
        <f>TEXT(ROUNDDOWN(L36/AT34,0),"#,##0")</f>
        <v>0</v>
      </c>
      <c r="U36" s="75"/>
      <c r="V36" s="75"/>
      <c r="W36" s="75" t="s">
        <v>150</v>
      </c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75"/>
      <c r="BJ36" s="75"/>
      <c r="BK36" s="75"/>
      <c r="BL36" s="75"/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  <c r="CD36" s="75"/>
      <c r="CE36" s="75"/>
      <c r="CF36" s="75"/>
      <c r="CG36" s="75"/>
      <c r="CH36" s="75"/>
      <c r="CI36" s="75"/>
      <c r="CJ36" s="75"/>
      <c r="CK36" s="75"/>
      <c r="CL36" s="75"/>
      <c r="CM36" s="75"/>
      <c r="CN36" s="75"/>
      <c r="CO36" s="75"/>
      <c r="CP36" s="75"/>
      <c r="CQ36" s="75"/>
      <c r="CR36" s="75"/>
      <c r="CS36" s="75"/>
      <c r="CT36" s="75"/>
      <c r="CU36" s="75"/>
      <c r="CV36" s="75"/>
      <c r="CW36" s="76"/>
      <c r="CX36" s="72"/>
      <c r="CY36" s="68"/>
      <c r="CZ36" s="68" t="str">
        <f>TEXT(T36,"#,###.0")</f>
        <v>.0</v>
      </c>
      <c r="DA36" s="69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487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74" t="s">
        <v>8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/>
      <c r="CH37" s="75"/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  <c r="CT37" s="75"/>
      <c r="CU37" s="75"/>
      <c r="CV37" s="75"/>
      <c r="CW37" s="76"/>
      <c r="CX37" s="72"/>
      <c r="CY37" s="68"/>
      <c r="CZ37" s="68"/>
      <c r="DA37" s="69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74"/>
      <c r="B38" s="75"/>
      <c r="C38" s="75"/>
      <c r="D38" s="75"/>
      <c r="E38" s="75"/>
      <c r="F38" s="75"/>
      <c r="G38" s="75" t="s">
        <v>565</v>
      </c>
      <c r="H38" s="75"/>
      <c r="I38" s="75"/>
      <c r="J38" s="75"/>
      <c r="K38" s="75"/>
      <c r="L38" s="75" t="str">
        <f>TEXT(TRUNC(건설기계!H50,0),"#,##0")</f>
        <v>4,119</v>
      </c>
      <c r="M38" s="75"/>
      <c r="N38" s="75"/>
      <c r="O38" s="75"/>
      <c r="P38" s="75"/>
      <c r="Q38" s="75"/>
      <c r="R38" s="75" t="s">
        <v>181</v>
      </c>
      <c r="S38" s="75"/>
      <c r="T38" s="75" t="s">
        <v>534</v>
      </c>
      <c r="U38" s="75"/>
      <c r="V38" s="75" t="s">
        <v>536</v>
      </c>
      <c r="W38" s="75"/>
      <c r="X38" s="75" t="str">
        <f>TEXT(ROUNDDOWN(L38/AT34,1),"#,##0.0#######")</f>
        <v>211.2</v>
      </c>
      <c r="Y38" s="75"/>
      <c r="Z38" s="75"/>
      <c r="AA38" s="75"/>
      <c r="AB38" s="75"/>
      <c r="AC38" s="75"/>
      <c r="AD38" s="75"/>
      <c r="AE38" s="75" t="s">
        <v>150</v>
      </c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5"/>
      <c r="BM38" s="75"/>
      <c r="BN38" s="75"/>
      <c r="BO38" s="75"/>
      <c r="BP38" s="75"/>
      <c r="BQ38" s="75"/>
      <c r="BR38" s="75"/>
      <c r="BS38" s="75"/>
      <c r="BT38" s="75"/>
      <c r="BU38" s="75"/>
      <c r="BV38" s="75"/>
      <c r="BW38" s="75"/>
      <c r="BX38" s="75"/>
      <c r="BY38" s="75"/>
      <c r="BZ38" s="75"/>
      <c r="CA38" s="75"/>
      <c r="CB38" s="75"/>
      <c r="CC38" s="75"/>
      <c r="CD38" s="75"/>
      <c r="CE38" s="75"/>
      <c r="CF38" s="75"/>
      <c r="CG38" s="75"/>
      <c r="CH38" s="75"/>
      <c r="CI38" s="75"/>
      <c r="CJ38" s="75"/>
      <c r="CK38" s="75"/>
      <c r="CL38" s="75"/>
      <c r="CM38" s="75"/>
      <c r="CN38" s="75"/>
      <c r="CO38" s="75"/>
      <c r="CP38" s="75"/>
      <c r="CQ38" s="75"/>
      <c r="CR38" s="75"/>
      <c r="CS38" s="75"/>
      <c r="CT38" s="75"/>
      <c r="CU38" s="75"/>
      <c r="CV38" s="75"/>
      <c r="CW38" s="76"/>
      <c r="CX38" s="72">
        <f>CY38+CZ38+DA38</f>
        <v>211.2</v>
      </c>
      <c r="CY38" s="68" t="str">
        <f>TEXT(X38,"#,###.0")</f>
        <v>211.2</v>
      </c>
      <c r="CZ38" s="68"/>
      <c r="DA38" s="69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487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74" t="s">
        <v>8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5"/>
      <c r="BO39" s="75"/>
      <c r="BP39" s="75"/>
      <c r="BQ39" s="75"/>
      <c r="BR39" s="75"/>
      <c r="BS39" s="75"/>
      <c r="BT39" s="75"/>
      <c r="BU39" s="75"/>
      <c r="BV39" s="75"/>
      <c r="BW39" s="75"/>
      <c r="BX39" s="75"/>
      <c r="BY39" s="75"/>
      <c r="BZ39" s="75"/>
      <c r="CA39" s="75"/>
      <c r="CB39" s="75"/>
      <c r="CC39" s="75"/>
      <c r="CD39" s="75"/>
      <c r="CE39" s="75"/>
      <c r="CF39" s="75"/>
      <c r="CG39" s="75"/>
      <c r="CH39" s="75"/>
      <c r="CI39" s="75"/>
      <c r="CJ39" s="75"/>
      <c r="CK39" s="75"/>
      <c r="CL39" s="75"/>
      <c r="CM39" s="75"/>
      <c r="CN39" s="75"/>
      <c r="CO39" s="75"/>
      <c r="CP39" s="75"/>
      <c r="CQ39" s="75"/>
      <c r="CR39" s="75"/>
      <c r="CS39" s="75"/>
      <c r="CT39" s="75"/>
      <c r="CU39" s="75"/>
      <c r="CV39" s="75"/>
      <c r="CW39" s="76"/>
      <c r="CX39" s="72"/>
      <c r="CY39" s="68"/>
      <c r="CZ39" s="68"/>
      <c r="DA39" s="69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74"/>
      <c r="B40" s="75"/>
      <c r="C40" s="75"/>
      <c r="D40" s="75"/>
      <c r="E40" s="75"/>
      <c r="F40" s="75"/>
      <c r="G40" s="75" t="s">
        <v>655</v>
      </c>
      <c r="H40" s="75"/>
      <c r="I40" s="75"/>
      <c r="J40" s="75"/>
      <c r="K40" s="75"/>
      <c r="L40" s="75" t="str">
        <f>TEXT(TRUNC(건설기계!L50,0),"#,##0")</f>
        <v>1,967</v>
      </c>
      <c r="M40" s="75"/>
      <c r="N40" s="75"/>
      <c r="O40" s="75"/>
      <c r="P40" s="75"/>
      <c r="Q40" s="75"/>
      <c r="R40" s="75" t="s">
        <v>181</v>
      </c>
      <c r="S40" s="75"/>
      <c r="T40" s="75" t="s">
        <v>534</v>
      </c>
      <c r="U40" s="75"/>
      <c r="V40" s="75" t="s">
        <v>536</v>
      </c>
      <c r="W40" s="75"/>
      <c r="X40" s="75" t="str">
        <f>TEXT(ROUNDDOWN(L40/AT34,1),"#,##0.0#######")</f>
        <v>100.8</v>
      </c>
      <c r="Y40" s="75"/>
      <c r="Z40" s="75"/>
      <c r="AA40" s="75"/>
      <c r="AB40" s="75"/>
      <c r="AC40" s="75"/>
      <c r="AD40" s="75"/>
      <c r="AE40" s="75" t="s">
        <v>150</v>
      </c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5"/>
      <c r="BP40" s="75"/>
      <c r="BQ40" s="75"/>
      <c r="BR40" s="75"/>
      <c r="BS40" s="75"/>
      <c r="BT40" s="75"/>
      <c r="BU40" s="75"/>
      <c r="BV40" s="75"/>
      <c r="BW40" s="75"/>
      <c r="BX40" s="75"/>
      <c r="BY40" s="75"/>
      <c r="BZ40" s="75"/>
      <c r="CA40" s="75"/>
      <c r="CB40" s="75"/>
      <c r="CC40" s="75"/>
      <c r="CD40" s="75"/>
      <c r="CE40" s="75"/>
      <c r="CF40" s="75"/>
      <c r="CG40" s="75"/>
      <c r="CH40" s="75"/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6"/>
      <c r="CX40" s="72">
        <f>CY40+CZ40+DA40</f>
        <v>100.8</v>
      </c>
      <c r="CY40" s="68"/>
      <c r="CZ40" s="68"/>
      <c r="DA40" s="69" t="str">
        <f>TEXT(X40,"#,###.0")</f>
        <v>100.8</v>
      </c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487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74" t="s">
        <v>8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5"/>
      <c r="BO41" s="75"/>
      <c r="BP41" s="75"/>
      <c r="BQ41" s="75"/>
      <c r="BR41" s="75"/>
      <c r="BS41" s="75"/>
      <c r="BT41" s="75"/>
      <c r="BU41" s="75"/>
      <c r="BV41" s="75"/>
      <c r="BW41" s="75"/>
      <c r="BX41" s="75"/>
      <c r="BY41" s="75"/>
      <c r="BZ41" s="75"/>
      <c r="CA41" s="75"/>
      <c r="CB41" s="75"/>
      <c r="CC41" s="75"/>
      <c r="CD41" s="75"/>
      <c r="CE41" s="75"/>
      <c r="CF41" s="75"/>
      <c r="CG41" s="75"/>
      <c r="CH41" s="75"/>
      <c r="CI41" s="75"/>
      <c r="CJ41" s="75"/>
      <c r="CK41" s="75"/>
      <c r="CL41" s="75"/>
      <c r="CM41" s="75"/>
      <c r="CN41" s="75"/>
      <c r="CO41" s="75"/>
      <c r="CP41" s="75"/>
      <c r="CQ41" s="75"/>
      <c r="CR41" s="75"/>
      <c r="CS41" s="75"/>
      <c r="CT41" s="75"/>
      <c r="CU41" s="75"/>
      <c r="CV41" s="75"/>
      <c r="CW41" s="76"/>
      <c r="CX41" s="72"/>
      <c r="CY41" s="68"/>
      <c r="CZ41" s="68"/>
      <c r="DA41" s="69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74" t="s">
        <v>562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C42" s="75"/>
      <c r="CD42" s="75"/>
      <c r="CE42" s="75"/>
      <c r="CF42" s="75"/>
      <c r="CG42" s="75"/>
      <c r="CH42" s="75"/>
      <c r="CI42" s="75"/>
      <c r="CJ42" s="75"/>
      <c r="CK42" s="75"/>
      <c r="CL42" s="75"/>
      <c r="CM42" s="75"/>
      <c r="CN42" s="75"/>
      <c r="CO42" s="75"/>
      <c r="CP42" s="75"/>
      <c r="CQ42" s="75"/>
      <c r="CR42" s="75"/>
      <c r="CS42" s="75"/>
      <c r="CT42" s="75"/>
      <c r="CU42" s="75"/>
      <c r="CV42" s="75"/>
      <c r="CW42" s="76"/>
      <c r="CX42" s="72"/>
      <c r="CY42" s="68"/>
      <c r="CZ42" s="68"/>
      <c r="DA42" s="69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74" t="s">
        <v>8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  <c r="CN43" s="75"/>
      <c r="CO43" s="75"/>
      <c r="CP43" s="75"/>
      <c r="CQ43" s="75"/>
      <c r="CR43" s="75"/>
      <c r="CS43" s="75"/>
      <c r="CT43" s="75"/>
      <c r="CU43" s="75"/>
      <c r="CV43" s="75"/>
      <c r="CW43" s="76"/>
      <c r="CX43" s="72"/>
      <c r="CY43" s="68"/>
      <c r="CZ43" s="68"/>
      <c r="DA43" s="69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2"/>
      <c r="B44" s="93" t="s">
        <v>215</v>
      </c>
      <c r="C44" s="93"/>
      <c r="D44" s="93"/>
      <c r="E44" s="93"/>
      <c r="F44" s="93" t="s">
        <v>328</v>
      </c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  <c r="CN44" s="93"/>
      <c r="CO44" s="93"/>
      <c r="CP44" s="93"/>
      <c r="CQ44" s="93"/>
      <c r="CR44" s="93"/>
      <c r="CS44" s="93"/>
      <c r="CT44" s="93"/>
      <c r="CU44" s="93"/>
      <c r="CV44" s="93"/>
      <c r="CW44" s="94"/>
      <c r="CX44" s="95">
        <f>CY44+CZ44+DA44</f>
        <v>312</v>
      </c>
      <c r="CY44" s="96" t="str">
        <f>TEXT(TRUNC(CY36+CY38+CY40,1),"#,###.0")</f>
        <v>211.2</v>
      </c>
      <c r="CZ44" s="96" t="str">
        <f>TEXT(TRUNC(CZ36+CZ38+CZ40,1),"#,###.0")</f>
        <v>.0</v>
      </c>
      <c r="DA44" s="97" t="str">
        <f>TEXT(TRUNC(DA36+DA38+DA40,1),"#,###.0")</f>
        <v>100.8</v>
      </c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74" t="s">
        <v>8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75"/>
      <c r="CW45" s="76"/>
      <c r="CX45" s="72"/>
      <c r="CY45" s="68"/>
      <c r="CZ45" s="68"/>
      <c r="DA45" s="69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8"/>
      <c r="B46" s="99" t="s">
        <v>424</v>
      </c>
      <c r="C46" s="99"/>
      <c r="D46" s="99"/>
      <c r="E46" s="99"/>
      <c r="F46" s="99" t="s">
        <v>328</v>
      </c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99"/>
      <c r="BE46" s="99"/>
      <c r="BF46" s="99"/>
      <c r="BG46" s="99"/>
      <c r="BH46" s="99"/>
      <c r="BI46" s="99"/>
      <c r="BJ46" s="99"/>
      <c r="BK46" s="99"/>
      <c r="BL46" s="99"/>
      <c r="BM46" s="99"/>
      <c r="BN46" s="99"/>
      <c r="BO46" s="99"/>
      <c r="BP46" s="99"/>
      <c r="BQ46" s="99"/>
      <c r="BR46" s="99"/>
      <c r="BS46" s="99"/>
      <c r="BT46" s="99"/>
      <c r="BU46" s="99"/>
      <c r="BV46" s="99"/>
      <c r="BW46" s="99"/>
      <c r="BX46" s="99"/>
      <c r="BY46" s="99"/>
      <c r="BZ46" s="99"/>
      <c r="CA46" s="99"/>
      <c r="CB46" s="99"/>
      <c r="CC46" s="99"/>
      <c r="CD46" s="99"/>
      <c r="CE46" s="99"/>
      <c r="CF46" s="99"/>
      <c r="CG46" s="99"/>
      <c r="CH46" s="99"/>
      <c r="CI46" s="99"/>
      <c r="CJ46" s="99"/>
      <c r="CK46" s="99"/>
      <c r="CL46" s="99"/>
      <c r="CM46" s="99"/>
      <c r="CN46" s="99"/>
      <c r="CO46" s="99"/>
      <c r="CP46" s="99"/>
      <c r="CQ46" s="99"/>
      <c r="CR46" s="99"/>
      <c r="CS46" s="99"/>
      <c r="CT46" s="99"/>
      <c r="CU46" s="99"/>
      <c r="CV46" s="99"/>
      <c r="CW46" s="100"/>
      <c r="CX46" s="101">
        <f>CY46+CZ46+DA46</f>
        <v>2727.7999999999997</v>
      </c>
      <c r="CY46" s="102" t="str">
        <f>TEXT(TRUNC(CY24+CY44,1),"#,###.0")</f>
        <v>503.2</v>
      </c>
      <c r="CZ46" s="102" t="str">
        <f>TEXT(TRUNC(CZ24+CZ44,1),"#,###.0")</f>
        <v>1,719.6</v>
      </c>
      <c r="DA46" s="103" t="str">
        <f>TEXT(TRUNC(DA24+DA44,1),"#,###.0")</f>
        <v>505.0</v>
      </c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8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5"/>
      <c r="CK47" s="75"/>
      <c r="CL47" s="75"/>
      <c r="CM47" s="75"/>
      <c r="CN47" s="75"/>
      <c r="CO47" s="75"/>
      <c r="CP47" s="75"/>
      <c r="CQ47" s="75"/>
      <c r="CR47" s="75"/>
      <c r="CS47" s="75"/>
      <c r="CT47" s="75"/>
      <c r="CU47" s="75"/>
      <c r="CV47" s="75"/>
      <c r="CW47" s="76"/>
      <c r="CX47" s="72"/>
      <c r="CY47" s="68"/>
      <c r="CZ47" s="68"/>
      <c r="DA47" s="69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86" t="s">
        <v>389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87"/>
      <c r="CC48" s="87"/>
      <c r="CD48" s="87"/>
      <c r="CE48" s="87"/>
      <c r="CF48" s="87"/>
      <c r="CG48" s="87"/>
      <c r="CH48" s="87"/>
      <c r="CI48" s="87"/>
      <c r="CJ48" s="87"/>
      <c r="CK48" s="87"/>
      <c r="CL48" s="87"/>
      <c r="CM48" s="87"/>
      <c r="CN48" s="87"/>
      <c r="CO48" s="87"/>
      <c r="CP48" s="87"/>
      <c r="CQ48" s="87"/>
      <c r="CR48" s="87"/>
      <c r="CS48" s="87"/>
      <c r="CT48" s="87"/>
      <c r="CU48" s="87"/>
      <c r="CV48" s="87"/>
      <c r="CW48" s="88"/>
      <c r="CX48" s="89" t="str">
        <f>TEXT(CY48+CZ48+DA48,"#,##0")</f>
        <v>2,727</v>
      </c>
      <c r="CY48" s="90" t="str">
        <f>TEXT(TRUNC(CY46,0),"#,##0")</f>
        <v>503</v>
      </c>
      <c r="CZ48" s="90" t="str">
        <f>TEXT(TRUNC(CZ46,0),"#,##0")</f>
        <v>1,719</v>
      </c>
      <c r="DA48" s="91" t="str">
        <f>TEXT(TRUNC(DA46,0),"#,##0")</f>
        <v>505</v>
      </c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75"/>
      <c r="CC49" s="75"/>
      <c r="CD49" s="75"/>
      <c r="CE49" s="75"/>
      <c r="CF49" s="75"/>
      <c r="CG49" s="75"/>
      <c r="CH49" s="75"/>
      <c r="CI49" s="75"/>
      <c r="CJ49" s="75"/>
      <c r="CK49" s="75"/>
      <c r="CL49" s="75"/>
      <c r="CM49" s="75"/>
      <c r="CN49" s="75"/>
      <c r="CO49" s="75"/>
      <c r="CP49" s="75"/>
      <c r="CQ49" s="75"/>
      <c r="CR49" s="75"/>
      <c r="CS49" s="75"/>
      <c r="CT49" s="75"/>
      <c r="CU49" s="75"/>
      <c r="CV49" s="75"/>
      <c r="CW49" s="76"/>
      <c r="CX49" s="72"/>
      <c r="CY49" s="68"/>
      <c r="CZ49" s="68"/>
      <c r="DA49" s="69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35" t="s">
        <v>320</v>
      </c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5"/>
      <c r="AT50" s="135"/>
      <c r="AU50" s="135"/>
      <c r="AV50" s="135"/>
      <c r="AW50" s="135"/>
      <c r="AX50" s="135"/>
      <c r="AY50" s="135"/>
      <c r="AZ50" s="135"/>
      <c r="BA50" s="135"/>
      <c r="BB50" s="135"/>
      <c r="BC50" s="135"/>
      <c r="BD50" s="135"/>
      <c r="BE50" s="135"/>
      <c r="BF50" s="135"/>
      <c r="BG50" s="135"/>
      <c r="BH50" s="135"/>
      <c r="BI50" s="135"/>
      <c r="BJ50" s="135"/>
      <c r="BK50" s="135"/>
      <c r="BL50" s="135"/>
      <c r="BM50" s="135"/>
      <c r="BN50" s="135"/>
      <c r="BO50" s="135"/>
      <c r="BP50" s="135"/>
      <c r="BQ50" s="135"/>
      <c r="BR50" s="135"/>
      <c r="BS50" s="135"/>
      <c r="BT50" s="135"/>
      <c r="BU50" s="135"/>
      <c r="BV50" s="135"/>
      <c r="BW50" s="135"/>
      <c r="BX50" s="135"/>
      <c r="BY50" s="135"/>
      <c r="BZ50" s="135"/>
      <c r="CA50" s="135"/>
      <c r="CB50" s="135"/>
      <c r="CC50" s="135"/>
      <c r="CD50" s="135"/>
      <c r="CE50" s="13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83"/>
      <c r="CY50" s="84"/>
      <c r="CZ50" s="84"/>
      <c r="DA50" s="85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110</v>
      </c>
      <c r="DN50" s="1" t="s">
        <v>67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74" t="s">
        <v>85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75"/>
      <c r="BS51" s="75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5"/>
      <c r="CH51" s="75"/>
      <c r="CI51" s="75"/>
      <c r="CJ51" s="75"/>
      <c r="CK51" s="75"/>
      <c r="CL51" s="75"/>
      <c r="CM51" s="75"/>
      <c r="CN51" s="75"/>
      <c r="CO51" s="75"/>
      <c r="CP51" s="75"/>
      <c r="CQ51" s="75"/>
      <c r="CR51" s="75"/>
      <c r="CS51" s="75"/>
      <c r="CT51" s="75"/>
      <c r="CU51" s="75"/>
      <c r="CV51" s="75"/>
      <c r="CW51" s="76"/>
      <c r="CX51" s="72">
        <f>CY51+CZ51+DA51</f>
        <v>0</v>
      </c>
      <c r="CY51" s="68"/>
      <c r="CZ51" s="68"/>
      <c r="DA51" s="69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8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74" t="s">
        <v>8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  <c r="BH52" s="75"/>
      <c r="BI52" s="75"/>
      <c r="BJ52" s="75"/>
      <c r="BK52" s="75"/>
      <c r="BL52" s="75"/>
      <c r="BM52" s="75"/>
      <c r="BN52" s="75"/>
      <c r="BO52" s="75"/>
      <c r="BP52" s="75"/>
      <c r="BQ52" s="75"/>
      <c r="BR52" s="75"/>
      <c r="BS52" s="75"/>
      <c r="BT52" s="75"/>
      <c r="BU52" s="75"/>
      <c r="BV52" s="75"/>
      <c r="BW52" s="75"/>
      <c r="BX52" s="75"/>
      <c r="BY52" s="75"/>
      <c r="BZ52" s="75"/>
      <c r="CA52" s="75"/>
      <c r="CB52" s="75"/>
      <c r="CC52" s="75"/>
      <c r="CD52" s="75"/>
      <c r="CE52" s="75"/>
      <c r="CF52" s="75"/>
      <c r="CG52" s="75"/>
      <c r="CH52" s="75"/>
      <c r="CI52" s="75"/>
      <c r="CJ52" s="75"/>
      <c r="CK52" s="75"/>
      <c r="CL52" s="75"/>
      <c r="CM52" s="75"/>
      <c r="CN52" s="75"/>
      <c r="CO52" s="75"/>
      <c r="CP52" s="75"/>
      <c r="CQ52" s="75"/>
      <c r="CR52" s="75"/>
      <c r="CS52" s="75"/>
      <c r="CT52" s="75"/>
      <c r="CU52" s="75"/>
      <c r="CV52" s="75"/>
      <c r="CW52" s="76"/>
      <c r="CX52" s="72"/>
      <c r="CY52" s="68"/>
      <c r="CZ52" s="68"/>
      <c r="DA52" s="69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74" t="s">
        <v>414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6"/>
      <c r="CX53" s="72"/>
      <c r="CY53" s="68"/>
      <c r="CZ53" s="68"/>
      <c r="DA53" s="69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74" t="s">
        <v>8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75"/>
      <c r="BY54" s="75"/>
      <c r="BZ54" s="75"/>
      <c r="CA54" s="75"/>
      <c r="CB54" s="75"/>
      <c r="CC54" s="75"/>
      <c r="CD54" s="75"/>
      <c r="CE54" s="75"/>
      <c r="CF54" s="75"/>
      <c r="CG54" s="75"/>
      <c r="CH54" s="75"/>
      <c r="CI54" s="75"/>
      <c r="CJ54" s="75"/>
      <c r="CK54" s="75"/>
      <c r="CL54" s="75"/>
      <c r="CM54" s="75"/>
      <c r="CN54" s="75"/>
      <c r="CO54" s="75"/>
      <c r="CP54" s="75"/>
      <c r="CQ54" s="75"/>
      <c r="CR54" s="75"/>
      <c r="CS54" s="75"/>
      <c r="CT54" s="75"/>
      <c r="CU54" s="75"/>
      <c r="CV54" s="75"/>
      <c r="CW54" s="76"/>
      <c r="CX54" s="72"/>
      <c r="CY54" s="68"/>
      <c r="CZ54" s="68"/>
      <c r="DA54" s="69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74" t="s">
        <v>34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5"/>
      <c r="BJ55" s="75"/>
      <c r="BK55" s="75"/>
      <c r="BL55" s="75"/>
      <c r="BM55" s="75"/>
      <c r="BN55" s="75"/>
      <c r="BO55" s="75"/>
      <c r="BP55" s="75"/>
      <c r="BQ55" s="75"/>
      <c r="BR55" s="75"/>
      <c r="BS55" s="75"/>
      <c r="BT55" s="75"/>
      <c r="BU55" s="75"/>
      <c r="BV55" s="75"/>
      <c r="BW55" s="75"/>
      <c r="BX55" s="75"/>
      <c r="BY55" s="75"/>
      <c r="BZ55" s="75"/>
      <c r="CA55" s="75"/>
      <c r="CB55" s="75"/>
      <c r="CC55" s="75"/>
      <c r="CD55" s="75"/>
      <c r="CE55" s="75"/>
      <c r="CF55" s="75"/>
      <c r="CG55" s="75"/>
      <c r="CH55" s="75"/>
      <c r="CI55" s="75"/>
      <c r="CJ55" s="75"/>
      <c r="CK55" s="75"/>
      <c r="CL55" s="75"/>
      <c r="CM55" s="75"/>
      <c r="CN55" s="75"/>
      <c r="CO55" s="75"/>
      <c r="CP55" s="75"/>
      <c r="CQ55" s="75"/>
      <c r="CR55" s="75"/>
      <c r="CS55" s="75"/>
      <c r="CT55" s="75"/>
      <c r="CU55" s="75"/>
      <c r="CV55" s="75"/>
      <c r="CW55" s="76"/>
      <c r="CX55" s="72"/>
      <c r="CY55" s="68"/>
      <c r="CZ55" s="68"/>
      <c r="DA55" s="69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74" t="s">
        <v>8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75"/>
      <c r="CC56" s="75"/>
      <c r="CD56" s="75"/>
      <c r="CE56" s="75"/>
      <c r="CF56" s="75"/>
      <c r="CG56" s="75"/>
      <c r="CH56" s="75"/>
      <c r="CI56" s="75"/>
      <c r="CJ56" s="75"/>
      <c r="CK56" s="75"/>
      <c r="CL56" s="75"/>
      <c r="CM56" s="75"/>
      <c r="CN56" s="75"/>
      <c r="CO56" s="75"/>
      <c r="CP56" s="75"/>
      <c r="CQ56" s="75"/>
      <c r="CR56" s="75"/>
      <c r="CS56" s="75"/>
      <c r="CT56" s="75"/>
      <c r="CU56" s="75"/>
      <c r="CV56" s="75"/>
      <c r="CW56" s="76"/>
      <c r="CX56" s="72"/>
      <c r="CY56" s="68"/>
      <c r="CZ56" s="68"/>
      <c r="DA56" s="69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74"/>
      <c r="B57" s="75"/>
      <c r="C57" s="75"/>
      <c r="D57" s="75"/>
      <c r="E57" s="75"/>
      <c r="F57" s="75"/>
      <c r="G57" s="75" t="s">
        <v>530</v>
      </c>
      <c r="H57" s="75"/>
      <c r="I57" s="75" t="s">
        <v>536</v>
      </c>
      <c r="J57" s="75"/>
      <c r="K57" s="75" t="str">
        <f>TEXT(0.2,"#,##0.0#######")</f>
        <v>0.2</v>
      </c>
      <c r="L57" s="75"/>
      <c r="M57" s="75"/>
      <c r="N57" s="75"/>
      <c r="O57" s="75" t="s">
        <v>14</v>
      </c>
      <c r="P57" s="75"/>
      <c r="Q57" s="75" t="s">
        <v>182</v>
      </c>
      <c r="R57" s="75"/>
      <c r="S57" s="75" t="s">
        <v>536</v>
      </c>
      <c r="T57" s="75"/>
      <c r="U57" s="75" t="str">
        <f>TEXT(0.9,"#,##0.0#######")</f>
        <v>0.9</v>
      </c>
      <c r="V57" s="75"/>
      <c r="W57" s="75"/>
      <c r="X57" s="75"/>
      <c r="Y57" s="75" t="s">
        <v>14</v>
      </c>
      <c r="Z57" s="75"/>
      <c r="AA57" s="75" t="s">
        <v>347</v>
      </c>
      <c r="AB57" s="75"/>
      <c r="AC57" s="75" t="s">
        <v>536</v>
      </c>
      <c r="AD57" s="75"/>
      <c r="AE57" s="75" t="str">
        <f>TEXT(1,"#,##0")</f>
        <v>1</v>
      </c>
      <c r="AF57" s="75"/>
      <c r="AG57" s="75" t="s">
        <v>181</v>
      </c>
      <c r="AH57" s="75"/>
      <c r="AI57" s="75" t="str">
        <f>TEXT(1.24,"#,##0.00#######")</f>
        <v>1.24</v>
      </c>
      <c r="AJ57" s="75"/>
      <c r="AK57" s="75"/>
      <c r="AL57" s="75"/>
      <c r="AM57" s="75"/>
      <c r="AN57" s="75" t="s">
        <v>536</v>
      </c>
      <c r="AO57" s="75"/>
      <c r="AP57" s="75" t="str">
        <f>TEXT(ROUND(AE57/AI57,2),"#,##0.00#######")</f>
        <v>0.81</v>
      </c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  <c r="BM57" s="75"/>
      <c r="BN57" s="75"/>
      <c r="BO57" s="75"/>
      <c r="BP57" s="75"/>
      <c r="BQ57" s="75"/>
      <c r="BR57" s="75"/>
      <c r="BS57" s="75"/>
      <c r="BT57" s="75"/>
      <c r="BU57" s="75"/>
      <c r="BV57" s="75"/>
      <c r="BW57" s="75"/>
      <c r="BX57" s="75"/>
      <c r="BY57" s="75"/>
      <c r="BZ57" s="75"/>
      <c r="CA57" s="75"/>
      <c r="CB57" s="75"/>
      <c r="CC57" s="75"/>
      <c r="CD57" s="75"/>
      <c r="CE57" s="75"/>
      <c r="CF57" s="75"/>
      <c r="CG57" s="75"/>
      <c r="CH57" s="75"/>
      <c r="CI57" s="75"/>
      <c r="CJ57" s="75"/>
      <c r="CK57" s="75"/>
      <c r="CL57" s="75"/>
      <c r="CM57" s="75"/>
      <c r="CN57" s="75"/>
      <c r="CO57" s="75"/>
      <c r="CP57" s="75"/>
      <c r="CQ57" s="75"/>
      <c r="CR57" s="75"/>
      <c r="CS57" s="75"/>
      <c r="CT57" s="75"/>
      <c r="CU57" s="75"/>
      <c r="CV57" s="75"/>
      <c r="CW57" s="76"/>
      <c r="CX57" s="72"/>
      <c r="CY57" s="68"/>
      <c r="CZ57" s="68"/>
      <c r="DA57" s="69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8</v>
      </c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74" t="s">
        <v>8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75"/>
      <c r="CR58" s="75"/>
      <c r="CS58" s="75"/>
      <c r="CT58" s="75"/>
      <c r="CU58" s="75"/>
      <c r="CV58" s="75"/>
      <c r="CW58" s="76"/>
      <c r="CX58" s="72"/>
      <c r="CY58" s="68"/>
      <c r="CZ58" s="68"/>
      <c r="DA58" s="69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74"/>
      <c r="B59" s="75"/>
      <c r="C59" s="75"/>
      <c r="D59" s="75"/>
      <c r="E59" s="75"/>
      <c r="F59" s="75"/>
      <c r="G59" s="75" t="s">
        <v>535</v>
      </c>
      <c r="H59" s="75"/>
      <c r="I59" s="75" t="s">
        <v>536</v>
      </c>
      <c r="J59" s="75"/>
      <c r="K59" s="75" t="str">
        <f>TEXT(0.7,"#,##0.0#######")</f>
        <v>0.7</v>
      </c>
      <c r="L59" s="75"/>
      <c r="M59" s="75"/>
      <c r="N59" s="75"/>
      <c r="O59" s="75" t="s">
        <v>529</v>
      </c>
      <c r="P59" s="75"/>
      <c r="Q59" s="75" t="str">
        <f>TEXT(0.05,"#,##0.00#######")</f>
        <v>0.05</v>
      </c>
      <c r="R59" s="75"/>
      <c r="S59" s="75"/>
      <c r="T59" s="75"/>
      <c r="U59" s="75"/>
      <c r="V59" s="75" t="s">
        <v>536</v>
      </c>
      <c r="W59" s="75"/>
      <c r="X59" s="75" t="str">
        <f>TEXT(ROUND(K59-Q59,2),"#,##0.00#######")</f>
        <v>0.65</v>
      </c>
      <c r="Y59" s="75"/>
      <c r="Z59" s="75"/>
      <c r="AA59" s="75"/>
      <c r="AB59" s="75"/>
      <c r="AC59" s="75" t="s">
        <v>14</v>
      </c>
      <c r="AD59" s="75"/>
      <c r="AE59" s="75" t="s">
        <v>133</v>
      </c>
      <c r="AF59" s="75"/>
      <c r="AG59" s="75"/>
      <c r="AH59" s="75" t="s">
        <v>536</v>
      </c>
      <c r="AI59" s="75"/>
      <c r="AJ59" s="75" t="str">
        <f>TEXT(15,"#,##0")</f>
        <v>15</v>
      </c>
      <c r="AK59" s="75"/>
      <c r="AL59" s="75"/>
      <c r="AM59" s="75" t="s">
        <v>583</v>
      </c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6"/>
      <c r="CX59" s="72"/>
      <c r="CY59" s="68"/>
      <c r="CZ59" s="68"/>
      <c r="DA59" s="69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8</v>
      </c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74" t="s">
        <v>8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6"/>
      <c r="CX60" s="72"/>
      <c r="CY60" s="68"/>
      <c r="CZ60" s="68"/>
      <c r="DA60" s="69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74"/>
      <c r="B61" s="75"/>
      <c r="C61" s="75"/>
      <c r="D61" s="75"/>
      <c r="E61" s="75"/>
      <c r="F61" s="75"/>
      <c r="G61" s="75" t="s">
        <v>534</v>
      </c>
      <c r="H61" s="75"/>
      <c r="I61" s="75" t="s">
        <v>536</v>
      </c>
      <c r="J61" s="75"/>
      <c r="K61" s="75" t="str">
        <f>TEXT(3600,"#,##0")</f>
        <v>3,600</v>
      </c>
      <c r="L61" s="75"/>
      <c r="M61" s="75"/>
      <c r="N61" s="75"/>
      <c r="O61" s="75"/>
      <c r="P61" s="75" t="s">
        <v>357</v>
      </c>
      <c r="Q61" s="75"/>
      <c r="R61" s="75" t="s">
        <v>530</v>
      </c>
      <c r="S61" s="75"/>
      <c r="T61" s="75" t="s">
        <v>357</v>
      </c>
      <c r="U61" s="75"/>
      <c r="V61" s="75" t="s">
        <v>182</v>
      </c>
      <c r="W61" s="75"/>
      <c r="X61" s="75" t="s">
        <v>357</v>
      </c>
      <c r="Y61" s="75"/>
      <c r="Z61" s="75" t="s">
        <v>347</v>
      </c>
      <c r="AA61" s="75"/>
      <c r="AB61" s="75" t="s">
        <v>357</v>
      </c>
      <c r="AC61" s="75"/>
      <c r="AD61" s="75" t="s">
        <v>535</v>
      </c>
      <c r="AE61" s="75"/>
      <c r="AF61" s="75" t="s">
        <v>181</v>
      </c>
      <c r="AG61" s="75"/>
      <c r="AH61" s="75" t="s">
        <v>133</v>
      </c>
      <c r="AI61" s="75"/>
      <c r="AJ61" s="75"/>
      <c r="AK61" s="75" t="s">
        <v>536</v>
      </c>
      <c r="AL61" s="75"/>
      <c r="AM61" s="75" t="str">
        <f>TEXT(ROUND(K61*K57*U57*AP57*X59/AJ59,2),"#,##0.00#######")</f>
        <v>22.74</v>
      </c>
      <c r="AN61" s="75"/>
      <c r="AO61" s="75"/>
      <c r="AP61" s="75"/>
      <c r="AQ61" s="75"/>
      <c r="AR61" s="75"/>
      <c r="AS61" s="75"/>
      <c r="AT61" s="75" t="s">
        <v>268</v>
      </c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5"/>
      <c r="BK61" s="75"/>
      <c r="BL61" s="75"/>
      <c r="BM61" s="75"/>
      <c r="BN61" s="75"/>
      <c r="BO61" s="75"/>
      <c r="BP61" s="75"/>
      <c r="BQ61" s="75"/>
      <c r="BR61" s="75"/>
      <c r="BS61" s="75"/>
      <c r="BT61" s="75"/>
      <c r="BU61" s="75"/>
      <c r="BV61" s="75"/>
      <c r="BW61" s="75"/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75"/>
      <c r="CO61" s="75"/>
      <c r="CP61" s="75"/>
      <c r="CQ61" s="75"/>
      <c r="CR61" s="75"/>
      <c r="CS61" s="75"/>
      <c r="CT61" s="75"/>
      <c r="CU61" s="75"/>
      <c r="CV61" s="75"/>
      <c r="CW61" s="76"/>
      <c r="CX61" s="72"/>
      <c r="CY61" s="68"/>
      <c r="CZ61" s="68"/>
      <c r="DA61" s="69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8</v>
      </c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74" t="s">
        <v>8</v>
      </c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  <c r="BI62" s="75"/>
      <c r="BJ62" s="75"/>
      <c r="BK62" s="75"/>
      <c r="BL62" s="75"/>
      <c r="BM62" s="75"/>
      <c r="BN62" s="75"/>
      <c r="BO62" s="75"/>
      <c r="BP62" s="75"/>
      <c r="BQ62" s="75"/>
      <c r="BR62" s="75"/>
      <c r="BS62" s="75"/>
      <c r="BT62" s="75"/>
      <c r="BU62" s="75"/>
      <c r="BV62" s="75"/>
      <c r="BW62" s="75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75"/>
      <c r="CO62" s="75"/>
      <c r="CP62" s="75"/>
      <c r="CQ62" s="75"/>
      <c r="CR62" s="75"/>
      <c r="CS62" s="75"/>
      <c r="CT62" s="75"/>
      <c r="CU62" s="75"/>
      <c r="CV62" s="75"/>
      <c r="CW62" s="76"/>
      <c r="CX62" s="72"/>
      <c r="CY62" s="68"/>
      <c r="CZ62" s="68"/>
      <c r="DA62" s="69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74"/>
      <c r="B63" s="75"/>
      <c r="C63" s="75"/>
      <c r="D63" s="75"/>
      <c r="E63" s="75"/>
      <c r="F63" s="75" t="s">
        <v>565</v>
      </c>
      <c r="G63" s="75"/>
      <c r="H63" s="75"/>
      <c r="I63" s="75"/>
      <c r="J63" s="75"/>
      <c r="K63" s="75"/>
      <c r="L63" s="75" t="str">
        <f>TEXT(TRUNC(건설기계!H35,0),"#,##0")</f>
        <v>10,024</v>
      </c>
      <c r="M63" s="75"/>
      <c r="N63" s="75"/>
      <c r="O63" s="75"/>
      <c r="P63" s="75"/>
      <c r="Q63" s="75"/>
      <c r="R63" s="75"/>
      <c r="S63" s="75" t="s">
        <v>181</v>
      </c>
      <c r="T63" s="75"/>
      <c r="U63" s="75"/>
      <c r="V63" s="75" t="s">
        <v>534</v>
      </c>
      <c r="W63" s="75"/>
      <c r="X63" s="75"/>
      <c r="Y63" s="75" t="s">
        <v>536</v>
      </c>
      <c r="Z63" s="75"/>
      <c r="AA63" s="75" t="str">
        <f>TEXT(ROUNDDOWN(L63/AM61,1),"#,##0.0#######")</f>
        <v>440.8</v>
      </c>
      <c r="AB63" s="75"/>
      <c r="AC63" s="75"/>
      <c r="AD63" s="75"/>
      <c r="AE63" s="75"/>
      <c r="AF63" s="75"/>
      <c r="AG63" s="75"/>
      <c r="AH63" s="75" t="s">
        <v>679</v>
      </c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75"/>
      <c r="BS63" s="75"/>
      <c r="BT63" s="75"/>
      <c r="BU63" s="75"/>
      <c r="BV63" s="75"/>
      <c r="BW63" s="75"/>
      <c r="BX63" s="75"/>
      <c r="BY63" s="75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  <c r="CK63" s="75"/>
      <c r="CL63" s="75"/>
      <c r="CM63" s="75"/>
      <c r="CN63" s="75"/>
      <c r="CO63" s="75"/>
      <c r="CP63" s="75"/>
      <c r="CQ63" s="75"/>
      <c r="CR63" s="75"/>
      <c r="CS63" s="75"/>
      <c r="CT63" s="75"/>
      <c r="CU63" s="75"/>
      <c r="CV63" s="75"/>
      <c r="CW63" s="76"/>
      <c r="CX63" s="72">
        <f>CY63+CZ63+DA63</f>
        <v>440.8</v>
      </c>
      <c r="CY63" s="68" t="str">
        <f>TEXT(AA63,"#,###.0")</f>
        <v>440.8</v>
      </c>
      <c r="CZ63" s="68"/>
      <c r="DA63" s="69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631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74" t="s">
        <v>8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6"/>
      <c r="CX64" s="72"/>
      <c r="CY64" s="68"/>
      <c r="CZ64" s="68"/>
      <c r="DA64" s="69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74"/>
      <c r="B65" s="75"/>
      <c r="C65" s="75"/>
      <c r="D65" s="75"/>
      <c r="E65" s="75"/>
      <c r="F65" s="75" t="s">
        <v>329</v>
      </c>
      <c r="G65" s="75"/>
      <c r="H65" s="75"/>
      <c r="I65" s="75"/>
      <c r="J65" s="75"/>
      <c r="K65" s="75"/>
      <c r="L65" s="75" t="str">
        <f>TEXT(TRUNC(건설기계!J35,0),"#,##0")</f>
        <v>59,020</v>
      </c>
      <c r="M65" s="75"/>
      <c r="N65" s="75"/>
      <c r="O65" s="75"/>
      <c r="P65" s="75"/>
      <c r="Q65" s="75"/>
      <c r="R65" s="75"/>
      <c r="S65" s="75" t="s">
        <v>181</v>
      </c>
      <c r="T65" s="75"/>
      <c r="U65" s="75"/>
      <c r="V65" s="75" t="s">
        <v>534</v>
      </c>
      <c r="W65" s="75"/>
      <c r="X65" s="75"/>
      <c r="Y65" s="75" t="s">
        <v>536</v>
      </c>
      <c r="Z65" s="75"/>
      <c r="AA65" s="75" t="str">
        <f>TEXT(ROUNDDOWN(L65/AM61,1),"#,##0.0#######")</f>
        <v>2,595.4</v>
      </c>
      <c r="AB65" s="75"/>
      <c r="AC65" s="75"/>
      <c r="AD65" s="75"/>
      <c r="AE65" s="75"/>
      <c r="AF65" s="75"/>
      <c r="AG65" s="75"/>
      <c r="AH65" s="75"/>
      <c r="AI65" s="75"/>
      <c r="AJ65" s="75" t="s">
        <v>679</v>
      </c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75"/>
      <c r="BS65" s="75"/>
      <c r="BT65" s="75"/>
      <c r="BU65" s="75"/>
      <c r="BV65" s="75"/>
      <c r="BW65" s="75"/>
      <c r="BX65" s="75"/>
      <c r="BY65" s="75"/>
      <c r="BZ65" s="75"/>
      <c r="CA65" s="75"/>
      <c r="CB65" s="75"/>
      <c r="CC65" s="75"/>
      <c r="CD65" s="75"/>
      <c r="CE65" s="75"/>
      <c r="CF65" s="75"/>
      <c r="CG65" s="75"/>
      <c r="CH65" s="75"/>
      <c r="CI65" s="75"/>
      <c r="CJ65" s="75"/>
      <c r="CK65" s="75"/>
      <c r="CL65" s="75"/>
      <c r="CM65" s="75"/>
      <c r="CN65" s="75"/>
      <c r="CO65" s="75"/>
      <c r="CP65" s="75"/>
      <c r="CQ65" s="75"/>
      <c r="CR65" s="75"/>
      <c r="CS65" s="75"/>
      <c r="CT65" s="75"/>
      <c r="CU65" s="75"/>
      <c r="CV65" s="75"/>
      <c r="CW65" s="76"/>
      <c r="CX65" s="72">
        <f>CY65+CZ65+DA65</f>
        <v>2595.4</v>
      </c>
      <c r="CY65" s="68"/>
      <c r="CZ65" s="68" t="str">
        <f>TEXT(AA65,"#,###.0")</f>
        <v>2,595.4</v>
      </c>
      <c r="DA65" s="69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631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74" t="s">
        <v>8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75"/>
      <c r="BS66" s="75"/>
      <c r="BT66" s="75"/>
      <c r="BU66" s="75"/>
      <c r="BV66" s="75"/>
      <c r="BW66" s="75"/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5"/>
      <c r="CO66" s="75"/>
      <c r="CP66" s="75"/>
      <c r="CQ66" s="75"/>
      <c r="CR66" s="75"/>
      <c r="CS66" s="75"/>
      <c r="CT66" s="75"/>
      <c r="CU66" s="75"/>
      <c r="CV66" s="75"/>
      <c r="CW66" s="76"/>
      <c r="CX66" s="72"/>
      <c r="CY66" s="68"/>
      <c r="CZ66" s="68"/>
      <c r="DA66" s="69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74"/>
      <c r="B67" s="75"/>
      <c r="C67" s="75"/>
      <c r="D67" s="75"/>
      <c r="E67" s="75"/>
      <c r="F67" s="75" t="s">
        <v>655</v>
      </c>
      <c r="G67" s="75"/>
      <c r="H67" s="75"/>
      <c r="I67" s="75"/>
      <c r="J67" s="75"/>
      <c r="K67" s="75"/>
      <c r="L67" s="75" t="str">
        <f>TEXT(TRUNC(건설기계!L35,0),"#,##0")</f>
        <v>13,873</v>
      </c>
      <c r="M67" s="75"/>
      <c r="N67" s="75"/>
      <c r="O67" s="75"/>
      <c r="P67" s="75"/>
      <c r="Q67" s="75"/>
      <c r="R67" s="75"/>
      <c r="S67" s="75" t="s">
        <v>181</v>
      </c>
      <c r="T67" s="75"/>
      <c r="U67" s="75"/>
      <c r="V67" s="75" t="s">
        <v>534</v>
      </c>
      <c r="W67" s="75"/>
      <c r="X67" s="75"/>
      <c r="Y67" s="75" t="s">
        <v>536</v>
      </c>
      <c r="Z67" s="75"/>
      <c r="AA67" s="75" t="str">
        <f>TEXT(ROUNDDOWN(L67/AM61,1),"#,##0.0#######")</f>
        <v>610.0</v>
      </c>
      <c r="AB67" s="75"/>
      <c r="AC67" s="75"/>
      <c r="AD67" s="75"/>
      <c r="AE67" s="75"/>
      <c r="AF67" s="75"/>
      <c r="AG67" s="75"/>
      <c r="AH67" s="75" t="s">
        <v>679</v>
      </c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/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6"/>
      <c r="CX67" s="72">
        <f>CY67+CZ67+DA67</f>
        <v>610</v>
      </c>
      <c r="CY67" s="68"/>
      <c r="CZ67" s="68"/>
      <c r="DA67" s="69" t="str">
        <f>TEXT(AA67,"#,###.0")</f>
        <v>610.0</v>
      </c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631</v>
      </c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74" t="s">
        <v>8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5"/>
      <c r="BC68" s="75"/>
      <c r="BD68" s="75"/>
      <c r="BE68" s="75"/>
      <c r="BF68" s="75"/>
      <c r="BG68" s="75"/>
      <c r="BH68" s="75"/>
      <c r="BI68" s="75"/>
      <c r="BJ68" s="75"/>
      <c r="BK68" s="75"/>
      <c r="BL68" s="75"/>
      <c r="BM68" s="75"/>
      <c r="BN68" s="75"/>
      <c r="BO68" s="75"/>
      <c r="BP68" s="75"/>
      <c r="BQ68" s="75"/>
      <c r="BR68" s="75"/>
      <c r="BS68" s="75"/>
      <c r="BT68" s="75"/>
      <c r="BU68" s="75"/>
      <c r="BV68" s="75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  <c r="CW68" s="76"/>
      <c r="CX68" s="72"/>
      <c r="CY68" s="68"/>
      <c r="CZ68" s="68"/>
      <c r="DA68" s="69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74" t="s">
        <v>562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6"/>
      <c r="CX69" s="72"/>
      <c r="CY69" s="68"/>
      <c r="CZ69" s="68"/>
      <c r="DA69" s="69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8</v>
      </c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74" t="s">
        <v>8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  <c r="BO70" s="75"/>
      <c r="BP70" s="75"/>
      <c r="BQ70" s="75"/>
      <c r="BR70" s="75"/>
      <c r="BS70" s="75"/>
      <c r="BT70" s="75"/>
      <c r="BU70" s="75"/>
      <c r="BV70" s="75"/>
      <c r="BW70" s="75"/>
      <c r="BX70" s="75"/>
      <c r="BY70" s="75"/>
      <c r="BZ70" s="75"/>
      <c r="CA70" s="75"/>
      <c r="CB70" s="75"/>
      <c r="CC70" s="75"/>
      <c r="CD70" s="75"/>
      <c r="CE70" s="75"/>
      <c r="CF70" s="75"/>
      <c r="CG70" s="75"/>
      <c r="CH70" s="75"/>
      <c r="CI70" s="75"/>
      <c r="CJ70" s="75"/>
      <c r="CK70" s="75"/>
      <c r="CL70" s="75"/>
      <c r="CM70" s="75"/>
      <c r="CN70" s="75"/>
      <c r="CO70" s="75"/>
      <c r="CP70" s="75"/>
      <c r="CQ70" s="75"/>
      <c r="CR70" s="75"/>
      <c r="CS70" s="75"/>
      <c r="CT70" s="75"/>
      <c r="CU70" s="75"/>
      <c r="CV70" s="75"/>
      <c r="CW70" s="76"/>
      <c r="CX70" s="72"/>
      <c r="CY70" s="68"/>
      <c r="CZ70" s="68"/>
      <c r="DA70" s="69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92"/>
      <c r="B71" s="93" t="s">
        <v>215</v>
      </c>
      <c r="C71" s="93"/>
      <c r="D71" s="93"/>
      <c r="E71" s="93"/>
      <c r="F71" s="93" t="s">
        <v>328</v>
      </c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BM71" s="93"/>
      <c r="BN71" s="93"/>
      <c r="BO71" s="93"/>
      <c r="BP71" s="93"/>
      <c r="BQ71" s="93"/>
      <c r="BR71" s="93"/>
      <c r="BS71" s="93"/>
      <c r="BT71" s="93"/>
      <c r="BU71" s="93"/>
      <c r="BV71" s="93"/>
      <c r="BW71" s="93"/>
      <c r="BX71" s="93"/>
      <c r="BY71" s="93"/>
      <c r="BZ71" s="93"/>
      <c r="CA71" s="93"/>
      <c r="CB71" s="93"/>
      <c r="CC71" s="93"/>
      <c r="CD71" s="93"/>
      <c r="CE71" s="93"/>
      <c r="CF71" s="93"/>
      <c r="CG71" s="93"/>
      <c r="CH71" s="93"/>
      <c r="CI71" s="93"/>
      <c r="CJ71" s="93"/>
      <c r="CK71" s="93"/>
      <c r="CL71" s="93"/>
      <c r="CM71" s="93"/>
      <c r="CN71" s="93"/>
      <c r="CO71" s="93"/>
      <c r="CP71" s="93"/>
      <c r="CQ71" s="93"/>
      <c r="CR71" s="93"/>
      <c r="CS71" s="93"/>
      <c r="CT71" s="93"/>
      <c r="CU71" s="93"/>
      <c r="CV71" s="93"/>
      <c r="CW71" s="94"/>
      <c r="CX71" s="95">
        <f>CY71+CZ71+DA71</f>
        <v>3646.2000000000003</v>
      </c>
      <c r="CY71" s="96" t="str">
        <f>TEXT(TRUNC(CY63+CY65+CY67,1),"#,###.0")</f>
        <v>440.8</v>
      </c>
      <c r="CZ71" s="96" t="str">
        <f>TEXT(TRUNC(CZ63+CZ65+CZ67,1),"#,###.0")</f>
        <v>2,595.4</v>
      </c>
      <c r="DA71" s="97" t="str">
        <f>TEXT(TRUNC(DA63+DA65+DA67,1),"#,###.0")</f>
        <v>610.0</v>
      </c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8</v>
      </c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74" t="s">
        <v>8</v>
      </c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  <c r="BO72" s="75"/>
      <c r="BP72" s="75"/>
      <c r="BQ72" s="75"/>
      <c r="BR72" s="75"/>
      <c r="BS72" s="75"/>
      <c r="BT72" s="75"/>
      <c r="BU72" s="75"/>
      <c r="BV72" s="75"/>
      <c r="BW72" s="75"/>
      <c r="BX72" s="75"/>
      <c r="BY72" s="75"/>
      <c r="BZ72" s="75"/>
      <c r="CA72" s="75"/>
      <c r="CB72" s="75"/>
      <c r="CC72" s="75"/>
      <c r="CD72" s="75"/>
      <c r="CE72" s="75"/>
      <c r="CF72" s="75"/>
      <c r="CG72" s="75"/>
      <c r="CH72" s="75"/>
      <c r="CI72" s="75"/>
      <c r="CJ72" s="75"/>
      <c r="CK72" s="75"/>
      <c r="CL72" s="75"/>
      <c r="CM72" s="75"/>
      <c r="CN72" s="75"/>
      <c r="CO72" s="75"/>
      <c r="CP72" s="75"/>
      <c r="CQ72" s="75"/>
      <c r="CR72" s="75"/>
      <c r="CS72" s="75"/>
      <c r="CT72" s="75"/>
      <c r="CU72" s="75"/>
      <c r="CV72" s="75"/>
      <c r="CW72" s="76"/>
      <c r="CX72" s="72"/>
      <c r="CY72" s="68"/>
      <c r="CZ72" s="68"/>
      <c r="DA72" s="69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8"/>
      <c r="B73" s="99" t="s">
        <v>424</v>
      </c>
      <c r="C73" s="99"/>
      <c r="D73" s="99"/>
      <c r="E73" s="99"/>
      <c r="F73" s="99" t="s">
        <v>328</v>
      </c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99"/>
      <c r="BW73" s="99"/>
      <c r="BX73" s="99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99"/>
      <c r="CM73" s="99"/>
      <c r="CN73" s="99"/>
      <c r="CO73" s="99"/>
      <c r="CP73" s="99"/>
      <c r="CQ73" s="99"/>
      <c r="CR73" s="99"/>
      <c r="CS73" s="99"/>
      <c r="CT73" s="99"/>
      <c r="CU73" s="99"/>
      <c r="CV73" s="99"/>
      <c r="CW73" s="100"/>
      <c r="CX73" s="101">
        <f>CY73+CZ73+DA73</f>
        <v>3646.2000000000003</v>
      </c>
      <c r="CY73" s="102" t="str">
        <f>TEXT(TRUNC(CY71,1),"#,###.0")</f>
        <v>440.8</v>
      </c>
      <c r="CZ73" s="102" t="str">
        <f>TEXT(TRUNC(CZ71,1),"#,###.0")</f>
        <v>2,595.4</v>
      </c>
      <c r="DA73" s="103" t="str">
        <f>TEXT(TRUNC(DA71,1),"#,###.0")</f>
        <v>610.0</v>
      </c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8</v>
      </c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74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  <c r="BH74" s="75"/>
      <c r="BI74" s="75"/>
      <c r="BJ74" s="75"/>
      <c r="BK74" s="75"/>
      <c r="BL74" s="75"/>
      <c r="BM74" s="75"/>
      <c r="BN74" s="75"/>
      <c r="BO74" s="75"/>
      <c r="BP74" s="75"/>
      <c r="BQ74" s="75"/>
      <c r="BR74" s="75"/>
      <c r="BS74" s="75"/>
      <c r="BT74" s="75"/>
      <c r="BU74" s="75"/>
      <c r="BV74" s="75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5"/>
      <c r="CR74" s="75"/>
      <c r="CS74" s="75"/>
      <c r="CT74" s="75"/>
      <c r="CU74" s="75"/>
      <c r="CV74" s="75"/>
      <c r="CW74" s="76"/>
      <c r="CX74" s="72"/>
      <c r="CY74" s="68"/>
      <c r="CZ74" s="68"/>
      <c r="DA74" s="69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86" t="s">
        <v>389</v>
      </c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7"/>
      <c r="AU75" s="87"/>
      <c r="AV75" s="87"/>
      <c r="AW75" s="87"/>
      <c r="AX75" s="87"/>
      <c r="AY75" s="87"/>
      <c r="AZ75" s="87"/>
      <c r="BA75" s="87"/>
      <c r="BB75" s="87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7"/>
      <c r="CH75" s="87"/>
      <c r="CI75" s="87"/>
      <c r="CJ75" s="87"/>
      <c r="CK75" s="87"/>
      <c r="CL75" s="87"/>
      <c r="CM75" s="87"/>
      <c r="CN75" s="87"/>
      <c r="CO75" s="87"/>
      <c r="CP75" s="87"/>
      <c r="CQ75" s="87"/>
      <c r="CR75" s="87"/>
      <c r="CS75" s="87"/>
      <c r="CT75" s="87"/>
      <c r="CU75" s="87"/>
      <c r="CV75" s="87"/>
      <c r="CW75" s="88"/>
      <c r="CX75" s="89" t="str">
        <f>TEXT(CY75+CZ75+DA75,"#,##0")</f>
        <v>3,645</v>
      </c>
      <c r="CY75" s="90" t="str">
        <f>TEXT(TRUNC(CY73,0),"#,##0")</f>
        <v>440</v>
      </c>
      <c r="CZ75" s="90" t="str">
        <f>TEXT(TRUNC(CZ73,0),"#,##0")</f>
        <v>2,595</v>
      </c>
      <c r="DA75" s="91" t="str">
        <f>TEXT(TRUNC(DA73,0),"#,##0")</f>
        <v>610</v>
      </c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74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75"/>
      <c r="BB76" s="75"/>
      <c r="BC76" s="75"/>
      <c r="BD76" s="75"/>
      <c r="BE76" s="75"/>
      <c r="BF76" s="75"/>
      <c r="BG76" s="75"/>
      <c r="BH76" s="75"/>
      <c r="BI76" s="75"/>
      <c r="BJ76" s="75"/>
      <c r="BK76" s="75"/>
      <c r="BL76" s="75"/>
      <c r="BM76" s="75"/>
      <c r="BN76" s="75"/>
      <c r="BO76" s="75"/>
      <c r="BP76" s="75"/>
      <c r="BQ76" s="75"/>
      <c r="BR76" s="75"/>
      <c r="BS76" s="75"/>
      <c r="BT76" s="75"/>
      <c r="BU76" s="75"/>
      <c r="BV76" s="75"/>
      <c r="BW76" s="75"/>
      <c r="BX76" s="75"/>
      <c r="BY76" s="75"/>
      <c r="BZ76" s="75"/>
      <c r="CA76" s="75"/>
      <c r="CB76" s="75"/>
      <c r="CC76" s="75"/>
      <c r="CD76" s="75"/>
      <c r="CE76" s="75"/>
      <c r="CF76" s="75"/>
      <c r="CG76" s="75"/>
      <c r="CH76" s="75"/>
      <c r="CI76" s="75"/>
      <c r="CJ76" s="75"/>
      <c r="CK76" s="75"/>
      <c r="CL76" s="75"/>
      <c r="CM76" s="75"/>
      <c r="CN76" s="75"/>
      <c r="CO76" s="75"/>
      <c r="CP76" s="75"/>
      <c r="CQ76" s="75"/>
      <c r="CR76" s="75"/>
      <c r="CS76" s="75"/>
      <c r="CT76" s="75"/>
      <c r="CU76" s="75"/>
      <c r="CV76" s="75"/>
      <c r="CW76" s="76"/>
      <c r="CX76" s="72"/>
      <c r="CY76" s="68"/>
      <c r="CZ76" s="68"/>
      <c r="DA76" s="69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35" t="s">
        <v>129</v>
      </c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/>
      <c r="AT77" s="135"/>
      <c r="AU77" s="135"/>
      <c r="AV77" s="135"/>
      <c r="AW77" s="135"/>
      <c r="AX77" s="135"/>
      <c r="AY77" s="135"/>
      <c r="AZ77" s="135"/>
      <c r="BA77" s="135"/>
      <c r="BB77" s="135"/>
      <c r="BC77" s="135"/>
      <c r="BD77" s="135"/>
      <c r="BE77" s="135"/>
      <c r="BF77" s="135"/>
      <c r="BG77" s="135"/>
      <c r="BH77" s="135"/>
      <c r="BI77" s="135"/>
      <c r="BJ77" s="135"/>
      <c r="BK77" s="135"/>
      <c r="BL77" s="135"/>
      <c r="BM77" s="135"/>
      <c r="BN77" s="135"/>
      <c r="BO77" s="135"/>
      <c r="BP77" s="135"/>
      <c r="BQ77" s="135"/>
      <c r="BR77" s="135"/>
      <c r="BS77" s="135"/>
      <c r="BT77" s="135"/>
      <c r="BU77" s="135"/>
      <c r="BV77" s="135"/>
      <c r="BW77" s="135"/>
      <c r="BX77" s="135"/>
      <c r="BY77" s="135"/>
      <c r="BZ77" s="135"/>
      <c r="CA77" s="135"/>
      <c r="CB77" s="135"/>
      <c r="CC77" s="135"/>
      <c r="CD77" s="135"/>
      <c r="CE77" s="135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83"/>
      <c r="CY77" s="84"/>
      <c r="CZ77" s="84"/>
      <c r="DA77" s="85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630</v>
      </c>
      <c r="DN77" s="1" t="s">
        <v>616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74" t="s">
        <v>557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  <c r="BP78" s="75"/>
      <c r="BQ78" s="75"/>
      <c r="BR78" s="75"/>
      <c r="BS78" s="75"/>
      <c r="BT78" s="75"/>
      <c r="BU78" s="75"/>
      <c r="BV78" s="75"/>
      <c r="BW78" s="75"/>
      <c r="BX78" s="75"/>
      <c r="BY78" s="75"/>
      <c r="BZ78" s="75"/>
      <c r="CA78" s="75"/>
      <c r="CB78" s="75"/>
      <c r="CC78" s="75"/>
      <c r="CD78" s="75"/>
      <c r="CE78" s="75"/>
      <c r="CF78" s="75"/>
      <c r="CG78" s="75"/>
      <c r="CH78" s="75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  <c r="CW78" s="76"/>
      <c r="CX78" s="72">
        <f>CY78+CZ78+DA78</f>
        <v>0</v>
      </c>
      <c r="CY78" s="68"/>
      <c r="CZ78" s="68"/>
      <c r="DA78" s="69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8</v>
      </c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74" t="s">
        <v>8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/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  <c r="CW79" s="76"/>
      <c r="CX79" s="72"/>
      <c r="CY79" s="68"/>
      <c r="CZ79" s="68"/>
      <c r="DA79" s="69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74" t="s">
        <v>545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  <c r="BI80" s="75"/>
      <c r="BJ80" s="75"/>
      <c r="BK80" s="75"/>
      <c r="BL80" s="75"/>
      <c r="BM80" s="75"/>
      <c r="BN80" s="75"/>
      <c r="BO80" s="75"/>
      <c r="BP80" s="75"/>
      <c r="BQ80" s="75"/>
      <c r="BR80" s="75"/>
      <c r="BS80" s="75"/>
      <c r="BT80" s="75"/>
      <c r="BU80" s="75"/>
      <c r="BV80" s="75"/>
      <c r="BW80" s="75"/>
      <c r="BX80" s="75"/>
      <c r="BY80" s="75"/>
      <c r="BZ80" s="75"/>
      <c r="CA80" s="75"/>
      <c r="CB80" s="75"/>
      <c r="CC80" s="75"/>
      <c r="CD80" s="75"/>
      <c r="CE80" s="75"/>
      <c r="CF80" s="75"/>
      <c r="CG80" s="75"/>
      <c r="CH80" s="75"/>
      <c r="CI80" s="75"/>
      <c r="CJ80" s="75"/>
      <c r="CK80" s="75"/>
      <c r="CL80" s="75"/>
      <c r="CM80" s="75"/>
      <c r="CN80" s="75"/>
      <c r="CO80" s="75"/>
      <c r="CP80" s="75"/>
      <c r="CQ80" s="75"/>
      <c r="CR80" s="75"/>
      <c r="CS80" s="75"/>
      <c r="CT80" s="75"/>
      <c r="CU80" s="75"/>
      <c r="CV80" s="75"/>
      <c r="CW80" s="76"/>
      <c r="CX80" s="72"/>
      <c r="CY80" s="68"/>
      <c r="CZ80" s="68"/>
      <c r="DA80" s="69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74" t="s">
        <v>8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75"/>
      <c r="BD81" s="75"/>
      <c r="BE81" s="75"/>
      <c r="BF81" s="75"/>
      <c r="BG81" s="75"/>
      <c r="BH81" s="75"/>
      <c r="BI81" s="75"/>
      <c r="BJ81" s="75"/>
      <c r="BK81" s="75"/>
      <c r="BL81" s="75"/>
      <c r="BM81" s="75"/>
      <c r="BN81" s="75"/>
      <c r="BO81" s="75"/>
      <c r="BP81" s="75"/>
      <c r="BQ81" s="75"/>
      <c r="BR81" s="75"/>
      <c r="BS81" s="75"/>
      <c r="BT81" s="75"/>
      <c r="BU81" s="75"/>
      <c r="BV81" s="75"/>
      <c r="BW81" s="75"/>
      <c r="BX81" s="75"/>
      <c r="BY81" s="75"/>
      <c r="BZ81" s="75"/>
      <c r="CA81" s="75"/>
      <c r="CB81" s="75"/>
      <c r="CC81" s="75"/>
      <c r="CD81" s="75"/>
      <c r="CE81" s="75"/>
      <c r="CF81" s="75"/>
      <c r="CG81" s="75"/>
      <c r="CH81" s="75"/>
      <c r="CI81" s="75"/>
      <c r="CJ81" s="75"/>
      <c r="CK81" s="75"/>
      <c r="CL81" s="75"/>
      <c r="CM81" s="75"/>
      <c r="CN81" s="75"/>
      <c r="CO81" s="75"/>
      <c r="CP81" s="75"/>
      <c r="CQ81" s="75"/>
      <c r="CR81" s="75"/>
      <c r="CS81" s="75"/>
      <c r="CT81" s="75"/>
      <c r="CU81" s="75"/>
      <c r="CV81" s="75"/>
      <c r="CW81" s="76"/>
      <c r="CX81" s="72"/>
      <c r="CY81" s="68"/>
      <c r="CZ81" s="68"/>
      <c r="DA81" s="69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74"/>
      <c r="B82" s="75"/>
      <c r="C82" s="75"/>
      <c r="D82" s="75"/>
      <c r="E82" s="75" t="s">
        <v>265</v>
      </c>
      <c r="F82" s="75"/>
      <c r="G82" s="75"/>
      <c r="H82" s="75"/>
      <c r="I82" s="75"/>
      <c r="J82" s="75"/>
      <c r="K82" s="75" t="str">
        <f>TEXT(TRUNC(노임단가!K11,0),"#,##0")</f>
        <v>226,122</v>
      </c>
      <c r="L82" s="75"/>
      <c r="M82" s="75"/>
      <c r="N82" s="75"/>
      <c r="O82" s="75"/>
      <c r="P82" s="75"/>
      <c r="Q82" s="75"/>
      <c r="R82" s="75"/>
      <c r="S82" s="75" t="s">
        <v>357</v>
      </c>
      <c r="T82" s="75"/>
      <c r="U82" s="75" t="str">
        <f>TEXT(1,"#,##0")</f>
        <v>1</v>
      </c>
      <c r="V82" s="75"/>
      <c r="W82" s="75" t="s">
        <v>221</v>
      </c>
      <c r="X82" s="75"/>
      <c r="Y82" s="75"/>
      <c r="Z82" s="75"/>
      <c r="AA82" s="75"/>
      <c r="AB82" s="75"/>
      <c r="AC82" s="75" t="s">
        <v>181</v>
      </c>
      <c r="AD82" s="75"/>
      <c r="AE82" s="75" t="str">
        <f>TEXT(130,"#,##0")</f>
        <v>130</v>
      </c>
      <c r="AF82" s="75"/>
      <c r="AG82" s="75"/>
      <c r="AH82" s="75"/>
      <c r="AI82" s="75"/>
      <c r="AJ82" s="75" t="s">
        <v>584</v>
      </c>
      <c r="AK82" s="75"/>
      <c r="AL82" s="75"/>
      <c r="AM82" s="75"/>
      <c r="AN82" s="75"/>
      <c r="AO82" s="75"/>
      <c r="AP82" s="75" t="s">
        <v>536</v>
      </c>
      <c r="AQ82" s="75"/>
      <c r="AR82" s="75" t="str">
        <f>TEXT(ROUNDDOWN(K82*U82/AE82,1),"#,##0.0#######")</f>
        <v>1,739.4</v>
      </c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  <c r="BI82" s="75"/>
      <c r="BJ82" s="75"/>
      <c r="BK82" s="75"/>
      <c r="BL82" s="75"/>
      <c r="BM82" s="75"/>
      <c r="BN82" s="75"/>
      <c r="BO82" s="75"/>
      <c r="BP82" s="75"/>
      <c r="BQ82" s="75"/>
      <c r="BR82" s="75"/>
      <c r="BS82" s="75"/>
      <c r="BT82" s="75"/>
      <c r="BU82" s="75"/>
      <c r="BV82" s="75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  <c r="CW82" s="76"/>
      <c r="CX82" s="72">
        <f>CY82+CZ82+DA82</f>
        <v>1739.4</v>
      </c>
      <c r="CY82" s="68"/>
      <c r="CZ82" s="68" t="str">
        <f>TEXT(AR82,"#,###.0")</f>
        <v>1,739.4</v>
      </c>
      <c r="DA82" s="69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193</v>
      </c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74" t="s">
        <v>8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  <c r="BI83" s="75"/>
      <c r="BJ83" s="75"/>
      <c r="BK83" s="75"/>
      <c r="BL83" s="75"/>
      <c r="BM83" s="75"/>
      <c r="BN83" s="75"/>
      <c r="BO83" s="75"/>
      <c r="BP83" s="75"/>
      <c r="BQ83" s="75"/>
      <c r="BR83" s="75"/>
      <c r="BS83" s="75"/>
      <c r="BT83" s="75"/>
      <c r="BU83" s="75"/>
      <c r="BV83" s="75"/>
      <c r="BW83" s="75"/>
      <c r="BX83" s="75"/>
      <c r="BY83" s="75"/>
      <c r="BZ83" s="75"/>
      <c r="CA83" s="75"/>
      <c r="CB83" s="75"/>
      <c r="CC83" s="75"/>
      <c r="CD83" s="75"/>
      <c r="CE83" s="75"/>
      <c r="CF83" s="75"/>
      <c r="CG83" s="75"/>
      <c r="CH83" s="75"/>
      <c r="CI83" s="75"/>
      <c r="CJ83" s="75"/>
      <c r="CK83" s="75"/>
      <c r="CL83" s="75"/>
      <c r="CM83" s="75"/>
      <c r="CN83" s="75"/>
      <c r="CO83" s="75"/>
      <c r="CP83" s="75"/>
      <c r="CQ83" s="75"/>
      <c r="CR83" s="75"/>
      <c r="CS83" s="75"/>
      <c r="CT83" s="75"/>
      <c r="CU83" s="75"/>
      <c r="CV83" s="75"/>
      <c r="CW83" s="76"/>
      <c r="CX83" s="72"/>
      <c r="CY83" s="68"/>
      <c r="CZ83" s="68"/>
      <c r="DA83" s="69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74"/>
      <c r="B84" s="75"/>
      <c r="C84" s="75"/>
      <c r="D84" s="75"/>
      <c r="E84" s="75" t="s">
        <v>561</v>
      </c>
      <c r="F84" s="75"/>
      <c r="G84" s="75"/>
      <c r="H84" s="75"/>
      <c r="I84" s="75"/>
      <c r="J84" s="75"/>
      <c r="K84" s="75" t="str">
        <f>TEXT(TRUNC(노임단가!K5,0),"#,##0")</f>
        <v>172,068</v>
      </c>
      <c r="L84" s="75"/>
      <c r="M84" s="75"/>
      <c r="N84" s="75"/>
      <c r="O84" s="75"/>
      <c r="P84" s="75"/>
      <c r="Q84" s="75"/>
      <c r="R84" s="75"/>
      <c r="S84" s="75" t="s">
        <v>357</v>
      </c>
      <c r="T84" s="75"/>
      <c r="U84" s="75" t="str">
        <f>TEXT(1,"#,##0")</f>
        <v>1</v>
      </c>
      <c r="V84" s="75"/>
      <c r="W84" s="75" t="s">
        <v>221</v>
      </c>
      <c r="X84" s="75"/>
      <c r="Y84" s="75"/>
      <c r="Z84" s="75"/>
      <c r="AA84" s="75"/>
      <c r="AB84" s="75"/>
      <c r="AC84" s="75" t="s">
        <v>181</v>
      </c>
      <c r="AD84" s="75"/>
      <c r="AE84" s="75" t="str">
        <f>TEXT(130,"#,##0")</f>
        <v>130</v>
      </c>
      <c r="AF84" s="75"/>
      <c r="AG84" s="75"/>
      <c r="AH84" s="75"/>
      <c r="AI84" s="75"/>
      <c r="AJ84" s="75" t="s">
        <v>584</v>
      </c>
      <c r="AK84" s="75"/>
      <c r="AL84" s="75"/>
      <c r="AM84" s="75"/>
      <c r="AN84" s="75"/>
      <c r="AO84" s="75"/>
      <c r="AP84" s="75" t="s">
        <v>536</v>
      </c>
      <c r="AQ84" s="75"/>
      <c r="AR84" s="75" t="str">
        <f>TEXT(ROUNDDOWN(K84*U84/AE84,1),"#,##0.0#######")</f>
        <v>1,323.6</v>
      </c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  <c r="BH84" s="75"/>
      <c r="BI84" s="75"/>
      <c r="BJ84" s="75"/>
      <c r="BK84" s="75"/>
      <c r="BL84" s="75"/>
      <c r="BM84" s="75"/>
      <c r="BN84" s="75"/>
      <c r="BO84" s="75"/>
      <c r="BP84" s="75"/>
      <c r="BQ84" s="75"/>
      <c r="BR84" s="75"/>
      <c r="BS84" s="75"/>
      <c r="BT84" s="75"/>
      <c r="BU84" s="75"/>
      <c r="BV84" s="75"/>
      <c r="BW84" s="75"/>
      <c r="BX84" s="75"/>
      <c r="BY84" s="75"/>
      <c r="BZ84" s="75"/>
      <c r="CA84" s="75"/>
      <c r="CB84" s="75"/>
      <c r="CC84" s="75"/>
      <c r="CD84" s="75"/>
      <c r="CE84" s="75"/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6"/>
      <c r="CX84" s="72">
        <f>CY84+CZ84+DA84</f>
        <v>1323.6</v>
      </c>
      <c r="CY84" s="68"/>
      <c r="CZ84" s="68" t="str">
        <f>TEXT(AR84,"#,###.0")</f>
        <v>1,323.6</v>
      </c>
      <c r="DA84" s="69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25</v>
      </c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74" t="s">
        <v>8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75"/>
      <c r="BI85" s="75"/>
      <c r="BJ85" s="75"/>
      <c r="BK85" s="75"/>
      <c r="BL85" s="75"/>
      <c r="BM85" s="75"/>
      <c r="BN85" s="75"/>
      <c r="BO85" s="75"/>
      <c r="BP85" s="75"/>
      <c r="BQ85" s="75"/>
      <c r="BR85" s="75"/>
      <c r="BS85" s="75"/>
      <c r="BT85" s="75"/>
      <c r="BU85" s="75"/>
      <c r="BV85" s="75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6"/>
      <c r="CX85" s="72"/>
      <c r="CY85" s="68"/>
      <c r="CZ85" s="68"/>
      <c r="DA85" s="69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74" t="s">
        <v>562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75"/>
      <c r="BU86" s="75"/>
      <c r="BV86" s="75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6"/>
      <c r="CX86" s="72"/>
      <c r="CY86" s="68"/>
      <c r="CZ86" s="68"/>
      <c r="DA86" s="69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8</v>
      </c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74" t="s">
        <v>8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  <c r="CW87" s="76"/>
      <c r="CX87" s="72"/>
      <c r="CY87" s="68"/>
      <c r="CZ87" s="68"/>
      <c r="DA87" s="69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92"/>
      <c r="B88" s="93" t="s">
        <v>215</v>
      </c>
      <c r="C88" s="93"/>
      <c r="D88" s="93"/>
      <c r="E88" s="93"/>
      <c r="F88" s="93" t="s">
        <v>328</v>
      </c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/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93"/>
      <c r="CD88" s="93"/>
      <c r="CE88" s="93"/>
      <c r="CF88" s="93"/>
      <c r="CG88" s="93"/>
      <c r="CH88" s="93"/>
      <c r="CI88" s="93"/>
      <c r="CJ88" s="93"/>
      <c r="CK88" s="93"/>
      <c r="CL88" s="93"/>
      <c r="CM88" s="93"/>
      <c r="CN88" s="93"/>
      <c r="CO88" s="93"/>
      <c r="CP88" s="93"/>
      <c r="CQ88" s="93"/>
      <c r="CR88" s="93"/>
      <c r="CS88" s="93"/>
      <c r="CT88" s="93"/>
      <c r="CU88" s="93"/>
      <c r="CV88" s="93"/>
      <c r="CW88" s="94"/>
      <c r="CX88" s="95">
        <f>CY88+CZ88+DA88</f>
        <v>3063</v>
      </c>
      <c r="CY88" s="96" t="str">
        <f>TEXT(TRUNC(CY82+CY84,1),"#,###.0")</f>
        <v>.0</v>
      </c>
      <c r="CZ88" s="96" t="str">
        <f>TEXT(TRUNC(CZ82+CZ84,1),"#,###.0")</f>
        <v>3,063.0</v>
      </c>
      <c r="DA88" s="97" t="str">
        <f>TEXT(TRUNC(DA82+DA84,1),"#,###.0")</f>
        <v>.0</v>
      </c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8</v>
      </c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74" t="s">
        <v>8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6"/>
      <c r="CX89" s="72"/>
      <c r="CY89" s="68"/>
      <c r="CZ89" s="68"/>
      <c r="DA89" s="69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74" t="s">
        <v>621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6"/>
      <c r="CX90" s="72"/>
      <c r="CY90" s="68"/>
      <c r="CZ90" s="68"/>
      <c r="DA90" s="69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74" t="s">
        <v>8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75"/>
      <c r="BU91" s="75"/>
      <c r="BV91" s="75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6"/>
      <c r="CX91" s="72"/>
      <c r="CY91" s="68"/>
      <c r="CZ91" s="68"/>
      <c r="DA91" s="69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74"/>
      <c r="B92" s="75"/>
      <c r="C92" s="75"/>
      <c r="D92" s="75"/>
      <c r="E92" s="75"/>
      <c r="F92" s="75" t="s">
        <v>534</v>
      </c>
      <c r="G92" s="75"/>
      <c r="H92" s="75" t="s">
        <v>536</v>
      </c>
      <c r="I92" s="75"/>
      <c r="J92" s="75" t="str">
        <f>TEXT(130,"#,##0")</f>
        <v>130</v>
      </c>
      <c r="K92" s="75"/>
      <c r="L92" s="75"/>
      <c r="M92" s="75"/>
      <c r="N92" s="75"/>
      <c r="O92" s="75" t="s">
        <v>584</v>
      </c>
      <c r="P92" s="75"/>
      <c r="Q92" s="75"/>
      <c r="R92" s="75"/>
      <c r="S92" s="75"/>
      <c r="T92" s="75"/>
      <c r="U92" s="75" t="s">
        <v>181</v>
      </c>
      <c r="V92" s="75"/>
      <c r="W92" s="75" t="str">
        <f>TEXT(8,"#,##0")</f>
        <v>8</v>
      </c>
      <c r="X92" s="75"/>
      <c r="Y92" s="75"/>
      <c r="Z92" s="75" t="s">
        <v>13</v>
      </c>
      <c r="AA92" s="75"/>
      <c r="AB92" s="75"/>
      <c r="AC92" s="75"/>
      <c r="AD92" s="75"/>
      <c r="AE92" s="75" t="s">
        <v>536</v>
      </c>
      <c r="AF92" s="75"/>
      <c r="AG92" s="75"/>
      <c r="AH92" s="75" t="str">
        <f>TEXT(ROUND(J92/W92,2),"#,##0.00#######")</f>
        <v>16.25</v>
      </c>
      <c r="AI92" s="75"/>
      <c r="AJ92" s="75"/>
      <c r="AK92" s="75"/>
      <c r="AL92" s="75"/>
      <c r="AM92" s="75"/>
      <c r="AN92" s="75"/>
      <c r="AO92" s="75"/>
      <c r="AP92" s="75" t="s">
        <v>268</v>
      </c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75"/>
      <c r="BU92" s="75"/>
      <c r="BV92" s="75"/>
      <c r="BW92" s="75"/>
      <c r="BX92" s="75"/>
      <c r="BY92" s="75"/>
      <c r="BZ92" s="75"/>
      <c r="CA92" s="75"/>
      <c r="CB92" s="75"/>
      <c r="CC92" s="75"/>
      <c r="CD92" s="75"/>
      <c r="CE92" s="75"/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6"/>
      <c r="CX92" s="72"/>
      <c r="CY92" s="68"/>
      <c r="CZ92" s="68"/>
      <c r="DA92" s="69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8</v>
      </c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74" t="s">
        <v>8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5"/>
      <c r="CJ93" s="75"/>
      <c r="CK93" s="75"/>
      <c r="CL93" s="75"/>
      <c r="CM93" s="75"/>
      <c r="CN93" s="75"/>
      <c r="CO93" s="75"/>
      <c r="CP93" s="75"/>
      <c r="CQ93" s="75"/>
      <c r="CR93" s="75"/>
      <c r="CS93" s="75"/>
      <c r="CT93" s="75"/>
      <c r="CU93" s="75"/>
      <c r="CV93" s="75"/>
      <c r="CW93" s="76"/>
      <c r="CX93" s="72"/>
      <c r="CY93" s="68"/>
      <c r="CZ93" s="68"/>
      <c r="DA93" s="69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74" t="s">
        <v>141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5"/>
      <c r="CK94" s="75"/>
      <c r="CL94" s="75"/>
      <c r="CM94" s="75"/>
      <c r="CN94" s="75"/>
      <c r="CO94" s="75"/>
      <c r="CP94" s="75"/>
      <c r="CQ94" s="75"/>
      <c r="CR94" s="75"/>
      <c r="CS94" s="75"/>
      <c r="CT94" s="75"/>
      <c r="CU94" s="75"/>
      <c r="CV94" s="75"/>
      <c r="CW94" s="76"/>
      <c r="CX94" s="72"/>
      <c r="CY94" s="68"/>
      <c r="CZ94" s="68"/>
      <c r="DA94" s="69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74" t="s">
        <v>8</v>
      </c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5"/>
      <c r="CL95" s="75"/>
      <c r="CM95" s="75"/>
      <c r="CN95" s="75"/>
      <c r="CO95" s="75"/>
      <c r="CP95" s="75"/>
      <c r="CQ95" s="75"/>
      <c r="CR95" s="75"/>
      <c r="CS95" s="75"/>
      <c r="CT95" s="75"/>
      <c r="CU95" s="75"/>
      <c r="CV95" s="75"/>
      <c r="CW95" s="76"/>
      <c r="CX95" s="72"/>
      <c r="CY95" s="68"/>
      <c r="CZ95" s="68"/>
      <c r="DA95" s="69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74"/>
      <c r="B96" s="75"/>
      <c r="C96" s="75"/>
      <c r="D96" s="75"/>
      <c r="E96" s="75"/>
      <c r="F96" s="75"/>
      <c r="G96" s="75" t="s">
        <v>565</v>
      </c>
      <c r="H96" s="75"/>
      <c r="I96" s="75"/>
      <c r="J96" s="75"/>
      <c r="K96" s="75"/>
      <c r="L96" s="75" t="str">
        <f>TEXT(TRUNC(건설기계!H35,0),"#,##0")</f>
        <v>10,024</v>
      </c>
      <c r="M96" s="75"/>
      <c r="N96" s="75"/>
      <c r="O96" s="75"/>
      <c r="P96" s="75"/>
      <c r="Q96" s="75"/>
      <c r="R96" s="75"/>
      <c r="S96" s="75" t="s">
        <v>181</v>
      </c>
      <c r="T96" s="75"/>
      <c r="U96" s="75"/>
      <c r="V96" s="75" t="s">
        <v>534</v>
      </c>
      <c r="W96" s="75"/>
      <c r="X96" s="75" t="s">
        <v>536</v>
      </c>
      <c r="Y96" s="75"/>
      <c r="Z96" s="75" t="str">
        <f>TEXT(ROUNDDOWN(L96/AH92,1),"#,##0.0#######")</f>
        <v>616.8</v>
      </c>
      <c r="AA96" s="75"/>
      <c r="AB96" s="75"/>
      <c r="AC96" s="75"/>
      <c r="AD96" s="75"/>
      <c r="AE96" s="75"/>
      <c r="AF96" s="75"/>
      <c r="AG96" s="75" t="s">
        <v>679</v>
      </c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  <c r="BH96" s="75"/>
      <c r="BI96" s="75"/>
      <c r="BJ96" s="75"/>
      <c r="BK96" s="75"/>
      <c r="BL96" s="75"/>
      <c r="BM96" s="75"/>
      <c r="BN96" s="75"/>
      <c r="BO96" s="75"/>
      <c r="BP96" s="75"/>
      <c r="BQ96" s="75"/>
      <c r="BR96" s="75"/>
      <c r="BS96" s="75"/>
      <c r="BT96" s="75"/>
      <c r="BU96" s="75"/>
      <c r="BV96" s="75"/>
      <c r="BW96" s="75"/>
      <c r="BX96" s="75"/>
      <c r="BY96" s="75"/>
      <c r="BZ96" s="75"/>
      <c r="CA96" s="75"/>
      <c r="CB96" s="75"/>
      <c r="CC96" s="75"/>
      <c r="CD96" s="75"/>
      <c r="CE96" s="75"/>
      <c r="CF96" s="75"/>
      <c r="CG96" s="75"/>
      <c r="CH96" s="75"/>
      <c r="CI96" s="75"/>
      <c r="CJ96" s="75"/>
      <c r="CK96" s="75"/>
      <c r="CL96" s="75"/>
      <c r="CM96" s="75"/>
      <c r="CN96" s="75"/>
      <c r="CO96" s="75"/>
      <c r="CP96" s="75"/>
      <c r="CQ96" s="75"/>
      <c r="CR96" s="75"/>
      <c r="CS96" s="75"/>
      <c r="CT96" s="75"/>
      <c r="CU96" s="75"/>
      <c r="CV96" s="75"/>
      <c r="CW96" s="76"/>
      <c r="CX96" s="72">
        <f>CY96+CZ96+DA96</f>
        <v>616.79999999999995</v>
      </c>
      <c r="CY96" s="68" t="str">
        <f>TEXT(Z96,"#,###.0")</f>
        <v>616.8</v>
      </c>
      <c r="CZ96" s="68"/>
      <c r="DA96" s="69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631</v>
      </c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74" t="s">
        <v>8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  <c r="AY97" s="75"/>
      <c r="AZ97" s="75"/>
      <c r="BA97" s="75"/>
      <c r="BB97" s="75"/>
      <c r="BC97" s="75"/>
      <c r="BD97" s="75"/>
      <c r="BE97" s="75"/>
      <c r="BF97" s="75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5"/>
      <c r="BT97" s="75"/>
      <c r="BU97" s="75"/>
      <c r="BV97" s="75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  <c r="CV97" s="75"/>
      <c r="CW97" s="76"/>
      <c r="CX97" s="72"/>
      <c r="CY97" s="68"/>
      <c r="CZ97" s="68"/>
      <c r="DA97" s="69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74"/>
      <c r="B98" s="75"/>
      <c r="C98" s="75"/>
      <c r="D98" s="75"/>
      <c r="E98" s="75"/>
      <c r="F98" s="75"/>
      <c r="G98" s="75" t="s">
        <v>329</v>
      </c>
      <c r="H98" s="75"/>
      <c r="I98" s="75"/>
      <c r="J98" s="75"/>
      <c r="K98" s="75"/>
      <c r="L98" s="75" t="str">
        <f>TEXT(TRUNC(건설기계!J35,0),"#,##0")</f>
        <v>59,020</v>
      </c>
      <c r="M98" s="75"/>
      <c r="N98" s="75"/>
      <c r="O98" s="75"/>
      <c r="P98" s="75"/>
      <c r="Q98" s="75"/>
      <c r="R98" s="75"/>
      <c r="S98" s="75" t="s">
        <v>181</v>
      </c>
      <c r="T98" s="75"/>
      <c r="U98" s="75"/>
      <c r="V98" s="75" t="s">
        <v>534</v>
      </c>
      <c r="W98" s="75"/>
      <c r="X98" s="75" t="s">
        <v>536</v>
      </c>
      <c r="Y98" s="75"/>
      <c r="Z98" s="75" t="str">
        <f>TEXT(ROUNDDOWN(L98/AH92,1),"#,##0.0#######")</f>
        <v>3,632.0</v>
      </c>
      <c r="AA98" s="75"/>
      <c r="AB98" s="75"/>
      <c r="AC98" s="75"/>
      <c r="AD98" s="75"/>
      <c r="AE98" s="75"/>
      <c r="AF98" s="75"/>
      <c r="AG98" s="75"/>
      <c r="AH98" s="75"/>
      <c r="AI98" s="75" t="s">
        <v>679</v>
      </c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  <c r="BH98" s="75"/>
      <c r="BI98" s="75"/>
      <c r="BJ98" s="75"/>
      <c r="BK98" s="75"/>
      <c r="BL98" s="75"/>
      <c r="BM98" s="75"/>
      <c r="BN98" s="75"/>
      <c r="BO98" s="75"/>
      <c r="BP98" s="75"/>
      <c r="BQ98" s="75"/>
      <c r="BR98" s="75"/>
      <c r="BS98" s="75"/>
      <c r="BT98" s="75"/>
      <c r="BU98" s="75"/>
      <c r="BV98" s="75"/>
      <c r="BW98" s="75"/>
      <c r="BX98" s="75"/>
      <c r="BY98" s="75"/>
      <c r="BZ98" s="75"/>
      <c r="CA98" s="75"/>
      <c r="CB98" s="75"/>
      <c r="CC98" s="75"/>
      <c r="CD98" s="75"/>
      <c r="CE98" s="75"/>
      <c r="CF98" s="75"/>
      <c r="CG98" s="75"/>
      <c r="CH98" s="75"/>
      <c r="CI98" s="75"/>
      <c r="CJ98" s="75"/>
      <c r="CK98" s="75"/>
      <c r="CL98" s="75"/>
      <c r="CM98" s="75"/>
      <c r="CN98" s="75"/>
      <c r="CO98" s="75"/>
      <c r="CP98" s="75"/>
      <c r="CQ98" s="75"/>
      <c r="CR98" s="75"/>
      <c r="CS98" s="75"/>
      <c r="CT98" s="75"/>
      <c r="CU98" s="75"/>
      <c r="CV98" s="75"/>
      <c r="CW98" s="76"/>
      <c r="CX98" s="72">
        <f>CY98+CZ98+DA98</f>
        <v>3632</v>
      </c>
      <c r="CY98" s="68"/>
      <c r="CZ98" s="68" t="str">
        <f>TEXT(Z98,"#,###.0")</f>
        <v>3,632.0</v>
      </c>
      <c r="DA98" s="69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631</v>
      </c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74" t="s">
        <v>8</v>
      </c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5"/>
      <c r="AY99" s="75"/>
      <c r="AZ99" s="75"/>
      <c r="BA99" s="75"/>
      <c r="BB99" s="75"/>
      <c r="BC99" s="75"/>
      <c r="BD99" s="75"/>
      <c r="BE99" s="75"/>
      <c r="BF99" s="75"/>
      <c r="BG99" s="75"/>
      <c r="BH99" s="75"/>
      <c r="BI99" s="75"/>
      <c r="BJ99" s="75"/>
      <c r="BK99" s="75"/>
      <c r="BL99" s="75"/>
      <c r="BM99" s="75"/>
      <c r="BN99" s="75"/>
      <c r="BO99" s="75"/>
      <c r="BP99" s="75"/>
      <c r="BQ99" s="75"/>
      <c r="BR99" s="75"/>
      <c r="BS99" s="75"/>
      <c r="BT99" s="75"/>
      <c r="BU99" s="75"/>
      <c r="BV99" s="75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75"/>
      <c r="CR99" s="75"/>
      <c r="CS99" s="75"/>
      <c r="CT99" s="75"/>
      <c r="CU99" s="75"/>
      <c r="CV99" s="75"/>
      <c r="CW99" s="76"/>
      <c r="CX99" s="72"/>
      <c r="CY99" s="68"/>
      <c r="CZ99" s="68"/>
      <c r="DA99" s="69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74"/>
      <c r="B100" s="75"/>
      <c r="C100" s="75"/>
      <c r="D100" s="75"/>
      <c r="E100" s="75"/>
      <c r="F100" s="75"/>
      <c r="G100" s="75" t="s">
        <v>655</v>
      </c>
      <c r="H100" s="75"/>
      <c r="I100" s="75"/>
      <c r="J100" s="75"/>
      <c r="K100" s="75"/>
      <c r="L100" s="75" t="str">
        <f>TEXT(TRUNC(건설기계!L35,0),"#,##0")</f>
        <v>13,873</v>
      </c>
      <c r="M100" s="75"/>
      <c r="N100" s="75"/>
      <c r="O100" s="75"/>
      <c r="P100" s="75"/>
      <c r="Q100" s="75"/>
      <c r="R100" s="75"/>
      <c r="S100" s="75" t="s">
        <v>181</v>
      </c>
      <c r="T100" s="75"/>
      <c r="U100" s="75"/>
      <c r="V100" s="75" t="s">
        <v>534</v>
      </c>
      <c r="W100" s="75"/>
      <c r="X100" s="75" t="s">
        <v>536</v>
      </c>
      <c r="Y100" s="75"/>
      <c r="Z100" s="75" t="str">
        <f>TEXT(ROUNDDOWN(L100/AH92,1),"#,##0.0#######")</f>
        <v>853.7</v>
      </c>
      <c r="AA100" s="75"/>
      <c r="AB100" s="75"/>
      <c r="AC100" s="75"/>
      <c r="AD100" s="75"/>
      <c r="AE100" s="75"/>
      <c r="AF100" s="75"/>
      <c r="AG100" s="75" t="s">
        <v>679</v>
      </c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  <c r="AY100" s="75"/>
      <c r="AZ100" s="75"/>
      <c r="BA100" s="75"/>
      <c r="BB100" s="75"/>
      <c r="BC100" s="75"/>
      <c r="BD100" s="75"/>
      <c r="BE100" s="75"/>
      <c r="BF100" s="75"/>
      <c r="BG100" s="75"/>
      <c r="BH100" s="75"/>
      <c r="BI100" s="75"/>
      <c r="BJ100" s="75"/>
      <c r="BK100" s="75"/>
      <c r="BL100" s="75"/>
      <c r="BM100" s="75"/>
      <c r="BN100" s="75"/>
      <c r="BO100" s="75"/>
      <c r="BP100" s="75"/>
      <c r="BQ100" s="75"/>
      <c r="BR100" s="75"/>
      <c r="BS100" s="75"/>
      <c r="BT100" s="75"/>
      <c r="BU100" s="75"/>
      <c r="BV100" s="75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  <c r="CW100" s="76"/>
      <c r="CX100" s="72">
        <f>CY100+CZ100+DA100</f>
        <v>853.7</v>
      </c>
      <c r="CY100" s="68"/>
      <c r="CZ100" s="68"/>
      <c r="DA100" s="69" t="str">
        <f>TEXT(Z100,"#,###.0")</f>
        <v>853.7</v>
      </c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631</v>
      </c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74" t="s">
        <v>8</v>
      </c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5"/>
      <c r="AY101" s="75"/>
      <c r="AZ101" s="75"/>
      <c r="BA101" s="75"/>
      <c r="BB101" s="75"/>
      <c r="BC101" s="75"/>
      <c r="BD101" s="75"/>
      <c r="BE101" s="75"/>
      <c r="BF101" s="75"/>
      <c r="BG101" s="75"/>
      <c r="BH101" s="75"/>
      <c r="BI101" s="75"/>
      <c r="BJ101" s="75"/>
      <c r="BK101" s="75"/>
      <c r="BL101" s="75"/>
      <c r="BM101" s="75"/>
      <c r="BN101" s="75"/>
      <c r="BO101" s="75"/>
      <c r="BP101" s="75"/>
      <c r="BQ101" s="75"/>
      <c r="BR101" s="75"/>
      <c r="BS101" s="75"/>
      <c r="BT101" s="75"/>
      <c r="BU101" s="75"/>
      <c r="BV101" s="75"/>
      <c r="BW101" s="75"/>
      <c r="BX101" s="75"/>
      <c r="BY101" s="75"/>
      <c r="BZ101" s="75"/>
      <c r="CA101" s="75"/>
      <c r="CB101" s="75"/>
      <c r="CC101" s="75"/>
      <c r="CD101" s="75"/>
      <c r="CE101" s="75"/>
      <c r="CF101" s="75"/>
      <c r="CG101" s="75"/>
      <c r="CH101" s="75"/>
      <c r="CI101" s="75"/>
      <c r="CJ101" s="75"/>
      <c r="CK101" s="75"/>
      <c r="CL101" s="75"/>
      <c r="CM101" s="75"/>
      <c r="CN101" s="75"/>
      <c r="CO101" s="75"/>
      <c r="CP101" s="75"/>
      <c r="CQ101" s="75"/>
      <c r="CR101" s="75"/>
      <c r="CS101" s="75"/>
      <c r="CT101" s="75"/>
      <c r="CU101" s="75"/>
      <c r="CV101" s="75"/>
      <c r="CW101" s="76"/>
      <c r="CX101" s="72"/>
      <c r="CY101" s="68"/>
      <c r="CZ101" s="68"/>
      <c r="DA101" s="69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74" t="s">
        <v>562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  <c r="AY102" s="75"/>
      <c r="AZ102" s="75"/>
      <c r="BA102" s="75"/>
      <c r="BB102" s="75"/>
      <c r="BC102" s="75"/>
      <c r="BD102" s="75"/>
      <c r="BE102" s="75"/>
      <c r="BF102" s="75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6"/>
      <c r="CX102" s="72"/>
      <c r="CY102" s="68"/>
      <c r="CZ102" s="68"/>
      <c r="DA102" s="69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8</v>
      </c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74" t="s">
        <v>8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5"/>
      <c r="AY103" s="75"/>
      <c r="AZ103" s="75"/>
      <c r="BA103" s="75"/>
      <c r="BB103" s="75"/>
      <c r="BC103" s="75"/>
      <c r="BD103" s="75"/>
      <c r="BE103" s="75"/>
      <c r="BF103" s="75"/>
      <c r="BG103" s="75"/>
      <c r="BH103" s="75"/>
      <c r="BI103" s="75"/>
      <c r="BJ103" s="75"/>
      <c r="BK103" s="75"/>
      <c r="BL103" s="75"/>
      <c r="BM103" s="75"/>
      <c r="BN103" s="75"/>
      <c r="BO103" s="75"/>
      <c r="BP103" s="75"/>
      <c r="BQ103" s="75"/>
      <c r="BR103" s="75"/>
      <c r="BS103" s="75"/>
      <c r="BT103" s="75"/>
      <c r="BU103" s="75"/>
      <c r="BV103" s="75"/>
      <c r="BW103" s="75"/>
      <c r="BX103" s="75"/>
      <c r="BY103" s="75"/>
      <c r="BZ103" s="75"/>
      <c r="CA103" s="75"/>
      <c r="CB103" s="75"/>
      <c r="CC103" s="75"/>
      <c r="CD103" s="75"/>
      <c r="CE103" s="75"/>
      <c r="CF103" s="75"/>
      <c r="CG103" s="75"/>
      <c r="CH103" s="75"/>
      <c r="CI103" s="75"/>
      <c r="CJ103" s="75"/>
      <c r="CK103" s="75"/>
      <c r="CL103" s="75"/>
      <c r="CM103" s="75"/>
      <c r="CN103" s="75"/>
      <c r="CO103" s="75"/>
      <c r="CP103" s="75"/>
      <c r="CQ103" s="75"/>
      <c r="CR103" s="75"/>
      <c r="CS103" s="75"/>
      <c r="CT103" s="75"/>
      <c r="CU103" s="75"/>
      <c r="CV103" s="75"/>
      <c r="CW103" s="76"/>
      <c r="CX103" s="72"/>
      <c r="CY103" s="68"/>
      <c r="CZ103" s="68"/>
      <c r="DA103" s="69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92"/>
      <c r="B104" s="93" t="s">
        <v>215</v>
      </c>
      <c r="C104" s="93"/>
      <c r="D104" s="93"/>
      <c r="E104" s="93"/>
      <c r="F104" s="93" t="s">
        <v>328</v>
      </c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  <c r="AT104" s="93"/>
      <c r="AU104" s="93"/>
      <c r="AV104" s="93"/>
      <c r="AW104" s="93"/>
      <c r="AX104" s="93"/>
      <c r="AY104" s="93"/>
      <c r="AZ104" s="93"/>
      <c r="BA104" s="93"/>
      <c r="BB104" s="93"/>
      <c r="BC104" s="93"/>
      <c r="BD104" s="93"/>
      <c r="BE104" s="93"/>
      <c r="BF104" s="93"/>
      <c r="BG104" s="93"/>
      <c r="BH104" s="93"/>
      <c r="BI104" s="93"/>
      <c r="BJ104" s="93"/>
      <c r="BK104" s="93"/>
      <c r="BL104" s="93"/>
      <c r="BM104" s="93"/>
      <c r="BN104" s="93"/>
      <c r="BO104" s="93"/>
      <c r="BP104" s="93"/>
      <c r="BQ104" s="93"/>
      <c r="BR104" s="93"/>
      <c r="BS104" s="93"/>
      <c r="BT104" s="93"/>
      <c r="BU104" s="93"/>
      <c r="BV104" s="93"/>
      <c r="BW104" s="93"/>
      <c r="BX104" s="93"/>
      <c r="BY104" s="93"/>
      <c r="BZ104" s="93"/>
      <c r="CA104" s="93"/>
      <c r="CB104" s="93"/>
      <c r="CC104" s="93"/>
      <c r="CD104" s="93"/>
      <c r="CE104" s="93"/>
      <c r="CF104" s="93"/>
      <c r="CG104" s="93"/>
      <c r="CH104" s="93"/>
      <c r="CI104" s="93"/>
      <c r="CJ104" s="93"/>
      <c r="CK104" s="93"/>
      <c r="CL104" s="93"/>
      <c r="CM104" s="93"/>
      <c r="CN104" s="93"/>
      <c r="CO104" s="93"/>
      <c r="CP104" s="93"/>
      <c r="CQ104" s="93"/>
      <c r="CR104" s="93"/>
      <c r="CS104" s="93"/>
      <c r="CT104" s="93"/>
      <c r="CU104" s="93"/>
      <c r="CV104" s="93"/>
      <c r="CW104" s="94"/>
      <c r="CX104" s="95">
        <f>CY104+CZ104+DA104</f>
        <v>5102.5</v>
      </c>
      <c r="CY104" s="96" t="str">
        <f>TEXT(TRUNC(CY96+CY98+CY100,1),"#,###.0")</f>
        <v>616.8</v>
      </c>
      <c r="CZ104" s="96" t="str">
        <f>TEXT(TRUNC(CZ96+CZ98+CZ100,1),"#,###.0")</f>
        <v>3,632.0</v>
      </c>
      <c r="DA104" s="97" t="str">
        <f>TEXT(TRUNC(DA96+DA98+DA100,1),"#,###.0")</f>
        <v>853.7</v>
      </c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8</v>
      </c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74" t="s">
        <v>8</v>
      </c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  <c r="BH105" s="75"/>
      <c r="BI105" s="75"/>
      <c r="BJ105" s="75"/>
      <c r="BK105" s="75"/>
      <c r="BL105" s="75"/>
      <c r="BM105" s="75"/>
      <c r="BN105" s="75"/>
      <c r="BO105" s="75"/>
      <c r="BP105" s="75"/>
      <c r="BQ105" s="75"/>
      <c r="BR105" s="75"/>
      <c r="BS105" s="75"/>
      <c r="BT105" s="75"/>
      <c r="BU105" s="75"/>
      <c r="BV105" s="75"/>
      <c r="BW105" s="75"/>
      <c r="BX105" s="75"/>
      <c r="BY105" s="75"/>
      <c r="BZ105" s="75"/>
      <c r="CA105" s="75"/>
      <c r="CB105" s="75"/>
      <c r="CC105" s="75"/>
      <c r="CD105" s="75"/>
      <c r="CE105" s="75"/>
      <c r="CF105" s="75"/>
      <c r="CG105" s="75"/>
      <c r="CH105" s="75"/>
      <c r="CI105" s="75"/>
      <c r="CJ105" s="75"/>
      <c r="CK105" s="75"/>
      <c r="CL105" s="75"/>
      <c r="CM105" s="75"/>
      <c r="CN105" s="75"/>
      <c r="CO105" s="75"/>
      <c r="CP105" s="75"/>
      <c r="CQ105" s="75"/>
      <c r="CR105" s="75"/>
      <c r="CS105" s="75"/>
      <c r="CT105" s="75"/>
      <c r="CU105" s="75"/>
      <c r="CV105" s="75"/>
      <c r="CW105" s="76"/>
      <c r="CX105" s="72"/>
      <c r="CY105" s="68"/>
      <c r="CZ105" s="68"/>
      <c r="DA105" s="69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74" t="s">
        <v>513</v>
      </c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  <c r="AY106" s="75"/>
      <c r="AZ106" s="75"/>
      <c r="BA106" s="75"/>
      <c r="BB106" s="75"/>
      <c r="BC106" s="75"/>
      <c r="BD106" s="75"/>
      <c r="BE106" s="75"/>
      <c r="BF106" s="75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6"/>
      <c r="CX106" s="72"/>
      <c r="CY106" s="68"/>
      <c r="CZ106" s="68"/>
      <c r="DA106" s="69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74" t="s">
        <v>8</v>
      </c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5"/>
      <c r="AY107" s="75"/>
      <c r="AZ107" s="75"/>
      <c r="BA107" s="75"/>
      <c r="BB107" s="75"/>
      <c r="BC107" s="75"/>
      <c r="BD107" s="75"/>
      <c r="BE107" s="75"/>
      <c r="BF107" s="75"/>
      <c r="BG107" s="75"/>
      <c r="BH107" s="75"/>
      <c r="BI107" s="75"/>
      <c r="BJ107" s="75"/>
      <c r="BK107" s="75"/>
      <c r="BL107" s="75"/>
      <c r="BM107" s="75"/>
      <c r="BN107" s="75"/>
      <c r="BO107" s="75"/>
      <c r="BP107" s="75"/>
      <c r="BQ107" s="75"/>
      <c r="BR107" s="75"/>
      <c r="BS107" s="75"/>
      <c r="BT107" s="75"/>
      <c r="BU107" s="75"/>
      <c r="BV107" s="75"/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/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6"/>
      <c r="CX107" s="72"/>
      <c r="CY107" s="68"/>
      <c r="CZ107" s="68"/>
      <c r="DA107" s="69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74"/>
      <c r="B108" s="75"/>
      <c r="C108" s="75"/>
      <c r="D108" s="75"/>
      <c r="E108" s="75"/>
      <c r="F108" s="75"/>
      <c r="G108" s="75" t="s">
        <v>565</v>
      </c>
      <c r="H108" s="75"/>
      <c r="I108" s="75"/>
      <c r="J108" s="75"/>
      <c r="K108" s="75"/>
      <c r="L108" s="75" t="str">
        <f>TEXT(TRUNC(건설기계!H43,0),"#,##0")</f>
        <v>20,033</v>
      </c>
      <c r="M108" s="75"/>
      <c r="N108" s="75"/>
      <c r="O108" s="75"/>
      <c r="P108" s="75"/>
      <c r="Q108" s="75"/>
      <c r="R108" s="75"/>
      <c r="S108" s="75" t="s">
        <v>181</v>
      </c>
      <c r="T108" s="75"/>
      <c r="U108" s="75"/>
      <c r="V108" s="75" t="s">
        <v>534</v>
      </c>
      <c r="W108" s="75"/>
      <c r="X108" s="75" t="s">
        <v>357</v>
      </c>
      <c r="Y108" s="75"/>
      <c r="Z108" s="75" t="str">
        <f>TEXT(0.5,"#,##0.0#######")</f>
        <v>0.5</v>
      </c>
      <c r="AA108" s="75"/>
      <c r="AB108" s="75"/>
      <c r="AC108" s="75"/>
      <c r="AD108" s="75" t="s">
        <v>536</v>
      </c>
      <c r="AE108" s="75"/>
      <c r="AF108" s="75" t="str">
        <f>TEXT(ROUNDDOWN(L108/AH92*Z108,1),"#,##0.0#######")</f>
        <v>616.4</v>
      </c>
      <c r="AG108" s="75"/>
      <c r="AH108" s="75"/>
      <c r="AI108" s="75"/>
      <c r="AJ108" s="75"/>
      <c r="AK108" s="75"/>
      <c r="AL108" s="75"/>
      <c r="AM108" s="75" t="s">
        <v>679</v>
      </c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  <c r="BH108" s="75"/>
      <c r="BI108" s="75"/>
      <c r="BJ108" s="75"/>
      <c r="BK108" s="75"/>
      <c r="BL108" s="75"/>
      <c r="BM108" s="75"/>
      <c r="BN108" s="75"/>
      <c r="BO108" s="75"/>
      <c r="BP108" s="75"/>
      <c r="BQ108" s="75"/>
      <c r="BR108" s="75"/>
      <c r="BS108" s="75"/>
      <c r="BT108" s="75"/>
      <c r="BU108" s="75"/>
      <c r="BV108" s="75"/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/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6"/>
      <c r="CX108" s="72">
        <f>CY108+CZ108+DA108</f>
        <v>616.4</v>
      </c>
      <c r="CY108" s="68" t="str">
        <f>TEXT(AF108,"#,###.0")</f>
        <v>616.4</v>
      </c>
      <c r="CZ108" s="68"/>
      <c r="DA108" s="69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334</v>
      </c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74" t="s">
        <v>8</v>
      </c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5"/>
      <c r="AY109" s="75"/>
      <c r="AZ109" s="75"/>
      <c r="BA109" s="75"/>
      <c r="BB109" s="75"/>
      <c r="BC109" s="75"/>
      <c r="BD109" s="75"/>
      <c r="BE109" s="75"/>
      <c r="BF109" s="75"/>
      <c r="BG109" s="75"/>
      <c r="BH109" s="75"/>
      <c r="BI109" s="75"/>
      <c r="BJ109" s="75"/>
      <c r="BK109" s="75"/>
      <c r="BL109" s="75"/>
      <c r="BM109" s="75"/>
      <c r="BN109" s="75"/>
      <c r="BO109" s="75"/>
      <c r="BP109" s="75"/>
      <c r="BQ109" s="75"/>
      <c r="BR109" s="75"/>
      <c r="BS109" s="75"/>
      <c r="BT109" s="75"/>
      <c r="BU109" s="75"/>
      <c r="BV109" s="75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/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6"/>
      <c r="CX109" s="72"/>
      <c r="CY109" s="68"/>
      <c r="CZ109" s="68"/>
      <c r="DA109" s="69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74"/>
      <c r="B110" s="75"/>
      <c r="C110" s="75"/>
      <c r="D110" s="75"/>
      <c r="E110" s="75"/>
      <c r="F110" s="75"/>
      <c r="G110" s="75" t="s">
        <v>329</v>
      </c>
      <c r="H110" s="75"/>
      <c r="I110" s="75"/>
      <c r="J110" s="75"/>
      <c r="K110" s="75"/>
      <c r="L110" s="75" t="str">
        <f>TEXT(TRUNC(건설기계!J43,0),"#,##0")</f>
        <v>49,778</v>
      </c>
      <c r="M110" s="75"/>
      <c r="N110" s="75"/>
      <c r="O110" s="75"/>
      <c r="P110" s="75"/>
      <c r="Q110" s="75"/>
      <c r="R110" s="75"/>
      <c r="S110" s="75" t="s">
        <v>181</v>
      </c>
      <c r="T110" s="75"/>
      <c r="U110" s="75"/>
      <c r="V110" s="75" t="s">
        <v>534</v>
      </c>
      <c r="W110" s="75"/>
      <c r="X110" s="75" t="s">
        <v>357</v>
      </c>
      <c r="Y110" s="75"/>
      <c r="Z110" s="75" t="str">
        <f>TEXT(0.5,"#,##0.0#######")</f>
        <v>0.5</v>
      </c>
      <c r="AA110" s="75"/>
      <c r="AB110" s="75"/>
      <c r="AC110" s="75"/>
      <c r="AD110" s="75" t="s">
        <v>536</v>
      </c>
      <c r="AE110" s="75"/>
      <c r="AF110" s="75" t="str">
        <f>TEXT(ROUNDDOWN(L110/AH92*Z110,1),"#,##0.0#######")</f>
        <v>1,531.6</v>
      </c>
      <c r="AG110" s="75"/>
      <c r="AH110" s="75"/>
      <c r="AI110" s="75"/>
      <c r="AJ110" s="75"/>
      <c r="AK110" s="75"/>
      <c r="AL110" s="75"/>
      <c r="AM110" s="75"/>
      <c r="AN110" s="75"/>
      <c r="AO110" s="75" t="s">
        <v>679</v>
      </c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5"/>
      <c r="BD110" s="75"/>
      <c r="BE110" s="75"/>
      <c r="BF110" s="75"/>
      <c r="BG110" s="75"/>
      <c r="BH110" s="75"/>
      <c r="BI110" s="75"/>
      <c r="BJ110" s="75"/>
      <c r="BK110" s="75"/>
      <c r="BL110" s="75"/>
      <c r="BM110" s="75"/>
      <c r="BN110" s="75"/>
      <c r="BO110" s="75"/>
      <c r="BP110" s="75"/>
      <c r="BQ110" s="75"/>
      <c r="BR110" s="75"/>
      <c r="BS110" s="75"/>
      <c r="BT110" s="75"/>
      <c r="BU110" s="75"/>
      <c r="BV110" s="75"/>
      <c r="BW110" s="75"/>
      <c r="BX110" s="75"/>
      <c r="BY110" s="75"/>
      <c r="BZ110" s="75"/>
      <c r="CA110" s="75"/>
      <c r="CB110" s="75"/>
      <c r="CC110" s="75"/>
      <c r="CD110" s="75"/>
      <c r="CE110" s="75"/>
      <c r="CF110" s="75"/>
      <c r="CG110" s="75"/>
      <c r="CH110" s="75"/>
      <c r="CI110" s="75"/>
      <c r="CJ110" s="75"/>
      <c r="CK110" s="75"/>
      <c r="CL110" s="75"/>
      <c r="CM110" s="75"/>
      <c r="CN110" s="75"/>
      <c r="CO110" s="75"/>
      <c r="CP110" s="75"/>
      <c r="CQ110" s="75"/>
      <c r="CR110" s="75"/>
      <c r="CS110" s="75"/>
      <c r="CT110" s="75"/>
      <c r="CU110" s="75"/>
      <c r="CV110" s="75"/>
      <c r="CW110" s="76"/>
      <c r="CX110" s="72">
        <f>CY110+CZ110+DA110</f>
        <v>1531.6</v>
      </c>
      <c r="CY110" s="68"/>
      <c r="CZ110" s="68" t="str">
        <f>TEXT(AF110,"#,###.0")</f>
        <v>1,531.6</v>
      </c>
      <c r="DA110" s="69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334</v>
      </c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74" t="s">
        <v>8</v>
      </c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5"/>
      <c r="BD111" s="75"/>
      <c r="BE111" s="75"/>
      <c r="BF111" s="75"/>
      <c r="BG111" s="75"/>
      <c r="BH111" s="75"/>
      <c r="BI111" s="75"/>
      <c r="BJ111" s="75"/>
      <c r="BK111" s="75"/>
      <c r="BL111" s="75"/>
      <c r="BM111" s="75"/>
      <c r="BN111" s="75"/>
      <c r="BO111" s="75"/>
      <c r="BP111" s="75"/>
      <c r="BQ111" s="75"/>
      <c r="BR111" s="75"/>
      <c r="BS111" s="75"/>
      <c r="BT111" s="75"/>
      <c r="BU111" s="75"/>
      <c r="BV111" s="75"/>
      <c r="BW111" s="75"/>
      <c r="BX111" s="75"/>
      <c r="BY111" s="75"/>
      <c r="BZ111" s="75"/>
      <c r="CA111" s="75"/>
      <c r="CB111" s="75"/>
      <c r="CC111" s="75"/>
      <c r="CD111" s="75"/>
      <c r="CE111" s="75"/>
      <c r="CF111" s="75"/>
      <c r="CG111" s="75"/>
      <c r="CH111" s="75"/>
      <c r="CI111" s="75"/>
      <c r="CJ111" s="75"/>
      <c r="CK111" s="75"/>
      <c r="CL111" s="75"/>
      <c r="CM111" s="75"/>
      <c r="CN111" s="75"/>
      <c r="CO111" s="75"/>
      <c r="CP111" s="75"/>
      <c r="CQ111" s="75"/>
      <c r="CR111" s="75"/>
      <c r="CS111" s="75"/>
      <c r="CT111" s="75"/>
      <c r="CU111" s="75"/>
      <c r="CV111" s="75"/>
      <c r="CW111" s="76"/>
      <c r="CX111" s="72"/>
      <c r="CY111" s="68"/>
      <c r="CZ111" s="68"/>
      <c r="DA111" s="69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74"/>
      <c r="B112" s="75"/>
      <c r="C112" s="75"/>
      <c r="D112" s="75"/>
      <c r="E112" s="75"/>
      <c r="F112" s="75"/>
      <c r="G112" s="75" t="s">
        <v>655</v>
      </c>
      <c r="H112" s="75"/>
      <c r="I112" s="75"/>
      <c r="J112" s="75"/>
      <c r="K112" s="75"/>
      <c r="L112" s="75" t="str">
        <f>TEXT(TRUNC(건설기계!L43,0),"#,##0")</f>
        <v>9,986</v>
      </c>
      <c r="M112" s="75"/>
      <c r="N112" s="75"/>
      <c r="O112" s="75"/>
      <c r="P112" s="75"/>
      <c r="Q112" s="75"/>
      <c r="R112" s="75" t="s">
        <v>181</v>
      </c>
      <c r="S112" s="75"/>
      <c r="T112" s="75"/>
      <c r="U112" s="75" t="s">
        <v>534</v>
      </c>
      <c r="V112" s="75"/>
      <c r="W112" s="75" t="s">
        <v>357</v>
      </c>
      <c r="X112" s="75"/>
      <c r="Y112" s="75" t="str">
        <f>TEXT(0.5,"#,##0.0#######")</f>
        <v>0.5</v>
      </c>
      <c r="Z112" s="75"/>
      <c r="AA112" s="75"/>
      <c r="AB112" s="75"/>
      <c r="AC112" s="75" t="s">
        <v>536</v>
      </c>
      <c r="AD112" s="75"/>
      <c r="AE112" s="75" t="str">
        <f>TEXT(ROUNDDOWN(L112/AH92*Y112,1),"#,##0.0#######")</f>
        <v>307.2</v>
      </c>
      <c r="AF112" s="75"/>
      <c r="AG112" s="75"/>
      <c r="AH112" s="75"/>
      <c r="AI112" s="75"/>
      <c r="AJ112" s="75"/>
      <c r="AK112" s="75"/>
      <c r="AL112" s="75" t="s">
        <v>679</v>
      </c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  <c r="BI112" s="75"/>
      <c r="BJ112" s="75"/>
      <c r="BK112" s="75"/>
      <c r="BL112" s="75"/>
      <c r="BM112" s="75"/>
      <c r="BN112" s="75"/>
      <c r="BO112" s="75"/>
      <c r="BP112" s="75"/>
      <c r="BQ112" s="75"/>
      <c r="BR112" s="75"/>
      <c r="BS112" s="75"/>
      <c r="BT112" s="75"/>
      <c r="BU112" s="75"/>
      <c r="BV112" s="75"/>
      <c r="BW112" s="75"/>
      <c r="BX112" s="75"/>
      <c r="BY112" s="75"/>
      <c r="BZ112" s="75"/>
      <c r="CA112" s="75"/>
      <c r="CB112" s="75"/>
      <c r="CC112" s="75"/>
      <c r="CD112" s="75"/>
      <c r="CE112" s="75"/>
      <c r="CF112" s="75"/>
      <c r="CG112" s="75"/>
      <c r="CH112" s="75"/>
      <c r="CI112" s="75"/>
      <c r="CJ112" s="75"/>
      <c r="CK112" s="75"/>
      <c r="CL112" s="75"/>
      <c r="CM112" s="75"/>
      <c r="CN112" s="75"/>
      <c r="CO112" s="75"/>
      <c r="CP112" s="75"/>
      <c r="CQ112" s="75"/>
      <c r="CR112" s="75"/>
      <c r="CS112" s="75"/>
      <c r="CT112" s="75"/>
      <c r="CU112" s="75"/>
      <c r="CV112" s="75"/>
      <c r="CW112" s="76"/>
      <c r="CX112" s="72">
        <f>CY112+CZ112+DA112</f>
        <v>307.2</v>
      </c>
      <c r="CY112" s="68"/>
      <c r="CZ112" s="68"/>
      <c r="DA112" s="69" t="str">
        <f>TEXT(AE112,"#,###.0")</f>
        <v>307.2</v>
      </c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334</v>
      </c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74" t="s">
        <v>8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5"/>
      <c r="AY113" s="75"/>
      <c r="AZ113" s="75"/>
      <c r="BA113" s="75"/>
      <c r="BB113" s="75"/>
      <c r="BC113" s="75"/>
      <c r="BD113" s="75"/>
      <c r="BE113" s="75"/>
      <c r="BF113" s="75"/>
      <c r="BG113" s="75"/>
      <c r="BH113" s="75"/>
      <c r="BI113" s="75"/>
      <c r="BJ113" s="75"/>
      <c r="BK113" s="75"/>
      <c r="BL113" s="75"/>
      <c r="BM113" s="75"/>
      <c r="BN113" s="75"/>
      <c r="BO113" s="75"/>
      <c r="BP113" s="75"/>
      <c r="BQ113" s="75"/>
      <c r="BR113" s="75"/>
      <c r="BS113" s="75"/>
      <c r="BT113" s="75"/>
      <c r="BU113" s="75"/>
      <c r="BV113" s="75"/>
      <c r="BW113" s="75"/>
      <c r="BX113" s="75"/>
      <c r="BY113" s="75"/>
      <c r="BZ113" s="75"/>
      <c r="CA113" s="75"/>
      <c r="CB113" s="75"/>
      <c r="CC113" s="75"/>
      <c r="CD113" s="75"/>
      <c r="CE113" s="75"/>
      <c r="CF113" s="75"/>
      <c r="CG113" s="75"/>
      <c r="CH113" s="75"/>
      <c r="CI113" s="75"/>
      <c r="CJ113" s="75"/>
      <c r="CK113" s="75"/>
      <c r="CL113" s="75"/>
      <c r="CM113" s="75"/>
      <c r="CN113" s="75"/>
      <c r="CO113" s="75"/>
      <c r="CP113" s="75"/>
      <c r="CQ113" s="75"/>
      <c r="CR113" s="75"/>
      <c r="CS113" s="75"/>
      <c r="CT113" s="75"/>
      <c r="CU113" s="75"/>
      <c r="CV113" s="75"/>
      <c r="CW113" s="76"/>
      <c r="CX113" s="72"/>
      <c r="CY113" s="68"/>
      <c r="CZ113" s="68"/>
      <c r="DA113" s="69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74" t="s">
        <v>562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5"/>
      <c r="BK114" s="75"/>
      <c r="BL114" s="75"/>
      <c r="BM114" s="75"/>
      <c r="BN114" s="75"/>
      <c r="BO114" s="75"/>
      <c r="BP114" s="75"/>
      <c r="BQ114" s="75"/>
      <c r="BR114" s="75"/>
      <c r="BS114" s="75"/>
      <c r="BT114" s="75"/>
      <c r="BU114" s="75"/>
      <c r="BV114" s="75"/>
      <c r="BW114" s="75"/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5"/>
      <c r="CN114" s="75"/>
      <c r="CO114" s="75"/>
      <c r="CP114" s="75"/>
      <c r="CQ114" s="75"/>
      <c r="CR114" s="75"/>
      <c r="CS114" s="75"/>
      <c r="CT114" s="75"/>
      <c r="CU114" s="75"/>
      <c r="CV114" s="75"/>
      <c r="CW114" s="76"/>
      <c r="CX114" s="72"/>
      <c r="CY114" s="68"/>
      <c r="CZ114" s="68"/>
      <c r="DA114" s="69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8</v>
      </c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74" t="s">
        <v>8</v>
      </c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75"/>
      <c r="BZ115" s="75"/>
      <c r="CA115" s="75"/>
      <c r="CB115" s="75"/>
      <c r="CC115" s="75"/>
      <c r="CD115" s="75"/>
      <c r="CE115" s="75"/>
      <c r="CF115" s="75"/>
      <c r="CG115" s="75"/>
      <c r="CH115" s="75"/>
      <c r="CI115" s="75"/>
      <c r="CJ115" s="75"/>
      <c r="CK115" s="75"/>
      <c r="CL115" s="75"/>
      <c r="CM115" s="75"/>
      <c r="CN115" s="75"/>
      <c r="CO115" s="75"/>
      <c r="CP115" s="75"/>
      <c r="CQ115" s="75"/>
      <c r="CR115" s="75"/>
      <c r="CS115" s="75"/>
      <c r="CT115" s="75"/>
      <c r="CU115" s="75"/>
      <c r="CV115" s="75"/>
      <c r="CW115" s="76"/>
      <c r="CX115" s="72"/>
      <c r="CY115" s="68"/>
      <c r="CZ115" s="68"/>
      <c r="DA115" s="69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92"/>
      <c r="B116" s="93" t="s">
        <v>215</v>
      </c>
      <c r="C116" s="93"/>
      <c r="D116" s="93"/>
      <c r="E116" s="93"/>
      <c r="F116" s="93" t="s">
        <v>328</v>
      </c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  <c r="AF116" s="93"/>
      <c r="AG116" s="93"/>
      <c r="AH116" s="93"/>
      <c r="AI116" s="93"/>
      <c r="AJ116" s="93"/>
      <c r="AK116" s="93"/>
      <c r="AL116" s="93"/>
      <c r="AM116" s="93"/>
      <c r="AN116" s="93"/>
      <c r="AO116" s="93"/>
      <c r="AP116" s="93"/>
      <c r="AQ116" s="93"/>
      <c r="AR116" s="93"/>
      <c r="AS116" s="93"/>
      <c r="AT116" s="93"/>
      <c r="AU116" s="93"/>
      <c r="AV116" s="93"/>
      <c r="AW116" s="93"/>
      <c r="AX116" s="93"/>
      <c r="AY116" s="93"/>
      <c r="AZ116" s="93"/>
      <c r="BA116" s="93"/>
      <c r="BB116" s="93"/>
      <c r="BC116" s="93"/>
      <c r="BD116" s="93"/>
      <c r="BE116" s="93"/>
      <c r="BF116" s="93"/>
      <c r="BG116" s="93"/>
      <c r="BH116" s="93"/>
      <c r="BI116" s="93"/>
      <c r="BJ116" s="93"/>
      <c r="BK116" s="93"/>
      <c r="BL116" s="93"/>
      <c r="BM116" s="93"/>
      <c r="BN116" s="93"/>
      <c r="BO116" s="93"/>
      <c r="BP116" s="93"/>
      <c r="BQ116" s="93"/>
      <c r="BR116" s="93"/>
      <c r="BS116" s="93"/>
      <c r="BT116" s="93"/>
      <c r="BU116" s="93"/>
      <c r="BV116" s="93"/>
      <c r="BW116" s="93"/>
      <c r="BX116" s="93"/>
      <c r="BY116" s="93"/>
      <c r="BZ116" s="93"/>
      <c r="CA116" s="93"/>
      <c r="CB116" s="93"/>
      <c r="CC116" s="93"/>
      <c r="CD116" s="93"/>
      <c r="CE116" s="93"/>
      <c r="CF116" s="93"/>
      <c r="CG116" s="93"/>
      <c r="CH116" s="93"/>
      <c r="CI116" s="93"/>
      <c r="CJ116" s="93"/>
      <c r="CK116" s="93"/>
      <c r="CL116" s="93"/>
      <c r="CM116" s="93"/>
      <c r="CN116" s="93"/>
      <c r="CO116" s="93"/>
      <c r="CP116" s="93"/>
      <c r="CQ116" s="93"/>
      <c r="CR116" s="93"/>
      <c r="CS116" s="93"/>
      <c r="CT116" s="93"/>
      <c r="CU116" s="93"/>
      <c r="CV116" s="93"/>
      <c r="CW116" s="94"/>
      <c r="CX116" s="95">
        <f>CY116+CZ116+DA116</f>
        <v>2455.1999999999998</v>
      </c>
      <c r="CY116" s="96" t="str">
        <f>TEXT(TRUNC(CY108+CY110+CY112,1),"#,###.0")</f>
        <v>616.4</v>
      </c>
      <c r="CZ116" s="96" t="str">
        <f>TEXT(TRUNC(CZ108+CZ110+CZ112,1),"#,###.0")</f>
        <v>1,531.6</v>
      </c>
      <c r="DA116" s="97" t="str">
        <f>TEXT(TRUNC(DA108+DA110+DA112,1),"#,###.0")</f>
        <v>307.2</v>
      </c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8</v>
      </c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74" t="s">
        <v>8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5"/>
      <c r="AY117" s="75"/>
      <c r="AZ117" s="75"/>
      <c r="BA117" s="75"/>
      <c r="BB117" s="75"/>
      <c r="BC117" s="75"/>
      <c r="BD117" s="75"/>
      <c r="BE117" s="75"/>
      <c r="BF117" s="75"/>
      <c r="BG117" s="75"/>
      <c r="BH117" s="75"/>
      <c r="BI117" s="75"/>
      <c r="BJ117" s="75"/>
      <c r="BK117" s="75"/>
      <c r="BL117" s="75"/>
      <c r="BM117" s="75"/>
      <c r="BN117" s="75"/>
      <c r="BO117" s="75"/>
      <c r="BP117" s="75"/>
      <c r="BQ117" s="75"/>
      <c r="BR117" s="75"/>
      <c r="BS117" s="75"/>
      <c r="BT117" s="75"/>
      <c r="BU117" s="75"/>
      <c r="BV117" s="75"/>
      <c r="BW117" s="75"/>
      <c r="BX117" s="75"/>
      <c r="BY117" s="75"/>
      <c r="BZ117" s="75"/>
      <c r="CA117" s="75"/>
      <c r="CB117" s="75"/>
      <c r="CC117" s="75"/>
      <c r="CD117" s="75"/>
      <c r="CE117" s="75"/>
      <c r="CF117" s="75"/>
      <c r="CG117" s="75"/>
      <c r="CH117" s="75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  <c r="CW117" s="76"/>
      <c r="CX117" s="72"/>
      <c r="CY117" s="68"/>
      <c r="CZ117" s="68"/>
      <c r="DA117" s="69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74" t="s">
        <v>159</v>
      </c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5"/>
      <c r="AY118" s="75"/>
      <c r="AZ118" s="75"/>
      <c r="BA118" s="75"/>
      <c r="BB118" s="75"/>
      <c r="BC118" s="75"/>
      <c r="BD118" s="75"/>
      <c r="BE118" s="75"/>
      <c r="BF118" s="75"/>
      <c r="BG118" s="75"/>
      <c r="BH118" s="75"/>
      <c r="BI118" s="75"/>
      <c r="BJ118" s="75"/>
      <c r="BK118" s="75"/>
      <c r="BL118" s="75"/>
      <c r="BM118" s="75"/>
      <c r="BN118" s="75"/>
      <c r="BO118" s="75"/>
      <c r="BP118" s="75"/>
      <c r="BQ118" s="75"/>
      <c r="BR118" s="75"/>
      <c r="BS118" s="75"/>
      <c r="BT118" s="75"/>
      <c r="BU118" s="75"/>
      <c r="BV118" s="75"/>
      <c r="BW118" s="75"/>
      <c r="BX118" s="75"/>
      <c r="BY118" s="75"/>
      <c r="BZ118" s="75"/>
      <c r="CA118" s="75"/>
      <c r="CB118" s="75"/>
      <c r="CC118" s="75"/>
      <c r="CD118" s="75"/>
      <c r="CE118" s="75"/>
      <c r="CF118" s="75"/>
      <c r="CG118" s="75"/>
      <c r="CH118" s="75"/>
      <c r="CI118" s="75"/>
      <c r="CJ118" s="75"/>
      <c r="CK118" s="75"/>
      <c r="CL118" s="75"/>
      <c r="CM118" s="75"/>
      <c r="CN118" s="75"/>
      <c r="CO118" s="75"/>
      <c r="CP118" s="75"/>
      <c r="CQ118" s="75"/>
      <c r="CR118" s="75"/>
      <c r="CS118" s="75"/>
      <c r="CT118" s="75"/>
      <c r="CU118" s="75"/>
      <c r="CV118" s="75"/>
      <c r="CW118" s="76"/>
      <c r="CX118" s="72"/>
      <c r="CY118" s="68"/>
      <c r="CZ118" s="68"/>
      <c r="DA118" s="69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74" t="s">
        <v>8</v>
      </c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5"/>
      <c r="AY119" s="75"/>
      <c r="AZ119" s="75"/>
      <c r="BA119" s="75"/>
      <c r="BB119" s="75"/>
      <c r="BC119" s="75"/>
      <c r="BD119" s="75"/>
      <c r="BE119" s="75"/>
      <c r="BF119" s="75"/>
      <c r="BG119" s="75"/>
      <c r="BH119" s="75"/>
      <c r="BI119" s="75"/>
      <c r="BJ119" s="75"/>
      <c r="BK119" s="75"/>
      <c r="BL119" s="75"/>
      <c r="BM119" s="75"/>
      <c r="BN119" s="75"/>
      <c r="BO119" s="75"/>
      <c r="BP119" s="75"/>
      <c r="BQ119" s="75"/>
      <c r="BR119" s="75"/>
      <c r="BS119" s="75"/>
      <c r="BT119" s="75"/>
      <c r="BU119" s="75"/>
      <c r="BV119" s="75"/>
      <c r="BW119" s="75"/>
      <c r="BX119" s="75"/>
      <c r="BY119" s="75"/>
      <c r="BZ119" s="75"/>
      <c r="CA119" s="75"/>
      <c r="CB119" s="75"/>
      <c r="CC119" s="75"/>
      <c r="CD119" s="75"/>
      <c r="CE119" s="75"/>
      <c r="CF119" s="75"/>
      <c r="CG119" s="75"/>
      <c r="CH119" s="75"/>
      <c r="CI119" s="75"/>
      <c r="CJ119" s="75"/>
      <c r="CK119" s="75"/>
      <c r="CL119" s="75"/>
      <c r="CM119" s="75"/>
      <c r="CN119" s="75"/>
      <c r="CO119" s="75"/>
      <c r="CP119" s="75"/>
      <c r="CQ119" s="75"/>
      <c r="CR119" s="75"/>
      <c r="CS119" s="75"/>
      <c r="CT119" s="75"/>
      <c r="CU119" s="75"/>
      <c r="CV119" s="75"/>
      <c r="CW119" s="76"/>
      <c r="CX119" s="72"/>
      <c r="CY119" s="68"/>
      <c r="CZ119" s="68"/>
      <c r="DA119" s="69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74"/>
      <c r="B120" s="75"/>
      <c r="C120" s="75"/>
      <c r="D120" s="75"/>
      <c r="E120" s="75"/>
      <c r="F120" s="75"/>
      <c r="G120" s="75" t="s">
        <v>565</v>
      </c>
      <c r="H120" s="75"/>
      <c r="I120" s="75"/>
      <c r="J120" s="75"/>
      <c r="K120" s="75"/>
      <c r="L120" s="75" t="str">
        <f>TEXT(TRUNC(건설기계!H80,0),"#,##0")</f>
        <v>4,119</v>
      </c>
      <c r="M120" s="75"/>
      <c r="N120" s="75"/>
      <c r="O120" s="75"/>
      <c r="P120" s="75"/>
      <c r="Q120" s="75"/>
      <c r="R120" s="75" t="s">
        <v>181</v>
      </c>
      <c r="S120" s="75"/>
      <c r="T120" s="75" t="s">
        <v>534</v>
      </c>
      <c r="U120" s="75"/>
      <c r="V120" s="75" t="s">
        <v>536</v>
      </c>
      <c r="W120" s="75"/>
      <c r="X120" s="75" t="str">
        <f>TEXT(ROUNDDOWN(L120/AH92,1),"#,##0.0#######")</f>
        <v>253.4</v>
      </c>
      <c r="Y120" s="75"/>
      <c r="Z120" s="75"/>
      <c r="AA120" s="75"/>
      <c r="AB120" s="75"/>
      <c r="AC120" s="75"/>
      <c r="AD120" s="75"/>
      <c r="AE120" s="75" t="s">
        <v>150</v>
      </c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5"/>
      <c r="AY120" s="75"/>
      <c r="AZ120" s="75"/>
      <c r="BA120" s="75"/>
      <c r="BB120" s="75"/>
      <c r="BC120" s="75"/>
      <c r="BD120" s="75"/>
      <c r="BE120" s="75"/>
      <c r="BF120" s="75"/>
      <c r="BG120" s="75"/>
      <c r="BH120" s="75"/>
      <c r="BI120" s="75"/>
      <c r="BJ120" s="75"/>
      <c r="BK120" s="75"/>
      <c r="BL120" s="75"/>
      <c r="BM120" s="75"/>
      <c r="BN120" s="75"/>
      <c r="BO120" s="75"/>
      <c r="BP120" s="75"/>
      <c r="BQ120" s="75"/>
      <c r="BR120" s="75"/>
      <c r="BS120" s="75"/>
      <c r="BT120" s="75"/>
      <c r="BU120" s="75"/>
      <c r="BV120" s="75"/>
      <c r="BW120" s="75"/>
      <c r="BX120" s="75"/>
      <c r="BY120" s="75"/>
      <c r="BZ120" s="75"/>
      <c r="CA120" s="75"/>
      <c r="CB120" s="75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5"/>
      <c r="CN120" s="75"/>
      <c r="CO120" s="75"/>
      <c r="CP120" s="75"/>
      <c r="CQ120" s="75"/>
      <c r="CR120" s="75"/>
      <c r="CS120" s="75"/>
      <c r="CT120" s="75"/>
      <c r="CU120" s="75"/>
      <c r="CV120" s="75"/>
      <c r="CW120" s="76"/>
      <c r="CX120" s="72">
        <f>CY120+CZ120+DA120</f>
        <v>253.4</v>
      </c>
      <c r="CY120" s="68" t="str">
        <f>TEXT(X120,"#,###.0")</f>
        <v>253.4</v>
      </c>
      <c r="CZ120" s="68"/>
      <c r="DA120" s="69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506</v>
      </c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74" t="s">
        <v>8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5"/>
      <c r="AY121" s="75"/>
      <c r="AZ121" s="75"/>
      <c r="BA121" s="75"/>
      <c r="BB121" s="75"/>
      <c r="BC121" s="75"/>
      <c r="BD121" s="75"/>
      <c r="BE121" s="75"/>
      <c r="BF121" s="7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6"/>
      <c r="CX121" s="72"/>
      <c r="CY121" s="68"/>
      <c r="CZ121" s="68"/>
      <c r="DA121" s="69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74"/>
      <c r="B122" s="75"/>
      <c r="C122" s="75"/>
      <c r="D122" s="75"/>
      <c r="E122" s="75"/>
      <c r="F122" s="75"/>
      <c r="G122" s="75" t="s">
        <v>329</v>
      </c>
      <c r="H122" s="75"/>
      <c r="I122" s="75"/>
      <c r="J122" s="75"/>
      <c r="K122" s="75"/>
      <c r="L122" s="75" t="str">
        <f>TEXT(TRUNC(건설기계!J80,0),"#,##0")</f>
        <v>36,248</v>
      </c>
      <c r="M122" s="75"/>
      <c r="N122" s="75"/>
      <c r="O122" s="75"/>
      <c r="P122" s="75"/>
      <c r="Q122" s="75"/>
      <c r="R122" s="75"/>
      <c r="S122" s="75" t="s">
        <v>181</v>
      </c>
      <c r="T122" s="75"/>
      <c r="U122" s="75" t="s">
        <v>534</v>
      </c>
      <c r="V122" s="75"/>
      <c r="W122" s="75"/>
      <c r="X122" s="75" t="s">
        <v>357</v>
      </c>
      <c r="Y122" s="75"/>
      <c r="Z122" s="75" t="str">
        <f>TEXT(0,"#,##0")</f>
        <v>0</v>
      </c>
      <c r="AA122" s="75"/>
      <c r="AB122" s="75" t="s">
        <v>536</v>
      </c>
      <c r="AC122" s="75"/>
      <c r="AD122" s="75" t="str">
        <f>TEXT(ROUNDDOWN(L122/AH92*Z122,0),"#,##0")</f>
        <v>0</v>
      </c>
      <c r="AE122" s="75"/>
      <c r="AF122" s="75"/>
      <c r="AG122" s="75" t="s">
        <v>150</v>
      </c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5"/>
      <c r="AY122" s="75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75"/>
      <c r="BN122" s="75"/>
      <c r="BO122" s="75"/>
      <c r="BP122" s="75"/>
      <c r="BQ122" s="75"/>
      <c r="BR122" s="75"/>
      <c r="BS122" s="75"/>
      <c r="BT122" s="75"/>
      <c r="BU122" s="75"/>
      <c r="BV122" s="75"/>
      <c r="BW122" s="75"/>
      <c r="BX122" s="75"/>
      <c r="BY122" s="75"/>
      <c r="BZ122" s="75"/>
      <c r="CA122" s="75"/>
      <c r="CB122" s="75"/>
      <c r="CC122" s="75"/>
      <c r="CD122" s="75"/>
      <c r="CE122" s="75"/>
      <c r="CF122" s="75"/>
      <c r="CG122" s="75"/>
      <c r="CH122" s="75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6"/>
      <c r="CX122" s="72"/>
      <c r="CY122" s="68"/>
      <c r="CZ122" s="68" t="str">
        <f>TEXT(AD122,"#,###.0")</f>
        <v>.0</v>
      </c>
      <c r="DA122" s="69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506</v>
      </c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74" t="s">
        <v>8</v>
      </c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5"/>
      <c r="AY123" s="75"/>
      <c r="AZ123" s="75"/>
      <c r="BA123" s="75"/>
      <c r="BB123" s="75"/>
      <c r="BC123" s="75"/>
      <c r="BD123" s="75"/>
      <c r="BE123" s="75"/>
      <c r="BF123" s="75"/>
      <c r="BG123" s="75"/>
      <c r="BH123" s="75"/>
      <c r="BI123" s="75"/>
      <c r="BJ123" s="75"/>
      <c r="BK123" s="75"/>
      <c r="BL123" s="75"/>
      <c r="BM123" s="75"/>
      <c r="BN123" s="75"/>
      <c r="BO123" s="75"/>
      <c r="BP123" s="75"/>
      <c r="BQ123" s="75"/>
      <c r="BR123" s="75"/>
      <c r="BS123" s="75"/>
      <c r="BT123" s="75"/>
      <c r="BU123" s="75"/>
      <c r="BV123" s="75"/>
      <c r="BW123" s="75"/>
      <c r="BX123" s="75"/>
      <c r="BY123" s="75"/>
      <c r="BZ123" s="75"/>
      <c r="CA123" s="75"/>
      <c r="CB123" s="75"/>
      <c r="CC123" s="75"/>
      <c r="CD123" s="75"/>
      <c r="CE123" s="75"/>
      <c r="CF123" s="75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75"/>
      <c r="CR123" s="75"/>
      <c r="CS123" s="75"/>
      <c r="CT123" s="75"/>
      <c r="CU123" s="75"/>
      <c r="CV123" s="75"/>
      <c r="CW123" s="76"/>
      <c r="CX123" s="72"/>
      <c r="CY123" s="68"/>
      <c r="CZ123" s="68"/>
      <c r="DA123" s="69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74"/>
      <c r="B124" s="75"/>
      <c r="C124" s="75"/>
      <c r="D124" s="75"/>
      <c r="E124" s="75"/>
      <c r="F124" s="75"/>
      <c r="G124" s="75" t="s">
        <v>655</v>
      </c>
      <c r="H124" s="75"/>
      <c r="I124" s="75"/>
      <c r="J124" s="75"/>
      <c r="K124" s="75"/>
      <c r="L124" s="75" t="str">
        <f>TEXT(TRUNC(건설기계!L80,0),"#,##0")</f>
        <v>1,967</v>
      </c>
      <c r="M124" s="75"/>
      <c r="N124" s="75"/>
      <c r="O124" s="75"/>
      <c r="P124" s="75"/>
      <c r="Q124" s="75"/>
      <c r="R124" s="75" t="s">
        <v>181</v>
      </c>
      <c r="S124" s="75"/>
      <c r="T124" s="75" t="s">
        <v>534</v>
      </c>
      <c r="U124" s="75"/>
      <c r="V124" s="75" t="s">
        <v>536</v>
      </c>
      <c r="W124" s="75"/>
      <c r="X124" s="75" t="str">
        <f>TEXT(ROUNDDOWN(L124/AH92,1),"#,##0.0#######")</f>
        <v>121.0</v>
      </c>
      <c r="Y124" s="75"/>
      <c r="Z124" s="75"/>
      <c r="AA124" s="75"/>
      <c r="AB124" s="75"/>
      <c r="AC124" s="75"/>
      <c r="AD124" s="75"/>
      <c r="AE124" s="75" t="s">
        <v>150</v>
      </c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5"/>
      <c r="AY124" s="75"/>
      <c r="AZ124" s="75"/>
      <c r="BA124" s="75"/>
      <c r="BB124" s="75"/>
      <c r="BC124" s="75"/>
      <c r="BD124" s="75"/>
      <c r="BE124" s="75"/>
      <c r="BF124" s="75"/>
      <c r="BG124" s="75"/>
      <c r="BH124" s="75"/>
      <c r="BI124" s="75"/>
      <c r="BJ124" s="75"/>
      <c r="BK124" s="75"/>
      <c r="BL124" s="75"/>
      <c r="BM124" s="75"/>
      <c r="BN124" s="75"/>
      <c r="BO124" s="75"/>
      <c r="BP124" s="75"/>
      <c r="BQ124" s="75"/>
      <c r="BR124" s="75"/>
      <c r="BS124" s="75"/>
      <c r="BT124" s="75"/>
      <c r="BU124" s="75"/>
      <c r="BV124" s="75"/>
      <c r="BW124" s="75"/>
      <c r="BX124" s="75"/>
      <c r="BY124" s="75"/>
      <c r="BZ124" s="75"/>
      <c r="CA124" s="75"/>
      <c r="CB124" s="75"/>
      <c r="CC124" s="75"/>
      <c r="CD124" s="75"/>
      <c r="CE124" s="75"/>
      <c r="CF124" s="75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  <c r="CW124" s="76"/>
      <c r="CX124" s="72">
        <f>CY124+CZ124+DA124</f>
        <v>121</v>
      </c>
      <c r="CY124" s="68"/>
      <c r="CZ124" s="68"/>
      <c r="DA124" s="69" t="str">
        <f>TEXT(X124,"#,###.0")</f>
        <v>121.0</v>
      </c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506</v>
      </c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74" t="s">
        <v>8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75"/>
      <c r="BN125" s="75"/>
      <c r="BO125" s="75"/>
      <c r="BP125" s="75"/>
      <c r="BQ125" s="75"/>
      <c r="BR125" s="75"/>
      <c r="BS125" s="75"/>
      <c r="BT125" s="75"/>
      <c r="BU125" s="75"/>
      <c r="BV125" s="75"/>
      <c r="BW125" s="75"/>
      <c r="BX125" s="75"/>
      <c r="BY125" s="75"/>
      <c r="BZ125" s="75"/>
      <c r="CA125" s="75"/>
      <c r="CB125" s="75"/>
      <c r="CC125" s="75"/>
      <c r="CD125" s="75"/>
      <c r="CE125" s="75"/>
      <c r="CF125" s="75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6"/>
      <c r="CX125" s="72"/>
      <c r="CY125" s="68"/>
      <c r="CZ125" s="68"/>
      <c r="DA125" s="69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74" t="s">
        <v>562</v>
      </c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75"/>
      <c r="BN126" s="75"/>
      <c r="BO126" s="75"/>
      <c r="BP126" s="75"/>
      <c r="BQ126" s="75"/>
      <c r="BR126" s="75"/>
      <c r="BS126" s="75"/>
      <c r="BT126" s="75"/>
      <c r="BU126" s="75"/>
      <c r="BV126" s="75"/>
      <c r="BW126" s="75"/>
      <c r="BX126" s="75"/>
      <c r="BY126" s="75"/>
      <c r="BZ126" s="75"/>
      <c r="CA126" s="75"/>
      <c r="CB126" s="75"/>
      <c r="CC126" s="75"/>
      <c r="CD126" s="75"/>
      <c r="CE126" s="75"/>
      <c r="CF126" s="75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75"/>
      <c r="CR126" s="75"/>
      <c r="CS126" s="75"/>
      <c r="CT126" s="75"/>
      <c r="CU126" s="75"/>
      <c r="CV126" s="75"/>
      <c r="CW126" s="76"/>
      <c r="CX126" s="72"/>
      <c r="CY126" s="68"/>
      <c r="CZ126" s="68"/>
      <c r="DA126" s="69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8</v>
      </c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74" t="s">
        <v>8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5"/>
      <c r="BN127" s="75"/>
      <c r="BO127" s="75"/>
      <c r="BP127" s="75"/>
      <c r="BQ127" s="75"/>
      <c r="BR127" s="75"/>
      <c r="BS127" s="75"/>
      <c r="BT127" s="75"/>
      <c r="BU127" s="75"/>
      <c r="BV127" s="75"/>
      <c r="BW127" s="75"/>
      <c r="BX127" s="75"/>
      <c r="BY127" s="75"/>
      <c r="BZ127" s="75"/>
      <c r="CA127" s="75"/>
      <c r="CB127" s="75"/>
      <c r="CC127" s="75"/>
      <c r="CD127" s="75"/>
      <c r="CE127" s="75"/>
      <c r="CF127" s="75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6"/>
      <c r="CX127" s="72"/>
      <c r="CY127" s="68"/>
      <c r="CZ127" s="68"/>
      <c r="DA127" s="69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92"/>
      <c r="B128" s="93" t="s">
        <v>215</v>
      </c>
      <c r="C128" s="93"/>
      <c r="D128" s="93"/>
      <c r="E128" s="93"/>
      <c r="F128" s="93" t="s">
        <v>328</v>
      </c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  <c r="AF128" s="93"/>
      <c r="AG128" s="93"/>
      <c r="AH128" s="93"/>
      <c r="AI128" s="93"/>
      <c r="AJ128" s="93"/>
      <c r="AK128" s="93"/>
      <c r="AL128" s="93"/>
      <c r="AM128" s="93"/>
      <c r="AN128" s="93"/>
      <c r="AO128" s="93"/>
      <c r="AP128" s="93"/>
      <c r="AQ128" s="93"/>
      <c r="AR128" s="93"/>
      <c r="AS128" s="93"/>
      <c r="AT128" s="93"/>
      <c r="AU128" s="93"/>
      <c r="AV128" s="93"/>
      <c r="AW128" s="93"/>
      <c r="AX128" s="93"/>
      <c r="AY128" s="93"/>
      <c r="AZ128" s="93"/>
      <c r="BA128" s="93"/>
      <c r="BB128" s="93"/>
      <c r="BC128" s="93"/>
      <c r="BD128" s="93"/>
      <c r="BE128" s="93"/>
      <c r="BF128" s="93"/>
      <c r="BG128" s="93"/>
      <c r="BH128" s="93"/>
      <c r="BI128" s="93"/>
      <c r="BJ128" s="93"/>
      <c r="BK128" s="93"/>
      <c r="BL128" s="93"/>
      <c r="BM128" s="93"/>
      <c r="BN128" s="93"/>
      <c r="BO128" s="93"/>
      <c r="BP128" s="93"/>
      <c r="BQ128" s="93"/>
      <c r="BR128" s="93"/>
      <c r="BS128" s="93"/>
      <c r="BT128" s="93"/>
      <c r="BU128" s="93"/>
      <c r="BV128" s="93"/>
      <c r="BW128" s="93"/>
      <c r="BX128" s="93"/>
      <c r="BY128" s="93"/>
      <c r="BZ128" s="93"/>
      <c r="CA128" s="93"/>
      <c r="CB128" s="93"/>
      <c r="CC128" s="93"/>
      <c r="CD128" s="93"/>
      <c r="CE128" s="93"/>
      <c r="CF128" s="93"/>
      <c r="CG128" s="93"/>
      <c r="CH128" s="93"/>
      <c r="CI128" s="93"/>
      <c r="CJ128" s="93"/>
      <c r="CK128" s="93"/>
      <c r="CL128" s="93"/>
      <c r="CM128" s="93"/>
      <c r="CN128" s="93"/>
      <c r="CO128" s="93"/>
      <c r="CP128" s="93"/>
      <c r="CQ128" s="93"/>
      <c r="CR128" s="93"/>
      <c r="CS128" s="93"/>
      <c r="CT128" s="93"/>
      <c r="CU128" s="93"/>
      <c r="CV128" s="93"/>
      <c r="CW128" s="94"/>
      <c r="CX128" s="95">
        <f>CY128+CZ128+DA128</f>
        <v>374.4</v>
      </c>
      <c r="CY128" s="96" t="str">
        <f>TEXT(TRUNC(CY120+CY122+CY124,1),"#,###.0")</f>
        <v>253.4</v>
      </c>
      <c r="CZ128" s="96" t="str">
        <f>TEXT(TRUNC(CZ120+CZ122+CZ124,1),"#,###.0")</f>
        <v>.0</v>
      </c>
      <c r="DA128" s="97" t="str">
        <f>TEXT(TRUNC(DA120+DA122+DA124,1),"#,###.0")</f>
        <v>121.0</v>
      </c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8</v>
      </c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74" t="s">
        <v>8</v>
      </c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  <c r="BO129" s="75"/>
      <c r="BP129" s="75"/>
      <c r="BQ129" s="75"/>
      <c r="BR129" s="75"/>
      <c r="BS129" s="75"/>
      <c r="BT129" s="75"/>
      <c r="BU129" s="75"/>
      <c r="BV129" s="75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5"/>
      <c r="CK129" s="75"/>
      <c r="CL129" s="75"/>
      <c r="CM129" s="75"/>
      <c r="CN129" s="75"/>
      <c r="CO129" s="75"/>
      <c r="CP129" s="75"/>
      <c r="CQ129" s="75"/>
      <c r="CR129" s="75"/>
      <c r="CS129" s="75"/>
      <c r="CT129" s="75"/>
      <c r="CU129" s="75"/>
      <c r="CV129" s="75"/>
      <c r="CW129" s="76"/>
      <c r="CX129" s="72"/>
      <c r="CY129" s="68"/>
      <c r="CZ129" s="68"/>
      <c r="DA129" s="69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98"/>
      <c r="B130" s="99" t="s">
        <v>424</v>
      </c>
      <c r="C130" s="99"/>
      <c r="D130" s="99"/>
      <c r="E130" s="99"/>
      <c r="F130" s="99" t="s">
        <v>328</v>
      </c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  <c r="AN130" s="99"/>
      <c r="AO130" s="99"/>
      <c r="AP130" s="99"/>
      <c r="AQ130" s="99"/>
      <c r="AR130" s="99"/>
      <c r="AS130" s="99"/>
      <c r="AT130" s="99"/>
      <c r="AU130" s="99"/>
      <c r="AV130" s="99"/>
      <c r="AW130" s="99"/>
      <c r="AX130" s="99"/>
      <c r="AY130" s="99"/>
      <c r="AZ130" s="99"/>
      <c r="BA130" s="99"/>
      <c r="BB130" s="99"/>
      <c r="BC130" s="99"/>
      <c r="BD130" s="99"/>
      <c r="BE130" s="99"/>
      <c r="BF130" s="99"/>
      <c r="BG130" s="99"/>
      <c r="BH130" s="99"/>
      <c r="BI130" s="99"/>
      <c r="BJ130" s="99"/>
      <c r="BK130" s="99"/>
      <c r="BL130" s="99"/>
      <c r="BM130" s="99"/>
      <c r="BN130" s="99"/>
      <c r="BO130" s="99"/>
      <c r="BP130" s="99"/>
      <c r="BQ130" s="99"/>
      <c r="BR130" s="99"/>
      <c r="BS130" s="99"/>
      <c r="BT130" s="99"/>
      <c r="BU130" s="99"/>
      <c r="BV130" s="99"/>
      <c r="BW130" s="99"/>
      <c r="BX130" s="99"/>
      <c r="BY130" s="99"/>
      <c r="BZ130" s="99"/>
      <c r="CA130" s="99"/>
      <c r="CB130" s="99"/>
      <c r="CC130" s="99"/>
      <c r="CD130" s="99"/>
      <c r="CE130" s="99"/>
      <c r="CF130" s="99"/>
      <c r="CG130" s="99"/>
      <c r="CH130" s="99"/>
      <c r="CI130" s="99"/>
      <c r="CJ130" s="99"/>
      <c r="CK130" s="99"/>
      <c r="CL130" s="99"/>
      <c r="CM130" s="99"/>
      <c r="CN130" s="99"/>
      <c r="CO130" s="99"/>
      <c r="CP130" s="99"/>
      <c r="CQ130" s="99"/>
      <c r="CR130" s="99"/>
      <c r="CS130" s="99"/>
      <c r="CT130" s="99"/>
      <c r="CU130" s="99"/>
      <c r="CV130" s="99"/>
      <c r="CW130" s="100"/>
      <c r="CX130" s="101">
        <f>CY130+CZ130+DA130</f>
        <v>10995.1</v>
      </c>
      <c r="CY130" s="102" t="str">
        <f>TEXT(TRUNC(CY88+CY104+CY116+CY128,1),"#,###.0")</f>
        <v>1,486.6</v>
      </c>
      <c r="CZ130" s="102" t="str">
        <f>TEXT(TRUNC(CZ88+CZ104+CZ116+CZ128,1),"#,###.0")</f>
        <v>8,226.6</v>
      </c>
      <c r="DA130" s="103" t="str">
        <f>TEXT(TRUNC(DA88+DA104+DA116+DA128,1),"#,###.0")</f>
        <v>1,281.9</v>
      </c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8</v>
      </c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74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75"/>
      <c r="BN131" s="75"/>
      <c r="BO131" s="75"/>
      <c r="BP131" s="75"/>
      <c r="BQ131" s="75"/>
      <c r="BR131" s="75"/>
      <c r="BS131" s="75"/>
      <c r="BT131" s="75"/>
      <c r="BU131" s="75"/>
      <c r="BV131" s="75"/>
      <c r="BW131" s="75"/>
      <c r="BX131" s="75"/>
      <c r="BY131" s="75"/>
      <c r="BZ131" s="75"/>
      <c r="CA131" s="75"/>
      <c r="CB131" s="75"/>
      <c r="CC131" s="75"/>
      <c r="CD131" s="75"/>
      <c r="CE131" s="75"/>
      <c r="CF131" s="75"/>
      <c r="CG131" s="75"/>
      <c r="CH131" s="75"/>
      <c r="CI131" s="75"/>
      <c r="CJ131" s="75"/>
      <c r="CK131" s="75"/>
      <c r="CL131" s="75"/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6"/>
      <c r="CX131" s="72"/>
      <c r="CY131" s="68"/>
      <c r="CZ131" s="68"/>
      <c r="DA131" s="69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86" t="s">
        <v>389</v>
      </c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  <c r="AQ132" s="87"/>
      <c r="AR132" s="87"/>
      <c r="AS132" s="87"/>
      <c r="AT132" s="87"/>
      <c r="AU132" s="87"/>
      <c r="AV132" s="87"/>
      <c r="AW132" s="87"/>
      <c r="AX132" s="87"/>
      <c r="AY132" s="87"/>
      <c r="AZ132" s="87"/>
      <c r="BA132" s="87"/>
      <c r="BB132" s="87"/>
      <c r="BC132" s="87"/>
      <c r="BD132" s="87"/>
      <c r="BE132" s="87"/>
      <c r="BF132" s="87"/>
      <c r="BG132" s="87"/>
      <c r="BH132" s="87"/>
      <c r="BI132" s="87"/>
      <c r="BJ132" s="87"/>
      <c r="BK132" s="87"/>
      <c r="BL132" s="87"/>
      <c r="BM132" s="87"/>
      <c r="BN132" s="87"/>
      <c r="BO132" s="87"/>
      <c r="BP132" s="87"/>
      <c r="BQ132" s="87"/>
      <c r="BR132" s="87"/>
      <c r="BS132" s="87"/>
      <c r="BT132" s="87"/>
      <c r="BU132" s="87"/>
      <c r="BV132" s="87"/>
      <c r="BW132" s="87"/>
      <c r="BX132" s="87"/>
      <c r="BY132" s="87"/>
      <c r="BZ132" s="87"/>
      <c r="CA132" s="87"/>
      <c r="CB132" s="87"/>
      <c r="CC132" s="87"/>
      <c r="CD132" s="87"/>
      <c r="CE132" s="87"/>
      <c r="CF132" s="87"/>
      <c r="CG132" s="87"/>
      <c r="CH132" s="87"/>
      <c r="CI132" s="87"/>
      <c r="CJ132" s="87"/>
      <c r="CK132" s="87"/>
      <c r="CL132" s="87"/>
      <c r="CM132" s="87"/>
      <c r="CN132" s="87"/>
      <c r="CO132" s="87"/>
      <c r="CP132" s="87"/>
      <c r="CQ132" s="87"/>
      <c r="CR132" s="87"/>
      <c r="CS132" s="87"/>
      <c r="CT132" s="87"/>
      <c r="CU132" s="87"/>
      <c r="CV132" s="87"/>
      <c r="CW132" s="88"/>
      <c r="CX132" s="89" t="str">
        <f>TEXT(CY132+CZ132+DA132,"#,##0")</f>
        <v>10,993</v>
      </c>
      <c r="CY132" s="90" t="str">
        <f>TEXT(TRUNC(CY130,0),"#,##0")</f>
        <v>1,486</v>
      </c>
      <c r="CZ132" s="90" t="str">
        <f>TEXT(TRUNC(CZ130,0),"#,##0")</f>
        <v>8,226</v>
      </c>
      <c r="DA132" s="91" t="str">
        <f>TEXT(TRUNC(DA130,0),"#,##0")</f>
        <v>1,281</v>
      </c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74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  <c r="BO133" s="75"/>
      <c r="BP133" s="75"/>
      <c r="BQ133" s="75"/>
      <c r="BR133" s="75"/>
      <c r="BS133" s="75"/>
      <c r="BT133" s="75"/>
      <c r="BU133" s="75"/>
      <c r="BV133" s="75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5"/>
      <c r="CR133" s="75"/>
      <c r="CS133" s="75"/>
      <c r="CT133" s="75"/>
      <c r="CU133" s="75"/>
      <c r="CV133" s="75"/>
      <c r="CW133" s="76"/>
      <c r="CX133" s="72"/>
      <c r="CY133" s="68"/>
      <c r="CZ133" s="68"/>
      <c r="DA133" s="69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135" t="s">
        <v>647</v>
      </c>
      <c r="B134" s="135"/>
      <c r="C134" s="135"/>
      <c r="D134" s="135"/>
      <c r="E134" s="135"/>
      <c r="F134" s="135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/>
      <c r="AW134" s="135"/>
      <c r="AX134" s="135"/>
      <c r="AY134" s="135"/>
      <c r="AZ134" s="135"/>
      <c r="BA134" s="135"/>
      <c r="BB134" s="135"/>
      <c r="BC134" s="135"/>
      <c r="BD134" s="135"/>
      <c r="BE134" s="135"/>
      <c r="BF134" s="135"/>
      <c r="BG134" s="135"/>
      <c r="BH134" s="135"/>
      <c r="BI134" s="135"/>
      <c r="BJ134" s="135"/>
      <c r="BK134" s="135"/>
      <c r="BL134" s="135"/>
      <c r="BM134" s="135"/>
      <c r="BN134" s="135"/>
      <c r="BO134" s="135"/>
      <c r="BP134" s="135"/>
      <c r="BQ134" s="135"/>
      <c r="BR134" s="135"/>
      <c r="BS134" s="135"/>
      <c r="BT134" s="135"/>
      <c r="BU134" s="135"/>
      <c r="BV134" s="135"/>
      <c r="BW134" s="135"/>
      <c r="BX134" s="135"/>
      <c r="BY134" s="135"/>
      <c r="BZ134" s="135"/>
      <c r="CA134" s="135"/>
      <c r="CB134" s="135"/>
      <c r="CC134" s="135"/>
      <c r="CD134" s="135"/>
      <c r="CE134" s="135"/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83"/>
      <c r="CY134" s="84"/>
      <c r="CZ134" s="84"/>
      <c r="DA134" s="85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512</v>
      </c>
      <c r="DN134" s="1" t="s">
        <v>126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74" t="s">
        <v>44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5"/>
      <c r="BN135" s="75"/>
      <c r="BO135" s="75"/>
      <c r="BP135" s="75"/>
      <c r="BQ135" s="75"/>
      <c r="BR135" s="75"/>
      <c r="BS135" s="75"/>
      <c r="BT135" s="75"/>
      <c r="BU135" s="75"/>
      <c r="BV135" s="75"/>
      <c r="BW135" s="75"/>
      <c r="BX135" s="75"/>
      <c r="BY135" s="75"/>
      <c r="BZ135" s="75"/>
      <c r="CA135" s="75"/>
      <c r="CB135" s="75"/>
      <c r="CC135" s="75"/>
      <c r="CD135" s="75"/>
      <c r="CE135" s="75"/>
      <c r="CF135" s="75"/>
      <c r="CG135" s="75"/>
      <c r="CH135" s="75"/>
      <c r="CI135" s="75"/>
      <c r="CJ135" s="75"/>
      <c r="CK135" s="75"/>
      <c r="CL135" s="75"/>
      <c r="CM135" s="75"/>
      <c r="CN135" s="75"/>
      <c r="CO135" s="75"/>
      <c r="CP135" s="75"/>
      <c r="CQ135" s="75"/>
      <c r="CR135" s="75"/>
      <c r="CS135" s="75"/>
      <c r="CT135" s="75"/>
      <c r="CU135" s="75"/>
      <c r="CV135" s="75"/>
      <c r="CW135" s="76"/>
      <c r="CX135" s="72">
        <f>CY135+CZ135+DA135</f>
        <v>0</v>
      </c>
      <c r="CY135" s="68"/>
      <c r="CZ135" s="68"/>
      <c r="DA135" s="69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8</v>
      </c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74" t="s">
        <v>8</v>
      </c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  <c r="BO136" s="75"/>
      <c r="BP136" s="75"/>
      <c r="BQ136" s="75"/>
      <c r="BR136" s="75"/>
      <c r="BS136" s="75"/>
      <c r="BT136" s="75"/>
      <c r="BU136" s="75"/>
      <c r="BV136" s="75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5"/>
      <c r="CR136" s="75"/>
      <c r="CS136" s="75"/>
      <c r="CT136" s="75"/>
      <c r="CU136" s="75"/>
      <c r="CV136" s="75"/>
      <c r="CW136" s="76"/>
      <c r="CX136" s="72"/>
      <c r="CY136" s="68"/>
      <c r="CZ136" s="68"/>
      <c r="DA136" s="69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74" t="s">
        <v>372</v>
      </c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5"/>
      <c r="BN137" s="75"/>
      <c r="BO137" s="75"/>
      <c r="BP137" s="75"/>
      <c r="BQ137" s="75"/>
      <c r="BR137" s="75"/>
      <c r="BS137" s="75"/>
      <c r="BT137" s="75"/>
      <c r="BU137" s="75"/>
      <c r="BV137" s="75"/>
      <c r="BW137" s="75"/>
      <c r="BX137" s="75"/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5"/>
      <c r="CK137" s="75"/>
      <c r="CL137" s="75"/>
      <c r="CM137" s="75"/>
      <c r="CN137" s="75"/>
      <c r="CO137" s="75"/>
      <c r="CP137" s="75"/>
      <c r="CQ137" s="75"/>
      <c r="CR137" s="75"/>
      <c r="CS137" s="75"/>
      <c r="CT137" s="75"/>
      <c r="CU137" s="75"/>
      <c r="CV137" s="75"/>
      <c r="CW137" s="76"/>
      <c r="CX137" s="72"/>
      <c r="CY137" s="68"/>
      <c r="CZ137" s="68"/>
      <c r="DA137" s="69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74" t="s">
        <v>8</v>
      </c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5"/>
      <c r="AY138" s="75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5"/>
      <c r="BK138" s="75"/>
      <c r="BL138" s="75"/>
      <c r="BM138" s="75"/>
      <c r="BN138" s="75"/>
      <c r="BO138" s="75"/>
      <c r="BP138" s="75"/>
      <c r="BQ138" s="75"/>
      <c r="BR138" s="75"/>
      <c r="BS138" s="75"/>
      <c r="BT138" s="75"/>
      <c r="BU138" s="75"/>
      <c r="BV138" s="75"/>
      <c r="BW138" s="75"/>
      <c r="BX138" s="75"/>
      <c r="BY138" s="75"/>
      <c r="BZ138" s="75"/>
      <c r="CA138" s="75"/>
      <c r="CB138" s="75"/>
      <c r="CC138" s="75"/>
      <c r="CD138" s="75"/>
      <c r="CE138" s="75"/>
      <c r="CF138" s="75"/>
      <c r="CG138" s="75"/>
      <c r="CH138" s="75"/>
      <c r="CI138" s="75"/>
      <c r="CJ138" s="75"/>
      <c r="CK138" s="75"/>
      <c r="CL138" s="75"/>
      <c r="CM138" s="75"/>
      <c r="CN138" s="75"/>
      <c r="CO138" s="75"/>
      <c r="CP138" s="75"/>
      <c r="CQ138" s="75"/>
      <c r="CR138" s="75"/>
      <c r="CS138" s="75"/>
      <c r="CT138" s="75"/>
      <c r="CU138" s="75"/>
      <c r="CV138" s="75"/>
      <c r="CW138" s="76"/>
      <c r="CX138" s="72"/>
      <c r="CY138" s="68"/>
      <c r="CZ138" s="68"/>
      <c r="DA138" s="69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74"/>
      <c r="B139" s="75"/>
      <c r="C139" s="75"/>
      <c r="D139" s="75"/>
      <c r="E139" s="75"/>
      <c r="F139" s="75" t="s">
        <v>57</v>
      </c>
      <c r="G139" s="75"/>
      <c r="H139" s="75"/>
      <c r="I139" s="75" t="s">
        <v>536</v>
      </c>
      <c r="J139" s="75"/>
      <c r="K139" s="75" t="str">
        <f>TEXT(0.4,"#,##0.0#######")</f>
        <v>0.4</v>
      </c>
      <c r="L139" s="75"/>
      <c r="M139" s="75"/>
      <c r="N139" s="75"/>
      <c r="O139" s="75"/>
      <c r="P139" s="75" t="s">
        <v>14</v>
      </c>
      <c r="Q139" s="75"/>
      <c r="R139" s="75"/>
      <c r="S139" s="75" t="s">
        <v>182</v>
      </c>
      <c r="T139" s="75"/>
      <c r="U139" s="75" t="s">
        <v>536</v>
      </c>
      <c r="V139" s="75"/>
      <c r="W139" s="75" t="str">
        <f>TEXT(1.1,"#,##0.0#######")</f>
        <v>1.1</v>
      </c>
      <c r="X139" s="75"/>
      <c r="Y139" s="75"/>
      <c r="Z139" s="75"/>
      <c r="AA139" s="75"/>
      <c r="AB139" s="75" t="s">
        <v>14</v>
      </c>
      <c r="AC139" s="75"/>
      <c r="AD139" s="75"/>
      <c r="AE139" s="75" t="s">
        <v>347</v>
      </c>
      <c r="AF139" s="75"/>
      <c r="AG139" s="75" t="s">
        <v>536</v>
      </c>
      <c r="AH139" s="75"/>
      <c r="AI139" s="75" t="str">
        <f>TEXT(1,"#,##0")</f>
        <v>1</v>
      </c>
      <c r="AJ139" s="75"/>
      <c r="AK139" s="75" t="s">
        <v>181</v>
      </c>
      <c r="AL139" s="75"/>
      <c r="AM139" s="75" t="str">
        <f>TEXT(1.24,"#,##0.00#######")</f>
        <v>1.24</v>
      </c>
      <c r="AN139" s="75"/>
      <c r="AO139" s="75"/>
      <c r="AP139" s="75"/>
      <c r="AQ139" s="75"/>
      <c r="AR139" s="75" t="s">
        <v>536</v>
      </c>
      <c r="AS139" s="75"/>
      <c r="AT139" s="75" t="str">
        <f>TEXT(ROUND(AI139/AM139,2),"#,##0.00#######")</f>
        <v>0.81</v>
      </c>
      <c r="AU139" s="75"/>
      <c r="AV139" s="75"/>
      <c r="AW139" s="75"/>
      <c r="AX139" s="75"/>
      <c r="AY139" s="75"/>
      <c r="AZ139" s="75"/>
      <c r="BA139" s="75"/>
      <c r="BB139" s="75"/>
      <c r="BC139" s="75"/>
      <c r="BD139" s="75"/>
      <c r="BE139" s="75"/>
      <c r="BF139" s="75"/>
      <c r="BG139" s="75"/>
      <c r="BH139" s="75"/>
      <c r="BI139" s="75"/>
      <c r="BJ139" s="75"/>
      <c r="BK139" s="75"/>
      <c r="BL139" s="75"/>
      <c r="BM139" s="75"/>
      <c r="BN139" s="75"/>
      <c r="BO139" s="75"/>
      <c r="BP139" s="75"/>
      <c r="BQ139" s="75"/>
      <c r="BR139" s="75"/>
      <c r="BS139" s="75"/>
      <c r="BT139" s="75"/>
      <c r="BU139" s="75"/>
      <c r="BV139" s="75"/>
      <c r="BW139" s="75"/>
      <c r="BX139" s="75"/>
      <c r="BY139" s="75"/>
      <c r="BZ139" s="75"/>
      <c r="CA139" s="75"/>
      <c r="CB139" s="75"/>
      <c r="CC139" s="75"/>
      <c r="CD139" s="75"/>
      <c r="CE139" s="75"/>
      <c r="CF139" s="75"/>
      <c r="CG139" s="75"/>
      <c r="CH139" s="75"/>
      <c r="CI139" s="75"/>
      <c r="CJ139" s="75"/>
      <c r="CK139" s="75"/>
      <c r="CL139" s="75"/>
      <c r="CM139" s="75"/>
      <c r="CN139" s="75"/>
      <c r="CO139" s="75"/>
      <c r="CP139" s="75"/>
      <c r="CQ139" s="75"/>
      <c r="CR139" s="75"/>
      <c r="CS139" s="75"/>
      <c r="CT139" s="75"/>
      <c r="CU139" s="75"/>
      <c r="CV139" s="75"/>
      <c r="CW139" s="76"/>
      <c r="CX139" s="72"/>
      <c r="CY139" s="68"/>
      <c r="CZ139" s="68"/>
      <c r="DA139" s="69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8</v>
      </c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74" t="s">
        <v>8</v>
      </c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5"/>
      <c r="AY140" s="75"/>
      <c r="AZ140" s="75"/>
      <c r="BA140" s="75"/>
      <c r="BB140" s="75"/>
      <c r="BC140" s="75"/>
      <c r="BD140" s="75"/>
      <c r="BE140" s="75"/>
      <c r="BF140" s="75"/>
      <c r="BG140" s="75"/>
      <c r="BH140" s="75"/>
      <c r="BI140" s="75"/>
      <c r="BJ140" s="75"/>
      <c r="BK140" s="75"/>
      <c r="BL140" s="75"/>
      <c r="BM140" s="75"/>
      <c r="BN140" s="75"/>
      <c r="BO140" s="75"/>
      <c r="BP140" s="75"/>
      <c r="BQ140" s="75"/>
      <c r="BR140" s="75"/>
      <c r="BS140" s="75"/>
      <c r="BT140" s="75"/>
      <c r="BU140" s="75"/>
      <c r="BV140" s="75"/>
      <c r="BW140" s="75"/>
      <c r="BX140" s="75"/>
      <c r="BY140" s="75"/>
      <c r="BZ140" s="75"/>
      <c r="CA140" s="75"/>
      <c r="CB140" s="75"/>
      <c r="CC140" s="75"/>
      <c r="CD140" s="75"/>
      <c r="CE140" s="75"/>
      <c r="CF140" s="75"/>
      <c r="CG140" s="75"/>
      <c r="CH140" s="75"/>
      <c r="CI140" s="75"/>
      <c r="CJ140" s="75"/>
      <c r="CK140" s="75"/>
      <c r="CL140" s="75"/>
      <c r="CM140" s="75"/>
      <c r="CN140" s="75"/>
      <c r="CO140" s="75"/>
      <c r="CP140" s="75"/>
      <c r="CQ140" s="75"/>
      <c r="CR140" s="75"/>
      <c r="CS140" s="75"/>
      <c r="CT140" s="75"/>
      <c r="CU140" s="75"/>
      <c r="CV140" s="75"/>
      <c r="CW140" s="76"/>
      <c r="CX140" s="72"/>
      <c r="CY140" s="68"/>
      <c r="CZ140" s="68"/>
      <c r="DA140" s="69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74"/>
      <c r="B141" s="75"/>
      <c r="C141" s="75"/>
      <c r="D141" s="75"/>
      <c r="E141" s="75"/>
      <c r="F141" s="75" t="s">
        <v>535</v>
      </c>
      <c r="G141" s="75"/>
      <c r="H141" s="75" t="s">
        <v>536</v>
      </c>
      <c r="I141" s="75"/>
      <c r="J141" s="75" t="str">
        <f>TEXT(0.5,"#,##0.00#######")</f>
        <v>0.50</v>
      </c>
      <c r="K141" s="75"/>
      <c r="L141" s="75"/>
      <c r="M141" s="75"/>
      <c r="N141" s="75"/>
      <c r="O141" s="75"/>
      <c r="P141" s="75" t="s">
        <v>14</v>
      </c>
      <c r="Q141" s="75"/>
      <c r="R141" s="75"/>
      <c r="S141" s="75" t="s">
        <v>133</v>
      </c>
      <c r="T141" s="75"/>
      <c r="U141" s="75"/>
      <c r="V141" s="75" t="s">
        <v>536</v>
      </c>
      <c r="W141" s="75"/>
      <c r="X141" s="75" t="str">
        <f>TEXT(15,"#,##0")</f>
        <v>15</v>
      </c>
      <c r="Y141" s="75"/>
      <c r="Z141" s="75"/>
      <c r="AA141" s="75"/>
      <c r="AB141" s="75" t="s">
        <v>500</v>
      </c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5"/>
      <c r="AY141" s="75"/>
      <c r="AZ141" s="75"/>
      <c r="BA141" s="75"/>
      <c r="BB141" s="75"/>
      <c r="BC141" s="75"/>
      <c r="BD141" s="75"/>
      <c r="BE141" s="75"/>
      <c r="BF141" s="75"/>
      <c r="BG141" s="75"/>
      <c r="BH141" s="75"/>
      <c r="BI141" s="75"/>
      <c r="BJ141" s="75"/>
      <c r="BK141" s="75"/>
      <c r="BL141" s="75"/>
      <c r="BM141" s="75"/>
      <c r="BN141" s="75"/>
      <c r="BO141" s="75"/>
      <c r="BP141" s="75"/>
      <c r="BQ141" s="75"/>
      <c r="BR141" s="75"/>
      <c r="BS141" s="75"/>
      <c r="BT141" s="75"/>
      <c r="BU141" s="75"/>
      <c r="BV141" s="75"/>
      <c r="BW141" s="75"/>
      <c r="BX141" s="75"/>
      <c r="BY141" s="75"/>
      <c r="BZ141" s="75"/>
      <c r="CA141" s="75"/>
      <c r="CB141" s="75"/>
      <c r="CC141" s="75"/>
      <c r="CD141" s="75"/>
      <c r="CE141" s="75"/>
      <c r="CF141" s="75"/>
      <c r="CG141" s="75"/>
      <c r="CH141" s="75"/>
      <c r="CI141" s="75"/>
      <c r="CJ141" s="75"/>
      <c r="CK141" s="75"/>
      <c r="CL141" s="75"/>
      <c r="CM141" s="75"/>
      <c r="CN141" s="75"/>
      <c r="CO141" s="75"/>
      <c r="CP141" s="75"/>
      <c r="CQ141" s="75"/>
      <c r="CR141" s="75"/>
      <c r="CS141" s="75"/>
      <c r="CT141" s="75"/>
      <c r="CU141" s="75"/>
      <c r="CV141" s="75"/>
      <c r="CW141" s="76"/>
      <c r="CX141" s="72"/>
      <c r="CY141" s="68"/>
      <c r="CZ141" s="68"/>
      <c r="DA141" s="69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8</v>
      </c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74" t="s">
        <v>8</v>
      </c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5"/>
      <c r="AY142" s="75"/>
      <c r="AZ142" s="75"/>
      <c r="BA142" s="75"/>
      <c r="BB142" s="75"/>
      <c r="BC142" s="75"/>
      <c r="BD142" s="75"/>
      <c r="BE142" s="75"/>
      <c r="BF142" s="75"/>
      <c r="BG142" s="75"/>
      <c r="BH142" s="75"/>
      <c r="BI142" s="75"/>
      <c r="BJ142" s="75"/>
      <c r="BK142" s="75"/>
      <c r="BL142" s="75"/>
      <c r="BM142" s="75"/>
      <c r="BN142" s="75"/>
      <c r="BO142" s="75"/>
      <c r="BP142" s="75"/>
      <c r="BQ142" s="75"/>
      <c r="BR142" s="75"/>
      <c r="BS142" s="75"/>
      <c r="BT142" s="75"/>
      <c r="BU142" s="75"/>
      <c r="BV142" s="75"/>
      <c r="BW142" s="75"/>
      <c r="BX142" s="75"/>
      <c r="BY142" s="75"/>
      <c r="BZ142" s="75"/>
      <c r="CA142" s="75"/>
      <c r="CB142" s="75"/>
      <c r="CC142" s="75"/>
      <c r="CD142" s="75"/>
      <c r="CE142" s="75"/>
      <c r="CF142" s="75"/>
      <c r="CG142" s="75"/>
      <c r="CH142" s="75"/>
      <c r="CI142" s="75"/>
      <c r="CJ142" s="75"/>
      <c r="CK142" s="75"/>
      <c r="CL142" s="75"/>
      <c r="CM142" s="75"/>
      <c r="CN142" s="75"/>
      <c r="CO142" s="75"/>
      <c r="CP142" s="75"/>
      <c r="CQ142" s="75"/>
      <c r="CR142" s="75"/>
      <c r="CS142" s="75"/>
      <c r="CT142" s="75"/>
      <c r="CU142" s="75"/>
      <c r="CV142" s="75"/>
      <c r="CW142" s="76"/>
      <c r="CX142" s="72"/>
      <c r="CY142" s="68"/>
      <c r="CZ142" s="68"/>
      <c r="DA142" s="69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74"/>
      <c r="B143" s="75"/>
      <c r="C143" s="75"/>
      <c r="D143" s="75"/>
      <c r="E143" s="75"/>
      <c r="F143" s="75" t="s">
        <v>534</v>
      </c>
      <c r="G143" s="75"/>
      <c r="H143" s="75" t="s">
        <v>536</v>
      </c>
      <c r="I143" s="75"/>
      <c r="J143" s="75" t="str">
        <f>TEXT(3600,"#,##0")</f>
        <v>3,600</v>
      </c>
      <c r="K143" s="75"/>
      <c r="L143" s="75"/>
      <c r="M143" s="75"/>
      <c r="N143" s="75"/>
      <c r="O143" s="75" t="s">
        <v>357</v>
      </c>
      <c r="P143" s="75"/>
      <c r="Q143" s="75" t="s">
        <v>57</v>
      </c>
      <c r="R143" s="75"/>
      <c r="S143" s="75"/>
      <c r="T143" s="75" t="s">
        <v>357</v>
      </c>
      <c r="U143" s="75"/>
      <c r="V143" s="75" t="s">
        <v>182</v>
      </c>
      <c r="W143" s="75"/>
      <c r="X143" s="75" t="s">
        <v>357</v>
      </c>
      <c r="Y143" s="75"/>
      <c r="Z143" s="75" t="s">
        <v>347</v>
      </c>
      <c r="AA143" s="75"/>
      <c r="AB143" s="75" t="s">
        <v>357</v>
      </c>
      <c r="AC143" s="75"/>
      <c r="AD143" s="75" t="s">
        <v>535</v>
      </c>
      <c r="AE143" s="75"/>
      <c r="AF143" s="75" t="s">
        <v>181</v>
      </c>
      <c r="AG143" s="75"/>
      <c r="AH143" s="75" t="s">
        <v>133</v>
      </c>
      <c r="AI143" s="75"/>
      <c r="AJ143" s="75"/>
      <c r="AK143" s="75" t="s">
        <v>536</v>
      </c>
      <c r="AL143" s="75"/>
      <c r="AM143" s="75" t="str">
        <f>TEXT(ROUND(J143*K139*W139*AT139*J141/X141,2),"#,##0.00#######")</f>
        <v>42.77</v>
      </c>
      <c r="AN143" s="75"/>
      <c r="AO143" s="75"/>
      <c r="AP143" s="75"/>
      <c r="AQ143" s="75"/>
      <c r="AR143" s="75"/>
      <c r="AS143" s="75"/>
      <c r="AT143" s="75" t="s">
        <v>268</v>
      </c>
      <c r="AU143" s="75"/>
      <c r="AV143" s="75"/>
      <c r="AW143" s="75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75"/>
      <c r="BN143" s="75"/>
      <c r="BO143" s="75"/>
      <c r="BP143" s="75"/>
      <c r="BQ143" s="75"/>
      <c r="BR143" s="75"/>
      <c r="BS143" s="75"/>
      <c r="BT143" s="75"/>
      <c r="BU143" s="75"/>
      <c r="BV143" s="75"/>
      <c r="BW143" s="75"/>
      <c r="BX143" s="75"/>
      <c r="BY143" s="75"/>
      <c r="BZ143" s="75"/>
      <c r="CA143" s="75"/>
      <c r="CB143" s="75"/>
      <c r="CC143" s="75"/>
      <c r="CD143" s="75"/>
      <c r="CE143" s="75"/>
      <c r="CF143" s="75"/>
      <c r="CG143" s="75"/>
      <c r="CH143" s="75"/>
      <c r="CI143" s="75"/>
      <c r="CJ143" s="75"/>
      <c r="CK143" s="75"/>
      <c r="CL143" s="75"/>
      <c r="CM143" s="75"/>
      <c r="CN143" s="75"/>
      <c r="CO143" s="75"/>
      <c r="CP143" s="75"/>
      <c r="CQ143" s="75"/>
      <c r="CR143" s="75"/>
      <c r="CS143" s="75"/>
      <c r="CT143" s="75"/>
      <c r="CU143" s="75"/>
      <c r="CV143" s="75"/>
      <c r="CW143" s="76"/>
      <c r="CX143" s="72"/>
      <c r="CY143" s="68"/>
      <c r="CZ143" s="68"/>
      <c r="DA143" s="69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8</v>
      </c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18" customHeight="1" x14ac:dyDescent="0.2">
      <c r="A144" s="74" t="s">
        <v>8</v>
      </c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75"/>
      <c r="BN144" s="75"/>
      <c r="BO144" s="75"/>
      <c r="BP144" s="75"/>
      <c r="BQ144" s="75"/>
      <c r="BR144" s="75"/>
      <c r="BS144" s="75"/>
      <c r="BT144" s="75"/>
      <c r="BU144" s="75"/>
      <c r="BV144" s="75"/>
      <c r="BW144" s="75"/>
      <c r="BX144" s="75"/>
      <c r="BY144" s="75"/>
      <c r="BZ144" s="75"/>
      <c r="CA144" s="75"/>
      <c r="CB144" s="75"/>
      <c r="CC144" s="75"/>
      <c r="CD144" s="75"/>
      <c r="CE144" s="75"/>
      <c r="CF144" s="75"/>
      <c r="CG144" s="75"/>
      <c r="CH144" s="75"/>
      <c r="CI144" s="75"/>
      <c r="CJ144" s="75"/>
      <c r="CK144" s="75"/>
      <c r="CL144" s="75"/>
      <c r="CM144" s="75"/>
      <c r="CN144" s="75"/>
      <c r="CO144" s="75"/>
      <c r="CP144" s="75"/>
      <c r="CQ144" s="75"/>
      <c r="CR144" s="75"/>
      <c r="CS144" s="75"/>
      <c r="CT144" s="75"/>
      <c r="CU144" s="75"/>
      <c r="CV144" s="75"/>
      <c r="CW144" s="76"/>
      <c r="CX144" s="72"/>
      <c r="CY144" s="68"/>
      <c r="CZ144" s="68"/>
      <c r="DA144" s="69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18" customHeight="1" x14ac:dyDescent="0.2">
      <c r="A145" s="74"/>
      <c r="B145" s="75"/>
      <c r="C145" s="75"/>
      <c r="D145" s="75"/>
      <c r="E145" s="75"/>
      <c r="F145" s="75" t="s">
        <v>565</v>
      </c>
      <c r="G145" s="75"/>
      <c r="H145" s="75"/>
      <c r="I145" s="75"/>
      <c r="J145" s="75"/>
      <c r="K145" s="75"/>
      <c r="L145" s="75" t="str">
        <f>TEXT(TRUNC(건설기계!H88,0),"#,##0")</f>
        <v>20,013</v>
      </c>
      <c r="M145" s="75"/>
      <c r="N145" s="75"/>
      <c r="O145" s="75"/>
      <c r="P145" s="75"/>
      <c r="Q145" s="75"/>
      <c r="R145" s="75"/>
      <c r="S145" s="75" t="s">
        <v>181</v>
      </c>
      <c r="T145" s="75"/>
      <c r="U145" s="75"/>
      <c r="V145" s="75" t="s">
        <v>534</v>
      </c>
      <c r="W145" s="75"/>
      <c r="X145" s="75" t="s">
        <v>536</v>
      </c>
      <c r="Y145" s="75"/>
      <c r="Z145" s="75" t="str">
        <f>TEXT(ROUNDDOWN(L145/AM143,1),"#,##0.0#######")</f>
        <v>467.9</v>
      </c>
      <c r="AA145" s="75"/>
      <c r="AB145" s="75"/>
      <c r="AC145" s="75"/>
      <c r="AD145" s="75"/>
      <c r="AE145" s="75"/>
      <c r="AF145" s="75"/>
      <c r="AG145" s="75" t="s">
        <v>149</v>
      </c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75"/>
      <c r="BN145" s="75"/>
      <c r="BO145" s="75"/>
      <c r="BP145" s="75"/>
      <c r="BQ145" s="75"/>
      <c r="BR145" s="75"/>
      <c r="BS145" s="75"/>
      <c r="BT145" s="75"/>
      <c r="BU145" s="75"/>
      <c r="BV145" s="75"/>
      <c r="BW145" s="75"/>
      <c r="BX145" s="75"/>
      <c r="BY145" s="75"/>
      <c r="BZ145" s="75"/>
      <c r="CA145" s="75"/>
      <c r="CB145" s="75"/>
      <c r="CC145" s="75"/>
      <c r="CD145" s="75"/>
      <c r="CE145" s="75"/>
      <c r="CF145" s="75"/>
      <c r="CG145" s="75"/>
      <c r="CH145" s="75"/>
      <c r="CI145" s="75"/>
      <c r="CJ145" s="75"/>
      <c r="CK145" s="75"/>
      <c r="CL145" s="75"/>
      <c r="CM145" s="75"/>
      <c r="CN145" s="75"/>
      <c r="CO145" s="75"/>
      <c r="CP145" s="75"/>
      <c r="CQ145" s="75"/>
      <c r="CR145" s="75"/>
      <c r="CS145" s="75"/>
      <c r="CT145" s="75"/>
      <c r="CU145" s="75"/>
      <c r="CV145" s="75"/>
      <c r="CW145" s="76"/>
      <c r="CX145" s="72">
        <f>CY145+CZ145+DA145</f>
        <v>467.9</v>
      </c>
      <c r="CY145" s="68" t="str">
        <f>TEXT(Z145,"#,###.0")</f>
        <v>467.9</v>
      </c>
      <c r="CZ145" s="68"/>
      <c r="DA145" s="69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35</v>
      </c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18" customHeight="1" x14ac:dyDescent="0.2">
      <c r="A146" s="74" t="s">
        <v>8</v>
      </c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75"/>
      <c r="BN146" s="75"/>
      <c r="BO146" s="75"/>
      <c r="BP146" s="75"/>
      <c r="BQ146" s="75"/>
      <c r="BR146" s="75"/>
      <c r="BS146" s="75"/>
      <c r="BT146" s="75"/>
      <c r="BU146" s="75"/>
      <c r="BV146" s="75"/>
      <c r="BW146" s="75"/>
      <c r="BX146" s="75"/>
      <c r="BY146" s="75"/>
      <c r="BZ146" s="75"/>
      <c r="CA146" s="75"/>
      <c r="CB146" s="75"/>
      <c r="CC146" s="75"/>
      <c r="CD146" s="75"/>
      <c r="CE146" s="75"/>
      <c r="CF146" s="75"/>
      <c r="CG146" s="75"/>
      <c r="CH146" s="75"/>
      <c r="CI146" s="75"/>
      <c r="CJ146" s="75"/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6"/>
      <c r="CX146" s="72"/>
      <c r="CY146" s="68"/>
      <c r="CZ146" s="68"/>
      <c r="DA146" s="69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18" customHeight="1" x14ac:dyDescent="0.2">
      <c r="A147" s="74"/>
      <c r="B147" s="75"/>
      <c r="C147" s="75"/>
      <c r="D147" s="75"/>
      <c r="E147" s="75"/>
      <c r="F147" s="75" t="s">
        <v>329</v>
      </c>
      <c r="G147" s="75"/>
      <c r="H147" s="75"/>
      <c r="I147" s="75"/>
      <c r="J147" s="75"/>
      <c r="K147" s="75"/>
      <c r="L147" s="75" t="str">
        <f>TEXT(TRUNC(건설기계!J88,0),"#,##0")</f>
        <v>59,020</v>
      </c>
      <c r="M147" s="75"/>
      <c r="N147" s="75"/>
      <c r="O147" s="75"/>
      <c r="P147" s="75"/>
      <c r="Q147" s="75"/>
      <c r="R147" s="75"/>
      <c r="S147" s="75" t="s">
        <v>181</v>
      </c>
      <c r="T147" s="75"/>
      <c r="U147" s="75"/>
      <c r="V147" s="75" t="s">
        <v>534</v>
      </c>
      <c r="W147" s="75"/>
      <c r="X147" s="75" t="s">
        <v>536</v>
      </c>
      <c r="Y147" s="75"/>
      <c r="Z147" s="75" t="str">
        <f>TEXT(ROUNDDOWN(L147/AM143,1),"#,##0.0#######")</f>
        <v>1,379.9</v>
      </c>
      <c r="AA147" s="75"/>
      <c r="AB147" s="75"/>
      <c r="AC147" s="75"/>
      <c r="AD147" s="75"/>
      <c r="AE147" s="75"/>
      <c r="AF147" s="75"/>
      <c r="AG147" s="75"/>
      <c r="AH147" s="75"/>
      <c r="AI147" s="75" t="s">
        <v>149</v>
      </c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75"/>
      <c r="BN147" s="75"/>
      <c r="BO147" s="75"/>
      <c r="BP147" s="75"/>
      <c r="BQ147" s="75"/>
      <c r="BR147" s="75"/>
      <c r="BS147" s="75"/>
      <c r="BT147" s="75"/>
      <c r="BU147" s="75"/>
      <c r="BV147" s="75"/>
      <c r="BW147" s="75"/>
      <c r="BX147" s="75"/>
      <c r="BY147" s="75"/>
      <c r="BZ147" s="75"/>
      <c r="CA147" s="75"/>
      <c r="CB147" s="75"/>
      <c r="CC147" s="75"/>
      <c r="CD147" s="75"/>
      <c r="CE147" s="75"/>
      <c r="CF147" s="75"/>
      <c r="CG147" s="75"/>
      <c r="CH147" s="75"/>
      <c r="CI147" s="75"/>
      <c r="CJ147" s="75"/>
      <c r="CK147" s="75"/>
      <c r="CL147" s="75"/>
      <c r="CM147" s="75"/>
      <c r="CN147" s="75"/>
      <c r="CO147" s="75"/>
      <c r="CP147" s="75"/>
      <c r="CQ147" s="75"/>
      <c r="CR147" s="75"/>
      <c r="CS147" s="75"/>
      <c r="CT147" s="75"/>
      <c r="CU147" s="75"/>
      <c r="CV147" s="75"/>
      <c r="CW147" s="76"/>
      <c r="CX147" s="72">
        <f>CY147+CZ147+DA147</f>
        <v>1379.9</v>
      </c>
      <c r="CY147" s="68"/>
      <c r="CZ147" s="68" t="str">
        <f>TEXT(Z147,"#,###.0")</f>
        <v>1,379.9</v>
      </c>
      <c r="DA147" s="69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35</v>
      </c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18" customHeight="1" x14ac:dyDescent="0.2">
      <c r="A148" s="74" t="s">
        <v>8</v>
      </c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5"/>
      <c r="AY148" s="75"/>
      <c r="AZ148" s="75"/>
      <c r="BA148" s="75"/>
      <c r="BB148" s="75"/>
      <c r="BC148" s="75"/>
      <c r="BD148" s="75"/>
      <c r="BE148" s="75"/>
      <c r="BF148" s="75"/>
      <c r="BG148" s="75"/>
      <c r="BH148" s="75"/>
      <c r="BI148" s="75"/>
      <c r="BJ148" s="75"/>
      <c r="BK148" s="75"/>
      <c r="BL148" s="75"/>
      <c r="BM148" s="75"/>
      <c r="BN148" s="75"/>
      <c r="BO148" s="75"/>
      <c r="BP148" s="75"/>
      <c r="BQ148" s="75"/>
      <c r="BR148" s="75"/>
      <c r="BS148" s="75"/>
      <c r="BT148" s="75"/>
      <c r="BU148" s="75"/>
      <c r="BV148" s="75"/>
      <c r="BW148" s="75"/>
      <c r="BX148" s="75"/>
      <c r="BY148" s="75"/>
      <c r="BZ148" s="75"/>
      <c r="CA148" s="75"/>
      <c r="CB148" s="75"/>
      <c r="CC148" s="75"/>
      <c r="CD148" s="75"/>
      <c r="CE148" s="75"/>
      <c r="CF148" s="75"/>
      <c r="CG148" s="75"/>
      <c r="CH148" s="75"/>
      <c r="CI148" s="75"/>
      <c r="CJ148" s="75"/>
      <c r="CK148" s="75"/>
      <c r="CL148" s="75"/>
      <c r="CM148" s="75"/>
      <c r="CN148" s="75"/>
      <c r="CO148" s="75"/>
      <c r="CP148" s="75"/>
      <c r="CQ148" s="75"/>
      <c r="CR148" s="75"/>
      <c r="CS148" s="75"/>
      <c r="CT148" s="75"/>
      <c r="CU148" s="75"/>
      <c r="CV148" s="75"/>
      <c r="CW148" s="76"/>
      <c r="CX148" s="72"/>
      <c r="CY148" s="68"/>
      <c r="CZ148" s="68"/>
      <c r="DA148" s="69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18" customHeight="1" x14ac:dyDescent="0.2">
      <c r="A149" s="74"/>
      <c r="B149" s="75"/>
      <c r="C149" s="75"/>
      <c r="D149" s="75"/>
      <c r="E149" s="75"/>
      <c r="F149" s="75" t="s">
        <v>655</v>
      </c>
      <c r="G149" s="75"/>
      <c r="H149" s="75"/>
      <c r="I149" s="75"/>
      <c r="J149" s="75"/>
      <c r="K149" s="75"/>
      <c r="L149" s="75" t="str">
        <f>TEXT(TRUNC(건설기계!L88,0),"#,##0")</f>
        <v>17,514</v>
      </c>
      <c r="M149" s="75"/>
      <c r="N149" s="75"/>
      <c r="O149" s="75"/>
      <c r="P149" s="75"/>
      <c r="Q149" s="75"/>
      <c r="R149" s="75"/>
      <c r="S149" s="75" t="s">
        <v>181</v>
      </c>
      <c r="T149" s="75"/>
      <c r="U149" s="75"/>
      <c r="V149" s="75" t="s">
        <v>534</v>
      </c>
      <c r="W149" s="75"/>
      <c r="X149" s="75" t="s">
        <v>536</v>
      </c>
      <c r="Y149" s="75"/>
      <c r="Z149" s="75" t="str">
        <f>TEXT(ROUNDDOWN(L149/AM143,1),"#,##0.0#######")</f>
        <v>409.4</v>
      </c>
      <c r="AA149" s="75"/>
      <c r="AB149" s="75"/>
      <c r="AC149" s="75"/>
      <c r="AD149" s="75"/>
      <c r="AE149" s="75"/>
      <c r="AF149" s="75"/>
      <c r="AG149" s="75" t="s">
        <v>149</v>
      </c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5"/>
      <c r="AY149" s="75"/>
      <c r="AZ149" s="75"/>
      <c r="BA149" s="75"/>
      <c r="BB149" s="75"/>
      <c r="BC149" s="75"/>
      <c r="BD149" s="75"/>
      <c r="BE149" s="75"/>
      <c r="BF149" s="75"/>
      <c r="BG149" s="75"/>
      <c r="BH149" s="75"/>
      <c r="BI149" s="75"/>
      <c r="BJ149" s="75"/>
      <c r="BK149" s="75"/>
      <c r="BL149" s="75"/>
      <c r="BM149" s="75"/>
      <c r="BN149" s="75"/>
      <c r="BO149" s="75"/>
      <c r="BP149" s="75"/>
      <c r="BQ149" s="75"/>
      <c r="BR149" s="75"/>
      <c r="BS149" s="75"/>
      <c r="BT149" s="75"/>
      <c r="BU149" s="75"/>
      <c r="BV149" s="75"/>
      <c r="BW149" s="75"/>
      <c r="BX149" s="75"/>
      <c r="BY149" s="75"/>
      <c r="BZ149" s="75"/>
      <c r="CA149" s="75"/>
      <c r="CB149" s="75"/>
      <c r="CC149" s="75"/>
      <c r="CD149" s="75"/>
      <c r="CE149" s="75"/>
      <c r="CF149" s="75"/>
      <c r="CG149" s="75"/>
      <c r="CH149" s="75"/>
      <c r="CI149" s="75"/>
      <c r="CJ149" s="75"/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6"/>
      <c r="CX149" s="72">
        <f>CY149+CZ149+DA149</f>
        <v>409.4</v>
      </c>
      <c r="CY149" s="68"/>
      <c r="CZ149" s="68"/>
      <c r="DA149" s="69" t="str">
        <f>TEXT(Z149,"#,###.0")</f>
        <v>409.4</v>
      </c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35</v>
      </c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18" customHeight="1" x14ac:dyDescent="0.2">
      <c r="A150" s="74" t="s">
        <v>8</v>
      </c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5"/>
      <c r="AY150" s="75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75"/>
      <c r="BL150" s="75"/>
      <c r="BM150" s="75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5"/>
      <c r="BY150" s="75"/>
      <c r="BZ150" s="75"/>
      <c r="CA150" s="75"/>
      <c r="CB150" s="75"/>
      <c r="CC150" s="75"/>
      <c r="CD150" s="75"/>
      <c r="CE150" s="75"/>
      <c r="CF150" s="75"/>
      <c r="CG150" s="75"/>
      <c r="CH150" s="75"/>
      <c r="CI150" s="75"/>
      <c r="CJ150" s="75"/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6"/>
      <c r="CX150" s="72"/>
      <c r="CY150" s="68"/>
      <c r="CZ150" s="68"/>
      <c r="DA150" s="69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18" customHeight="1" x14ac:dyDescent="0.2">
      <c r="A151" s="74" t="s">
        <v>562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5"/>
      <c r="AY151" s="75"/>
      <c r="AZ151" s="75"/>
      <c r="BA151" s="75"/>
      <c r="BB151" s="75"/>
      <c r="BC151" s="75"/>
      <c r="BD151" s="75"/>
      <c r="BE151" s="75"/>
      <c r="BF151" s="75"/>
      <c r="BG151" s="75"/>
      <c r="BH151" s="75"/>
      <c r="BI151" s="75"/>
      <c r="BJ151" s="75"/>
      <c r="BK151" s="75"/>
      <c r="BL151" s="75"/>
      <c r="BM151" s="75"/>
      <c r="BN151" s="75"/>
      <c r="BO151" s="75"/>
      <c r="BP151" s="75"/>
      <c r="BQ151" s="75"/>
      <c r="BR151" s="75"/>
      <c r="BS151" s="75"/>
      <c r="BT151" s="75"/>
      <c r="BU151" s="75"/>
      <c r="BV151" s="75"/>
      <c r="BW151" s="75"/>
      <c r="BX151" s="75"/>
      <c r="BY151" s="75"/>
      <c r="BZ151" s="75"/>
      <c r="CA151" s="75"/>
      <c r="CB151" s="75"/>
      <c r="CC151" s="75"/>
      <c r="CD151" s="75"/>
      <c r="CE151" s="75"/>
      <c r="CF151" s="75"/>
      <c r="CG151" s="75"/>
      <c r="CH151" s="75"/>
      <c r="CI151" s="75"/>
      <c r="CJ151" s="75"/>
      <c r="CK151" s="75"/>
      <c r="CL151" s="75"/>
      <c r="CM151" s="75"/>
      <c r="CN151" s="75"/>
      <c r="CO151" s="75"/>
      <c r="CP151" s="75"/>
      <c r="CQ151" s="75"/>
      <c r="CR151" s="75"/>
      <c r="CS151" s="75"/>
      <c r="CT151" s="75"/>
      <c r="CU151" s="75"/>
      <c r="CV151" s="75"/>
      <c r="CW151" s="76"/>
      <c r="CX151" s="72"/>
      <c r="CY151" s="68"/>
      <c r="CZ151" s="68"/>
      <c r="DA151" s="69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 t="s">
        <v>8</v>
      </c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18" customHeight="1" x14ac:dyDescent="0.2">
      <c r="A152" s="74" t="s">
        <v>8</v>
      </c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5"/>
      <c r="BD152" s="75"/>
      <c r="BE152" s="75"/>
      <c r="BF152" s="75"/>
      <c r="BG152" s="75"/>
      <c r="BH152" s="75"/>
      <c r="BI152" s="75"/>
      <c r="BJ152" s="75"/>
      <c r="BK152" s="75"/>
      <c r="BL152" s="75"/>
      <c r="BM152" s="75"/>
      <c r="BN152" s="75"/>
      <c r="BO152" s="75"/>
      <c r="BP152" s="75"/>
      <c r="BQ152" s="75"/>
      <c r="BR152" s="75"/>
      <c r="BS152" s="75"/>
      <c r="BT152" s="75"/>
      <c r="BU152" s="75"/>
      <c r="BV152" s="75"/>
      <c r="BW152" s="75"/>
      <c r="BX152" s="75"/>
      <c r="BY152" s="75"/>
      <c r="BZ152" s="75"/>
      <c r="CA152" s="75"/>
      <c r="CB152" s="75"/>
      <c r="CC152" s="75"/>
      <c r="CD152" s="75"/>
      <c r="CE152" s="75"/>
      <c r="CF152" s="75"/>
      <c r="CG152" s="75"/>
      <c r="CH152" s="75"/>
      <c r="CI152" s="75"/>
      <c r="CJ152" s="75"/>
      <c r="CK152" s="75"/>
      <c r="CL152" s="75"/>
      <c r="CM152" s="75"/>
      <c r="CN152" s="75"/>
      <c r="CO152" s="75"/>
      <c r="CP152" s="75"/>
      <c r="CQ152" s="75"/>
      <c r="CR152" s="75"/>
      <c r="CS152" s="75"/>
      <c r="CT152" s="75"/>
      <c r="CU152" s="75"/>
      <c r="CV152" s="75"/>
      <c r="CW152" s="76"/>
      <c r="CX152" s="72"/>
      <c r="CY152" s="68"/>
      <c r="CZ152" s="68"/>
      <c r="DA152" s="69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18" customHeight="1" x14ac:dyDescent="0.2">
      <c r="A153" s="92"/>
      <c r="B153" s="93" t="s">
        <v>215</v>
      </c>
      <c r="C153" s="93"/>
      <c r="D153" s="93"/>
      <c r="E153" s="93"/>
      <c r="F153" s="93" t="s">
        <v>328</v>
      </c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  <c r="AF153" s="93"/>
      <c r="AG153" s="93"/>
      <c r="AH153" s="93"/>
      <c r="AI153" s="93"/>
      <c r="AJ153" s="93"/>
      <c r="AK153" s="93"/>
      <c r="AL153" s="93"/>
      <c r="AM153" s="93"/>
      <c r="AN153" s="93"/>
      <c r="AO153" s="93"/>
      <c r="AP153" s="93"/>
      <c r="AQ153" s="93"/>
      <c r="AR153" s="93"/>
      <c r="AS153" s="93"/>
      <c r="AT153" s="93"/>
      <c r="AU153" s="93"/>
      <c r="AV153" s="93"/>
      <c r="AW153" s="93"/>
      <c r="AX153" s="93"/>
      <c r="AY153" s="93"/>
      <c r="AZ153" s="93"/>
      <c r="BA153" s="93"/>
      <c r="BB153" s="93"/>
      <c r="BC153" s="93"/>
      <c r="BD153" s="93"/>
      <c r="BE153" s="93"/>
      <c r="BF153" s="93"/>
      <c r="BG153" s="93"/>
      <c r="BH153" s="93"/>
      <c r="BI153" s="93"/>
      <c r="BJ153" s="93"/>
      <c r="BK153" s="93"/>
      <c r="BL153" s="93"/>
      <c r="BM153" s="93"/>
      <c r="BN153" s="93"/>
      <c r="BO153" s="93"/>
      <c r="BP153" s="93"/>
      <c r="BQ153" s="93"/>
      <c r="BR153" s="93"/>
      <c r="BS153" s="93"/>
      <c r="BT153" s="93"/>
      <c r="BU153" s="93"/>
      <c r="BV153" s="93"/>
      <c r="BW153" s="93"/>
      <c r="BX153" s="93"/>
      <c r="BY153" s="93"/>
      <c r="BZ153" s="93"/>
      <c r="CA153" s="93"/>
      <c r="CB153" s="93"/>
      <c r="CC153" s="93"/>
      <c r="CD153" s="93"/>
      <c r="CE153" s="93"/>
      <c r="CF153" s="93"/>
      <c r="CG153" s="93"/>
      <c r="CH153" s="93"/>
      <c r="CI153" s="93"/>
      <c r="CJ153" s="93"/>
      <c r="CK153" s="93"/>
      <c r="CL153" s="93"/>
      <c r="CM153" s="93"/>
      <c r="CN153" s="93"/>
      <c r="CO153" s="93"/>
      <c r="CP153" s="93"/>
      <c r="CQ153" s="93"/>
      <c r="CR153" s="93"/>
      <c r="CS153" s="93"/>
      <c r="CT153" s="93"/>
      <c r="CU153" s="93"/>
      <c r="CV153" s="93"/>
      <c r="CW153" s="94"/>
      <c r="CX153" s="95">
        <f>CY153+CZ153+DA153</f>
        <v>2257.2000000000003</v>
      </c>
      <c r="CY153" s="96" t="str">
        <f>TEXT(TRUNC(CY145+CY147+CY149,1),"#,###.0")</f>
        <v>467.9</v>
      </c>
      <c r="CZ153" s="96" t="str">
        <f>TEXT(TRUNC(CZ145+CZ147+CZ149,1),"#,###.0")</f>
        <v>1,379.9</v>
      </c>
      <c r="DA153" s="97" t="str">
        <f>TEXT(TRUNC(DA145+DA147+DA149,1),"#,###.0")</f>
        <v>409.4</v>
      </c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8</v>
      </c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18" customHeight="1" x14ac:dyDescent="0.2">
      <c r="A154" s="74" t="s">
        <v>8</v>
      </c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5"/>
      <c r="AY154" s="75"/>
      <c r="AZ154" s="75"/>
      <c r="BA154" s="75"/>
      <c r="BB154" s="75"/>
      <c r="BC154" s="75"/>
      <c r="BD154" s="75"/>
      <c r="BE154" s="75"/>
      <c r="BF154" s="75"/>
      <c r="BG154" s="75"/>
      <c r="BH154" s="75"/>
      <c r="BI154" s="75"/>
      <c r="BJ154" s="75"/>
      <c r="BK154" s="75"/>
      <c r="BL154" s="75"/>
      <c r="BM154" s="75"/>
      <c r="BN154" s="75"/>
      <c r="BO154" s="75"/>
      <c r="BP154" s="75"/>
      <c r="BQ154" s="75"/>
      <c r="BR154" s="75"/>
      <c r="BS154" s="75"/>
      <c r="BT154" s="75"/>
      <c r="BU154" s="75"/>
      <c r="BV154" s="75"/>
      <c r="BW154" s="75"/>
      <c r="BX154" s="75"/>
      <c r="BY154" s="75"/>
      <c r="BZ154" s="75"/>
      <c r="CA154" s="75"/>
      <c r="CB154" s="75"/>
      <c r="CC154" s="75"/>
      <c r="CD154" s="75"/>
      <c r="CE154" s="75"/>
      <c r="CF154" s="75"/>
      <c r="CG154" s="75"/>
      <c r="CH154" s="75"/>
      <c r="CI154" s="75"/>
      <c r="CJ154" s="75"/>
      <c r="CK154" s="75"/>
      <c r="CL154" s="75"/>
      <c r="CM154" s="75"/>
      <c r="CN154" s="75"/>
      <c r="CO154" s="75"/>
      <c r="CP154" s="75"/>
      <c r="CQ154" s="75"/>
      <c r="CR154" s="75"/>
      <c r="CS154" s="75"/>
      <c r="CT154" s="75"/>
      <c r="CU154" s="75"/>
      <c r="CV154" s="75"/>
      <c r="CW154" s="76"/>
      <c r="CX154" s="72"/>
      <c r="CY154" s="68"/>
      <c r="CZ154" s="68"/>
      <c r="DA154" s="69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18" customHeight="1" x14ac:dyDescent="0.2">
      <c r="A155" s="74" t="s">
        <v>297</v>
      </c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5"/>
      <c r="AY155" s="75"/>
      <c r="AZ155" s="75"/>
      <c r="BA155" s="75"/>
      <c r="BB155" s="75"/>
      <c r="BC155" s="75"/>
      <c r="BD155" s="75"/>
      <c r="BE155" s="75"/>
      <c r="BF155" s="75"/>
      <c r="BG155" s="75"/>
      <c r="BH155" s="75"/>
      <c r="BI155" s="75"/>
      <c r="BJ155" s="75"/>
      <c r="BK155" s="75"/>
      <c r="BL155" s="75"/>
      <c r="BM155" s="75"/>
      <c r="BN155" s="75"/>
      <c r="BO155" s="75"/>
      <c r="BP155" s="75"/>
      <c r="BQ155" s="75"/>
      <c r="BR155" s="75"/>
      <c r="BS155" s="75"/>
      <c r="BT155" s="75"/>
      <c r="BU155" s="75"/>
      <c r="BV155" s="75"/>
      <c r="BW155" s="75"/>
      <c r="BX155" s="75"/>
      <c r="BY155" s="75"/>
      <c r="BZ155" s="75"/>
      <c r="CA155" s="75"/>
      <c r="CB155" s="75"/>
      <c r="CC155" s="75"/>
      <c r="CD155" s="75"/>
      <c r="CE155" s="75"/>
      <c r="CF155" s="75"/>
      <c r="CG155" s="75"/>
      <c r="CH155" s="75"/>
      <c r="CI155" s="75"/>
      <c r="CJ155" s="75"/>
      <c r="CK155" s="75"/>
      <c r="CL155" s="75"/>
      <c r="CM155" s="75"/>
      <c r="CN155" s="75"/>
      <c r="CO155" s="75"/>
      <c r="CP155" s="75"/>
      <c r="CQ155" s="75"/>
      <c r="CR155" s="75"/>
      <c r="CS155" s="75"/>
      <c r="CT155" s="75"/>
      <c r="CU155" s="75"/>
      <c r="CV155" s="75"/>
      <c r="CW155" s="76"/>
      <c r="CX155" s="72"/>
      <c r="CY155" s="68"/>
      <c r="CZ155" s="68"/>
      <c r="DA155" s="69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18" customHeight="1" x14ac:dyDescent="0.2">
      <c r="A156" s="74" t="s">
        <v>8</v>
      </c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5"/>
      <c r="AY156" s="75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5"/>
      <c r="BK156" s="75"/>
      <c r="BL156" s="75"/>
      <c r="BM156" s="75"/>
      <c r="BN156" s="75"/>
      <c r="BO156" s="75"/>
      <c r="BP156" s="75"/>
      <c r="BQ156" s="75"/>
      <c r="BR156" s="75"/>
      <c r="BS156" s="75"/>
      <c r="BT156" s="75"/>
      <c r="BU156" s="75"/>
      <c r="BV156" s="75"/>
      <c r="BW156" s="75"/>
      <c r="BX156" s="75"/>
      <c r="BY156" s="75"/>
      <c r="BZ156" s="75"/>
      <c r="CA156" s="75"/>
      <c r="CB156" s="75"/>
      <c r="CC156" s="75"/>
      <c r="CD156" s="75"/>
      <c r="CE156" s="75"/>
      <c r="CF156" s="75"/>
      <c r="CG156" s="75"/>
      <c r="CH156" s="75"/>
      <c r="CI156" s="75"/>
      <c r="CJ156" s="75"/>
      <c r="CK156" s="75"/>
      <c r="CL156" s="75"/>
      <c r="CM156" s="75"/>
      <c r="CN156" s="75"/>
      <c r="CO156" s="75"/>
      <c r="CP156" s="75"/>
      <c r="CQ156" s="75"/>
      <c r="CR156" s="75"/>
      <c r="CS156" s="75"/>
      <c r="CT156" s="75"/>
      <c r="CU156" s="75"/>
      <c r="CV156" s="75"/>
      <c r="CW156" s="76"/>
      <c r="CX156" s="72"/>
      <c r="CY156" s="68"/>
      <c r="CZ156" s="68"/>
      <c r="DA156" s="69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18" customHeight="1" x14ac:dyDescent="0.2">
      <c r="A157" s="74"/>
      <c r="B157" s="75"/>
      <c r="C157" s="75"/>
      <c r="D157" s="75"/>
      <c r="E157" s="75" t="s">
        <v>214</v>
      </c>
      <c r="F157" s="75"/>
      <c r="G157" s="75"/>
      <c r="H157" s="75" t="s">
        <v>536</v>
      </c>
      <c r="I157" s="75"/>
      <c r="J157" s="75" t="str">
        <f>TEXT(0.5,"#,##0.00#######")</f>
        <v>0.50</v>
      </c>
      <c r="K157" s="75"/>
      <c r="L157" s="75"/>
      <c r="M157" s="75"/>
      <c r="N157" s="75"/>
      <c r="O157" s="75" t="s">
        <v>14</v>
      </c>
      <c r="P157" s="75"/>
      <c r="Q157" s="75" t="s">
        <v>388</v>
      </c>
      <c r="R157" s="75"/>
      <c r="S157" s="75"/>
      <c r="T157" s="75" t="s">
        <v>536</v>
      </c>
      <c r="U157" s="75"/>
      <c r="V157" s="75" t="str">
        <f>TEXT(4.5,"#,##0.0#######")</f>
        <v>4.5</v>
      </c>
      <c r="W157" s="75"/>
      <c r="X157" s="75"/>
      <c r="Y157" s="75"/>
      <c r="Z157" s="75" t="s">
        <v>14</v>
      </c>
      <c r="AA157" s="75"/>
      <c r="AB157" s="75" t="s">
        <v>54</v>
      </c>
      <c r="AC157" s="75"/>
      <c r="AD157" s="75"/>
      <c r="AE157" s="75" t="s">
        <v>536</v>
      </c>
      <c r="AF157" s="75"/>
      <c r="AG157" s="75" t="str">
        <f>TEXT(1.6,"#,##0.00#######")</f>
        <v>1.60</v>
      </c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5"/>
      <c r="AY157" s="75"/>
      <c r="AZ157" s="75"/>
      <c r="BA157" s="75"/>
      <c r="BB157" s="75"/>
      <c r="BC157" s="75"/>
      <c r="BD157" s="75"/>
      <c r="BE157" s="75"/>
      <c r="BF157" s="75"/>
      <c r="BG157" s="75"/>
      <c r="BH157" s="75"/>
      <c r="BI157" s="75"/>
      <c r="BJ157" s="75"/>
      <c r="BK157" s="75"/>
      <c r="BL157" s="75"/>
      <c r="BM157" s="75"/>
      <c r="BN157" s="75"/>
      <c r="BO157" s="75"/>
      <c r="BP157" s="75"/>
      <c r="BQ157" s="75"/>
      <c r="BR157" s="75"/>
      <c r="BS157" s="75"/>
      <c r="BT157" s="75"/>
      <c r="BU157" s="75"/>
      <c r="BV157" s="75"/>
      <c r="BW157" s="75"/>
      <c r="BX157" s="75"/>
      <c r="BY157" s="75"/>
      <c r="BZ157" s="75"/>
      <c r="CA157" s="75"/>
      <c r="CB157" s="75"/>
      <c r="CC157" s="75"/>
      <c r="CD157" s="75"/>
      <c r="CE157" s="75"/>
      <c r="CF157" s="75"/>
      <c r="CG157" s="75"/>
      <c r="CH157" s="75"/>
      <c r="CI157" s="75"/>
      <c r="CJ157" s="75"/>
      <c r="CK157" s="75"/>
      <c r="CL157" s="75"/>
      <c r="CM157" s="75"/>
      <c r="CN157" s="75"/>
      <c r="CO157" s="75"/>
      <c r="CP157" s="75"/>
      <c r="CQ157" s="75"/>
      <c r="CR157" s="75"/>
      <c r="CS157" s="75"/>
      <c r="CT157" s="75"/>
      <c r="CU157" s="75"/>
      <c r="CV157" s="75"/>
      <c r="CW157" s="76"/>
      <c r="CX157" s="72"/>
      <c r="CY157" s="68"/>
      <c r="CZ157" s="68"/>
      <c r="DA157" s="69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8</v>
      </c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18" customHeight="1" x14ac:dyDescent="0.2">
      <c r="A158" s="74" t="s">
        <v>8</v>
      </c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5"/>
      <c r="AY158" s="75"/>
      <c r="AZ158" s="75"/>
      <c r="BA158" s="75"/>
      <c r="BB158" s="75"/>
      <c r="BC158" s="75"/>
      <c r="BD158" s="75"/>
      <c r="BE158" s="75"/>
      <c r="BF158" s="75"/>
      <c r="BG158" s="75"/>
      <c r="BH158" s="75"/>
      <c r="BI158" s="75"/>
      <c r="BJ158" s="75"/>
      <c r="BK158" s="75"/>
      <c r="BL158" s="75"/>
      <c r="BM158" s="75"/>
      <c r="BN158" s="75"/>
      <c r="BO158" s="75"/>
      <c r="BP158" s="75"/>
      <c r="BQ158" s="75"/>
      <c r="BR158" s="75"/>
      <c r="BS158" s="75"/>
      <c r="BT158" s="75"/>
      <c r="BU158" s="75"/>
      <c r="BV158" s="75"/>
      <c r="BW158" s="75"/>
      <c r="BX158" s="75"/>
      <c r="BY158" s="75"/>
      <c r="BZ158" s="75"/>
      <c r="CA158" s="75"/>
      <c r="CB158" s="75"/>
      <c r="CC158" s="75"/>
      <c r="CD158" s="75"/>
      <c r="CE158" s="75"/>
      <c r="CF158" s="75"/>
      <c r="CG158" s="75"/>
      <c r="CH158" s="75"/>
      <c r="CI158" s="75"/>
      <c r="CJ158" s="75"/>
      <c r="CK158" s="75"/>
      <c r="CL158" s="75"/>
      <c r="CM158" s="75"/>
      <c r="CN158" s="75"/>
      <c r="CO158" s="75"/>
      <c r="CP158" s="75"/>
      <c r="CQ158" s="75"/>
      <c r="CR158" s="75"/>
      <c r="CS158" s="75"/>
      <c r="CT158" s="75"/>
      <c r="CU158" s="75"/>
      <c r="CV158" s="75"/>
      <c r="CW158" s="76"/>
      <c r="CX158" s="72"/>
      <c r="CY158" s="68"/>
      <c r="CZ158" s="68"/>
      <c r="DA158" s="69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18" customHeight="1" x14ac:dyDescent="0.2">
      <c r="A159" s="74"/>
      <c r="B159" s="75"/>
      <c r="C159" s="75"/>
      <c r="D159" s="75"/>
      <c r="E159" s="75" t="s">
        <v>182</v>
      </c>
      <c r="F159" s="75"/>
      <c r="G159" s="75" t="s">
        <v>536</v>
      </c>
      <c r="H159" s="75"/>
      <c r="I159" s="75" t="str">
        <f>TEXT(1.2,"#,##0.0#######")</f>
        <v>1.2</v>
      </c>
      <c r="J159" s="75"/>
      <c r="K159" s="75"/>
      <c r="L159" s="75"/>
      <c r="M159" s="75" t="s">
        <v>14</v>
      </c>
      <c r="N159" s="75"/>
      <c r="O159" s="75" t="s">
        <v>399</v>
      </c>
      <c r="P159" s="75"/>
      <c r="Q159" s="75"/>
      <c r="R159" s="75"/>
      <c r="S159" s="75" t="s">
        <v>536</v>
      </c>
      <c r="T159" s="75"/>
      <c r="U159" s="75" t="str">
        <f>TEXT(15,"#,##0")</f>
        <v>15</v>
      </c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5"/>
      <c r="BN159" s="75"/>
      <c r="BO159" s="75"/>
      <c r="BP159" s="75"/>
      <c r="BQ159" s="75"/>
      <c r="BR159" s="75"/>
      <c r="BS159" s="75"/>
      <c r="BT159" s="75"/>
      <c r="BU159" s="75"/>
      <c r="BV159" s="75"/>
      <c r="BW159" s="75"/>
      <c r="BX159" s="75"/>
      <c r="BY159" s="75"/>
      <c r="BZ159" s="75"/>
      <c r="CA159" s="75"/>
      <c r="CB159" s="75"/>
      <c r="CC159" s="75"/>
      <c r="CD159" s="75"/>
      <c r="CE159" s="75"/>
      <c r="CF159" s="75"/>
      <c r="CG159" s="75"/>
      <c r="CH159" s="75"/>
      <c r="CI159" s="75"/>
      <c r="CJ159" s="75"/>
      <c r="CK159" s="75"/>
      <c r="CL159" s="75"/>
      <c r="CM159" s="75"/>
      <c r="CN159" s="75"/>
      <c r="CO159" s="75"/>
      <c r="CP159" s="75"/>
      <c r="CQ159" s="75"/>
      <c r="CR159" s="75"/>
      <c r="CS159" s="75"/>
      <c r="CT159" s="75"/>
      <c r="CU159" s="75"/>
      <c r="CV159" s="75"/>
      <c r="CW159" s="76"/>
      <c r="CX159" s="72"/>
      <c r="CY159" s="68"/>
      <c r="CZ159" s="68"/>
      <c r="DA159" s="69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8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18" customHeight="1" x14ac:dyDescent="0.2">
      <c r="A160" s="74" t="s">
        <v>8</v>
      </c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5"/>
      <c r="AY160" s="75"/>
      <c r="AZ160" s="75"/>
      <c r="BA160" s="75"/>
      <c r="BB160" s="75"/>
      <c r="BC160" s="75"/>
      <c r="BD160" s="75"/>
      <c r="BE160" s="75"/>
      <c r="BF160" s="75"/>
      <c r="BG160" s="75"/>
      <c r="BH160" s="75"/>
      <c r="BI160" s="75"/>
      <c r="BJ160" s="75"/>
      <c r="BK160" s="75"/>
      <c r="BL160" s="75"/>
      <c r="BM160" s="75"/>
      <c r="BN160" s="75"/>
      <c r="BO160" s="75"/>
      <c r="BP160" s="75"/>
      <c r="BQ160" s="75"/>
      <c r="BR160" s="75"/>
      <c r="BS160" s="75"/>
      <c r="BT160" s="75"/>
      <c r="BU160" s="75"/>
      <c r="BV160" s="75"/>
      <c r="BW160" s="75"/>
      <c r="BX160" s="75"/>
      <c r="BY160" s="75"/>
      <c r="BZ160" s="75"/>
      <c r="CA160" s="75"/>
      <c r="CB160" s="75"/>
      <c r="CC160" s="75"/>
      <c r="CD160" s="75"/>
      <c r="CE160" s="75"/>
      <c r="CF160" s="75"/>
      <c r="CG160" s="75"/>
      <c r="CH160" s="75"/>
      <c r="CI160" s="75"/>
      <c r="CJ160" s="75"/>
      <c r="CK160" s="75"/>
      <c r="CL160" s="75"/>
      <c r="CM160" s="75"/>
      <c r="CN160" s="75"/>
      <c r="CO160" s="75"/>
      <c r="CP160" s="75"/>
      <c r="CQ160" s="75"/>
      <c r="CR160" s="75"/>
      <c r="CS160" s="75"/>
      <c r="CT160" s="75"/>
      <c r="CU160" s="75"/>
      <c r="CV160" s="75"/>
      <c r="CW160" s="76"/>
      <c r="CX160" s="72"/>
      <c r="CY160" s="68"/>
      <c r="CZ160" s="68"/>
      <c r="DA160" s="69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18" customHeight="1" x14ac:dyDescent="0.2">
      <c r="A161" s="74"/>
      <c r="B161" s="75"/>
      <c r="C161" s="75"/>
      <c r="D161" s="75"/>
      <c r="E161" s="75" t="s">
        <v>347</v>
      </c>
      <c r="F161" s="75"/>
      <c r="G161" s="75" t="s">
        <v>536</v>
      </c>
      <c r="H161" s="75"/>
      <c r="I161" s="75" t="str">
        <f>TEXT(1,"#,##0")</f>
        <v>1</v>
      </c>
      <c r="J161" s="75"/>
      <c r="K161" s="75" t="s">
        <v>181</v>
      </c>
      <c r="L161" s="75"/>
      <c r="M161" s="75" t="str">
        <f>TEXT(1.24,"#,##0.00#######")</f>
        <v>1.24</v>
      </c>
      <c r="N161" s="75"/>
      <c r="O161" s="75"/>
      <c r="P161" s="75"/>
      <c r="Q161" s="75"/>
      <c r="R161" s="75" t="s">
        <v>536</v>
      </c>
      <c r="S161" s="75"/>
      <c r="T161" s="75" t="str">
        <f>TEXT(ROUND(I161/M161,2),"#,##0.00#######")</f>
        <v>0.81</v>
      </c>
      <c r="U161" s="75"/>
      <c r="V161" s="75"/>
      <c r="W161" s="75"/>
      <c r="X161" s="75"/>
      <c r="Y161" s="75"/>
      <c r="Z161" s="75" t="s">
        <v>14</v>
      </c>
      <c r="AA161" s="75"/>
      <c r="AB161" s="75"/>
      <c r="AC161" s="75" t="s">
        <v>535</v>
      </c>
      <c r="AD161" s="75"/>
      <c r="AE161" s="75" t="s">
        <v>536</v>
      </c>
      <c r="AF161" s="75"/>
      <c r="AG161" s="75" t="str">
        <f>TEXT(0.9,"#,##0.0#######")</f>
        <v>0.9</v>
      </c>
      <c r="AH161" s="75"/>
      <c r="AI161" s="75"/>
      <c r="AJ161" s="75"/>
      <c r="AK161" s="75"/>
      <c r="AL161" s="75" t="s">
        <v>14</v>
      </c>
      <c r="AM161" s="75"/>
      <c r="AN161" s="75"/>
      <c r="AO161" s="75" t="s">
        <v>12</v>
      </c>
      <c r="AP161" s="75"/>
      <c r="AQ161" s="75" t="s">
        <v>536</v>
      </c>
      <c r="AR161" s="75"/>
      <c r="AS161" s="75" t="str">
        <f>TEXT(5,"#,##0.0#######")</f>
        <v>5.0</v>
      </c>
      <c r="AT161" s="75"/>
      <c r="AU161" s="75"/>
      <c r="AV161" s="75"/>
      <c r="AW161" s="75" t="s">
        <v>480</v>
      </c>
      <c r="AX161" s="75"/>
      <c r="AY161" s="75"/>
      <c r="AZ161" s="75"/>
      <c r="BA161" s="75"/>
      <c r="BB161" s="75"/>
      <c r="BC161" s="75"/>
      <c r="BD161" s="75"/>
      <c r="BE161" s="75"/>
      <c r="BF161" s="75"/>
      <c r="BG161" s="75"/>
      <c r="BH161" s="75"/>
      <c r="BI161" s="75"/>
      <c r="BJ161" s="75"/>
      <c r="BK161" s="75"/>
      <c r="BL161" s="75"/>
      <c r="BM161" s="75"/>
      <c r="BN161" s="75"/>
      <c r="BO161" s="75"/>
      <c r="BP161" s="75"/>
      <c r="BQ161" s="75"/>
      <c r="BR161" s="75"/>
      <c r="BS161" s="75"/>
      <c r="BT161" s="75"/>
      <c r="BU161" s="75"/>
      <c r="BV161" s="75"/>
      <c r="BW161" s="75"/>
      <c r="BX161" s="75"/>
      <c r="BY161" s="75"/>
      <c r="BZ161" s="75"/>
      <c r="CA161" s="75"/>
      <c r="CB161" s="75"/>
      <c r="CC161" s="75"/>
      <c r="CD161" s="75"/>
      <c r="CE161" s="75"/>
      <c r="CF161" s="75"/>
      <c r="CG161" s="75"/>
      <c r="CH161" s="75"/>
      <c r="CI161" s="75"/>
      <c r="CJ161" s="75"/>
      <c r="CK161" s="75"/>
      <c r="CL161" s="75"/>
      <c r="CM161" s="75"/>
      <c r="CN161" s="75"/>
      <c r="CO161" s="75"/>
      <c r="CP161" s="75"/>
      <c r="CQ161" s="75"/>
      <c r="CR161" s="75"/>
      <c r="CS161" s="75"/>
      <c r="CT161" s="75"/>
      <c r="CU161" s="75"/>
      <c r="CV161" s="75"/>
      <c r="CW161" s="76"/>
      <c r="CX161" s="72"/>
      <c r="CY161" s="68"/>
      <c r="CZ161" s="68"/>
      <c r="DA161" s="69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8</v>
      </c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18" customHeight="1" x14ac:dyDescent="0.2">
      <c r="A162" s="74" t="s">
        <v>8</v>
      </c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5"/>
      <c r="AY162" s="75"/>
      <c r="AZ162" s="75"/>
      <c r="BA162" s="75"/>
      <c r="BB162" s="75"/>
      <c r="BC162" s="75"/>
      <c r="BD162" s="75"/>
      <c r="BE162" s="75"/>
      <c r="BF162" s="75"/>
      <c r="BG162" s="75"/>
      <c r="BH162" s="75"/>
      <c r="BI162" s="75"/>
      <c r="BJ162" s="75"/>
      <c r="BK162" s="75"/>
      <c r="BL162" s="75"/>
      <c r="BM162" s="75"/>
      <c r="BN162" s="75"/>
      <c r="BO162" s="75"/>
      <c r="BP162" s="75"/>
      <c r="BQ162" s="75"/>
      <c r="BR162" s="75"/>
      <c r="BS162" s="75"/>
      <c r="BT162" s="75"/>
      <c r="BU162" s="75"/>
      <c r="BV162" s="75"/>
      <c r="BW162" s="75"/>
      <c r="BX162" s="75"/>
      <c r="BY162" s="75"/>
      <c r="BZ162" s="75"/>
      <c r="CA162" s="75"/>
      <c r="CB162" s="75"/>
      <c r="CC162" s="75"/>
      <c r="CD162" s="75"/>
      <c r="CE162" s="75"/>
      <c r="CF162" s="75"/>
      <c r="CG162" s="75"/>
      <c r="CH162" s="75"/>
      <c r="CI162" s="75"/>
      <c r="CJ162" s="75"/>
      <c r="CK162" s="75"/>
      <c r="CL162" s="75"/>
      <c r="CM162" s="75"/>
      <c r="CN162" s="75"/>
      <c r="CO162" s="75"/>
      <c r="CP162" s="75"/>
      <c r="CQ162" s="75"/>
      <c r="CR162" s="75"/>
      <c r="CS162" s="75"/>
      <c r="CT162" s="75"/>
      <c r="CU162" s="75"/>
      <c r="CV162" s="75"/>
      <c r="CW162" s="76"/>
      <c r="CX162" s="72"/>
      <c r="CY162" s="68"/>
      <c r="CZ162" s="68"/>
      <c r="DA162" s="69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  <row r="163" spans="1:128" ht="18" customHeight="1" x14ac:dyDescent="0.2">
      <c r="A163" s="74"/>
      <c r="B163" s="75"/>
      <c r="C163" s="75"/>
      <c r="D163" s="75"/>
      <c r="E163" s="75" t="s">
        <v>530</v>
      </c>
      <c r="F163" s="75"/>
      <c r="G163" s="75" t="s">
        <v>536</v>
      </c>
      <c r="H163" s="75"/>
      <c r="I163" s="75"/>
      <c r="J163" s="75" t="s">
        <v>388</v>
      </c>
      <c r="K163" s="75"/>
      <c r="L163" s="75"/>
      <c r="M163" s="75" t="s">
        <v>181</v>
      </c>
      <c r="N163" s="75"/>
      <c r="O163" s="75" t="s">
        <v>54</v>
      </c>
      <c r="P163" s="75"/>
      <c r="Q163" s="75"/>
      <c r="R163" s="75" t="s">
        <v>357</v>
      </c>
      <c r="S163" s="75"/>
      <c r="T163" s="75" t="str">
        <f>TEXT(1.24,"#,##0.00#######")</f>
        <v>1.24</v>
      </c>
      <c r="U163" s="75"/>
      <c r="V163" s="75"/>
      <c r="W163" s="75"/>
      <c r="X163" s="75"/>
      <c r="Y163" s="75" t="s">
        <v>536</v>
      </c>
      <c r="Z163" s="75"/>
      <c r="AA163" s="75" t="str">
        <f>TEXT(ROUND(V157/AG157*T163,2),"#,##0.00#######")</f>
        <v>3.49</v>
      </c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5"/>
      <c r="AY163" s="75"/>
      <c r="AZ163" s="75"/>
      <c r="BA163" s="75"/>
      <c r="BB163" s="75"/>
      <c r="BC163" s="75"/>
      <c r="BD163" s="75"/>
      <c r="BE163" s="75"/>
      <c r="BF163" s="75"/>
      <c r="BG163" s="75"/>
      <c r="BH163" s="75"/>
      <c r="BI163" s="75"/>
      <c r="BJ163" s="75"/>
      <c r="BK163" s="75"/>
      <c r="BL163" s="75"/>
      <c r="BM163" s="75"/>
      <c r="BN163" s="75"/>
      <c r="BO163" s="75"/>
      <c r="BP163" s="75"/>
      <c r="BQ163" s="75"/>
      <c r="BR163" s="75"/>
      <c r="BS163" s="75"/>
      <c r="BT163" s="75"/>
      <c r="BU163" s="75"/>
      <c r="BV163" s="75"/>
      <c r="BW163" s="75"/>
      <c r="BX163" s="75"/>
      <c r="BY163" s="75"/>
      <c r="BZ163" s="75"/>
      <c r="CA163" s="75"/>
      <c r="CB163" s="75"/>
      <c r="CC163" s="75"/>
      <c r="CD163" s="75"/>
      <c r="CE163" s="75"/>
      <c r="CF163" s="75"/>
      <c r="CG163" s="75"/>
      <c r="CH163" s="75"/>
      <c r="CI163" s="75"/>
      <c r="CJ163" s="75"/>
      <c r="CK163" s="75"/>
      <c r="CL163" s="75"/>
      <c r="CM163" s="75"/>
      <c r="CN163" s="75"/>
      <c r="CO163" s="75"/>
      <c r="CP163" s="75"/>
      <c r="CQ163" s="75"/>
      <c r="CR163" s="75"/>
      <c r="CS163" s="75"/>
      <c r="CT163" s="75"/>
      <c r="CU163" s="75"/>
      <c r="CV163" s="75"/>
      <c r="CW163" s="76"/>
      <c r="CX163" s="72"/>
      <c r="CY163" s="68"/>
      <c r="CZ163" s="68"/>
      <c r="DA163" s="69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8</v>
      </c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</row>
    <row r="164" spans="1:128" ht="18" customHeight="1" x14ac:dyDescent="0.2">
      <c r="A164" s="74" t="s">
        <v>8</v>
      </c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5"/>
      <c r="AY164" s="75"/>
      <c r="AZ164" s="75"/>
      <c r="BA164" s="75"/>
      <c r="BB164" s="75"/>
      <c r="BC164" s="75"/>
      <c r="BD164" s="75"/>
      <c r="BE164" s="75"/>
      <c r="BF164" s="75"/>
      <c r="BG164" s="75"/>
      <c r="BH164" s="75"/>
      <c r="BI164" s="75"/>
      <c r="BJ164" s="75"/>
      <c r="BK164" s="75"/>
      <c r="BL164" s="75"/>
      <c r="BM164" s="75"/>
      <c r="BN164" s="75"/>
      <c r="BO164" s="75"/>
      <c r="BP164" s="75"/>
      <c r="BQ164" s="75"/>
      <c r="BR164" s="75"/>
      <c r="BS164" s="75"/>
      <c r="BT164" s="75"/>
      <c r="BU164" s="75"/>
      <c r="BV164" s="75"/>
      <c r="BW164" s="75"/>
      <c r="BX164" s="75"/>
      <c r="BY164" s="75"/>
      <c r="BZ164" s="75"/>
      <c r="CA164" s="75"/>
      <c r="CB164" s="75"/>
      <c r="CC164" s="75"/>
      <c r="CD164" s="75"/>
      <c r="CE164" s="75"/>
      <c r="CF164" s="75"/>
      <c r="CG164" s="75"/>
      <c r="CH164" s="75"/>
      <c r="CI164" s="75"/>
      <c r="CJ164" s="75"/>
      <c r="CK164" s="75"/>
      <c r="CL164" s="75"/>
      <c r="CM164" s="75"/>
      <c r="CN164" s="75"/>
      <c r="CO164" s="75"/>
      <c r="CP164" s="75"/>
      <c r="CQ164" s="75"/>
      <c r="CR164" s="75"/>
      <c r="CS164" s="75"/>
      <c r="CT164" s="75"/>
      <c r="CU164" s="75"/>
      <c r="CV164" s="75"/>
      <c r="CW164" s="76"/>
      <c r="CX164" s="72"/>
      <c r="CY164" s="68"/>
      <c r="CZ164" s="68"/>
      <c r="DA164" s="69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</row>
    <row r="165" spans="1:128" ht="18" customHeight="1" x14ac:dyDescent="0.2">
      <c r="A165" s="74"/>
      <c r="B165" s="75"/>
      <c r="C165" s="75"/>
      <c r="D165" s="75"/>
      <c r="E165" s="75" t="s">
        <v>355</v>
      </c>
      <c r="F165" s="75"/>
      <c r="G165" s="75" t="s">
        <v>536</v>
      </c>
      <c r="H165" s="75"/>
      <c r="I165" s="75"/>
      <c r="J165" s="75" t="s">
        <v>530</v>
      </c>
      <c r="K165" s="75"/>
      <c r="L165" s="75" t="s">
        <v>181</v>
      </c>
      <c r="M165" s="75"/>
      <c r="N165" s="75" t="s">
        <v>5</v>
      </c>
      <c r="O165" s="75"/>
      <c r="P165" s="75" t="s">
        <v>57</v>
      </c>
      <c r="Q165" s="75"/>
      <c r="R165" s="75"/>
      <c r="S165" s="75" t="s">
        <v>357</v>
      </c>
      <c r="T165" s="75"/>
      <c r="U165" s="75" t="s">
        <v>479</v>
      </c>
      <c r="V165" s="75"/>
      <c r="W165" s="75"/>
      <c r="X165" s="75" t="s">
        <v>536</v>
      </c>
      <c r="Y165" s="75"/>
      <c r="Z165" s="75" t="str">
        <f>TEXT(ROUND(AA163/(K139*I159),2),"#,##0.00#######")</f>
        <v>7.27</v>
      </c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5"/>
      <c r="AY165" s="75"/>
      <c r="AZ165" s="75"/>
      <c r="BA165" s="75"/>
      <c r="BB165" s="75"/>
      <c r="BC165" s="75"/>
      <c r="BD165" s="75"/>
      <c r="BE165" s="75"/>
      <c r="BF165" s="75"/>
      <c r="BG165" s="75"/>
      <c r="BH165" s="75"/>
      <c r="BI165" s="75"/>
      <c r="BJ165" s="75"/>
      <c r="BK165" s="75"/>
      <c r="BL165" s="75"/>
      <c r="BM165" s="75"/>
      <c r="BN165" s="75"/>
      <c r="BO165" s="75"/>
      <c r="BP165" s="75"/>
      <c r="BQ165" s="75"/>
      <c r="BR165" s="75"/>
      <c r="BS165" s="75"/>
      <c r="BT165" s="75"/>
      <c r="BU165" s="75"/>
      <c r="BV165" s="75"/>
      <c r="BW165" s="75"/>
      <c r="BX165" s="75"/>
      <c r="BY165" s="75"/>
      <c r="BZ165" s="75"/>
      <c r="CA165" s="75"/>
      <c r="CB165" s="75"/>
      <c r="CC165" s="75"/>
      <c r="CD165" s="75"/>
      <c r="CE165" s="75"/>
      <c r="CF165" s="75"/>
      <c r="CG165" s="75"/>
      <c r="CH165" s="75"/>
      <c r="CI165" s="75"/>
      <c r="CJ165" s="75"/>
      <c r="CK165" s="75"/>
      <c r="CL165" s="75"/>
      <c r="CM165" s="75"/>
      <c r="CN165" s="75"/>
      <c r="CO165" s="75"/>
      <c r="CP165" s="75"/>
      <c r="CQ165" s="75"/>
      <c r="CR165" s="75"/>
      <c r="CS165" s="75"/>
      <c r="CT165" s="75"/>
      <c r="CU165" s="75"/>
      <c r="CV165" s="75"/>
      <c r="CW165" s="76"/>
      <c r="CX165" s="72"/>
      <c r="CY165" s="68"/>
      <c r="CZ165" s="68"/>
      <c r="DA165" s="69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 t="s">
        <v>8</v>
      </c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</row>
    <row r="166" spans="1:128" ht="18" customHeight="1" x14ac:dyDescent="0.2">
      <c r="A166" s="74" t="s">
        <v>8</v>
      </c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5"/>
      <c r="AY166" s="75"/>
      <c r="AZ166" s="75"/>
      <c r="BA166" s="75"/>
      <c r="BB166" s="75"/>
      <c r="BC166" s="75"/>
      <c r="BD166" s="75"/>
      <c r="BE166" s="75"/>
      <c r="BF166" s="75"/>
      <c r="BG166" s="75"/>
      <c r="BH166" s="75"/>
      <c r="BI166" s="75"/>
      <c r="BJ166" s="75"/>
      <c r="BK166" s="75"/>
      <c r="BL166" s="75"/>
      <c r="BM166" s="75"/>
      <c r="BN166" s="75"/>
      <c r="BO166" s="75"/>
      <c r="BP166" s="75"/>
      <c r="BQ166" s="75"/>
      <c r="BR166" s="75"/>
      <c r="BS166" s="75"/>
      <c r="BT166" s="75"/>
      <c r="BU166" s="75"/>
      <c r="BV166" s="75"/>
      <c r="BW166" s="75"/>
      <c r="BX166" s="75"/>
      <c r="BY166" s="75"/>
      <c r="BZ166" s="75"/>
      <c r="CA166" s="75"/>
      <c r="CB166" s="75"/>
      <c r="CC166" s="75"/>
      <c r="CD166" s="75"/>
      <c r="CE166" s="75"/>
      <c r="CF166" s="75"/>
      <c r="CG166" s="75"/>
      <c r="CH166" s="75"/>
      <c r="CI166" s="75"/>
      <c r="CJ166" s="75"/>
      <c r="CK166" s="75"/>
      <c r="CL166" s="75"/>
      <c r="CM166" s="75"/>
      <c r="CN166" s="75"/>
      <c r="CO166" s="75"/>
      <c r="CP166" s="75"/>
      <c r="CQ166" s="75"/>
      <c r="CR166" s="75"/>
      <c r="CS166" s="75"/>
      <c r="CT166" s="75"/>
      <c r="CU166" s="75"/>
      <c r="CV166" s="75"/>
      <c r="CW166" s="76"/>
      <c r="CX166" s="72"/>
      <c r="CY166" s="68"/>
      <c r="CZ166" s="68"/>
      <c r="DA166" s="69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</row>
    <row r="167" spans="1:128" ht="18" customHeight="1" x14ac:dyDescent="0.2">
      <c r="A167" s="74"/>
      <c r="B167" s="75"/>
      <c r="C167" s="75"/>
      <c r="D167" s="75"/>
      <c r="E167" s="75" t="s">
        <v>354</v>
      </c>
      <c r="F167" s="75"/>
      <c r="G167" s="75"/>
      <c r="H167" s="75" t="s">
        <v>536</v>
      </c>
      <c r="I167" s="75"/>
      <c r="J167" s="75" t="s">
        <v>5</v>
      </c>
      <c r="K167" s="75"/>
      <c r="L167" s="75" t="s">
        <v>399</v>
      </c>
      <c r="M167" s="75"/>
      <c r="N167" s="75"/>
      <c r="O167" s="75"/>
      <c r="P167" s="75" t="s">
        <v>357</v>
      </c>
      <c r="Q167" s="75"/>
      <c r="R167" s="75" t="s">
        <v>432</v>
      </c>
      <c r="S167" s="75"/>
      <c r="T167" s="75"/>
      <c r="U167" s="75" t="s">
        <v>181</v>
      </c>
      <c r="V167" s="75"/>
      <c r="W167" s="75" t="s">
        <v>5</v>
      </c>
      <c r="X167" s="75"/>
      <c r="Y167" s="75" t="str">
        <f>TEXT(60,"#,##0")</f>
        <v>60</v>
      </c>
      <c r="Z167" s="75"/>
      <c r="AA167" s="75"/>
      <c r="AB167" s="75" t="s">
        <v>357</v>
      </c>
      <c r="AC167" s="75"/>
      <c r="AD167" s="75" t="s">
        <v>692</v>
      </c>
      <c r="AE167" s="75"/>
      <c r="AF167" s="75"/>
      <c r="AG167" s="75"/>
      <c r="AH167" s="75" t="s">
        <v>536</v>
      </c>
      <c r="AI167" s="75"/>
      <c r="AJ167" s="75" t="str">
        <f>TEXT(ROUND((U159*Z165)/(Y167*J157),2),"#,##0.00#######")</f>
        <v>3.64</v>
      </c>
      <c r="AK167" s="75"/>
      <c r="AL167" s="75"/>
      <c r="AM167" s="75"/>
      <c r="AN167" s="75"/>
      <c r="AO167" s="75" t="s">
        <v>689</v>
      </c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  <c r="BN167" s="75"/>
      <c r="BO167" s="75"/>
      <c r="BP167" s="75"/>
      <c r="BQ167" s="75"/>
      <c r="BR167" s="75"/>
      <c r="BS167" s="75"/>
      <c r="BT167" s="75"/>
      <c r="BU167" s="75"/>
      <c r="BV167" s="75"/>
      <c r="BW167" s="75"/>
      <c r="BX167" s="75"/>
      <c r="BY167" s="75"/>
      <c r="BZ167" s="75"/>
      <c r="CA167" s="75"/>
      <c r="CB167" s="75"/>
      <c r="CC167" s="75"/>
      <c r="CD167" s="75"/>
      <c r="CE167" s="75"/>
      <c r="CF167" s="75"/>
      <c r="CG167" s="75"/>
      <c r="CH167" s="75"/>
      <c r="CI167" s="75"/>
      <c r="CJ167" s="75"/>
      <c r="CK167" s="75"/>
      <c r="CL167" s="75"/>
      <c r="CM167" s="75"/>
      <c r="CN167" s="75"/>
      <c r="CO167" s="75"/>
      <c r="CP167" s="75"/>
      <c r="CQ167" s="75"/>
      <c r="CR167" s="75"/>
      <c r="CS167" s="75"/>
      <c r="CT167" s="75"/>
      <c r="CU167" s="75"/>
      <c r="CV167" s="75"/>
      <c r="CW167" s="76"/>
      <c r="CX167" s="72"/>
      <c r="CY167" s="68"/>
      <c r="CZ167" s="68"/>
      <c r="DA167" s="69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8</v>
      </c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</row>
    <row r="168" spans="1:128" ht="18" customHeight="1" x14ac:dyDescent="0.2">
      <c r="A168" s="74" t="s">
        <v>8</v>
      </c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5"/>
      <c r="AY168" s="75"/>
      <c r="AZ168" s="75"/>
      <c r="BA168" s="75"/>
      <c r="BB168" s="75"/>
      <c r="BC168" s="75"/>
      <c r="BD168" s="75"/>
      <c r="BE168" s="75"/>
      <c r="BF168" s="75"/>
      <c r="BG168" s="75"/>
      <c r="BH168" s="75"/>
      <c r="BI168" s="75"/>
      <c r="BJ168" s="75"/>
      <c r="BK168" s="75"/>
      <c r="BL168" s="75"/>
      <c r="BM168" s="75"/>
      <c r="BN168" s="75"/>
      <c r="BO168" s="75"/>
      <c r="BP168" s="75"/>
      <c r="BQ168" s="75"/>
      <c r="BR168" s="75"/>
      <c r="BS168" s="75"/>
      <c r="BT168" s="75"/>
      <c r="BU168" s="75"/>
      <c r="BV168" s="75"/>
      <c r="BW168" s="75"/>
      <c r="BX168" s="75"/>
      <c r="BY168" s="75"/>
      <c r="BZ168" s="75"/>
      <c r="CA168" s="75"/>
      <c r="CB168" s="75"/>
      <c r="CC168" s="75"/>
      <c r="CD168" s="75"/>
      <c r="CE168" s="75"/>
      <c r="CF168" s="75"/>
      <c r="CG168" s="75"/>
      <c r="CH168" s="75"/>
      <c r="CI168" s="75"/>
      <c r="CJ168" s="75"/>
      <c r="CK168" s="75"/>
      <c r="CL168" s="75"/>
      <c r="CM168" s="75"/>
      <c r="CN168" s="75"/>
      <c r="CO168" s="75"/>
      <c r="CP168" s="75"/>
      <c r="CQ168" s="75"/>
      <c r="CR168" s="75"/>
      <c r="CS168" s="75"/>
      <c r="CT168" s="75"/>
      <c r="CU168" s="75"/>
      <c r="CV168" s="75"/>
      <c r="CW168" s="76"/>
      <c r="CX168" s="72"/>
      <c r="CY168" s="68"/>
      <c r="CZ168" s="68"/>
      <c r="DA168" s="69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</row>
    <row r="169" spans="1:128" ht="18" customHeight="1" x14ac:dyDescent="0.2">
      <c r="A169" s="74"/>
      <c r="B169" s="75"/>
      <c r="C169" s="75"/>
      <c r="D169" s="75"/>
      <c r="E169" s="75" t="s">
        <v>533</v>
      </c>
      <c r="F169" s="75"/>
      <c r="G169" s="75"/>
      <c r="H169" s="75" t="s">
        <v>536</v>
      </c>
      <c r="I169" s="75"/>
      <c r="J169" s="75" t="s">
        <v>353</v>
      </c>
      <c r="K169" s="75"/>
      <c r="L169" s="75"/>
      <c r="M169" s="75" t="s">
        <v>181</v>
      </c>
      <c r="N169" s="75"/>
      <c r="O169" s="75" t="str">
        <f>TEXT(30,"#,##0")</f>
        <v>30</v>
      </c>
      <c r="P169" s="75"/>
      <c r="Q169" s="75"/>
      <c r="R169" s="75" t="s">
        <v>173</v>
      </c>
      <c r="S169" s="75"/>
      <c r="T169" s="75" t="s">
        <v>12</v>
      </c>
      <c r="U169" s="75"/>
      <c r="V169" s="75" t="s">
        <v>181</v>
      </c>
      <c r="W169" s="75"/>
      <c r="X169" s="75" t="str">
        <f>TEXT(35,"#,##0")</f>
        <v>35</v>
      </c>
      <c r="Y169" s="75"/>
      <c r="Z169" s="75"/>
      <c r="AA169" s="75" t="s">
        <v>532</v>
      </c>
      <c r="AB169" s="75"/>
      <c r="AC169" s="75" t="s">
        <v>357</v>
      </c>
      <c r="AD169" s="75"/>
      <c r="AE169" s="75" t="str">
        <f>TEXT(60,"#,##0")</f>
        <v>60</v>
      </c>
      <c r="AF169" s="75"/>
      <c r="AG169" s="75"/>
      <c r="AH169" s="75" t="s">
        <v>536</v>
      </c>
      <c r="AI169" s="75"/>
      <c r="AJ169" s="75" t="str">
        <f>TEXT(ROUND((AS161/O169+AS161/X169)*AE169,2),"#,##0.00#######")</f>
        <v>18.57</v>
      </c>
      <c r="AK169" s="75"/>
      <c r="AL169" s="75"/>
      <c r="AM169" s="75"/>
      <c r="AN169" s="75"/>
      <c r="AO169" s="75"/>
      <c r="AP169" s="75"/>
      <c r="AQ169" s="75" t="s">
        <v>689</v>
      </c>
      <c r="AR169" s="75"/>
      <c r="AS169" s="75"/>
      <c r="AT169" s="75"/>
      <c r="AU169" s="75"/>
      <c r="AV169" s="75"/>
      <c r="AW169" s="75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5"/>
      <c r="BN169" s="75"/>
      <c r="BO169" s="75"/>
      <c r="BP169" s="75"/>
      <c r="BQ169" s="75"/>
      <c r="BR169" s="75"/>
      <c r="BS169" s="75"/>
      <c r="BT169" s="75"/>
      <c r="BU169" s="75"/>
      <c r="BV169" s="75"/>
      <c r="BW169" s="75"/>
      <c r="BX169" s="75"/>
      <c r="BY169" s="75"/>
      <c r="BZ169" s="75"/>
      <c r="CA169" s="75"/>
      <c r="CB169" s="75"/>
      <c r="CC169" s="75"/>
      <c r="CD169" s="75"/>
      <c r="CE169" s="75"/>
      <c r="CF169" s="75"/>
      <c r="CG169" s="75"/>
      <c r="CH169" s="75"/>
      <c r="CI169" s="75"/>
      <c r="CJ169" s="75"/>
      <c r="CK169" s="75"/>
      <c r="CL169" s="75"/>
      <c r="CM169" s="75"/>
      <c r="CN169" s="75"/>
      <c r="CO169" s="75"/>
      <c r="CP169" s="75"/>
      <c r="CQ169" s="75"/>
      <c r="CR169" s="75"/>
      <c r="CS169" s="75"/>
      <c r="CT169" s="75"/>
      <c r="CU169" s="75"/>
      <c r="CV169" s="75"/>
      <c r="CW169" s="76"/>
      <c r="CX169" s="72"/>
      <c r="CY169" s="68"/>
      <c r="CZ169" s="68"/>
      <c r="DA169" s="69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8</v>
      </c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</row>
    <row r="170" spans="1:128" ht="18" customHeight="1" x14ac:dyDescent="0.2">
      <c r="A170" s="74" t="s">
        <v>8</v>
      </c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5"/>
      <c r="AY170" s="75"/>
      <c r="AZ170" s="75"/>
      <c r="BA170" s="75"/>
      <c r="BB170" s="75"/>
      <c r="BC170" s="75"/>
      <c r="BD170" s="75"/>
      <c r="BE170" s="75"/>
      <c r="BF170" s="75"/>
      <c r="BG170" s="75"/>
      <c r="BH170" s="75"/>
      <c r="BI170" s="75"/>
      <c r="BJ170" s="75"/>
      <c r="BK170" s="75"/>
      <c r="BL170" s="75"/>
      <c r="BM170" s="75"/>
      <c r="BN170" s="75"/>
      <c r="BO170" s="75"/>
      <c r="BP170" s="75"/>
      <c r="BQ170" s="75"/>
      <c r="BR170" s="75"/>
      <c r="BS170" s="75"/>
      <c r="BT170" s="75"/>
      <c r="BU170" s="75"/>
      <c r="BV170" s="75"/>
      <c r="BW170" s="75"/>
      <c r="BX170" s="75"/>
      <c r="BY170" s="75"/>
      <c r="BZ170" s="75"/>
      <c r="CA170" s="75"/>
      <c r="CB170" s="75"/>
      <c r="CC170" s="75"/>
      <c r="CD170" s="75"/>
      <c r="CE170" s="75"/>
      <c r="CF170" s="75"/>
      <c r="CG170" s="75"/>
      <c r="CH170" s="75"/>
      <c r="CI170" s="75"/>
      <c r="CJ170" s="75"/>
      <c r="CK170" s="75"/>
      <c r="CL170" s="75"/>
      <c r="CM170" s="75"/>
      <c r="CN170" s="75"/>
      <c r="CO170" s="75"/>
      <c r="CP170" s="75"/>
      <c r="CQ170" s="75"/>
      <c r="CR170" s="75"/>
      <c r="CS170" s="75"/>
      <c r="CT170" s="75"/>
      <c r="CU170" s="75"/>
      <c r="CV170" s="75"/>
      <c r="CW170" s="76"/>
      <c r="CX170" s="72"/>
      <c r="CY170" s="68"/>
      <c r="CZ170" s="68"/>
      <c r="DA170" s="69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</row>
    <row r="171" spans="1:128" ht="18" customHeight="1" x14ac:dyDescent="0.2">
      <c r="A171" s="74"/>
      <c r="B171" s="75"/>
      <c r="C171" s="75"/>
      <c r="D171" s="75"/>
      <c r="E171" s="75" t="s">
        <v>4</v>
      </c>
      <c r="F171" s="75"/>
      <c r="G171" s="75"/>
      <c r="H171" s="75" t="s">
        <v>536</v>
      </c>
      <c r="I171" s="75"/>
      <c r="J171" s="75" t="str">
        <f>TEXT(1.05,"#,##0.00#######")</f>
        <v>1.05</v>
      </c>
      <c r="K171" s="75"/>
      <c r="L171" s="75"/>
      <c r="M171" s="75"/>
      <c r="N171" s="75"/>
      <c r="O171" s="75" t="s">
        <v>14</v>
      </c>
      <c r="P171" s="75"/>
      <c r="Q171" s="75" t="s">
        <v>179</v>
      </c>
      <c r="R171" s="75"/>
      <c r="S171" s="75"/>
      <c r="T171" s="75" t="s">
        <v>536</v>
      </c>
      <c r="U171" s="75"/>
      <c r="V171" s="75" t="str">
        <f>TEXT(0.42,"#,##0.00#######")</f>
        <v>0.42</v>
      </c>
      <c r="W171" s="75"/>
      <c r="X171" s="75"/>
      <c r="Y171" s="75"/>
      <c r="Z171" s="75"/>
      <c r="AA171" s="75" t="s">
        <v>14</v>
      </c>
      <c r="AB171" s="75"/>
      <c r="AC171" s="75" t="s">
        <v>344</v>
      </c>
      <c r="AD171" s="75"/>
      <c r="AE171" s="75"/>
      <c r="AF171" s="75" t="s">
        <v>536</v>
      </c>
      <c r="AG171" s="75"/>
      <c r="AH171" s="75" t="str">
        <f>TEXT(0.5,"#,##0.0#######")</f>
        <v>0.5</v>
      </c>
      <c r="AI171" s="75"/>
      <c r="AJ171" s="75"/>
      <c r="AK171" s="75"/>
      <c r="AL171" s="75" t="s">
        <v>198</v>
      </c>
      <c r="AM171" s="75"/>
      <c r="AN171" s="75"/>
      <c r="AO171" s="75"/>
      <c r="AP171" s="75"/>
      <c r="AQ171" s="75"/>
      <c r="AR171" s="75" t="s">
        <v>14</v>
      </c>
      <c r="AS171" s="75"/>
      <c r="AT171" s="75" t="s">
        <v>528</v>
      </c>
      <c r="AU171" s="75"/>
      <c r="AV171" s="75"/>
      <c r="AW171" s="75" t="s">
        <v>536</v>
      </c>
      <c r="AX171" s="75"/>
      <c r="AY171" s="75" t="str">
        <f>TEXT(1.5,"#,##0.0#######")</f>
        <v>1.5</v>
      </c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  <c r="BN171" s="75"/>
      <c r="BO171" s="75"/>
      <c r="BP171" s="75"/>
      <c r="BQ171" s="75"/>
      <c r="BR171" s="75"/>
      <c r="BS171" s="75"/>
      <c r="BT171" s="75"/>
      <c r="BU171" s="75"/>
      <c r="BV171" s="75"/>
      <c r="BW171" s="75"/>
      <c r="BX171" s="75"/>
      <c r="BY171" s="75"/>
      <c r="BZ171" s="75"/>
      <c r="CA171" s="75"/>
      <c r="CB171" s="75"/>
      <c r="CC171" s="75"/>
      <c r="CD171" s="75"/>
      <c r="CE171" s="75"/>
      <c r="CF171" s="75"/>
      <c r="CG171" s="75"/>
      <c r="CH171" s="75"/>
      <c r="CI171" s="75"/>
      <c r="CJ171" s="75"/>
      <c r="CK171" s="75"/>
      <c r="CL171" s="75"/>
      <c r="CM171" s="75"/>
      <c r="CN171" s="75"/>
      <c r="CO171" s="75"/>
      <c r="CP171" s="75"/>
      <c r="CQ171" s="75"/>
      <c r="CR171" s="75"/>
      <c r="CS171" s="75"/>
      <c r="CT171" s="75"/>
      <c r="CU171" s="75"/>
      <c r="CV171" s="75"/>
      <c r="CW171" s="76"/>
      <c r="CX171" s="72"/>
      <c r="CY171" s="68"/>
      <c r="CZ171" s="68"/>
      <c r="DA171" s="69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 t="s">
        <v>8</v>
      </c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</row>
    <row r="172" spans="1:128" ht="18" customHeight="1" x14ac:dyDescent="0.2">
      <c r="A172" s="74" t="s">
        <v>8</v>
      </c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5"/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75"/>
      <c r="BJ172" s="75"/>
      <c r="BK172" s="75"/>
      <c r="BL172" s="75"/>
      <c r="BM172" s="75"/>
      <c r="BN172" s="75"/>
      <c r="BO172" s="75"/>
      <c r="BP172" s="75"/>
      <c r="BQ172" s="75"/>
      <c r="BR172" s="75"/>
      <c r="BS172" s="75"/>
      <c r="BT172" s="75"/>
      <c r="BU172" s="75"/>
      <c r="BV172" s="75"/>
      <c r="BW172" s="75"/>
      <c r="BX172" s="75"/>
      <c r="BY172" s="75"/>
      <c r="BZ172" s="75"/>
      <c r="CA172" s="75"/>
      <c r="CB172" s="75"/>
      <c r="CC172" s="75"/>
      <c r="CD172" s="75"/>
      <c r="CE172" s="75"/>
      <c r="CF172" s="75"/>
      <c r="CG172" s="75"/>
      <c r="CH172" s="75"/>
      <c r="CI172" s="75"/>
      <c r="CJ172" s="75"/>
      <c r="CK172" s="75"/>
      <c r="CL172" s="75"/>
      <c r="CM172" s="75"/>
      <c r="CN172" s="75"/>
      <c r="CO172" s="75"/>
      <c r="CP172" s="75"/>
      <c r="CQ172" s="75"/>
      <c r="CR172" s="75"/>
      <c r="CS172" s="75"/>
      <c r="CT172" s="75"/>
      <c r="CU172" s="75"/>
      <c r="CV172" s="75"/>
      <c r="CW172" s="76"/>
      <c r="CX172" s="72"/>
      <c r="CY172" s="68"/>
      <c r="CZ172" s="68"/>
      <c r="DA172" s="69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</row>
    <row r="173" spans="1:128" ht="18" customHeight="1" x14ac:dyDescent="0.2">
      <c r="A173" s="74"/>
      <c r="B173" s="75"/>
      <c r="C173" s="75"/>
      <c r="D173" s="75"/>
      <c r="E173" s="75" t="s">
        <v>582</v>
      </c>
      <c r="F173" s="75"/>
      <c r="G173" s="75"/>
      <c r="H173" s="75"/>
      <c r="I173" s="75" t="s">
        <v>536</v>
      </c>
      <c r="J173" s="75"/>
      <c r="K173" s="75"/>
      <c r="L173" s="75" t="s">
        <v>354</v>
      </c>
      <c r="M173" s="75"/>
      <c r="N173" s="75"/>
      <c r="O173" s="75" t="s">
        <v>173</v>
      </c>
      <c r="P173" s="75"/>
      <c r="Q173" s="75"/>
      <c r="R173" s="75" t="s">
        <v>533</v>
      </c>
      <c r="S173" s="75"/>
      <c r="T173" s="75"/>
      <c r="U173" s="75" t="s">
        <v>173</v>
      </c>
      <c r="V173" s="75"/>
      <c r="W173" s="75"/>
      <c r="X173" s="75" t="s">
        <v>4</v>
      </c>
      <c r="Y173" s="75"/>
      <c r="Z173" s="75"/>
      <c r="AA173" s="75" t="s">
        <v>173</v>
      </c>
      <c r="AB173" s="75"/>
      <c r="AC173" s="75"/>
      <c r="AD173" s="75" t="s">
        <v>179</v>
      </c>
      <c r="AE173" s="75"/>
      <c r="AF173" s="75"/>
      <c r="AG173" s="75" t="s">
        <v>173</v>
      </c>
      <c r="AH173" s="75"/>
      <c r="AI173" s="75" t="s">
        <v>344</v>
      </c>
      <c r="AJ173" s="75"/>
      <c r="AK173" s="75"/>
      <c r="AL173" s="75" t="s">
        <v>173</v>
      </c>
      <c r="AM173" s="75"/>
      <c r="AN173" s="75" t="s">
        <v>528</v>
      </c>
      <c r="AO173" s="75"/>
      <c r="AP173" s="75"/>
      <c r="AQ173" s="75" t="s">
        <v>536</v>
      </c>
      <c r="AR173" s="75"/>
      <c r="AS173" s="75" t="str">
        <f>TEXT(ROUND(AJ167+AJ169+J171+V171+AH171+AY171,2),"#,##0.00#######")</f>
        <v>25.68</v>
      </c>
      <c r="AT173" s="75"/>
      <c r="AU173" s="75"/>
      <c r="AV173" s="75"/>
      <c r="AW173" s="75"/>
      <c r="AX173" s="75"/>
      <c r="AY173" s="75" t="s">
        <v>689</v>
      </c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  <c r="BN173" s="75"/>
      <c r="BO173" s="75"/>
      <c r="BP173" s="75"/>
      <c r="BQ173" s="75"/>
      <c r="BR173" s="75"/>
      <c r="BS173" s="75"/>
      <c r="BT173" s="75"/>
      <c r="BU173" s="75"/>
      <c r="BV173" s="75"/>
      <c r="BW173" s="75"/>
      <c r="BX173" s="75"/>
      <c r="BY173" s="75"/>
      <c r="BZ173" s="75"/>
      <c r="CA173" s="75"/>
      <c r="CB173" s="75"/>
      <c r="CC173" s="75"/>
      <c r="CD173" s="75"/>
      <c r="CE173" s="75"/>
      <c r="CF173" s="75"/>
      <c r="CG173" s="75"/>
      <c r="CH173" s="75"/>
      <c r="CI173" s="75"/>
      <c r="CJ173" s="75"/>
      <c r="CK173" s="75"/>
      <c r="CL173" s="75"/>
      <c r="CM173" s="75"/>
      <c r="CN173" s="75"/>
      <c r="CO173" s="75"/>
      <c r="CP173" s="75"/>
      <c r="CQ173" s="75"/>
      <c r="CR173" s="75"/>
      <c r="CS173" s="75"/>
      <c r="CT173" s="75"/>
      <c r="CU173" s="75"/>
      <c r="CV173" s="75"/>
      <c r="CW173" s="76"/>
      <c r="CX173" s="72"/>
      <c r="CY173" s="68"/>
      <c r="CZ173" s="68"/>
      <c r="DA173" s="69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8</v>
      </c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</row>
    <row r="174" spans="1:128" ht="18" customHeight="1" x14ac:dyDescent="0.2">
      <c r="A174" s="74" t="s">
        <v>8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5"/>
      <c r="AY174" s="75"/>
      <c r="AZ174" s="75"/>
      <c r="BA174" s="75"/>
      <c r="BB174" s="75"/>
      <c r="BC174" s="75"/>
      <c r="BD174" s="75"/>
      <c r="BE174" s="75"/>
      <c r="BF174" s="75"/>
      <c r="BG174" s="75"/>
      <c r="BH174" s="75"/>
      <c r="BI174" s="75"/>
      <c r="BJ174" s="75"/>
      <c r="BK174" s="75"/>
      <c r="BL174" s="75"/>
      <c r="BM174" s="75"/>
      <c r="BN174" s="75"/>
      <c r="BO174" s="75"/>
      <c r="BP174" s="75"/>
      <c r="BQ174" s="75"/>
      <c r="BR174" s="75"/>
      <c r="BS174" s="75"/>
      <c r="BT174" s="75"/>
      <c r="BU174" s="75"/>
      <c r="BV174" s="75"/>
      <c r="BW174" s="75"/>
      <c r="BX174" s="75"/>
      <c r="BY174" s="75"/>
      <c r="BZ174" s="75"/>
      <c r="CA174" s="75"/>
      <c r="CB174" s="75"/>
      <c r="CC174" s="75"/>
      <c r="CD174" s="75"/>
      <c r="CE174" s="75"/>
      <c r="CF174" s="75"/>
      <c r="CG174" s="75"/>
      <c r="CH174" s="75"/>
      <c r="CI174" s="75"/>
      <c r="CJ174" s="75"/>
      <c r="CK174" s="75"/>
      <c r="CL174" s="75"/>
      <c r="CM174" s="75"/>
      <c r="CN174" s="75"/>
      <c r="CO174" s="75"/>
      <c r="CP174" s="75"/>
      <c r="CQ174" s="75"/>
      <c r="CR174" s="75"/>
      <c r="CS174" s="75"/>
      <c r="CT174" s="75"/>
      <c r="CU174" s="75"/>
      <c r="CV174" s="75"/>
      <c r="CW174" s="76"/>
      <c r="CX174" s="72"/>
      <c r="CY174" s="68"/>
      <c r="CZ174" s="68"/>
      <c r="DA174" s="69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</row>
    <row r="175" spans="1:128" ht="18" customHeight="1" x14ac:dyDescent="0.2">
      <c r="A175" s="74"/>
      <c r="B175" s="75"/>
      <c r="C175" s="75"/>
      <c r="D175" s="75"/>
      <c r="E175" s="75" t="s">
        <v>534</v>
      </c>
      <c r="F175" s="75"/>
      <c r="G175" s="75" t="s">
        <v>536</v>
      </c>
      <c r="H175" s="75"/>
      <c r="I175" s="75" t="str">
        <f>TEXT(60,"#,##0")</f>
        <v>60</v>
      </c>
      <c r="J175" s="75"/>
      <c r="K175" s="75"/>
      <c r="L175" s="75" t="s">
        <v>357</v>
      </c>
      <c r="M175" s="75"/>
      <c r="N175" s="75"/>
      <c r="O175" s="75" t="s">
        <v>530</v>
      </c>
      <c r="P175" s="75"/>
      <c r="Q175" s="75" t="s">
        <v>357</v>
      </c>
      <c r="R175" s="75"/>
      <c r="S175" s="75"/>
      <c r="T175" s="75" t="s">
        <v>347</v>
      </c>
      <c r="U175" s="75"/>
      <c r="V175" s="75" t="s">
        <v>357</v>
      </c>
      <c r="W175" s="75"/>
      <c r="X175" s="75"/>
      <c r="Y175" s="75" t="s">
        <v>535</v>
      </c>
      <c r="Z175" s="75"/>
      <c r="AA175" s="75" t="s">
        <v>181</v>
      </c>
      <c r="AB175" s="75"/>
      <c r="AC175" s="75"/>
      <c r="AD175" s="75" t="s">
        <v>582</v>
      </c>
      <c r="AE175" s="75"/>
      <c r="AF175" s="75"/>
      <c r="AG175" s="75"/>
      <c r="AH175" s="75" t="s">
        <v>536</v>
      </c>
      <c r="AI175" s="75"/>
      <c r="AJ175" s="75" t="str">
        <f>TEXT(ROUND(I175*AA163*T161*AG161/AS173,2),"#,##0.00#######")</f>
        <v>5.94</v>
      </c>
      <c r="AK175" s="75"/>
      <c r="AL175" s="75"/>
      <c r="AM175" s="75"/>
      <c r="AN175" s="75"/>
      <c r="AO175" s="75"/>
      <c r="AP175" s="75" t="s">
        <v>268</v>
      </c>
      <c r="AQ175" s="75"/>
      <c r="AR175" s="75"/>
      <c r="AS175" s="75"/>
      <c r="AT175" s="75"/>
      <c r="AU175" s="75"/>
      <c r="AV175" s="75"/>
      <c r="AW175" s="75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5"/>
      <c r="BN175" s="75"/>
      <c r="BO175" s="75"/>
      <c r="BP175" s="75"/>
      <c r="BQ175" s="75"/>
      <c r="BR175" s="75"/>
      <c r="BS175" s="75"/>
      <c r="BT175" s="75"/>
      <c r="BU175" s="75"/>
      <c r="BV175" s="75"/>
      <c r="BW175" s="75"/>
      <c r="BX175" s="75"/>
      <c r="BY175" s="75"/>
      <c r="BZ175" s="75"/>
      <c r="CA175" s="75"/>
      <c r="CB175" s="75"/>
      <c r="CC175" s="75"/>
      <c r="CD175" s="75"/>
      <c r="CE175" s="75"/>
      <c r="CF175" s="75"/>
      <c r="CG175" s="75"/>
      <c r="CH175" s="75"/>
      <c r="CI175" s="75"/>
      <c r="CJ175" s="75"/>
      <c r="CK175" s="75"/>
      <c r="CL175" s="75"/>
      <c r="CM175" s="75"/>
      <c r="CN175" s="75"/>
      <c r="CO175" s="75"/>
      <c r="CP175" s="75"/>
      <c r="CQ175" s="75"/>
      <c r="CR175" s="75"/>
      <c r="CS175" s="75"/>
      <c r="CT175" s="75"/>
      <c r="CU175" s="75"/>
      <c r="CV175" s="75"/>
      <c r="CW175" s="76"/>
      <c r="CX175" s="72"/>
      <c r="CY175" s="68"/>
      <c r="CZ175" s="68"/>
      <c r="DA175" s="69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 t="s">
        <v>8</v>
      </c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</row>
    <row r="176" spans="1:128" ht="18" customHeight="1" x14ac:dyDescent="0.2">
      <c r="A176" s="74" t="s">
        <v>8</v>
      </c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5"/>
      <c r="AY176" s="75"/>
      <c r="AZ176" s="75"/>
      <c r="BA176" s="75"/>
      <c r="BB176" s="75"/>
      <c r="BC176" s="75"/>
      <c r="BD176" s="75"/>
      <c r="BE176" s="75"/>
      <c r="BF176" s="75"/>
      <c r="BG176" s="75"/>
      <c r="BH176" s="75"/>
      <c r="BI176" s="75"/>
      <c r="BJ176" s="75"/>
      <c r="BK176" s="75"/>
      <c r="BL176" s="75"/>
      <c r="BM176" s="75"/>
      <c r="BN176" s="75"/>
      <c r="BO176" s="75"/>
      <c r="BP176" s="75"/>
      <c r="BQ176" s="75"/>
      <c r="BR176" s="75"/>
      <c r="BS176" s="75"/>
      <c r="BT176" s="75"/>
      <c r="BU176" s="75"/>
      <c r="BV176" s="75"/>
      <c r="BW176" s="75"/>
      <c r="BX176" s="75"/>
      <c r="BY176" s="75"/>
      <c r="BZ176" s="75"/>
      <c r="CA176" s="75"/>
      <c r="CB176" s="75"/>
      <c r="CC176" s="75"/>
      <c r="CD176" s="75"/>
      <c r="CE176" s="75"/>
      <c r="CF176" s="75"/>
      <c r="CG176" s="75"/>
      <c r="CH176" s="75"/>
      <c r="CI176" s="75"/>
      <c r="CJ176" s="75"/>
      <c r="CK176" s="75"/>
      <c r="CL176" s="75"/>
      <c r="CM176" s="75"/>
      <c r="CN176" s="75"/>
      <c r="CO176" s="75"/>
      <c r="CP176" s="75"/>
      <c r="CQ176" s="75"/>
      <c r="CR176" s="75"/>
      <c r="CS176" s="75"/>
      <c r="CT176" s="75"/>
      <c r="CU176" s="75"/>
      <c r="CV176" s="75"/>
      <c r="CW176" s="76"/>
      <c r="CX176" s="72"/>
      <c r="CY176" s="68"/>
      <c r="CZ176" s="68"/>
      <c r="DA176" s="69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</row>
    <row r="177" spans="1:128" ht="18" customHeight="1" x14ac:dyDescent="0.2">
      <c r="A177" s="74"/>
      <c r="B177" s="75"/>
      <c r="C177" s="75"/>
      <c r="D177" s="75"/>
      <c r="E177" s="75"/>
      <c r="F177" s="75" t="s">
        <v>565</v>
      </c>
      <c r="G177" s="75"/>
      <c r="H177" s="75"/>
      <c r="I177" s="75"/>
      <c r="J177" s="75"/>
      <c r="K177" s="75" t="str">
        <f>TEXT(TRUNC(건설기계!H27,0),"#,##0")</f>
        <v>11,433</v>
      </c>
      <c r="L177" s="75"/>
      <c r="M177" s="75"/>
      <c r="N177" s="75"/>
      <c r="O177" s="75"/>
      <c r="P177" s="75"/>
      <c r="Q177" s="75"/>
      <c r="R177" s="75" t="s">
        <v>181</v>
      </c>
      <c r="S177" s="75"/>
      <c r="T177" s="75"/>
      <c r="U177" s="75" t="s">
        <v>534</v>
      </c>
      <c r="V177" s="75"/>
      <c r="W177" s="75" t="s">
        <v>357</v>
      </c>
      <c r="X177" s="75"/>
      <c r="Y177" s="75" t="s">
        <v>327</v>
      </c>
      <c r="Z177" s="75"/>
      <c r="AA177" s="75"/>
      <c r="AB177" s="75"/>
      <c r="AC177" s="75"/>
      <c r="AD177" s="75" t="s">
        <v>529</v>
      </c>
      <c r="AE177" s="75"/>
      <c r="AF177" s="75" t="s">
        <v>354</v>
      </c>
      <c r="AG177" s="75"/>
      <c r="AH177" s="75"/>
      <c r="AI177" s="75" t="s">
        <v>532</v>
      </c>
      <c r="AJ177" s="75"/>
      <c r="AK177" s="75" t="s">
        <v>181</v>
      </c>
      <c r="AL177" s="75"/>
      <c r="AM177" s="75" t="s">
        <v>582</v>
      </c>
      <c r="AN177" s="75"/>
      <c r="AO177" s="75"/>
      <c r="AP177" s="75"/>
      <c r="AQ177" s="75" t="s">
        <v>536</v>
      </c>
      <c r="AR177" s="75"/>
      <c r="AS177" s="75" t="str">
        <f>TEXT(ROUNDDOWN(K177/AJ175*(AS173-AJ167)/AS173,1),"#,##0.0#######")</f>
        <v>1,651.9</v>
      </c>
      <c r="AT177" s="75"/>
      <c r="AU177" s="75"/>
      <c r="AV177" s="75"/>
      <c r="AW177" s="75"/>
      <c r="AX177" s="75"/>
      <c r="AY177" s="75"/>
      <c r="AZ177" s="75"/>
      <c r="BA177" s="75"/>
      <c r="BB177" s="75" t="s">
        <v>149</v>
      </c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5"/>
      <c r="BN177" s="75"/>
      <c r="BO177" s="75"/>
      <c r="BP177" s="75"/>
      <c r="BQ177" s="75"/>
      <c r="BR177" s="75"/>
      <c r="BS177" s="75"/>
      <c r="BT177" s="75"/>
      <c r="BU177" s="75"/>
      <c r="BV177" s="75"/>
      <c r="BW177" s="75"/>
      <c r="BX177" s="75"/>
      <c r="BY177" s="75"/>
      <c r="BZ177" s="75"/>
      <c r="CA177" s="75"/>
      <c r="CB177" s="75"/>
      <c r="CC177" s="75"/>
      <c r="CD177" s="75"/>
      <c r="CE177" s="75"/>
      <c r="CF177" s="75"/>
      <c r="CG177" s="75"/>
      <c r="CH177" s="75"/>
      <c r="CI177" s="75"/>
      <c r="CJ177" s="75"/>
      <c r="CK177" s="75"/>
      <c r="CL177" s="75"/>
      <c r="CM177" s="75"/>
      <c r="CN177" s="75"/>
      <c r="CO177" s="75"/>
      <c r="CP177" s="75"/>
      <c r="CQ177" s="75"/>
      <c r="CR177" s="75"/>
      <c r="CS177" s="75"/>
      <c r="CT177" s="75"/>
      <c r="CU177" s="75"/>
      <c r="CV177" s="75"/>
      <c r="CW177" s="76"/>
      <c r="CX177" s="72">
        <f>CY177+CZ177+DA177</f>
        <v>1651.9</v>
      </c>
      <c r="CY177" s="68" t="str">
        <f>TEXT(AS177,"#,###.0")</f>
        <v>1,651.9</v>
      </c>
      <c r="CZ177" s="68"/>
      <c r="DA177" s="69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546</v>
      </c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</row>
    <row r="178" spans="1:128" ht="18" customHeight="1" x14ac:dyDescent="0.2">
      <c r="A178" s="74" t="s">
        <v>8</v>
      </c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5"/>
      <c r="AY178" s="75"/>
      <c r="AZ178" s="75"/>
      <c r="BA178" s="75"/>
      <c r="BB178" s="75"/>
      <c r="BC178" s="75"/>
      <c r="BD178" s="75"/>
      <c r="BE178" s="75"/>
      <c r="BF178" s="75"/>
      <c r="BG178" s="75"/>
      <c r="BH178" s="75"/>
      <c r="BI178" s="75"/>
      <c r="BJ178" s="75"/>
      <c r="BK178" s="75"/>
      <c r="BL178" s="75"/>
      <c r="BM178" s="75"/>
      <c r="BN178" s="75"/>
      <c r="BO178" s="75"/>
      <c r="BP178" s="75"/>
      <c r="BQ178" s="75"/>
      <c r="BR178" s="75"/>
      <c r="BS178" s="75"/>
      <c r="BT178" s="75"/>
      <c r="BU178" s="75"/>
      <c r="BV178" s="75"/>
      <c r="BW178" s="75"/>
      <c r="BX178" s="75"/>
      <c r="BY178" s="75"/>
      <c r="BZ178" s="75"/>
      <c r="CA178" s="75"/>
      <c r="CB178" s="75"/>
      <c r="CC178" s="75"/>
      <c r="CD178" s="75"/>
      <c r="CE178" s="75"/>
      <c r="CF178" s="75"/>
      <c r="CG178" s="75"/>
      <c r="CH178" s="75"/>
      <c r="CI178" s="75"/>
      <c r="CJ178" s="75"/>
      <c r="CK178" s="75"/>
      <c r="CL178" s="75"/>
      <c r="CM178" s="75"/>
      <c r="CN178" s="75"/>
      <c r="CO178" s="75"/>
      <c r="CP178" s="75"/>
      <c r="CQ178" s="75"/>
      <c r="CR178" s="75"/>
      <c r="CS178" s="75"/>
      <c r="CT178" s="75"/>
      <c r="CU178" s="75"/>
      <c r="CV178" s="75"/>
      <c r="CW178" s="76"/>
      <c r="CX178" s="72"/>
      <c r="CY178" s="68"/>
      <c r="CZ178" s="68"/>
      <c r="DA178" s="69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</row>
    <row r="179" spans="1:128" ht="18" customHeight="1" x14ac:dyDescent="0.2">
      <c r="A179" s="74"/>
      <c r="B179" s="75"/>
      <c r="C179" s="75"/>
      <c r="D179" s="75"/>
      <c r="E179" s="75"/>
      <c r="F179" s="75" t="s">
        <v>329</v>
      </c>
      <c r="G179" s="75"/>
      <c r="H179" s="75"/>
      <c r="I179" s="75"/>
      <c r="J179" s="75"/>
      <c r="K179" s="75" t="str">
        <f>TEXT(TRUNC(건설기계!J27,0),"#,##0")</f>
        <v>49,778</v>
      </c>
      <c r="L179" s="75"/>
      <c r="M179" s="75"/>
      <c r="N179" s="75"/>
      <c r="O179" s="75"/>
      <c r="P179" s="75"/>
      <c r="Q179" s="75"/>
      <c r="R179" s="75" t="s">
        <v>181</v>
      </c>
      <c r="S179" s="75"/>
      <c r="T179" s="75"/>
      <c r="U179" s="75" t="s">
        <v>534</v>
      </c>
      <c r="V179" s="75"/>
      <c r="W179" s="75" t="s">
        <v>536</v>
      </c>
      <c r="X179" s="75"/>
      <c r="Y179" s="75" t="str">
        <f>TEXT(ROUNDDOWN(K179/AJ175,1),"#,##0.0#######")</f>
        <v>8,380.1</v>
      </c>
      <c r="Z179" s="75"/>
      <c r="AA179" s="75"/>
      <c r="AB179" s="75"/>
      <c r="AC179" s="75"/>
      <c r="AD179" s="75"/>
      <c r="AE179" s="75"/>
      <c r="AF179" s="75"/>
      <c r="AG179" s="75"/>
      <c r="AH179" s="75" t="s">
        <v>149</v>
      </c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  <c r="BN179" s="75"/>
      <c r="BO179" s="75"/>
      <c r="BP179" s="75"/>
      <c r="BQ179" s="75"/>
      <c r="BR179" s="75"/>
      <c r="BS179" s="75"/>
      <c r="BT179" s="75"/>
      <c r="BU179" s="75"/>
      <c r="BV179" s="75"/>
      <c r="BW179" s="75"/>
      <c r="BX179" s="75"/>
      <c r="BY179" s="75"/>
      <c r="BZ179" s="75"/>
      <c r="CA179" s="75"/>
      <c r="CB179" s="75"/>
      <c r="CC179" s="75"/>
      <c r="CD179" s="75"/>
      <c r="CE179" s="75"/>
      <c r="CF179" s="75"/>
      <c r="CG179" s="75"/>
      <c r="CH179" s="75"/>
      <c r="CI179" s="75"/>
      <c r="CJ179" s="75"/>
      <c r="CK179" s="75"/>
      <c r="CL179" s="75"/>
      <c r="CM179" s="75"/>
      <c r="CN179" s="75"/>
      <c r="CO179" s="75"/>
      <c r="CP179" s="75"/>
      <c r="CQ179" s="75"/>
      <c r="CR179" s="75"/>
      <c r="CS179" s="75"/>
      <c r="CT179" s="75"/>
      <c r="CU179" s="75"/>
      <c r="CV179" s="75"/>
      <c r="CW179" s="76"/>
      <c r="CX179" s="72">
        <f>CY179+CZ179+DA179</f>
        <v>8380.1</v>
      </c>
      <c r="CY179" s="68"/>
      <c r="CZ179" s="68" t="str">
        <f>TEXT(Y179,"#,###.0")</f>
        <v>8,380.1</v>
      </c>
      <c r="DA179" s="69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 t="s">
        <v>546</v>
      </c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</row>
    <row r="180" spans="1:128" ht="18" customHeight="1" x14ac:dyDescent="0.2">
      <c r="A180" s="74" t="s">
        <v>8</v>
      </c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5"/>
      <c r="AY180" s="75"/>
      <c r="AZ180" s="75"/>
      <c r="BA180" s="75"/>
      <c r="BB180" s="75"/>
      <c r="BC180" s="75"/>
      <c r="BD180" s="75"/>
      <c r="BE180" s="75"/>
      <c r="BF180" s="75"/>
      <c r="BG180" s="75"/>
      <c r="BH180" s="75"/>
      <c r="BI180" s="75"/>
      <c r="BJ180" s="75"/>
      <c r="BK180" s="75"/>
      <c r="BL180" s="75"/>
      <c r="BM180" s="75"/>
      <c r="BN180" s="75"/>
      <c r="BO180" s="75"/>
      <c r="BP180" s="75"/>
      <c r="BQ180" s="75"/>
      <c r="BR180" s="75"/>
      <c r="BS180" s="75"/>
      <c r="BT180" s="75"/>
      <c r="BU180" s="75"/>
      <c r="BV180" s="75"/>
      <c r="BW180" s="75"/>
      <c r="BX180" s="75"/>
      <c r="BY180" s="75"/>
      <c r="BZ180" s="75"/>
      <c r="CA180" s="75"/>
      <c r="CB180" s="75"/>
      <c r="CC180" s="75"/>
      <c r="CD180" s="75"/>
      <c r="CE180" s="75"/>
      <c r="CF180" s="75"/>
      <c r="CG180" s="75"/>
      <c r="CH180" s="75"/>
      <c r="CI180" s="75"/>
      <c r="CJ180" s="75"/>
      <c r="CK180" s="75"/>
      <c r="CL180" s="75"/>
      <c r="CM180" s="75"/>
      <c r="CN180" s="75"/>
      <c r="CO180" s="75"/>
      <c r="CP180" s="75"/>
      <c r="CQ180" s="75"/>
      <c r="CR180" s="75"/>
      <c r="CS180" s="75"/>
      <c r="CT180" s="75"/>
      <c r="CU180" s="75"/>
      <c r="CV180" s="75"/>
      <c r="CW180" s="76"/>
      <c r="CX180" s="72"/>
      <c r="CY180" s="68"/>
      <c r="CZ180" s="68"/>
      <c r="DA180" s="69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</row>
    <row r="181" spans="1:128" ht="18" customHeight="1" x14ac:dyDescent="0.2">
      <c r="A181" s="74"/>
      <c r="B181" s="75"/>
      <c r="C181" s="75"/>
      <c r="D181" s="75"/>
      <c r="E181" s="75"/>
      <c r="F181" s="75" t="s">
        <v>655</v>
      </c>
      <c r="G181" s="75"/>
      <c r="H181" s="75"/>
      <c r="I181" s="75"/>
      <c r="J181" s="75"/>
      <c r="K181" s="75" t="str">
        <f>TEXT(TRUNC(건설기계!L27,0),"#,##0")</f>
        <v>7,613</v>
      </c>
      <c r="L181" s="75"/>
      <c r="M181" s="75"/>
      <c r="N181" s="75"/>
      <c r="O181" s="75"/>
      <c r="P181" s="75"/>
      <c r="Q181" s="75" t="s">
        <v>181</v>
      </c>
      <c r="R181" s="75"/>
      <c r="S181" s="75"/>
      <c r="T181" s="75" t="s">
        <v>534</v>
      </c>
      <c r="U181" s="75"/>
      <c r="V181" s="75" t="s">
        <v>536</v>
      </c>
      <c r="W181" s="75"/>
      <c r="X181" s="75" t="str">
        <f>TEXT(ROUNDDOWN(K181/AJ175,1),"#,##0.0#######")</f>
        <v>1,281.6</v>
      </c>
      <c r="Y181" s="75"/>
      <c r="Z181" s="75"/>
      <c r="AA181" s="75"/>
      <c r="AB181" s="75"/>
      <c r="AC181" s="75"/>
      <c r="AD181" s="75"/>
      <c r="AE181" s="75"/>
      <c r="AF181" s="75"/>
      <c r="AG181" s="75" t="s">
        <v>149</v>
      </c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5"/>
      <c r="AY181" s="75"/>
      <c r="AZ181" s="75"/>
      <c r="BA181" s="75"/>
      <c r="BB181" s="75"/>
      <c r="BC181" s="75"/>
      <c r="BD181" s="75"/>
      <c r="BE181" s="75"/>
      <c r="BF181" s="75"/>
      <c r="BG181" s="75"/>
      <c r="BH181" s="75"/>
      <c r="BI181" s="75"/>
      <c r="BJ181" s="75"/>
      <c r="BK181" s="75"/>
      <c r="BL181" s="75"/>
      <c r="BM181" s="75"/>
      <c r="BN181" s="75"/>
      <c r="BO181" s="75"/>
      <c r="BP181" s="75"/>
      <c r="BQ181" s="75"/>
      <c r="BR181" s="75"/>
      <c r="BS181" s="75"/>
      <c r="BT181" s="75"/>
      <c r="BU181" s="75"/>
      <c r="BV181" s="75"/>
      <c r="BW181" s="75"/>
      <c r="BX181" s="75"/>
      <c r="BY181" s="75"/>
      <c r="BZ181" s="75"/>
      <c r="CA181" s="75"/>
      <c r="CB181" s="75"/>
      <c r="CC181" s="75"/>
      <c r="CD181" s="75"/>
      <c r="CE181" s="75"/>
      <c r="CF181" s="75"/>
      <c r="CG181" s="75"/>
      <c r="CH181" s="75"/>
      <c r="CI181" s="75"/>
      <c r="CJ181" s="75"/>
      <c r="CK181" s="75"/>
      <c r="CL181" s="75"/>
      <c r="CM181" s="75"/>
      <c r="CN181" s="75"/>
      <c r="CO181" s="75"/>
      <c r="CP181" s="75"/>
      <c r="CQ181" s="75"/>
      <c r="CR181" s="75"/>
      <c r="CS181" s="75"/>
      <c r="CT181" s="75"/>
      <c r="CU181" s="75"/>
      <c r="CV181" s="75"/>
      <c r="CW181" s="76"/>
      <c r="CX181" s="72">
        <f>CY181+CZ181+DA181</f>
        <v>1281.5999999999999</v>
      </c>
      <c r="CY181" s="68"/>
      <c r="CZ181" s="68"/>
      <c r="DA181" s="69" t="str">
        <f>TEXT(X181,"#,###.0")</f>
        <v>1,281.6</v>
      </c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546</v>
      </c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</row>
    <row r="182" spans="1:128" ht="18" customHeight="1" x14ac:dyDescent="0.2">
      <c r="A182" s="74" t="s">
        <v>8</v>
      </c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5"/>
      <c r="AY182" s="75"/>
      <c r="AZ182" s="75"/>
      <c r="BA182" s="75"/>
      <c r="BB182" s="75"/>
      <c r="BC182" s="75"/>
      <c r="BD182" s="75"/>
      <c r="BE182" s="75"/>
      <c r="BF182" s="75"/>
      <c r="BG182" s="75"/>
      <c r="BH182" s="75"/>
      <c r="BI182" s="75"/>
      <c r="BJ182" s="75"/>
      <c r="BK182" s="75"/>
      <c r="BL182" s="75"/>
      <c r="BM182" s="75"/>
      <c r="BN182" s="75"/>
      <c r="BO182" s="75"/>
      <c r="BP182" s="75"/>
      <c r="BQ182" s="75"/>
      <c r="BR182" s="75"/>
      <c r="BS182" s="75"/>
      <c r="BT182" s="75"/>
      <c r="BU182" s="75"/>
      <c r="BV182" s="75"/>
      <c r="BW182" s="75"/>
      <c r="BX182" s="75"/>
      <c r="BY182" s="75"/>
      <c r="BZ182" s="75"/>
      <c r="CA182" s="75"/>
      <c r="CB182" s="75"/>
      <c r="CC182" s="75"/>
      <c r="CD182" s="75"/>
      <c r="CE182" s="75"/>
      <c r="CF182" s="75"/>
      <c r="CG182" s="75"/>
      <c r="CH182" s="75"/>
      <c r="CI182" s="75"/>
      <c r="CJ182" s="75"/>
      <c r="CK182" s="75"/>
      <c r="CL182" s="75"/>
      <c r="CM182" s="75"/>
      <c r="CN182" s="75"/>
      <c r="CO182" s="75"/>
      <c r="CP182" s="75"/>
      <c r="CQ182" s="75"/>
      <c r="CR182" s="75"/>
      <c r="CS182" s="75"/>
      <c r="CT182" s="75"/>
      <c r="CU182" s="75"/>
      <c r="CV182" s="75"/>
      <c r="CW182" s="76"/>
      <c r="CX182" s="72"/>
      <c r="CY182" s="68"/>
      <c r="CZ182" s="68"/>
      <c r="DA182" s="69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</row>
    <row r="183" spans="1:128" ht="18" customHeight="1" x14ac:dyDescent="0.2">
      <c r="A183" s="74" t="s">
        <v>148</v>
      </c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5"/>
      <c r="AY183" s="75"/>
      <c r="AZ183" s="75"/>
      <c r="BA183" s="75"/>
      <c r="BB183" s="75"/>
      <c r="BC183" s="75"/>
      <c r="BD183" s="75"/>
      <c r="BE183" s="75"/>
      <c r="BF183" s="75"/>
      <c r="BG183" s="75"/>
      <c r="BH183" s="75"/>
      <c r="BI183" s="75"/>
      <c r="BJ183" s="75"/>
      <c r="BK183" s="75"/>
      <c r="BL183" s="75"/>
      <c r="BM183" s="75"/>
      <c r="BN183" s="75"/>
      <c r="BO183" s="75"/>
      <c r="BP183" s="75"/>
      <c r="BQ183" s="75"/>
      <c r="BR183" s="75"/>
      <c r="BS183" s="75"/>
      <c r="BT183" s="75"/>
      <c r="BU183" s="75"/>
      <c r="BV183" s="75"/>
      <c r="BW183" s="75"/>
      <c r="BX183" s="75"/>
      <c r="BY183" s="75"/>
      <c r="BZ183" s="75"/>
      <c r="CA183" s="75"/>
      <c r="CB183" s="75"/>
      <c r="CC183" s="75"/>
      <c r="CD183" s="75"/>
      <c r="CE183" s="75"/>
      <c r="CF183" s="75"/>
      <c r="CG183" s="75"/>
      <c r="CH183" s="75"/>
      <c r="CI183" s="75"/>
      <c r="CJ183" s="75"/>
      <c r="CK183" s="75"/>
      <c r="CL183" s="75"/>
      <c r="CM183" s="75"/>
      <c r="CN183" s="75"/>
      <c r="CO183" s="75"/>
      <c r="CP183" s="75"/>
      <c r="CQ183" s="75"/>
      <c r="CR183" s="75"/>
      <c r="CS183" s="75"/>
      <c r="CT183" s="75"/>
      <c r="CU183" s="75"/>
      <c r="CV183" s="75"/>
      <c r="CW183" s="76"/>
      <c r="CX183" s="72"/>
      <c r="CY183" s="68"/>
      <c r="CZ183" s="68"/>
      <c r="DA183" s="69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 t="s">
        <v>8</v>
      </c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</row>
    <row r="184" spans="1:128" ht="18" customHeight="1" x14ac:dyDescent="0.2">
      <c r="A184" s="74" t="s">
        <v>8</v>
      </c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5"/>
      <c r="AY184" s="75"/>
      <c r="AZ184" s="75"/>
      <c r="BA184" s="75"/>
      <c r="BB184" s="75"/>
      <c r="BC184" s="75"/>
      <c r="BD184" s="75"/>
      <c r="BE184" s="75"/>
      <c r="BF184" s="75"/>
      <c r="BG184" s="75"/>
      <c r="BH184" s="75"/>
      <c r="BI184" s="75"/>
      <c r="BJ184" s="75"/>
      <c r="BK184" s="75"/>
      <c r="BL184" s="75"/>
      <c r="BM184" s="75"/>
      <c r="BN184" s="75"/>
      <c r="BO184" s="75"/>
      <c r="BP184" s="75"/>
      <c r="BQ184" s="75"/>
      <c r="BR184" s="75"/>
      <c r="BS184" s="75"/>
      <c r="BT184" s="75"/>
      <c r="BU184" s="75"/>
      <c r="BV184" s="75"/>
      <c r="BW184" s="75"/>
      <c r="BX184" s="75"/>
      <c r="BY184" s="75"/>
      <c r="BZ184" s="75"/>
      <c r="CA184" s="75"/>
      <c r="CB184" s="75"/>
      <c r="CC184" s="75"/>
      <c r="CD184" s="75"/>
      <c r="CE184" s="75"/>
      <c r="CF184" s="75"/>
      <c r="CG184" s="75"/>
      <c r="CH184" s="75"/>
      <c r="CI184" s="75"/>
      <c r="CJ184" s="75"/>
      <c r="CK184" s="75"/>
      <c r="CL184" s="75"/>
      <c r="CM184" s="75"/>
      <c r="CN184" s="75"/>
      <c r="CO184" s="75"/>
      <c r="CP184" s="75"/>
      <c r="CQ184" s="75"/>
      <c r="CR184" s="75"/>
      <c r="CS184" s="75"/>
      <c r="CT184" s="75"/>
      <c r="CU184" s="75"/>
      <c r="CV184" s="75"/>
      <c r="CW184" s="76"/>
      <c r="CX184" s="72"/>
      <c r="CY184" s="68"/>
      <c r="CZ184" s="68"/>
      <c r="DA184" s="69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</row>
    <row r="185" spans="1:128" ht="18" customHeight="1" x14ac:dyDescent="0.2">
      <c r="A185" s="92"/>
      <c r="B185" s="93" t="s">
        <v>215</v>
      </c>
      <c r="C185" s="93"/>
      <c r="D185" s="93"/>
      <c r="E185" s="93"/>
      <c r="F185" s="93" t="s">
        <v>328</v>
      </c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  <c r="AB185" s="93"/>
      <c r="AC185" s="93"/>
      <c r="AD185" s="93"/>
      <c r="AE185" s="93"/>
      <c r="AF185" s="93"/>
      <c r="AG185" s="93"/>
      <c r="AH185" s="93"/>
      <c r="AI185" s="93"/>
      <c r="AJ185" s="93"/>
      <c r="AK185" s="93"/>
      <c r="AL185" s="93"/>
      <c r="AM185" s="93"/>
      <c r="AN185" s="93"/>
      <c r="AO185" s="93"/>
      <c r="AP185" s="93"/>
      <c r="AQ185" s="93"/>
      <c r="AR185" s="93"/>
      <c r="AS185" s="93"/>
      <c r="AT185" s="93"/>
      <c r="AU185" s="93"/>
      <c r="AV185" s="93"/>
      <c r="AW185" s="93"/>
      <c r="AX185" s="93"/>
      <c r="AY185" s="93"/>
      <c r="AZ185" s="93"/>
      <c r="BA185" s="93"/>
      <c r="BB185" s="93"/>
      <c r="BC185" s="93"/>
      <c r="BD185" s="93"/>
      <c r="BE185" s="93"/>
      <c r="BF185" s="93"/>
      <c r="BG185" s="93"/>
      <c r="BH185" s="93"/>
      <c r="BI185" s="93"/>
      <c r="BJ185" s="93"/>
      <c r="BK185" s="93"/>
      <c r="BL185" s="93"/>
      <c r="BM185" s="93"/>
      <c r="BN185" s="93"/>
      <c r="BO185" s="93"/>
      <c r="BP185" s="93"/>
      <c r="BQ185" s="93"/>
      <c r="BR185" s="93"/>
      <c r="BS185" s="93"/>
      <c r="BT185" s="93"/>
      <c r="BU185" s="93"/>
      <c r="BV185" s="93"/>
      <c r="BW185" s="93"/>
      <c r="BX185" s="93"/>
      <c r="BY185" s="93"/>
      <c r="BZ185" s="93"/>
      <c r="CA185" s="93"/>
      <c r="CB185" s="93"/>
      <c r="CC185" s="93"/>
      <c r="CD185" s="93"/>
      <c r="CE185" s="93"/>
      <c r="CF185" s="93"/>
      <c r="CG185" s="93"/>
      <c r="CH185" s="93"/>
      <c r="CI185" s="93"/>
      <c r="CJ185" s="93"/>
      <c r="CK185" s="93"/>
      <c r="CL185" s="93"/>
      <c r="CM185" s="93"/>
      <c r="CN185" s="93"/>
      <c r="CO185" s="93"/>
      <c r="CP185" s="93"/>
      <c r="CQ185" s="93"/>
      <c r="CR185" s="93"/>
      <c r="CS185" s="93"/>
      <c r="CT185" s="93"/>
      <c r="CU185" s="93"/>
      <c r="CV185" s="93"/>
      <c r="CW185" s="94"/>
      <c r="CX185" s="95">
        <f>CY185+CZ185+DA185</f>
        <v>11313.6</v>
      </c>
      <c r="CY185" s="96" t="str">
        <f>TEXT(TRUNC(CY177+CY179+CY181,1),"#,###.0")</f>
        <v>1,651.9</v>
      </c>
      <c r="CZ185" s="96" t="str">
        <f>TEXT(TRUNC(CZ177+CZ179+CZ181,1),"#,###.0")</f>
        <v>8,380.1</v>
      </c>
      <c r="DA185" s="97" t="str">
        <f>TEXT(TRUNC(DA177+DA179+DA181,1),"#,###.0")</f>
        <v>1,281.6</v>
      </c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 t="s">
        <v>8</v>
      </c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</row>
    <row r="186" spans="1:128" ht="18" customHeight="1" x14ac:dyDescent="0.2">
      <c r="A186" s="74" t="s">
        <v>8</v>
      </c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  <c r="BO186" s="75"/>
      <c r="BP186" s="75"/>
      <c r="BQ186" s="75"/>
      <c r="BR186" s="75"/>
      <c r="BS186" s="75"/>
      <c r="BT186" s="75"/>
      <c r="BU186" s="75"/>
      <c r="BV186" s="75"/>
      <c r="BW186" s="75"/>
      <c r="BX186" s="75"/>
      <c r="BY186" s="75"/>
      <c r="BZ186" s="75"/>
      <c r="CA186" s="75"/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6"/>
      <c r="CX186" s="72"/>
      <c r="CY186" s="68"/>
      <c r="CZ186" s="68"/>
      <c r="DA186" s="69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</row>
    <row r="187" spans="1:128" ht="18" customHeight="1" x14ac:dyDescent="0.2">
      <c r="A187" s="98"/>
      <c r="B187" s="99"/>
      <c r="C187" s="99"/>
      <c r="D187" s="99" t="s">
        <v>424</v>
      </c>
      <c r="E187" s="99"/>
      <c r="F187" s="99"/>
      <c r="G187" s="99"/>
      <c r="H187" s="99" t="s">
        <v>328</v>
      </c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  <c r="AN187" s="99"/>
      <c r="AO187" s="99"/>
      <c r="AP187" s="99"/>
      <c r="AQ187" s="99"/>
      <c r="AR187" s="99"/>
      <c r="AS187" s="99"/>
      <c r="AT187" s="99"/>
      <c r="AU187" s="99"/>
      <c r="AV187" s="99"/>
      <c r="AW187" s="99"/>
      <c r="AX187" s="99"/>
      <c r="AY187" s="99"/>
      <c r="AZ187" s="99"/>
      <c r="BA187" s="99"/>
      <c r="BB187" s="99"/>
      <c r="BC187" s="99"/>
      <c r="BD187" s="99"/>
      <c r="BE187" s="99"/>
      <c r="BF187" s="99"/>
      <c r="BG187" s="99"/>
      <c r="BH187" s="99"/>
      <c r="BI187" s="99"/>
      <c r="BJ187" s="99"/>
      <c r="BK187" s="99"/>
      <c r="BL187" s="99"/>
      <c r="BM187" s="99"/>
      <c r="BN187" s="99"/>
      <c r="BO187" s="99"/>
      <c r="BP187" s="99"/>
      <c r="BQ187" s="99"/>
      <c r="BR187" s="99"/>
      <c r="BS187" s="99"/>
      <c r="BT187" s="99"/>
      <c r="BU187" s="99"/>
      <c r="BV187" s="99"/>
      <c r="BW187" s="99"/>
      <c r="BX187" s="99"/>
      <c r="BY187" s="99"/>
      <c r="BZ187" s="99"/>
      <c r="CA187" s="99"/>
      <c r="CB187" s="99"/>
      <c r="CC187" s="99"/>
      <c r="CD187" s="99"/>
      <c r="CE187" s="99"/>
      <c r="CF187" s="99"/>
      <c r="CG187" s="99"/>
      <c r="CH187" s="99"/>
      <c r="CI187" s="99"/>
      <c r="CJ187" s="99"/>
      <c r="CK187" s="99"/>
      <c r="CL187" s="99"/>
      <c r="CM187" s="99"/>
      <c r="CN187" s="99"/>
      <c r="CO187" s="99"/>
      <c r="CP187" s="99"/>
      <c r="CQ187" s="99"/>
      <c r="CR187" s="99"/>
      <c r="CS187" s="99"/>
      <c r="CT187" s="99"/>
      <c r="CU187" s="99"/>
      <c r="CV187" s="99"/>
      <c r="CW187" s="100"/>
      <c r="CX187" s="101">
        <f>CY187+CZ187+DA187</f>
        <v>13570.8</v>
      </c>
      <c r="CY187" s="102" t="str">
        <f>TEXT(TRUNC(CY153+CY185,1),"#,###.0")</f>
        <v>2,119.8</v>
      </c>
      <c r="CZ187" s="102" t="str">
        <f>TEXT(TRUNC(CZ153+CZ185,1),"#,###.0")</f>
        <v>9,760.0</v>
      </c>
      <c r="DA187" s="103" t="str">
        <f>TEXT(TRUNC(DA153+DA185,1),"#,###.0")</f>
        <v>1,691.0</v>
      </c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8</v>
      </c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</row>
    <row r="188" spans="1:128" ht="18" customHeight="1" x14ac:dyDescent="0.2">
      <c r="A188" s="74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  <c r="BO188" s="75"/>
      <c r="BP188" s="75"/>
      <c r="BQ188" s="75"/>
      <c r="BR188" s="75"/>
      <c r="BS188" s="75"/>
      <c r="BT188" s="75"/>
      <c r="BU188" s="75"/>
      <c r="BV188" s="75"/>
      <c r="BW188" s="75"/>
      <c r="BX188" s="75"/>
      <c r="BY188" s="75"/>
      <c r="BZ188" s="75"/>
      <c r="CA188" s="75"/>
      <c r="CB188" s="75"/>
      <c r="CC188" s="75"/>
      <c r="CD188" s="75"/>
      <c r="CE188" s="75"/>
      <c r="CF188" s="75"/>
      <c r="CG188" s="75"/>
      <c r="CH188" s="75"/>
      <c r="CI188" s="75"/>
      <c r="CJ188" s="75"/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6"/>
      <c r="CX188" s="72"/>
      <c r="CY188" s="68"/>
      <c r="CZ188" s="68"/>
      <c r="DA188" s="69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</row>
    <row r="189" spans="1:128" ht="18" customHeight="1" x14ac:dyDescent="0.2">
      <c r="A189" s="86" t="s">
        <v>389</v>
      </c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  <c r="AA189" s="87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  <c r="AM189" s="87"/>
      <c r="AN189" s="87"/>
      <c r="AO189" s="87"/>
      <c r="AP189" s="87"/>
      <c r="AQ189" s="87"/>
      <c r="AR189" s="87"/>
      <c r="AS189" s="87"/>
      <c r="AT189" s="87"/>
      <c r="AU189" s="87"/>
      <c r="AV189" s="87"/>
      <c r="AW189" s="87"/>
      <c r="AX189" s="87"/>
      <c r="AY189" s="87"/>
      <c r="AZ189" s="87"/>
      <c r="BA189" s="87"/>
      <c r="BB189" s="87"/>
      <c r="BC189" s="87"/>
      <c r="BD189" s="87"/>
      <c r="BE189" s="87"/>
      <c r="BF189" s="87"/>
      <c r="BG189" s="87"/>
      <c r="BH189" s="87"/>
      <c r="BI189" s="87"/>
      <c r="BJ189" s="87"/>
      <c r="BK189" s="87"/>
      <c r="BL189" s="87"/>
      <c r="BM189" s="87"/>
      <c r="BN189" s="87"/>
      <c r="BO189" s="87"/>
      <c r="BP189" s="87"/>
      <c r="BQ189" s="87"/>
      <c r="BR189" s="87"/>
      <c r="BS189" s="87"/>
      <c r="BT189" s="87"/>
      <c r="BU189" s="87"/>
      <c r="BV189" s="87"/>
      <c r="BW189" s="87"/>
      <c r="BX189" s="87"/>
      <c r="BY189" s="87"/>
      <c r="BZ189" s="87"/>
      <c r="CA189" s="87"/>
      <c r="CB189" s="87"/>
      <c r="CC189" s="87"/>
      <c r="CD189" s="87"/>
      <c r="CE189" s="87"/>
      <c r="CF189" s="87"/>
      <c r="CG189" s="87"/>
      <c r="CH189" s="87"/>
      <c r="CI189" s="87"/>
      <c r="CJ189" s="87"/>
      <c r="CK189" s="87"/>
      <c r="CL189" s="87"/>
      <c r="CM189" s="87"/>
      <c r="CN189" s="87"/>
      <c r="CO189" s="87"/>
      <c r="CP189" s="87"/>
      <c r="CQ189" s="87"/>
      <c r="CR189" s="87"/>
      <c r="CS189" s="87"/>
      <c r="CT189" s="87"/>
      <c r="CU189" s="87"/>
      <c r="CV189" s="87"/>
      <c r="CW189" s="88"/>
      <c r="CX189" s="89" t="str">
        <f>TEXT(CY189+CZ189+DA189,"#,##0")</f>
        <v>13,570</v>
      </c>
      <c r="CY189" s="90" t="str">
        <f>TEXT(TRUNC(CY187,0),"#,##0")</f>
        <v>2,119</v>
      </c>
      <c r="CZ189" s="90" t="str">
        <f>TEXT(TRUNC(CZ187,0),"#,##0")</f>
        <v>9,760</v>
      </c>
      <c r="DA189" s="91" t="str">
        <f>TEXT(TRUNC(DA187,0),"#,##0")</f>
        <v>1,691</v>
      </c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</row>
    <row r="190" spans="1:128" ht="18" customHeight="1" x14ac:dyDescent="0.2">
      <c r="A190" s="74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5"/>
      <c r="BD190" s="75"/>
      <c r="BE190" s="75"/>
      <c r="BF190" s="75"/>
      <c r="BG190" s="75"/>
      <c r="BH190" s="75"/>
      <c r="BI190" s="75"/>
      <c r="BJ190" s="75"/>
      <c r="BK190" s="75"/>
      <c r="BL190" s="75"/>
      <c r="BM190" s="75"/>
      <c r="BN190" s="75"/>
      <c r="BO190" s="75"/>
      <c r="BP190" s="75"/>
      <c r="BQ190" s="75"/>
      <c r="BR190" s="75"/>
      <c r="BS190" s="75"/>
      <c r="BT190" s="75"/>
      <c r="BU190" s="75"/>
      <c r="BV190" s="75"/>
      <c r="BW190" s="75"/>
      <c r="BX190" s="75"/>
      <c r="BY190" s="75"/>
      <c r="BZ190" s="75"/>
      <c r="CA190" s="75"/>
      <c r="CB190" s="75"/>
      <c r="CC190" s="75"/>
      <c r="CD190" s="75"/>
      <c r="CE190" s="75"/>
      <c r="CF190" s="75"/>
      <c r="CG190" s="75"/>
      <c r="CH190" s="75"/>
      <c r="CI190" s="75"/>
      <c r="CJ190" s="75"/>
      <c r="CK190" s="75"/>
      <c r="CL190" s="75"/>
      <c r="CM190" s="75"/>
      <c r="CN190" s="75"/>
      <c r="CO190" s="75"/>
      <c r="CP190" s="75"/>
      <c r="CQ190" s="75"/>
      <c r="CR190" s="75"/>
      <c r="CS190" s="75"/>
      <c r="CT190" s="75"/>
      <c r="CU190" s="75"/>
      <c r="CV190" s="75"/>
      <c r="CW190" s="76"/>
      <c r="CX190" s="72"/>
      <c r="CY190" s="68"/>
      <c r="CZ190" s="68"/>
      <c r="DA190" s="69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</row>
    <row r="191" spans="1:128" ht="18" customHeight="1" x14ac:dyDescent="0.2">
      <c r="A191" s="135" t="s">
        <v>578</v>
      </c>
      <c r="B191" s="135"/>
      <c r="C191" s="135"/>
      <c r="D191" s="135"/>
      <c r="E191" s="135"/>
      <c r="F191" s="135"/>
      <c r="G191" s="135"/>
      <c r="H191" s="135"/>
      <c r="I191" s="135"/>
      <c r="J191" s="135"/>
      <c r="K191" s="135"/>
      <c r="L191" s="135"/>
      <c r="M191" s="135"/>
      <c r="N191" s="135"/>
      <c r="O191" s="135"/>
      <c r="P191" s="135"/>
      <c r="Q191" s="135"/>
      <c r="R191" s="135"/>
      <c r="S191" s="135"/>
      <c r="T191" s="135"/>
      <c r="U191" s="135"/>
      <c r="V191" s="135"/>
      <c r="W191" s="135"/>
      <c r="X191" s="135"/>
      <c r="Y191" s="135"/>
      <c r="Z191" s="135"/>
      <c r="AA191" s="135"/>
      <c r="AB191" s="135"/>
      <c r="AC191" s="135"/>
      <c r="AD191" s="135"/>
      <c r="AE191" s="135"/>
      <c r="AF191" s="135"/>
      <c r="AG191" s="135"/>
      <c r="AH191" s="135"/>
      <c r="AI191" s="135"/>
      <c r="AJ191" s="135"/>
      <c r="AK191" s="135"/>
      <c r="AL191" s="135"/>
      <c r="AM191" s="135"/>
      <c r="AN191" s="135"/>
      <c r="AO191" s="135"/>
      <c r="AP191" s="135"/>
      <c r="AQ191" s="135"/>
      <c r="AR191" s="135"/>
      <c r="AS191" s="135"/>
      <c r="AT191" s="135"/>
      <c r="AU191" s="135"/>
      <c r="AV191" s="135"/>
      <c r="AW191" s="135"/>
      <c r="AX191" s="135"/>
      <c r="AY191" s="135"/>
      <c r="AZ191" s="135"/>
      <c r="BA191" s="135"/>
      <c r="BB191" s="135"/>
      <c r="BC191" s="135"/>
      <c r="BD191" s="135"/>
      <c r="BE191" s="135"/>
      <c r="BF191" s="135"/>
      <c r="BG191" s="135"/>
      <c r="BH191" s="135"/>
      <c r="BI191" s="135"/>
      <c r="BJ191" s="135"/>
      <c r="BK191" s="135"/>
      <c r="BL191" s="135"/>
      <c r="BM191" s="135"/>
      <c r="BN191" s="135"/>
      <c r="BO191" s="135"/>
      <c r="BP191" s="135"/>
      <c r="BQ191" s="135"/>
      <c r="BR191" s="135"/>
      <c r="BS191" s="135"/>
      <c r="BT191" s="135"/>
      <c r="BU191" s="135"/>
      <c r="BV191" s="135"/>
      <c r="BW191" s="135"/>
      <c r="BX191" s="135"/>
      <c r="BY191" s="135"/>
      <c r="BZ191" s="135"/>
      <c r="CA191" s="135"/>
      <c r="CB191" s="135"/>
      <c r="CC191" s="135"/>
      <c r="CD191" s="135"/>
      <c r="CE191" s="135"/>
      <c r="CF191" s="135"/>
      <c r="CG191" s="135"/>
      <c r="CH191" s="135"/>
      <c r="CI191" s="135"/>
      <c r="CJ191" s="135"/>
      <c r="CK191" s="135"/>
      <c r="CL191" s="135"/>
      <c r="CM191" s="135"/>
      <c r="CN191" s="135"/>
      <c r="CO191" s="135"/>
      <c r="CP191" s="135"/>
      <c r="CQ191" s="135"/>
      <c r="CR191" s="135"/>
      <c r="CS191" s="135"/>
      <c r="CT191" s="135"/>
      <c r="CU191" s="135"/>
      <c r="CV191" s="135"/>
      <c r="CW191" s="135"/>
      <c r="CX191" s="83"/>
      <c r="CY191" s="84"/>
      <c r="CZ191" s="84"/>
      <c r="DA191" s="85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447</v>
      </c>
      <c r="DN191" s="1" t="s">
        <v>157</v>
      </c>
      <c r="DO191" s="1"/>
      <c r="DP191" s="1"/>
      <c r="DQ191" s="1"/>
      <c r="DR191" s="1"/>
      <c r="DS191" s="1"/>
      <c r="DT191" s="1"/>
      <c r="DU191" s="1"/>
      <c r="DV191" s="1"/>
      <c r="DW191" s="1"/>
      <c r="DX191" s="1"/>
    </row>
    <row r="192" spans="1:128" ht="18" customHeight="1" x14ac:dyDescent="0.2">
      <c r="A192" s="74" t="s">
        <v>96</v>
      </c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  <c r="CB192" s="75"/>
      <c r="CC192" s="75"/>
      <c r="CD192" s="75"/>
      <c r="CE192" s="75"/>
      <c r="CF192" s="75"/>
      <c r="CG192" s="75"/>
      <c r="CH192" s="75"/>
      <c r="CI192" s="75"/>
      <c r="CJ192" s="75"/>
      <c r="CK192" s="75"/>
      <c r="CL192" s="75"/>
      <c r="CM192" s="75"/>
      <c r="CN192" s="75"/>
      <c r="CO192" s="75"/>
      <c r="CP192" s="75"/>
      <c r="CQ192" s="75"/>
      <c r="CR192" s="75"/>
      <c r="CS192" s="75"/>
      <c r="CT192" s="75"/>
      <c r="CU192" s="75"/>
      <c r="CV192" s="75"/>
      <c r="CW192" s="76"/>
      <c r="CX192" s="72">
        <f>CY192+CZ192+DA192</f>
        <v>0</v>
      </c>
      <c r="CY192" s="68"/>
      <c r="CZ192" s="68"/>
      <c r="DA192" s="69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 t="s">
        <v>8</v>
      </c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</row>
    <row r="193" spans="1:128" ht="18" customHeight="1" x14ac:dyDescent="0.2">
      <c r="A193" s="74" t="s">
        <v>8</v>
      </c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  <c r="BN193" s="75"/>
      <c r="BO193" s="75"/>
      <c r="BP193" s="75"/>
      <c r="BQ193" s="75"/>
      <c r="BR193" s="75"/>
      <c r="BS193" s="75"/>
      <c r="BT193" s="75"/>
      <c r="BU193" s="75"/>
      <c r="BV193" s="75"/>
      <c r="BW193" s="75"/>
      <c r="BX193" s="75"/>
      <c r="BY193" s="75"/>
      <c r="BZ193" s="75"/>
      <c r="CA193" s="75"/>
      <c r="CB193" s="75"/>
      <c r="CC193" s="75"/>
      <c r="CD193" s="75"/>
      <c r="CE193" s="75"/>
      <c r="CF193" s="75"/>
      <c r="CG193" s="75"/>
      <c r="CH193" s="75"/>
      <c r="CI193" s="75"/>
      <c r="CJ193" s="75"/>
      <c r="CK193" s="75"/>
      <c r="CL193" s="75"/>
      <c r="CM193" s="75"/>
      <c r="CN193" s="75"/>
      <c r="CO193" s="75"/>
      <c r="CP193" s="75"/>
      <c r="CQ193" s="75"/>
      <c r="CR193" s="75"/>
      <c r="CS193" s="75"/>
      <c r="CT193" s="75"/>
      <c r="CU193" s="75"/>
      <c r="CV193" s="75"/>
      <c r="CW193" s="76"/>
      <c r="CX193" s="72"/>
      <c r="CY193" s="68"/>
      <c r="CZ193" s="68"/>
      <c r="DA193" s="69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</row>
    <row r="194" spans="1:128" ht="18" customHeight="1" x14ac:dyDescent="0.2">
      <c r="A194" s="74" t="s">
        <v>95</v>
      </c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  <c r="BN194" s="75"/>
      <c r="BO194" s="75"/>
      <c r="BP194" s="75"/>
      <c r="BQ194" s="75"/>
      <c r="BR194" s="75"/>
      <c r="BS194" s="75"/>
      <c r="BT194" s="75"/>
      <c r="BU194" s="75"/>
      <c r="BV194" s="75"/>
      <c r="BW194" s="75"/>
      <c r="BX194" s="75"/>
      <c r="BY194" s="75"/>
      <c r="BZ194" s="75"/>
      <c r="CA194" s="75"/>
      <c r="CB194" s="75"/>
      <c r="CC194" s="75"/>
      <c r="CD194" s="75"/>
      <c r="CE194" s="75"/>
      <c r="CF194" s="75"/>
      <c r="CG194" s="75"/>
      <c r="CH194" s="75"/>
      <c r="CI194" s="75"/>
      <c r="CJ194" s="75"/>
      <c r="CK194" s="75"/>
      <c r="CL194" s="75"/>
      <c r="CM194" s="75"/>
      <c r="CN194" s="75"/>
      <c r="CO194" s="75"/>
      <c r="CP194" s="75"/>
      <c r="CQ194" s="75"/>
      <c r="CR194" s="75"/>
      <c r="CS194" s="75"/>
      <c r="CT194" s="75"/>
      <c r="CU194" s="75"/>
      <c r="CV194" s="75"/>
      <c r="CW194" s="76"/>
      <c r="CX194" s="72"/>
      <c r="CY194" s="68"/>
      <c r="CZ194" s="68"/>
      <c r="DA194" s="69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</row>
    <row r="195" spans="1:128" ht="18" customHeight="1" x14ac:dyDescent="0.2">
      <c r="A195" s="74" t="s">
        <v>8</v>
      </c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  <c r="BN195" s="75"/>
      <c r="BO195" s="75"/>
      <c r="BP195" s="75"/>
      <c r="BQ195" s="75"/>
      <c r="BR195" s="75"/>
      <c r="BS195" s="75"/>
      <c r="BT195" s="75"/>
      <c r="BU195" s="75"/>
      <c r="BV195" s="75"/>
      <c r="BW195" s="75"/>
      <c r="BX195" s="75"/>
      <c r="BY195" s="75"/>
      <c r="BZ195" s="75"/>
      <c r="CA195" s="75"/>
      <c r="CB195" s="75"/>
      <c r="CC195" s="75"/>
      <c r="CD195" s="75"/>
      <c r="CE195" s="75"/>
      <c r="CF195" s="75"/>
      <c r="CG195" s="75"/>
      <c r="CH195" s="75"/>
      <c r="CI195" s="75"/>
      <c r="CJ195" s="75"/>
      <c r="CK195" s="75"/>
      <c r="CL195" s="75"/>
      <c r="CM195" s="75"/>
      <c r="CN195" s="75"/>
      <c r="CO195" s="75"/>
      <c r="CP195" s="75"/>
      <c r="CQ195" s="75"/>
      <c r="CR195" s="75"/>
      <c r="CS195" s="75"/>
      <c r="CT195" s="75"/>
      <c r="CU195" s="75"/>
      <c r="CV195" s="75"/>
      <c r="CW195" s="76"/>
      <c r="CX195" s="72"/>
      <c r="CY195" s="68"/>
      <c r="CZ195" s="68"/>
      <c r="DA195" s="69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</row>
    <row r="196" spans="1:128" ht="18" customHeight="1" x14ac:dyDescent="0.2">
      <c r="A196" s="74" t="s">
        <v>128</v>
      </c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  <c r="AD196" s="75"/>
      <c r="AE196" s="75"/>
      <c r="AF196" s="75"/>
      <c r="AG196" s="75"/>
      <c r="AH196" s="75"/>
      <c r="AI196" s="75"/>
      <c r="AJ196" s="75"/>
      <c r="AK196" s="75"/>
      <c r="AL196" s="75"/>
      <c r="AM196" s="75"/>
      <c r="AN196" s="75"/>
      <c r="AO196" s="75"/>
      <c r="AP196" s="75"/>
      <c r="AQ196" s="75"/>
      <c r="AR196" s="75"/>
      <c r="AS196" s="75"/>
      <c r="AT196" s="75"/>
      <c r="AU196" s="75"/>
      <c r="AV196" s="75"/>
      <c r="AW196" s="75"/>
      <c r="AX196" s="75"/>
      <c r="AY196" s="75"/>
      <c r="AZ196" s="75"/>
      <c r="BA196" s="75"/>
      <c r="BB196" s="75"/>
      <c r="BC196" s="75"/>
      <c r="BD196" s="75"/>
      <c r="BE196" s="75"/>
      <c r="BF196" s="75"/>
      <c r="BG196" s="75"/>
      <c r="BH196" s="75"/>
      <c r="BI196" s="75"/>
      <c r="BJ196" s="75"/>
      <c r="BK196" s="75"/>
      <c r="BL196" s="75"/>
      <c r="BM196" s="75"/>
      <c r="BN196" s="75"/>
      <c r="BO196" s="75"/>
      <c r="BP196" s="75"/>
      <c r="BQ196" s="75"/>
      <c r="BR196" s="75"/>
      <c r="BS196" s="75"/>
      <c r="BT196" s="75"/>
      <c r="BU196" s="75"/>
      <c r="BV196" s="75"/>
      <c r="BW196" s="75"/>
      <c r="BX196" s="75"/>
      <c r="BY196" s="75"/>
      <c r="BZ196" s="75"/>
      <c r="CA196" s="75"/>
      <c r="CB196" s="75"/>
      <c r="CC196" s="75"/>
      <c r="CD196" s="75"/>
      <c r="CE196" s="75"/>
      <c r="CF196" s="75"/>
      <c r="CG196" s="75"/>
      <c r="CH196" s="75"/>
      <c r="CI196" s="75"/>
      <c r="CJ196" s="75"/>
      <c r="CK196" s="75"/>
      <c r="CL196" s="75"/>
      <c r="CM196" s="75"/>
      <c r="CN196" s="75"/>
      <c r="CO196" s="75"/>
      <c r="CP196" s="75"/>
      <c r="CQ196" s="75"/>
      <c r="CR196" s="75"/>
      <c r="CS196" s="75"/>
      <c r="CT196" s="75"/>
      <c r="CU196" s="75"/>
      <c r="CV196" s="75"/>
      <c r="CW196" s="76"/>
      <c r="CX196" s="72"/>
      <c r="CY196" s="68"/>
      <c r="CZ196" s="68"/>
      <c r="DA196" s="69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</row>
    <row r="197" spans="1:128" ht="18" customHeight="1" x14ac:dyDescent="0.2">
      <c r="A197" s="74" t="s">
        <v>8</v>
      </c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5"/>
      <c r="AY197" s="75"/>
      <c r="AZ197" s="75"/>
      <c r="BA197" s="75"/>
      <c r="BB197" s="75"/>
      <c r="BC197" s="75"/>
      <c r="BD197" s="75"/>
      <c r="BE197" s="75"/>
      <c r="BF197" s="75"/>
      <c r="BG197" s="75"/>
      <c r="BH197" s="75"/>
      <c r="BI197" s="75"/>
      <c r="BJ197" s="75"/>
      <c r="BK197" s="75"/>
      <c r="BL197" s="75"/>
      <c r="BM197" s="75"/>
      <c r="BN197" s="75"/>
      <c r="BO197" s="75"/>
      <c r="BP197" s="75"/>
      <c r="BQ197" s="75"/>
      <c r="BR197" s="75"/>
      <c r="BS197" s="75"/>
      <c r="BT197" s="75"/>
      <c r="BU197" s="75"/>
      <c r="BV197" s="75"/>
      <c r="BW197" s="75"/>
      <c r="BX197" s="75"/>
      <c r="BY197" s="75"/>
      <c r="BZ197" s="75"/>
      <c r="CA197" s="75"/>
      <c r="CB197" s="75"/>
      <c r="CC197" s="75"/>
      <c r="CD197" s="75"/>
      <c r="CE197" s="75"/>
      <c r="CF197" s="75"/>
      <c r="CG197" s="75"/>
      <c r="CH197" s="75"/>
      <c r="CI197" s="75"/>
      <c r="CJ197" s="75"/>
      <c r="CK197" s="75"/>
      <c r="CL197" s="75"/>
      <c r="CM197" s="75"/>
      <c r="CN197" s="75"/>
      <c r="CO197" s="75"/>
      <c r="CP197" s="75"/>
      <c r="CQ197" s="75"/>
      <c r="CR197" s="75"/>
      <c r="CS197" s="75"/>
      <c r="CT197" s="75"/>
      <c r="CU197" s="75"/>
      <c r="CV197" s="75"/>
      <c r="CW197" s="76"/>
      <c r="CX197" s="72"/>
      <c r="CY197" s="68"/>
      <c r="CZ197" s="68"/>
      <c r="DA197" s="69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</row>
    <row r="198" spans="1:128" ht="18" customHeight="1" x14ac:dyDescent="0.2">
      <c r="A198" s="74"/>
      <c r="B198" s="75"/>
      <c r="C198" s="75"/>
      <c r="D198" s="75"/>
      <c r="E198" s="75"/>
      <c r="F198" s="75" t="s">
        <v>12</v>
      </c>
      <c r="G198" s="75"/>
      <c r="H198" s="75" t="s">
        <v>536</v>
      </c>
      <c r="I198" s="75"/>
      <c r="J198" s="75" t="str">
        <f>TEXT(20,"#,##0")</f>
        <v>20</v>
      </c>
      <c r="K198" s="75"/>
      <c r="L198" s="75"/>
      <c r="M198" s="75"/>
      <c r="N198" s="75" t="s">
        <v>379</v>
      </c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  <c r="AD198" s="75"/>
      <c r="AE198" s="75"/>
      <c r="AF198" s="75"/>
      <c r="AG198" s="75"/>
      <c r="AH198" s="75"/>
      <c r="AI198" s="75"/>
      <c r="AJ198" s="75"/>
      <c r="AK198" s="75"/>
      <c r="AL198" s="75"/>
      <c r="AM198" s="75"/>
      <c r="AN198" s="75"/>
      <c r="AO198" s="75"/>
      <c r="AP198" s="75"/>
      <c r="AQ198" s="75"/>
      <c r="AR198" s="75"/>
      <c r="AS198" s="75"/>
      <c r="AT198" s="75"/>
      <c r="AU198" s="75"/>
      <c r="AV198" s="75"/>
      <c r="AW198" s="75"/>
      <c r="AX198" s="75"/>
      <c r="AY198" s="75"/>
      <c r="AZ198" s="75"/>
      <c r="BA198" s="75"/>
      <c r="BB198" s="75"/>
      <c r="BC198" s="75"/>
      <c r="BD198" s="75"/>
      <c r="BE198" s="75"/>
      <c r="BF198" s="75"/>
      <c r="BG198" s="75"/>
      <c r="BH198" s="75"/>
      <c r="BI198" s="75"/>
      <c r="BJ198" s="75"/>
      <c r="BK198" s="75"/>
      <c r="BL198" s="75"/>
      <c r="BM198" s="75"/>
      <c r="BN198" s="75"/>
      <c r="BO198" s="75"/>
      <c r="BP198" s="75"/>
      <c r="BQ198" s="75"/>
      <c r="BR198" s="75"/>
      <c r="BS198" s="75"/>
      <c r="BT198" s="75"/>
      <c r="BU198" s="75"/>
      <c r="BV198" s="75"/>
      <c r="BW198" s="75"/>
      <c r="BX198" s="75"/>
      <c r="BY198" s="75"/>
      <c r="BZ198" s="75"/>
      <c r="CA198" s="75"/>
      <c r="CB198" s="75"/>
      <c r="CC198" s="75"/>
      <c r="CD198" s="75"/>
      <c r="CE198" s="75"/>
      <c r="CF198" s="75"/>
      <c r="CG198" s="75"/>
      <c r="CH198" s="75"/>
      <c r="CI198" s="75"/>
      <c r="CJ198" s="75"/>
      <c r="CK198" s="75"/>
      <c r="CL198" s="75"/>
      <c r="CM198" s="75"/>
      <c r="CN198" s="75"/>
      <c r="CO198" s="75"/>
      <c r="CP198" s="75"/>
      <c r="CQ198" s="75"/>
      <c r="CR198" s="75"/>
      <c r="CS198" s="75"/>
      <c r="CT198" s="75"/>
      <c r="CU198" s="75"/>
      <c r="CV198" s="75"/>
      <c r="CW198" s="76"/>
      <c r="CX198" s="72"/>
      <c r="CY198" s="68"/>
      <c r="CZ198" s="68"/>
      <c r="DA198" s="69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 t="s">
        <v>8</v>
      </c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</row>
    <row r="199" spans="1:128" ht="18" customHeight="1" x14ac:dyDescent="0.2">
      <c r="A199" s="74" t="s">
        <v>8</v>
      </c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  <c r="AD199" s="75"/>
      <c r="AE199" s="75"/>
      <c r="AF199" s="75"/>
      <c r="AG199" s="75"/>
      <c r="AH199" s="75"/>
      <c r="AI199" s="75"/>
      <c r="AJ199" s="75"/>
      <c r="AK199" s="75"/>
      <c r="AL199" s="75"/>
      <c r="AM199" s="75"/>
      <c r="AN199" s="75"/>
      <c r="AO199" s="75"/>
      <c r="AP199" s="75"/>
      <c r="AQ199" s="75"/>
      <c r="AR199" s="75"/>
      <c r="AS199" s="75"/>
      <c r="AT199" s="75"/>
      <c r="AU199" s="75"/>
      <c r="AV199" s="75"/>
      <c r="AW199" s="75"/>
      <c r="AX199" s="75"/>
      <c r="AY199" s="75"/>
      <c r="AZ199" s="75"/>
      <c r="BA199" s="75"/>
      <c r="BB199" s="75"/>
      <c r="BC199" s="75"/>
      <c r="BD199" s="75"/>
      <c r="BE199" s="75"/>
      <c r="BF199" s="75"/>
      <c r="BG199" s="75"/>
      <c r="BH199" s="75"/>
      <c r="BI199" s="75"/>
      <c r="BJ199" s="75"/>
      <c r="BK199" s="75"/>
      <c r="BL199" s="75"/>
      <c r="BM199" s="75"/>
      <c r="BN199" s="75"/>
      <c r="BO199" s="75"/>
      <c r="BP199" s="75"/>
      <c r="BQ199" s="75"/>
      <c r="BR199" s="75"/>
      <c r="BS199" s="75"/>
      <c r="BT199" s="75"/>
      <c r="BU199" s="75"/>
      <c r="BV199" s="75"/>
      <c r="BW199" s="75"/>
      <c r="BX199" s="75"/>
      <c r="BY199" s="75"/>
      <c r="BZ199" s="75"/>
      <c r="CA199" s="75"/>
      <c r="CB199" s="75"/>
      <c r="CC199" s="75"/>
      <c r="CD199" s="75"/>
      <c r="CE199" s="75"/>
      <c r="CF199" s="75"/>
      <c r="CG199" s="75"/>
      <c r="CH199" s="75"/>
      <c r="CI199" s="75"/>
      <c r="CJ199" s="75"/>
      <c r="CK199" s="75"/>
      <c r="CL199" s="75"/>
      <c r="CM199" s="75"/>
      <c r="CN199" s="75"/>
      <c r="CO199" s="75"/>
      <c r="CP199" s="75"/>
      <c r="CQ199" s="75"/>
      <c r="CR199" s="75"/>
      <c r="CS199" s="75"/>
      <c r="CT199" s="75"/>
      <c r="CU199" s="75"/>
      <c r="CV199" s="75"/>
      <c r="CW199" s="76"/>
      <c r="CX199" s="72"/>
      <c r="CY199" s="68"/>
      <c r="CZ199" s="68"/>
      <c r="DA199" s="69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</row>
    <row r="200" spans="1:128" ht="18" customHeight="1" x14ac:dyDescent="0.2">
      <c r="A200" s="74"/>
      <c r="B200" s="75"/>
      <c r="C200" s="75"/>
      <c r="D200" s="75"/>
      <c r="E200" s="75"/>
      <c r="F200" s="75" t="str">
        <f>TEXT(TRUNC((견적및기타!K7+견적및기타!L7+견적및기타!M7),0),"#,##0")</f>
        <v>111,240</v>
      </c>
      <c r="G200" s="75"/>
      <c r="H200" s="75"/>
      <c r="I200" s="75"/>
      <c r="J200" s="75"/>
      <c r="K200" s="75"/>
      <c r="L200" s="75"/>
      <c r="M200" s="75"/>
      <c r="N200" s="75" t="s">
        <v>181</v>
      </c>
      <c r="O200" s="75"/>
      <c r="P200" s="75" t="str">
        <f>TEXT(1.1,"#,##0.0#######")</f>
        <v>1.1</v>
      </c>
      <c r="Q200" s="75"/>
      <c r="R200" s="75"/>
      <c r="S200" s="75"/>
      <c r="T200" s="75" t="s">
        <v>181</v>
      </c>
      <c r="U200" s="75"/>
      <c r="V200" s="75" t="str">
        <f>TEXT(10.5,"#,##0.0#######")</f>
        <v>10.5</v>
      </c>
      <c r="W200" s="75"/>
      <c r="X200" s="75"/>
      <c r="Y200" s="75"/>
      <c r="Z200" s="75"/>
      <c r="AA200" s="75" t="s">
        <v>357</v>
      </c>
      <c r="AB200" s="75"/>
      <c r="AC200" s="75" t="str">
        <f>TEXT(1.6,"#,##0.0#######")</f>
        <v>1.6</v>
      </c>
      <c r="AD200" s="75"/>
      <c r="AE200" s="75"/>
      <c r="AF200" s="75"/>
      <c r="AG200" s="75" t="s">
        <v>536</v>
      </c>
      <c r="AH200" s="75"/>
      <c r="AI200" s="75" t="str">
        <f>TEXT(ROUNDDOWN(F200/P200/V200*AC200,1),"#,##0.0#######")</f>
        <v>15,409.8</v>
      </c>
      <c r="AJ200" s="75"/>
      <c r="AK200" s="75"/>
      <c r="AL200" s="75"/>
      <c r="AM200" s="75"/>
      <c r="AN200" s="75"/>
      <c r="AO200" s="75"/>
      <c r="AP200" s="75"/>
      <c r="AQ200" s="75"/>
      <c r="AR200" s="75"/>
      <c r="AS200" s="75"/>
      <c r="AT200" s="75"/>
      <c r="AU200" s="75"/>
      <c r="AV200" s="75"/>
      <c r="AW200" s="75"/>
      <c r="AX200" s="75"/>
      <c r="AY200" s="75"/>
      <c r="AZ200" s="75"/>
      <c r="BA200" s="75"/>
      <c r="BB200" s="75"/>
      <c r="BC200" s="75"/>
      <c r="BD200" s="75"/>
      <c r="BE200" s="75"/>
      <c r="BF200" s="75"/>
      <c r="BG200" s="75"/>
      <c r="BH200" s="75"/>
      <c r="BI200" s="75"/>
      <c r="BJ200" s="75"/>
      <c r="BK200" s="75"/>
      <c r="BL200" s="75"/>
      <c r="BM200" s="75"/>
      <c r="BN200" s="75"/>
      <c r="BO200" s="75"/>
      <c r="BP200" s="75"/>
      <c r="BQ200" s="75"/>
      <c r="BR200" s="75"/>
      <c r="BS200" s="75"/>
      <c r="BT200" s="75"/>
      <c r="BU200" s="75"/>
      <c r="BV200" s="75"/>
      <c r="BW200" s="75"/>
      <c r="BX200" s="75"/>
      <c r="BY200" s="75"/>
      <c r="BZ200" s="75"/>
      <c r="CA200" s="75"/>
      <c r="CB200" s="75"/>
      <c r="CC200" s="75"/>
      <c r="CD200" s="75"/>
      <c r="CE200" s="75"/>
      <c r="CF200" s="75"/>
      <c r="CG200" s="75"/>
      <c r="CH200" s="75"/>
      <c r="CI200" s="75"/>
      <c r="CJ200" s="75"/>
      <c r="CK200" s="75"/>
      <c r="CL200" s="75"/>
      <c r="CM200" s="75"/>
      <c r="CN200" s="75"/>
      <c r="CO200" s="75"/>
      <c r="CP200" s="75"/>
      <c r="CQ200" s="75"/>
      <c r="CR200" s="75"/>
      <c r="CS200" s="75"/>
      <c r="CT200" s="75"/>
      <c r="CU200" s="75"/>
      <c r="CV200" s="75"/>
      <c r="CW200" s="76"/>
      <c r="CX200" s="72">
        <f>CY200+CZ200+DA200</f>
        <v>15409.8</v>
      </c>
      <c r="CY200" s="68"/>
      <c r="CZ200" s="68"/>
      <c r="DA200" s="69" t="str">
        <f>TEXT(ROUNDDOWN(견적및기타!M7/P200/V200*AC200,1),"#,##0.0#######")</f>
        <v>15,409.8</v>
      </c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 t="s">
        <v>362</v>
      </c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</row>
    <row r="201" spans="1:128" ht="18" customHeight="1" x14ac:dyDescent="0.2">
      <c r="A201" s="74" t="s">
        <v>8</v>
      </c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/>
      <c r="AG201" s="75"/>
      <c r="AH201" s="75"/>
      <c r="AI201" s="75"/>
      <c r="AJ201" s="75"/>
      <c r="AK201" s="75"/>
      <c r="AL201" s="75"/>
      <c r="AM201" s="75"/>
      <c r="AN201" s="75"/>
      <c r="AO201" s="75"/>
      <c r="AP201" s="75"/>
      <c r="AQ201" s="75"/>
      <c r="AR201" s="75"/>
      <c r="AS201" s="75"/>
      <c r="AT201" s="75"/>
      <c r="AU201" s="75"/>
      <c r="AV201" s="75"/>
      <c r="AW201" s="75"/>
      <c r="AX201" s="75"/>
      <c r="AY201" s="75"/>
      <c r="AZ201" s="75"/>
      <c r="BA201" s="75"/>
      <c r="BB201" s="75"/>
      <c r="BC201" s="75"/>
      <c r="BD201" s="75"/>
      <c r="BE201" s="75"/>
      <c r="BF201" s="75"/>
      <c r="BG201" s="75"/>
      <c r="BH201" s="75"/>
      <c r="BI201" s="75"/>
      <c r="BJ201" s="75"/>
      <c r="BK201" s="75"/>
      <c r="BL201" s="75"/>
      <c r="BM201" s="75"/>
      <c r="BN201" s="75"/>
      <c r="BO201" s="75"/>
      <c r="BP201" s="75"/>
      <c r="BQ201" s="75"/>
      <c r="BR201" s="75"/>
      <c r="BS201" s="75"/>
      <c r="BT201" s="75"/>
      <c r="BU201" s="75"/>
      <c r="BV201" s="75"/>
      <c r="BW201" s="75"/>
      <c r="BX201" s="75"/>
      <c r="BY201" s="75"/>
      <c r="BZ201" s="75"/>
      <c r="CA201" s="75"/>
      <c r="CB201" s="75"/>
      <c r="CC201" s="75"/>
      <c r="CD201" s="75"/>
      <c r="CE201" s="75"/>
      <c r="CF201" s="75"/>
      <c r="CG201" s="75"/>
      <c r="CH201" s="75"/>
      <c r="CI201" s="75"/>
      <c r="CJ201" s="75"/>
      <c r="CK201" s="75"/>
      <c r="CL201" s="75"/>
      <c r="CM201" s="75"/>
      <c r="CN201" s="75"/>
      <c r="CO201" s="75"/>
      <c r="CP201" s="75"/>
      <c r="CQ201" s="75"/>
      <c r="CR201" s="75"/>
      <c r="CS201" s="75"/>
      <c r="CT201" s="75"/>
      <c r="CU201" s="75"/>
      <c r="CV201" s="75"/>
      <c r="CW201" s="76"/>
      <c r="CX201" s="72"/>
      <c r="CY201" s="68"/>
      <c r="CZ201" s="68"/>
      <c r="DA201" s="69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</row>
    <row r="202" spans="1:128" ht="18" customHeight="1" x14ac:dyDescent="0.2">
      <c r="A202" s="74" t="s">
        <v>562</v>
      </c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75"/>
      <c r="AB202" s="75"/>
      <c r="AC202" s="75"/>
      <c r="AD202" s="75"/>
      <c r="AE202" s="75"/>
      <c r="AF202" s="75"/>
      <c r="AG202" s="75"/>
      <c r="AH202" s="75"/>
      <c r="AI202" s="75"/>
      <c r="AJ202" s="75"/>
      <c r="AK202" s="75"/>
      <c r="AL202" s="75"/>
      <c r="AM202" s="75"/>
      <c r="AN202" s="75"/>
      <c r="AO202" s="75"/>
      <c r="AP202" s="75"/>
      <c r="AQ202" s="75"/>
      <c r="AR202" s="75"/>
      <c r="AS202" s="75"/>
      <c r="AT202" s="75"/>
      <c r="AU202" s="75"/>
      <c r="AV202" s="75"/>
      <c r="AW202" s="75"/>
      <c r="AX202" s="75"/>
      <c r="AY202" s="75"/>
      <c r="AZ202" s="75"/>
      <c r="BA202" s="75"/>
      <c r="BB202" s="75"/>
      <c r="BC202" s="75"/>
      <c r="BD202" s="75"/>
      <c r="BE202" s="75"/>
      <c r="BF202" s="75"/>
      <c r="BG202" s="75"/>
      <c r="BH202" s="75"/>
      <c r="BI202" s="75"/>
      <c r="BJ202" s="75"/>
      <c r="BK202" s="75"/>
      <c r="BL202" s="75"/>
      <c r="BM202" s="75"/>
      <c r="BN202" s="75"/>
      <c r="BO202" s="75"/>
      <c r="BP202" s="75"/>
      <c r="BQ202" s="75"/>
      <c r="BR202" s="75"/>
      <c r="BS202" s="75"/>
      <c r="BT202" s="75"/>
      <c r="BU202" s="75"/>
      <c r="BV202" s="75"/>
      <c r="BW202" s="75"/>
      <c r="BX202" s="75"/>
      <c r="BY202" s="75"/>
      <c r="BZ202" s="75"/>
      <c r="CA202" s="75"/>
      <c r="CB202" s="75"/>
      <c r="CC202" s="75"/>
      <c r="CD202" s="75"/>
      <c r="CE202" s="75"/>
      <c r="CF202" s="75"/>
      <c r="CG202" s="75"/>
      <c r="CH202" s="75"/>
      <c r="CI202" s="75"/>
      <c r="CJ202" s="75"/>
      <c r="CK202" s="75"/>
      <c r="CL202" s="75"/>
      <c r="CM202" s="75"/>
      <c r="CN202" s="75"/>
      <c r="CO202" s="75"/>
      <c r="CP202" s="75"/>
      <c r="CQ202" s="75"/>
      <c r="CR202" s="75"/>
      <c r="CS202" s="75"/>
      <c r="CT202" s="75"/>
      <c r="CU202" s="75"/>
      <c r="CV202" s="75"/>
      <c r="CW202" s="76"/>
      <c r="CX202" s="72"/>
      <c r="CY202" s="68"/>
      <c r="CZ202" s="68"/>
      <c r="DA202" s="69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 t="s">
        <v>8</v>
      </c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</row>
    <row r="203" spans="1:128" ht="18" customHeight="1" x14ac:dyDescent="0.2">
      <c r="A203" s="74" t="s">
        <v>8</v>
      </c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75"/>
      <c r="AC203" s="75"/>
      <c r="AD203" s="75"/>
      <c r="AE203" s="75"/>
      <c r="AF203" s="75"/>
      <c r="AG203" s="75"/>
      <c r="AH203" s="75"/>
      <c r="AI203" s="75"/>
      <c r="AJ203" s="75"/>
      <c r="AK203" s="75"/>
      <c r="AL203" s="75"/>
      <c r="AM203" s="75"/>
      <c r="AN203" s="75"/>
      <c r="AO203" s="75"/>
      <c r="AP203" s="75"/>
      <c r="AQ203" s="75"/>
      <c r="AR203" s="75"/>
      <c r="AS203" s="75"/>
      <c r="AT203" s="75"/>
      <c r="AU203" s="75"/>
      <c r="AV203" s="75"/>
      <c r="AW203" s="75"/>
      <c r="AX203" s="75"/>
      <c r="AY203" s="75"/>
      <c r="AZ203" s="75"/>
      <c r="BA203" s="75"/>
      <c r="BB203" s="75"/>
      <c r="BC203" s="75"/>
      <c r="BD203" s="75"/>
      <c r="BE203" s="75"/>
      <c r="BF203" s="75"/>
      <c r="BG203" s="75"/>
      <c r="BH203" s="75"/>
      <c r="BI203" s="75"/>
      <c r="BJ203" s="75"/>
      <c r="BK203" s="75"/>
      <c r="BL203" s="75"/>
      <c r="BM203" s="75"/>
      <c r="BN203" s="75"/>
      <c r="BO203" s="75"/>
      <c r="BP203" s="75"/>
      <c r="BQ203" s="75"/>
      <c r="BR203" s="75"/>
      <c r="BS203" s="75"/>
      <c r="BT203" s="75"/>
      <c r="BU203" s="75"/>
      <c r="BV203" s="75"/>
      <c r="BW203" s="75"/>
      <c r="BX203" s="75"/>
      <c r="BY203" s="75"/>
      <c r="BZ203" s="75"/>
      <c r="CA203" s="75"/>
      <c r="CB203" s="75"/>
      <c r="CC203" s="75"/>
      <c r="CD203" s="75"/>
      <c r="CE203" s="75"/>
      <c r="CF203" s="75"/>
      <c r="CG203" s="75"/>
      <c r="CH203" s="75"/>
      <c r="CI203" s="75"/>
      <c r="CJ203" s="75"/>
      <c r="CK203" s="75"/>
      <c r="CL203" s="75"/>
      <c r="CM203" s="75"/>
      <c r="CN203" s="75"/>
      <c r="CO203" s="75"/>
      <c r="CP203" s="75"/>
      <c r="CQ203" s="75"/>
      <c r="CR203" s="75"/>
      <c r="CS203" s="75"/>
      <c r="CT203" s="75"/>
      <c r="CU203" s="75"/>
      <c r="CV203" s="75"/>
      <c r="CW203" s="76"/>
      <c r="CX203" s="72"/>
      <c r="CY203" s="68"/>
      <c r="CZ203" s="68"/>
      <c r="DA203" s="69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</row>
    <row r="204" spans="1:128" ht="18" customHeight="1" x14ac:dyDescent="0.2">
      <c r="A204" s="74" t="s">
        <v>552</v>
      </c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5"/>
      <c r="AJ204" s="75"/>
      <c r="AK204" s="75"/>
      <c r="AL204" s="75"/>
      <c r="AM204" s="75"/>
      <c r="AN204" s="75"/>
      <c r="AO204" s="75"/>
      <c r="AP204" s="75"/>
      <c r="AQ204" s="75"/>
      <c r="AR204" s="75"/>
      <c r="AS204" s="75"/>
      <c r="AT204" s="75"/>
      <c r="AU204" s="75"/>
      <c r="AV204" s="75"/>
      <c r="AW204" s="75"/>
      <c r="AX204" s="75"/>
      <c r="AY204" s="75"/>
      <c r="AZ204" s="75"/>
      <c r="BA204" s="75"/>
      <c r="BB204" s="75"/>
      <c r="BC204" s="75"/>
      <c r="BD204" s="75"/>
      <c r="BE204" s="75"/>
      <c r="BF204" s="75"/>
      <c r="BG204" s="75"/>
      <c r="BH204" s="75"/>
      <c r="BI204" s="75"/>
      <c r="BJ204" s="75"/>
      <c r="BK204" s="75"/>
      <c r="BL204" s="75"/>
      <c r="BM204" s="75"/>
      <c r="BN204" s="75"/>
      <c r="BO204" s="75"/>
      <c r="BP204" s="75"/>
      <c r="BQ204" s="75"/>
      <c r="BR204" s="75"/>
      <c r="BS204" s="75"/>
      <c r="BT204" s="75"/>
      <c r="BU204" s="75"/>
      <c r="BV204" s="75"/>
      <c r="BW204" s="75"/>
      <c r="BX204" s="75"/>
      <c r="BY204" s="75"/>
      <c r="BZ204" s="75"/>
      <c r="CA204" s="75"/>
      <c r="CB204" s="75"/>
      <c r="CC204" s="75"/>
      <c r="CD204" s="75"/>
      <c r="CE204" s="75"/>
      <c r="CF204" s="75"/>
      <c r="CG204" s="75"/>
      <c r="CH204" s="75"/>
      <c r="CI204" s="75"/>
      <c r="CJ204" s="75"/>
      <c r="CK204" s="75"/>
      <c r="CL204" s="75"/>
      <c r="CM204" s="75"/>
      <c r="CN204" s="75"/>
      <c r="CO204" s="75"/>
      <c r="CP204" s="75"/>
      <c r="CQ204" s="75"/>
      <c r="CR204" s="75"/>
      <c r="CS204" s="75"/>
      <c r="CT204" s="75"/>
      <c r="CU204" s="75"/>
      <c r="CV204" s="75"/>
      <c r="CW204" s="76"/>
      <c r="CX204" s="72"/>
      <c r="CY204" s="68"/>
      <c r="CZ204" s="68"/>
      <c r="DA204" s="69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</row>
    <row r="205" spans="1:128" ht="18" customHeight="1" x14ac:dyDescent="0.2">
      <c r="A205" s="74" t="s">
        <v>8</v>
      </c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5"/>
      <c r="AP205" s="75"/>
      <c r="AQ205" s="75"/>
      <c r="AR205" s="75"/>
      <c r="AS205" s="75"/>
      <c r="AT205" s="75"/>
      <c r="AU205" s="75"/>
      <c r="AV205" s="75"/>
      <c r="AW205" s="75"/>
      <c r="AX205" s="75"/>
      <c r="AY205" s="75"/>
      <c r="AZ205" s="75"/>
      <c r="BA205" s="75"/>
      <c r="BB205" s="75"/>
      <c r="BC205" s="75"/>
      <c r="BD205" s="75"/>
      <c r="BE205" s="75"/>
      <c r="BF205" s="75"/>
      <c r="BG205" s="75"/>
      <c r="BH205" s="75"/>
      <c r="BI205" s="75"/>
      <c r="BJ205" s="75"/>
      <c r="BK205" s="75"/>
      <c r="BL205" s="75"/>
      <c r="BM205" s="75"/>
      <c r="BN205" s="75"/>
      <c r="BO205" s="75"/>
      <c r="BP205" s="75"/>
      <c r="BQ205" s="75"/>
      <c r="BR205" s="75"/>
      <c r="BS205" s="75"/>
      <c r="BT205" s="75"/>
      <c r="BU205" s="75"/>
      <c r="BV205" s="75"/>
      <c r="BW205" s="75"/>
      <c r="BX205" s="75"/>
      <c r="BY205" s="75"/>
      <c r="BZ205" s="75"/>
      <c r="CA205" s="75"/>
      <c r="CB205" s="75"/>
      <c r="CC205" s="75"/>
      <c r="CD205" s="75"/>
      <c r="CE205" s="75"/>
      <c r="CF205" s="75"/>
      <c r="CG205" s="75"/>
      <c r="CH205" s="75"/>
      <c r="CI205" s="75"/>
      <c r="CJ205" s="75"/>
      <c r="CK205" s="75"/>
      <c r="CL205" s="75"/>
      <c r="CM205" s="75"/>
      <c r="CN205" s="75"/>
      <c r="CO205" s="75"/>
      <c r="CP205" s="75"/>
      <c r="CQ205" s="75"/>
      <c r="CR205" s="75"/>
      <c r="CS205" s="75"/>
      <c r="CT205" s="75"/>
      <c r="CU205" s="75"/>
      <c r="CV205" s="75"/>
      <c r="CW205" s="76"/>
      <c r="CX205" s="72"/>
      <c r="CY205" s="68"/>
      <c r="CZ205" s="68"/>
      <c r="DA205" s="69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</row>
    <row r="206" spans="1:128" ht="18" customHeight="1" x14ac:dyDescent="0.2">
      <c r="A206" s="74"/>
      <c r="B206" s="75"/>
      <c r="C206" s="75"/>
      <c r="D206" s="75" t="str">
        <f>TEXT(TRUNC((견적및기타!K6+견적및기타!L6+견적및기타!M6),2),"#,##0.00#######")</f>
        <v>2,261.69</v>
      </c>
      <c r="E206" s="75"/>
      <c r="F206" s="75"/>
      <c r="G206" s="75"/>
      <c r="H206" s="75"/>
      <c r="I206" s="75"/>
      <c r="J206" s="75"/>
      <c r="K206" s="75"/>
      <c r="L206" s="75"/>
      <c r="M206" s="75" t="s">
        <v>181</v>
      </c>
      <c r="N206" s="75"/>
      <c r="O206" s="75" t="str">
        <f>TEXT(1.1,"#,##0.0#######")</f>
        <v>1.1</v>
      </c>
      <c r="P206" s="75"/>
      <c r="Q206" s="75"/>
      <c r="R206" s="75"/>
      <c r="S206" s="75" t="s">
        <v>357</v>
      </c>
      <c r="T206" s="75"/>
      <c r="U206" s="75" t="str">
        <f>TEXT(1.6,"#,##0.0#######")</f>
        <v>1.6</v>
      </c>
      <c r="V206" s="75"/>
      <c r="W206" s="75"/>
      <c r="X206" s="75"/>
      <c r="Y206" s="75" t="s">
        <v>536</v>
      </c>
      <c r="Z206" s="75"/>
      <c r="AA206" s="75" t="str">
        <f>TEXT(ROUNDDOWN(D206/O206*U206,1),"#,##0.0#######")</f>
        <v>3,289.7</v>
      </c>
      <c r="AB206" s="75"/>
      <c r="AC206" s="75"/>
      <c r="AD206" s="75"/>
      <c r="AE206" s="75"/>
      <c r="AF206" s="75"/>
      <c r="AG206" s="75"/>
      <c r="AH206" s="75"/>
      <c r="AI206" s="75"/>
      <c r="AJ206" s="75"/>
      <c r="AK206" s="75"/>
      <c r="AL206" s="75"/>
      <c r="AM206" s="75"/>
      <c r="AN206" s="75"/>
      <c r="AO206" s="75"/>
      <c r="AP206" s="75"/>
      <c r="AQ206" s="75"/>
      <c r="AR206" s="75"/>
      <c r="AS206" s="75"/>
      <c r="AT206" s="75"/>
      <c r="AU206" s="75"/>
      <c r="AV206" s="75"/>
      <c r="AW206" s="75"/>
      <c r="AX206" s="75"/>
      <c r="AY206" s="75"/>
      <c r="AZ206" s="75"/>
      <c r="BA206" s="75"/>
      <c r="BB206" s="75"/>
      <c r="BC206" s="75"/>
      <c r="BD206" s="75"/>
      <c r="BE206" s="75"/>
      <c r="BF206" s="75"/>
      <c r="BG206" s="75"/>
      <c r="BH206" s="75"/>
      <c r="BI206" s="75"/>
      <c r="BJ206" s="75"/>
      <c r="BK206" s="75"/>
      <c r="BL206" s="75"/>
      <c r="BM206" s="75"/>
      <c r="BN206" s="75"/>
      <c r="BO206" s="75"/>
      <c r="BP206" s="75"/>
      <c r="BQ206" s="75"/>
      <c r="BR206" s="75"/>
      <c r="BS206" s="75"/>
      <c r="BT206" s="75"/>
      <c r="BU206" s="75"/>
      <c r="BV206" s="75"/>
      <c r="BW206" s="75"/>
      <c r="BX206" s="75"/>
      <c r="BY206" s="75"/>
      <c r="BZ206" s="75"/>
      <c r="CA206" s="75"/>
      <c r="CB206" s="75"/>
      <c r="CC206" s="75"/>
      <c r="CD206" s="75"/>
      <c r="CE206" s="75"/>
      <c r="CF206" s="75"/>
      <c r="CG206" s="75"/>
      <c r="CH206" s="75"/>
      <c r="CI206" s="75"/>
      <c r="CJ206" s="75"/>
      <c r="CK206" s="75"/>
      <c r="CL206" s="75"/>
      <c r="CM206" s="75"/>
      <c r="CN206" s="75"/>
      <c r="CO206" s="75"/>
      <c r="CP206" s="75"/>
      <c r="CQ206" s="75"/>
      <c r="CR206" s="75"/>
      <c r="CS206" s="75"/>
      <c r="CT206" s="75"/>
      <c r="CU206" s="75"/>
      <c r="CV206" s="75"/>
      <c r="CW206" s="76"/>
      <c r="CX206" s="72">
        <f>CY206+CZ206+DA206</f>
        <v>3289.7</v>
      </c>
      <c r="CY206" s="68"/>
      <c r="CZ206" s="68"/>
      <c r="DA206" s="69" t="str">
        <f>TEXT(ROUNDDOWN(견적및기타!M6/O206*U206,1),"#,##0.0#######")</f>
        <v>3,289.7</v>
      </c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 t="s">
        <v>467</v>
      </c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</row>
    <row r="207" spans="1:128" ht="18" customHeight="1" x14ac:dyDescent="0.2">
      <c r="A207" s="74" t="s">
        <v>8</v>
      </c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75"/>
      <c r="AG207" s="75"/>
      <c r="AH207" s="75"/>
      <c r="AI207" s="75"/>
      <c r="AJ207" s="75"/>
      <c r="AK207" s="75"/>
      <c r="AL207" s="75"/>
      <c r="AM207" s="75"/>
      <c r="AN207" s="75"/>
      <c r="AO207" s="75"/>
      <c r="AP207" s="75"/>
      <c r="AQ207" s="75"/>
      <c r="AR207" s="75"/>
      <c r="AS207" s="75"/>
      <c r="AT207" s="75"/>
      <c r="AU207" s="75"/>
      <c r="AV207" s="75"/>
      <c r="AW207" s="75"/>
      <c r="AX207" s="75"/>
      <c r="AY207" s="75"/>
      <c r="AZ207" s="75"/>
      <c r="BA207" s="75"/>
      <c r="BB207" s="75"/>
      <c r="BC207" s="75"/>
      <c r="BD207" s="75"/>
      <c r="BE207" s="75"/>
      <c r="BF207" s="75"/>
      <c r="BG207" s="75"/>
      <c r="BH207" s="75"/>
      <c r="BI207" s="75"/>
      <c r="BJ207" s="75"/>
      <c r="BK207" s="75"/>
      <c r="BL207" s="75"/>
      <c r="BM207" s="75"/>
      <c r="BN207" s="75"/>
      <c r="BO207" s="75"/>
      <c r="BP207" s="75"/>
      <c r="BQ207" s="75"/>
      <c r="BR207" s="75"/>
      <c r="BS207" s="75"/>
      <c r="BT207" s="75"/>
      <c r="BU207" s="75"/>
      <c r="BV207" s="75"/>
      <c r="BW207" s="75"/>
      <c r="BX207" s="75"/>
      <c r="BY207" s="75"/>
      <c r="BZ207" s="75"/>
      <c r="CA207" s="75"/>
      <c r="CB207" s="75"/>
      <c r="CC207" s="75"/>
      <c r="CD207" s="75"/>
      <c r="CE207" s="75"/>
      <c r="CF207" s="75"/>
      <c r="CG207" s="75"/>
      <c r="CH207" s="75"/>
      <c r="CI207" s="75"/>
      <c r="CJ207" s="75"/>
      <c r="CK207" s="75"/>
      <c r="CL207" s="75"/>
      <c r="CM207" s="75"/>
      <c r="CN207" s="75"/>
      <c r="CO207" s="75"/>
      <c r="CP207" s="75"/>
      <c r="CQ207" s="75"/>
      <c r="CR207" s="75"/>
      <c r="CS207" s="75"/>
      <c r="CT207" s="75"/>
      <c r="CU207" s="75"/>
      <c r="CV207" s="75"/>
      <c r="CW207" s="76"/>
      <c r="CX207" s="72"/>
      <c r="CY207" s="68"/>
      <c r="CZ207" s="68"/>
      <c r="DA207" s="69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</row>
    <row r="208" spans="1:128" ht="18" customHeight="1" x14ac:dyDescent="0.2">
      <c r="A208" s="74" t="s">
        <v>148</v>
      </c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  <c r="AA208" s="75"/>
      <c r="AB208" s="75"/>
      <c r="AC208" s="75"/>
      <c r="AD208" s="75"/>
      <c r="AE208" s="75"/>
      <c r="AF208" s="75"/>
      <c r="AG208" s="75"/>
      <c r="AH208" s="75"/>
      <c r="AI208" s="75"/>
      <c r="AJ208" s="75"/>
      <c r="AK208" s="75"/>
      <c r="AL208" s="75"/>
      <c r="AM208" s="75"/>
      <c r="AN208" s="75"/>
      <c r="AO208" s="75"/>
      <c r="AP208" s="75"/>
      <c r="AQ208" s="75"/>
      <c r="AR208" s="75"/>
      <c r="AS208" s="75"/>
      <c r="AT208" s="75"/>
      <c r="AU208" s="75"/>
      <c r="AV208" s="75"/>
      <c r="AW208" s="75"/>
      <c r="AX208" s="75"/>
      <c r="AY208" s="75"/>
      <c r="AZ208" s="75"/>
      <c r="BA208" s="75"/>
      <c r="BB208" s="75"/>
      <c r="BC208" s="75"/>
      <c r="BD208" s="75"/>
      <c r="BE208" s="75"/>
      <c r="BF208" s="75"/>
      <c r="BG208" s="75"/>
      <c r="BH208" s="75"/>
      <c r="BI208" s="75"/>
      <c r="BJ208" s="75"/>
      <c r="BK208" s="75"/>
      <c r="BL208" s="75"/>
      <c r="BM208" s="75"/>
      <c r="BN208" s="75"/>
      <c r="BO208" s="75"/>
      <c r="BP208" s="75"/>
      <c r="BQ208" s="75"/>
      <c r="BR208" s="75"/>
      <c r="BS208" s="75"/>
      <c r="BT208" s="75"/>
      <c r="BU208" s="75"/>
      <c r="BV208" s="75"/>
      <c r="BW208" s="75"/>
      <c r="BX208" s="75"/>
      <c r="BY208" s="75"/>
      <c r="BZ208" s="75"/>
      <c r="CA208" s="75"/>
      <c r="CB208" s="75"/>
      <c r="CC208" s="75"/>
      <c r="CD208" s="75"/>
      <c r="CE208" s="75"/>
      <c r="CF208" s="75"/>
      <c r="CG208" s="75"/>
      <c r="CH208" s="75"/>
      <c r="CI208" s="75"/>
      <c r="CJ208" s="75"/>
      <c r="CK208" s="75"/>
      <c r="CL208" s="75"/>
      <c r="CM208" s="75"/>
      <c r="CN208" s="75"/>
      <c r="CO208" s="75"/>
      <c r="CP208" s="75"/>
      <c r="CQ208" s="75"/>
      <c r="CR208" s="75"/>
      <c r="CS208" s="75"/>
      <c r="CT208" s="75"/>
      <c r="CU208" s="75"/>
      <c r="CV208" s="75"/>
      <c r="CW208" s="76"/>
      <c r="CX208" s="72"/>
      <c r="CY208" s="68"/>
      <c r="CZ208" s="68"/>
      <c r="DA208" s="69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 t="s">
        <v>8</v>
      </c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</row>
    <row r="209" spans="1:128" ht="18" customHeight="1" x14ac:dyDescent="0.2">
      <c r="A209" s="74" t="s">
        <v>8</v>
      </c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  <c r="AM209" s="75"/>
      <c r="AN209" s="75"/>
      <c r="AO209" s="75"/>
      <c r="AP209" s="75"/>
      <c r="AQ209" s="75"/>
      <c r="AR209" s="75"/>
      <c r="AS209" s="75"/>
      <c r="AT209" s="75"/>
      <c r="AU209" s="75"/>
      <c r="AV209" s="75"/>
      <c r="AW209" s="75"/>
      <c r="AX209" s="75"/>
      <c r="AY209" s="75"/>
      <c r="AZ209" s="75"/>
      <c r="BA209" s="75"/>
      <c r="BB209" s="75"/>
      <c r="BC209" s="75"/>
      <c r="BD209" s="75"/>
      <c r="BE209" s="75"/>
      <c r="BF209" s="75"/>
      <c r="BG209" s="75"/>
      <c r="BH209" s="75"/>
      <c r="BI209" s="75"/>
      <c r="BJ209" s="75"/>
      <c r="BK209" s="75"/>
      <c r="BL209" s="75"/>
      <c r="BM209" s="75"/>
      <c r="BN209" s="75"/>
      <c r="BO209" s="75"/>
      <c r="BP209" s="75"/>
      <c r="BQ209" s="75"/>
      <c r="BR209" s="75"/>
      <c r="BS209" s="75"/>
      <c r="BT209" s="75"/>
      <c r="BU209" s="75"/>
      <c r="BV209" s="75"/>
      <c r="BW209" s="75"/>
      <c r="BX209" s="75"/>
      <c r="BY209" s="75"/>
      <c r="BZ209" s="75"/>
      <c r="CA209" s="75"/>
      <c r="CB209" s="75"/>
      <c r="CC209" s="75"/>
      <c r="CD209" s="75"/>
      <c r="CE209" s="75"/>
      <c r="CF209" s="75"/>
      <c r="CG209" s="75"/>
      <c r="CH209" s="75"/>
      <c r="CI209" s="75"/>
      <c r="CJ209" s="75"/>
      <c r="CK209" s="75"/>
      <c r="CL209" s="75"/>
      <c r="CM209" s="75"/>
      <c r="CN209" s="75"/>
      <c r="CO209" s="75"/>
      <c r="CP209" s="75"/>
      <c r="CQ209" s="75"/>
      <c r="CR209" s="75"/>
      <c r="CS209" s="75"/>
      <c r="CT209" s="75"/>
      <c r="CU209" s="75"/>
      <c r="CV209" s="75"/>
      <c r="CW209" s="76"/>
      <c r="CX209" s="72"/>
      <c r="CY209" s="68"/>
      <c r="CZ209" s="68"/>
      <c r="DA209" s="69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</row>
    <row r="210" spans="1:128" ht="18" customHeight="1" x14ac:dyDescent="0.2">
      <c r="A210" s="98"/>
      <c r="B210" s="99" t="s">
        <v>424</v>
      </c>
      <c r="C210" s="99"/>
      <c r="D210" s="99"/>
      <c r="E210" s="99"/>
      <c r="F210" s="99" t="s">
        <v>328</v>
      </c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  <c r="AA210" s="99"/>
      <c r="AB210" s="99"/>
      <c r="AC210" s="99"/>
      <c r="AD210" s="99"/>
      <c r="AE210" s="99"/>
      <c r="AF210" s="99"/>
      <c r="AG210" s="99"/>
      <c r="AH210" s="99"/>
      <c r="AI210" s="99"/>
      <c r="AJ210" s="99"/>
      <c r="AK210" s="99"/>
      <c r="AL210" s="99"/>
      <c r="AM210" s="99"/>
      <c r="AN210" s="99"/>
      <c r="AO210" s="99"/>
      <c r="AP210" s="99"/>
      <c r="AQ210" s="99"/>
      <c r="AR210" s="99"/>
      <c r="AS210" s="99"/>
      <c r="AT210" s="99"/>
      <c r="AU210" s="99"/>
      <c r="AV210" s="99"/>
      <c r="AW210" s="99"/>
      <c r="AX210" s="99"/>
      <c r="AY210" s="99"/>
      <c r="AZ210" s="99"/>
      <c r="BA210" s="99"/>
      <c r="BB210" s="99"/>
      <c r="BC210" s="99"/>
      <c r="BD210" s="99"/>
      <c r="BE210" s="99"/>
      <c r="BF210" s="99"/>
      <c r="BG210" s="99"/>
      <c r="BH210" s="99"/>
      <c r="BI210" s="99"/>
      <c r="BJ210" s="99"/>
      <c r="BK210" s="99"/>
      <c r="BL210" s="99"/>
      <c r="BM210" s="99"/>
      <c r="BN210" s="99"/>
      <c r="BO210" s="99"/>
      <c r="BP210" s="99"/>
      <c r="BQ210" s="99"/>
      <c r="BR210" s="99"/>
      <c r="BS210" s="99"/>
      <c r="BT210" s="99"/>
      <c r="BU210" s="99"/>
      <c r="BV210" s="99"/>
      <c r="BW210" s="99"/>
      <c r="BX210" s="99"/>
      <c r="BY210" s="99"/>
      <c r="BZ210" s="99"/>
      <c r="CA210" s="99"/>
      <c r="CB210" s="99"/>
      <c r="CC210" s="99"/>
      <c r="CD210" s="99"/>
      <c r="CE210" s="99"/>
      <c r="CF210" s="99"/>
      <c r="CG210" s="99"/>
      <c r="CH210" s="99"/>
      <c r="CI210" s="99"/>
      <c r="CJ210" s="99"/>
      <c r="CK210" s="99"/>
      <c r="CL210" s="99"/>
      <c r="CM210" s="99"/>
      <c r="CN210" s="99"/>
      <c r="CO210" s="99"/>
      <c r="CP210" s="99"/>
      <c r="CQ210" s="99"/>
      <c r="CR210" s="99"/>
      <c r="CS210" s="99"/>
      <c r="CT210" s="99"/>
      <c r="CU210" s="99"/>
      <c r="CV210" s="99"/>
      <c r="CW210" s="100"/>
      <c r="CX210" s="101">
        <f>CY210+CZ210+DA210</f>
        <v>18699.5</v>
      </c>
      <c r="CY210" s="102" t="str">
        <f>TEXT(TRUNC(CY200+CY206,1),"#,###.0")</f>
        <v>.0</v>
      </c>
      <c r="CZ210" s="102" t="str">
        <f>TEXT(TRUNC(CZ200+CZ206,1),"#,###.0")</f>
        <v>.0</v>
      </c>
      <c r="DA210" s="103" t="str">
        <f>TEXT(TRUNC(DA200+DA206,1),"#,###.0")</f>
        <v>18,699.5</v>
      </c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 t="s">
        <v>8</v>
      </c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</row>
    <row r="211" spans="1:128" ht="18" customHeight="1" x14ac:dyDescent="0.2">
      <c r="A211" s="74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  <c r="AD211" s="75"/>
      <c r="AE211" s="75"/>
      <c r="AF211" s="75"/>
      <c r="AG211" s="75"/>
      <c r="AH211" s="75"/>
      <c r="AI211" s="75"/>
      <c r="AJ211" s="75"/>
      <c r="AK211" s="75"/>
      <c r="AL211" s="75"/>
      <c r="AM211" s="75"/>
      <c r="AN211" s="75"/>
      <c r="AO211" s="75"/>
      <c r="AP211" s="75"/>
      <c r="AQ211" s="75"/>
      <c r="AR211" s="75"/>
      <c r="AS211" s="75"/>
      <c r="AT211" s="75"/>
      <c r="AU211" s="75"/>
      <c r="AV211" s="75"/>
      <c r="AW211" s="75"/>
      <c r="AX211" s="75"/>
      <c r="AY211" s="75"/>
      <c r="AZ211" s="75"/>
      <c r="BA211" s="75"/>
      <c r="BB211" s="75"/>
      <c r="BC211" s="75"/>
      <c r="BD211" s="75"/>
      <c r="BE211" s="75"/>
      <c r="BF211" s="75"/>
      <c r="BG211" s="75"/>
      <c r="BH211" s="75"/>
      <c r="BI211" s="75"/>
      <c r="BJ211" s="75"/>
      <c r="BK211" s="75"/>
      <c r="BL211" s="75"/>
      <c r="BM211" s="75"/>
      <c r="BN211" s="75"/>
      <c r="BO211" s="75"/>
      <c r="BP211" s="75"/>
      <c r="BQ211" s="75"/>
      <c r="BR211" s="75"/>
      <c r="BS211" s="75"/>
      <c r="BT211" s="75"/>
      <c r="BU211" s="75"/>
      <c r="BV211" s="75"/>
      <c r="BW211" s="75"/>
      <c r="BX211" s="75"/>
      <c r="BY211" s="75"/>
      <c r="BZ211" s="75"/>
      <c r="CA211" s="75"/>
      <c r="CB211" s="75"/>
      <c r="CC211" s="75"/>
      <c r="CD211" s="75"/>
      <c r="CE211" s="75"/>
      <c r="CF211" s="75"/>
      <c r="CG211" s="75"/>
      <c r="CH211" s="75"/>
      <c r="CI211" s="75"/>
      <c r="CJ211" s="75"/>
      <c r="CK211" s="75"/>
      <c r="CL211" s="75"/>
      <c r="CM211" s="75"/>
      <c r="CN211" s="75"/>
      <c r="CO211" s="75"/>
      <c r="CP211" s="75"/>
      <c r="CQ211" s="75"/>
      <c r="CR211" s="75"/>
      <c r="CS211" s="75"/>
      <c r="CT211" s="75"/>
      <c r="CU211" s="75"/>
      <c r="CV211" s="75"/>
      <c r="CW211" s="76"/>
      <c r="CX211" s="72"/>
      <c r="CY211" s="68"/>
      <c r="CZ211" s="68"/>
      <c r="DA211" s="69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</row>
    <row r="212" spans="1:128" ht="18" customHeight="1" x14ac:dyDescent="0.2">
      <c r="A212" s="86" t="s">
        <v>389</v>
      </c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  <c r="AA212" s="87"/>
      <c r="AB212" s="87"/>
      <c r="AC212" s="87"/>
      <c r="AD212" s="87"/>
      <c r="AE212" s="87"/>
      <c r="AF212" s="87"/>
      <c r="AG212" s="87"/>
      <c r="AH212" s="87"/>
      <c r="AI212" s="87"/>
      <c r="AJ212" s="87"/>
      <c r="AK212" s="87"/>
      <c r="AL212" s="87"/>
      <c r="AM212" s="87"/>
      <c r="AN212" s="87"/>
      <c r="AO212" s="87"/>
      <c r="AP212" s="87"/>
      <c r="AQ212" s="87"/>
      <c r="AR212" s="87"/>
      <c r="AS212" s="87"/>
      <c r="AT212" s="87"/>
      <c r="AU212" s="87"/>
      <c r="AV212" s="87"/>
      <c r="AW212" s="87"/>
      <c r="AX212" s="87"/>
      <c r="AY212" s="87"/>
      <c r="AZ212" s="87"/>
      <c r="BA212" s="87"/>
      <c r="BB212" s="87"/>
      <c r="BC212" s="87"/>
      <c r="BD212" s="87"/>
      <c r="BE212" s="87"/>
      <c r="BF212" s="87"/>
      <c r="BG212" s="87"/>
      <c r="BH212" s="87"/>
      <c r="BI212" s="87"/>
      <c r="BJ212" s="87"/>
      <c r="BK212" s="87"/>
      <c r="BL212" s="87"/>
      <c r="BM212" s="87"/>
      <c r="BN212" s="87"/>
      <c r="BO212" s="87"/>
      <c r="BP212" s="87"/>
      <c r="BQ212" s="87"/>
      <c r="BR212" s="87"/>
      <c r="BS212" s="87"/>
      <c r="BT212" s="87"/>
      <c r="BU212" s="87"/>
      <c r="BV212" s="87"/>
      <c r="BW212" s="87"/>
      <c r="BX212" s="87"/>
      <c r="BY212" s="87"/>
      <c r="BZ212" s="87"/>
      <c r="CA212" s="87"/>
      <c r="CB212" s="87"/>
      <c r="CC212" s="87"/>
      <c r="CD212" s="87"/>
      <c r="CE212" s="87"/>
      <c r="CF212" s="87"/>
      <c r="CG212" s="87"/>
      <c r="CH212" s="87"/>
      <c r="CI212" s="87"/>
      <c r="CJ212" s="87"/>
      <c r="CK212" s="87"/>
      <c r="CL212" s="87"/>
      <c r="CM212" s="87"/>
      <c r="CN212" s="87"/>
      <c r="CO212" s="87"/>
      <c r="CP212" s="87"/>
      <c r="CQ212" s="87"/>
      <c r="CR212" s="87"/>
      <c r="CS212" s="87"/>
      <c r="CT212" s="87"/>
      <c r="CU212" s="87"/>
      <c r="CV212" s="87"/>
      <c r="CW212" s="88"/>
      <c r="CX212" s="89" t="str">
        <f>TEXT(CY212+CZ212+DA212,"#,##0")</f>
        <v>18,699</v>
      </c>
      <c r="CY212" s="90" t="str">
        <f>TEXT(TRUNC(CY210,0),"#,##0")</f>
        <v>0</v>
      </c>
      <c r="CZ212" s="90" t="str">
        <f>TEXT(TRUNC(CZ210,0),"#,##0")</f>
        <v>0</v>
      </c>
      <c r="DA212" s="91" t="str">
        <f>TEXT(TRUNC(DA210,0),"#,##0")</f>
        <v>18,699</v>
      </c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</row>
    <row r="213" spans="1:128" ht="18" customHeight="1" x14ac:dyDescent="0.2">
      <c r="A213" s="74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  <c r="AD213" s="75"/>
      <c r="AE213" s="75"/>
      <c r="AF213" s="75"/>
      <c r="AG213" s="75"/>
      <c r="AH213" s="75"/>
      <c r="AI213" s="75"/>
      <c r="AJ213" s="75"/>
      <c r="AK213" s="75"/>
      <c r="AL213" s="75"/>
      <c r="AM213" s="75"/>
      <c r="AN213" s="75"/>
      <c r="AO213" s="75"/>
      <c r="AP213" s="75"/>
      <c r="AQ213" s="75"/>
      <c r="AR213" s="75"/>
      <c r="AS213" s="75"/>
      <c r="AT213" s="75"/>
      <c r="AU213" s="75"/>
      <c r="AV213" s="75"/>
      <c r="AW213" s="75"/>
      <c r="AX213" s="75"/>
      <c r="AY213" s="75"/>
      <c r="AZ213" s="75"/>
      <c r="BA213" s="75"/>
      <c r="BB213" s="75"/>
      <c r="BC213" s="75"/>
      <c r="BD213" s="75"/>
      <c r="BE213" s="75"/>
      <c r="BF213" s="75"/>
      <c r="BG213" s="75"/>
      <c r="BH213" s="75"/>
      <c r="BI213" s="75"/>
      <c r="BJ213" s="75"/>
      <c r="BK213" s="75"/>
      <c r="BL213" s="75"/>
      <c r="BM213" s="75"/>
      <c r="BN213" s="75"/>
      <c r="BO213" s="75"/>
      <c r="BP213" s="75"/>
      <c r="BQ213" s="75"/>
      <c r="BR213" s="75"/>
      <c r="BS213" s="75"/>
      <c r="BT213" s="75"/>
      <c r="BU213" s="75"/>
      <c r="BV213" s="75"/>
      <c r="BW213" s="75"/>
      <c r="BX213" s="75"/>
      <c r="BY213" s="75"/>
      <c r="BZ213" s="75"/>
      <c r="CA213" s="75"/>
      <c r="CB213" s="75"/>
      <c r="CC213" s="75"/>
      <c r="CD213" s="75"/>
      <c r="CE213" s="75"/>
      <c r="CF213" s="75"/>
      <c r="CG213" s="75"/>
      <c r="CH213" s="75"/>
      <c r="CI213" s="75"/>
      <c r="CJ213" s="75"/>
      <c r="CK213" s="75"/>
      <c r="CL213" s="75"/>
      <c r="CM213" s="75"/>
      <c r="CN213" s="75"/>
      <c r="CO213" s="75"/>
      <c r="CP213" s="75"/>
      <c r="CQ213" s="75"/>
      <c r="CR213" s="75"/>
      <c r="CS213" s="75"/>
      <c r="CT213" s="75"/>
      <c r="CU213" s="75"/>
      <c r="CV213" s="75"/>
      <c r="CW213" s="76"/>
      <c r="CX213" s="72"/>
      <c r="CY213" s="68"/>
      <c r="CZ213" s="68"/>
      <c r="DA213" s="69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</row>
    <row r="214" spans="1:128" ht="18" customHeight="1" x14ac:dyDescent="0.2">
      <c r="A214" s="135" t="s">
        <v>121</v>
      </c>
      <c r="B214" s="135"/>
      <c r="C214" s="135"/>
      <c r="D214" s="135"/>
      <c r="E214" s="135"/>
      <c r="F214" s="135"/>
      <c r="G214" s="135"/>
      <c r="H214" s="135"/>
      <c r="I214" s="135"/>
      <c r="J214" s="135"/>
      <c r="K214" s="135"/>
      <c r="L214" s="135"/>
      <c r="M214" s="135"/>
      <c r="N214" s="135"/>
      <c r="O214" s="135"/>
      <c r="P214" s="135"/>
      <c r="Q214" s="135"/>
      <c r="R214" s="135"/>
      <c r="S214" s="135"/>
      <c r="T214" s="135"/>
      <c r="U214" s="135"/>
      <c r="V214" s="135"/>
      <c r="W214" s="135"/>
      <c r="X214" s="135"/>
      <c r="Y214" s="135"/>
      <c r="Z214" s="135"/>
      <c r="AA214" s="135"/>
      <c r="AB214" s="135"/>
      <c r="AC214" s="135"/>
      <c r="AD214" s="135"/>
      <c r="AE214" s="135"/>
      <c r="AF214" s="135"/>
      <c r="AG214" s="135"/>
      <c r="AH214" s="135"/>
      <c r="AI214" s="135"/>
      <c r="AJ214" s="135"/>
      <c r="AK214" s="135"/>
      <c r="AL214" s="135"/>
      <c r="AM214" s="135"/>
      <c r="AN214" s="135"/>
      <c r="AO214" s="135"/>
      <c r="AP214" s="135"/>
      <c r="AQ214" s="135"/>
      <c r="AR214" s="135"/>
      <c r="AS214" s="135"/>
      <c r="AT214" s="135"/>
      <c r="AU214" s="135"/>
      <c r="AV214" s="135"/>
      <c r="AW214" s="135"/>
      <c r="AX214" s="135"/>
      <c r="AY214" s="135"/>
      <c r="AZ214" s="135"/>
      <c r="BA214" s="135"/>
      <c r="BB214" s="135"/>
      <c r="BC214" s="135"/>
      <c r="BD214" s="135"/>
      <c r="BE214" s="135"/>
      <c r="BF214" s="135"/>
      <c r="BG214" s="135"/>
      <c r="BH214" s="135"/>
      <c r="BI214" s="135"/>
      <c r="BJ214" s="135"/>
      <c r="BK214" s="135"/>
      <c r="BL214" s="135"/>
      <c r="BM214" s="135"/>
      <c r="BN214" s="135"/>
      <c r="BO214" s="135"/>
      <c r="BP214" s="135"/>
      <c r="BQ214" s="135"/>
      <c r="BR214" s="135"/>
      <c r="BS214" s="135"/>
      <c r="BT214" s="135"/>
      <c r="BU214" s="135"/>
      <c r="BV214" s="135"/>
      <c r="BW214" s="135"/>
      <c r="BX214" s="135"/>
      <c r="BY214" s="135"/>
      <c r="BZ214" s="135"/>
      <c r="CA214" s="135"/>
      <c r="CB214" s="135"/>
      <c r="CC214" s="135"/>
      <c r="CD214" s="135"/>
      <c r="CE214" s="135"/>
      <c r="CF214" s="135"/>
      <c r="CG214" s="135"/>
      <c r="CH214" s="135"/>
      <c r="CI214" s="135"/>
      <c r="CJ214" s="135"/>
      <c r="CK214" s="135"/>
      <c r="CL214" s="135"/>
      <c r="CM214" s="135"/>
      <c r="CN214" s="135"/>
      <c r="CO214" s="135"/>
      <c r="CP214" s="135"/>
      <c r="CQ214" s="135"/>
      <c r="CR214" s="135"/>
      <c r="CS214" s="135"/>
      <c r="CT214" s="135"/>
      <c r="CU214" s="135"/>
      <c r="CV214" s="135"/>
      <c r="CW214" s="135"/>
      <c r="CX214" s="83"/>
      <c r="CY214" s="84"/>
      <c r="CZ214" s="84"/>
      <c r="DA214" s="85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 t="s">
        <v>581</v>
      </c>
      <c r="DN214" s="1" t="s">
        <v>518</v>
      </c>
      <c r="DO214" s="1"/>
      <c r="DP214" s="1"/>
      <c r="DQ214" s="1"/>
      <c r="DR214" s="1"/>
      <c r="DS214" s="1"/>
      <c r="DT214" s="1"/>
      <c r="DU214" s="1"/>
      <c r="DV214" s="1"/>
      <c r="DW214" s="1"/>
      <c r="DX214" s="1"/>
    </row>
    <row r="215" spans="1:128" ht="18" customHeight="1" x14ac:dyDescent="0.2">
      <c r="A215" s="74" t="s">
        <v>544</v>
      </c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75"/>
      <c r="AL215" s="75"/>
      <c r="AM215" s="75"/>
      <c r="AN215" s="75"/>
      <c r="AO215" s="75"/>
      <c r="AP215" s="75"/>
      <c r="AQ215" s="75"/>
      <c r="AR215" s="75"/>
      <c r="AS215" s="75"/>
      <c r="AT215" s="75"/>
      <c r="AU215" s="75"/>
      <c r="AV215" s="75"/>
      <c r="AW215" s="75"/>
      <c r="AX215" s="75"/>
      <c r="AY215" s="75"/>
      <c r="AZ215" s="75"/>
      <c r="BA215" s="75"/>
      <c r="BB215" s="75"/>
      <c r="BC215" s="75"/>
      <c r="BD215" s="75"/>
      <c r="BE215" s="75"/>
      <c r="BF215" s="75"/>
      <c r="BG215" s="75"/>
      <c r="BH215" s="75"/>
      <c r="BI215" s="75"/>
      <c r="BJ215" s="75"/>
      <c r="BK215" s="75"/>
      <c r="BL215" s="75"/>
      <c r="BM215" s="75"/>
      <c r="BN215" s="75"/>
      <c r="BO215" s="75"/>
      <c r="BP215" s="75"/>
      <c r="BQ215" s="75"/>
      <c r="BR215" s="75"/>
      <c r="BS215" s="75"/>
      <c r="BT215" s="75"/>
      <c r="BU215" s="75"/>
      <c r="BV215" s="75"/>
      <c r="BW215" s="75"/>
      <c r="BX215" s="75"/>
      <c r="BY215" s="75"/>
      <c r="BZ215" s="75"/>
      <c r="CA215" s="75"/>
      <c r="CB215" s="75"/>
      <c r="CC215" s="75"/>
      <c r="CD215" s="75"/>
      <c r="CE215" s="75"/>
      <c r="CF215" s="75"/>
      <c r="CG215" s="75"/>
      <c r="CH215" s="75"/>
      <c r="CI215" s="75"/>
      <c r="CJ215" s="75"/>
      <c r="CK215" s="75"/>
      <c r="CL215" s="75"/>
      <c r="CM215" s="75"/>
      <c r="CN215" s="75"/>
      <c r="CO215" s="75"/>
      <c r="CP215" s="75"/>
      <c r="CQ215" s="75"/>
      <c r="CR215" s="75"/>
      <c r="CS215" s="75"/>
      <c r="CT215" s="75"/>
      <c r="CU215" s="75"/>
      <c r="CV215" s="75"/>
      <c r="CW215" s="76"/>
      <c r="CX215" s="72">
        <f>CY215+CZ215+DA215</f>
        <v>0</v>
      </c>
      <c r="CY215" s="68"/>
      <c r="CZ215" s="68"/>
      <c r="DA215" s="69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 t="s">
        <v>8</v>
      </c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</row>
    <row r="216" spans="1:128" ht="18" customHeight="1" x14ac:dyDescent="0.2">
      <c r="A216" s="74" t="s">
        <v>8</v>
      </c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  <c r="AM216" s="75"/>
      <c r="AN216" s="75"/>
      <c r="AO216" s="75"/>
      <c r="AP216" s="75"/>
      <c r="AQ216" s="75"/>
      <c r="AR216" s="75"/>
      <c r="AS216" s="75"/>
      <c r="AT216" s="75"/>
      <c r="AU216" s="75"/>
      <c r="AV216" s="75"/>
      <c r="AW216" s="75"/>
      <c r="AX216" s="75"/>
      <c r="AY216" s="75"/>
      <c r="AZ216" s="75"/>
      <c r="BA216" s="75"/>
      <c r="BB216" s="75"/>
      <c r="BC216" s="75"/>
      <c r="BD216" s="75"/>
      <c r="BE216" s="75"/>
      <c r="BF216" s="75"/>
      <c r="BG216" s="75"/>
      <c r="BH216" s="75"/>
      <c r="BI216" s="75"/>
      <c r="BJ216" s="75"/>
      <c r="BK216" s="75"/>
      <c r="BL216" s="75"/>
      <c r="BM216" s="75"/>
      <c r="BN216" s="75"/>
      <c r="BO216" s="75"/>
      <c r="BP216" s="75"/>
      <c r="BQ216" s="75"/>
      <c r="BR216" s="75"/>
      <c r="BS216" s="75"/>
      <c r="BT216" s="75"/>
      <c r="BU216" s="75"/>
      <c r="BV216" s="75"/>
      <c r="BW216" s="75"/>
      <c r="BX216" s="75"/>
      <c r="BY216" s="75"/>
      <c r="BZ216" s="75"/>
      <c r="CA216" s="75"/>
      <c r="CB216" s="75"/>
      <c r="CC216" s="75"/>
      <c r="CD216" s="75"/>
      <c r="CE216" s="75"/>
      <c r="CF216" s="75"/>
      <c r="CG216" s="75"/>
      <c r="CH216" s="75"/>
      <c r="CI216" s="75"/>
      <c r="CJ216" s="75"/>
      <c r="CK216" s="75"/>
      <c r="CL216" s="75"/>
      <c r="CM216" s="75"/>
      <c r="CN216" s="75"/>
      <c r="CO216" s="75"/>
      <c r="CP216" s="75"/>
      <c r="CQ216" s="75"/>
      <c r="CR216" s="75"/>
      <c r="CS216" s="75"/>
      <c r="CT216" s="75"/>
      <c r="CU216" s="75"/>
      <c r="CV216" s="75"/>
      <c r="CW216" s="76"/>
      <c r="CX216" s="72"/>
      <c r="CY216" s="68"/>
      <c r="CZ216" s="68"/>
      <c r="DA216" s="69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</row>
    <row r="217" spans="1:128" ht="18" customHeight="1" x14ac:dyDescent="0.2">
      <c r="A217" s="74" t="s">
        <v>543</v>
      </c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5"/>
      <c r="AX217" s="75"/>
      <c r="AY217" s="75"/>
      <c r="AZ217" s="75"/>
      <c r="BA217" s="75"/>
      <c r="BB217" s="75"/>
      <c r="BC217" s="75"/>
      <c r="BD217" s="75"/>
      <c r="BE217" s="75"/>
      <c r="BF217" s="75"/>
      <c r="BG217" s="75"/>
      <c r="BH217" s="75"/>
      <c r="BI217" s="75"/>
      <c r="BJ217" s="75"/>
      <c r="BK217" s="75"/>
      <c r="BL217" s="75"/>
      <c r="BM217" s="75"/>
      <c r="BN217" s="75"/>
      <c r="BO217" s="75"/>
      <c r="BP217" s="75"/>
      <c r="BQ217" s="75"/>
      <c r="BR217" s="75"/>
      <c r="BS217" s="75"/>
      <c r="BT217" s="75"/>
      <c r="BU217" s="75"/>
      <c r="BV217" s="75"/>
      <c r="BW217" s="75"/>
      <c r="BX217" s="75"/>
      <c r="BY217" s="75"/>
      <c r="BZ217" s="75"/>
      <c r="CA217" s="75"/>
      <c r="CB217" s="75"/>
      <c r="CC217" s="75"/>
      <c r="CD217" s="75"/>
      <c r="CE217" s="75"/>
      <c r="CF217" s="75"/>
      <c r="CG217" s="75"/>
      <c r="CH217" s="75"/>
      <c r="CI217" s="75"/>
      <c r="CJ217" s="75"/>
      <c r="CK217" s="75"/>
      <c r="CL217" s="75"/>
      <c r="CM217" s="75"/>
      <c r="CN217" s="75"/>
      <c r="CO217" s="75"/>
      <c r="CP217" s="75"/>
      <c r="CQ217" s="75"/>
      <c r="CR217" s="75"/>
      <c r="CS217" s="75"/>
      <c r="CT217" s="75"/>
      <c r="CU217" s="75"/>
      <c r="CV217" s="75"/>
      <c r="CW217" s="76"/>
      <c r="CX217" s="72"/>
      <c r="CY217" s="68"/>
      <c r="CZ217" s="68"/>
      <c r="DA217" s="69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</row>
    <row r="218" spans="1:128" ht="18" customHeight="1" x14ac:dyDescent="0.2">
      <c r="A218" s="74" t="s">
        <v>8</v>
      </c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  <c r="AA218" s="75"/>
      <c r="AB218" s="75"/>
      <c r="AC218" s="75"/>
      <c r="AD218" s="75"/>
      <c r="AE218" s="75"/>
      <c r="AF218" s="75"/>
      <c r="AG218" s="75"/>
      <c r="AH218" s="75"/>
      <c r="AI218" s="75"/>
      <c r="AJ218" s="75"/>
      <c r="AK218" s="75"/>
      <c r="AL218" s="75"/>
      <c r="AM218" s="75"/>
      <c r="AN218" s="75"/>
      <c r="AO218" s="75"/>
      <c r="AP218" s="75"/>
      <c r="AQ218" s="75"/>
      <c r="AR218" s="75"/>
      <c r="AS218" s="75"/>
      <c r="AT218" s="75"/>
      <c r="AU218" s="75"/>
      <c r="AV218" s="75"/>
      <c r="AW218" s="75"/>
      <c r="AX218" s="75"/>
      <c r="AY218" s="75"/>
      <c r="AZ218" s="75"/>
      <c r="BA218" s="75"/>
      <c r="BB218" s="75"/>
      <c r="BC218" s="75"/>
      <c r="BD218" s="75"/>
      <c r="BE218" s="75"/>
      <c r="BF218" s="75"/>
      <c r="BG218" s="75"/>
      <c r="BH218" s="75"/>
      <c r="BI218" s="75"/>
      <c r="BJ218" s="75"/>
      <c r="BK218" s="75"/>
      <c r="BL218" s="75"/>
      <c r="BM218" s="75"/>
      <c r="BN218" s="75"/>
      <c r="BO218" s="75"/>
      <c r="BP218" s="75"/>
      <c r="BQ218" s="75"/>
      <c r="BR218" s="75"/>
      <c r="BS218" s="75"/>
      <c r="BT218" s="75"/>
      <c r="BU218" s="75"/>
      <c r="BV218" s="75"/>
      <c r="BW218" s="75"/>
      <c r="BX218" s="75"/>
      <c r="BY218" s="75"/>
      <c r="BZ218" s="75"/>
      <c r="CA218" s="75"/>
      <c r="CB218" s="75"/>
      <c r="CC218" s="75"/>
      <c r="CD218" s="75"/>
      <c r="CE218" s="75"/>
      <c r="CF218" s="75"/>
      <c r="CG218" s="75"/>
      <c r="CH218" s="75"/>
      <c r="CI218" s="75"/>
      <c r="CJ218" s="75"/>
      <c r="CK218" s="75"/>
      <c r="CL218" s="75"/>
      <c r="CM218" s="75"/>
      <c r="CN218" s="75"/>
      <c r="CO218" s="75"/>
      <c r="CP218" s="75"/>
      <c r="CQ218" s="75"/>
      <c r="CR218" s="75"/>
      <c r="CS218" s="75"/>
      <c r="CT218" s="75"/>
      <c r="CU218" s="75"/>
      <c r="CV218" s="75"/>
      <c r="CW218" s="76"/>
      <c r="CX218" s="72"/>
      <c r="CY218" s="68"/>
      <c r="CZ218" s="68"/>
      <c r="DA218" s="69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</row>
    <row r="219" spans="1:128" ht="18" customHeight="1" x14ac:dyDescent="0.2">
      <c r="A219" s="74"/>
      <c r="B219" s="75"/>
      <c r="C219" s="75"/>
      <c r="D219" s="75"/>
      <c r="E219" s="75"/>
      <c r="F219" s="75"/>
      <c r="G219" s="75" t="s">
        <v>54</v>
      </c>
      <c r="H219" s="75"/>
      <c r="I219" s="75"/>
      <c r="J219" s="75" t="s">
        <v>536</v>
      </c>
      <c r="K219" s="75"/>
      <c r="L219" s="75" t="str">
        <f>TEXT(1,"#,##0.0#######")</f>
        <v>1.0</v>
      </c>
      <c r="M219" s="75"/>
      <c r="N219" s="75"/>
      <c r="O219" s="75"/>
      <c r="P219" s="75" t="s">
        <v>409</v>
      </c>
      <c r="Q219" s="75"/>
      <c r="R219" s="75"/>
      <c r="S219" s="75"/>
      <c r="T219" s="75"/>
      <c r="U219" s="75"/>
      <c r="V219" s="75"/>
      <c r="W219" s="75"/>
      <c r="X219" s="75"/>
      <c r="Y219" s="75"/>
      <c r="Z219" s="75"/>
      <c r="AA219" s="75"/>
      <c r="AB219" s="75"/>
      <c r="AC219" s="75"/>
      <c r="AD219" s="75"/>
      <c r="AE219" s="75"/>
      <c r="AF219" s="75"/>
      <c r="AG219" s="75"/>
      <c r="AH219" s="75"/>
      <c r="AI219" s="75"/>
      <c r="AJ219" s="75"/>
      <c r="AK219" s="75"/>
      <c r="AL219" s="75"/>
      <c r="AM219" s="75"/>
      <c r="AN219" s="75"/>
      <c r="AO219" s="75"/>
      <c r="AP219" s="75"/>
      <c r="AQ219" s="75"/>
      <c r="AR219" s="75"/>
      <c r="AS219" s="75"/>
      <c r="AT219" s="75"/>
      <c r="AU219" s="75"/>
      <c r="AV219" s="75"/>
      <c r="AW219" s="75"/>
      <c r="AX219" s="75"/>
      <c r="AY219" s="75"/>
      <c r="AZ219" s="75"/>
      <c r="BA219" s="75"/>
      <c r="BB219" s="75"/>
      <c r="BC219" s="75"/>
      <c r="BD219" s="75"/>
      <c r="BE219" s="75"/>
      <c r="BF219" s="75"/>
      <c r="BG219" s="75"/>
      <c r="BH219" s="75"/>
      <c r="BI219" s="75"/>
      <c r="BJ219" s="75"/>
      <c r="BK219" s="75"/>
      <c r="BL219" s="75"/>
      <c r="BM219" s="75"/>
      <c r="BN219" s="75"/>
      <c r="BO219" s="75"/>
      <c r="BP219" s="75"/>
      <c r="BQ219" s="75"/>
      <c r="BR219" s="75"/>
      <c r="BS219" s="75"/>
      <c r="BT219" s="75"/>
      <c r="BU219" s="75"/>
      <c r="BV219" s="75"/>
      <c r="BW219" s="75"/>
      <c r="BX219" s="75"/>
      <c r="BY219" s="75"/>
      <c r="BZ219" s="75"/>
      <c r="CA219" s="75"/>
      <c r="CB219" s="75"/>
      <c r="CC219" s="75"/>
      <c r="CD219" s="75"/>
      <c r="CE219" s="75"/>
      <c r="CF219" s="75"/>
      <c r="CG219" s="75"/>
      <c r="CH219" s="75"/>
      <c r="CI219" s="75"/>
      <c r="CJ219" s="75"/>
      <c r="CK219" s="75"/>
      <c r="CL219" s="75"/>
      <c r="CM219" s="75"/>
      <c r="CN219" s="75"/>
      <c r="CO219" s="75"/>
      <c r="CP219" s="75"/>
      <c r="CQ219" s="75"/>
      <c r="CR219" s="75"/>
      <c r="CS219" s="75"/>
      <c r="CT219" s="75"/>
      <c r="CU219" s="75"/>
      <c r="CV219" s="75"/>
      <c r="CW219" s="76"/>
      <c r="CX219" s="72"/>
      <c r="CY219" s="68"/>
      <c r="CZ219" s="68"/>
      <c r="DA219" s="69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 t="s">
        <v>8</v>
      </c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</row>
    <row r="220" spans="1:128" ht="18" customHeight="1" x14ac:dyDescent="0.2">
      <c r="A220" s="74" t="s">
        <v>8</v>
      </c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  <c r="AA220" s="75"/>
      <c r="AB220" s="75"/>
      <c r="AC220" s="75"/>
      <c r="AD220" s="75"/>
      <c r="AE220" s="75"/>
      <c r="AF220" s="75"/>
      <c r="AG220" s="75"/>
      <c r="AH220" s="75"/>
      <c r="AI220" s="75"/>
      <c r="AJ220" s="75"/>
      <c r="AK220" s="75"/>
      <c r="AL220" s="75"/>
      <c r="AM220" s="75"/>
      <c r="AN220" s="75"/>
      <c r="AO220" s="75"/>
      <c r="AP220" s="75"/>
      <c r="AQ220" s="75"/>
      <c r="AR220" s="75"/>
      <c r="AS220" s="75"/>
      <c r="AT220" s="75"/>
      <c r="AU220" s="75"/>
      <c r="AV220" s="75"/>
      <c r="AW220" s="75"/>
      <c r="AX220" s="75"/>
      <c r="AY220" s="75"/>
      <c r="AZ220" s="75"/>
      <c r="BA220" s="75"/>
      <c r="BB220" s="75"/>
      <c r="BC220" s="75"/>
      <c r="BD220" s="75"/>
      <c r="BE220" s="75"/>
      <c r="BF220" s="75"/>
      <c r="BG220" s="75"/>
      <c r="BH220" s="75"/>
      <c r="BI220" s="75"/>
      <c r="BJ220" s="75"/>
      <c r="BK220" s="75"/>
      <c r="BL220" s="75"/>
      <c r="BM220" s="75"/>
      <c r="BN220" s="75"/>
      <c r="BO220" s="75"/>
      <c r="BP220" s="75"/>
      <c r="BQ220" s="75"/>
      <c r="BR220" s="75"/>
      <c r="BS220" s="75"/>
      <c r="BT220" s="75"/>
      <c r="BU220" s="75"/>
      <c r="BV220" s="75"/>
      <c r="BW220" s="75"/>
      <c r="BX220" s="75"/>
      <c r="BY220" s="75"/>
      <c r="BZ220" s="75"/>
      <c r="CA220" s="75"/>
      <c r="CB220" s="75"/>
      <c r="CC220" s="75"/>
      <c r="CD220" s="75"/>
      <c r="CE220" s="75"/>
      <c r="CF220" s="75"/>
      <c r="CG220" s="75"/>
      <c r="CH220" s="75"/>
      <c r="CI220" s="75"/>
      <c r="CJ220" s="75"/>
      <c r="CK220" s="75"/>
      <c r="CL220" s="75"/>
      <c r="CM220" s="75"/>
      <c r="CN220" s="75"/>
      <c r="CO220" s="75"/>
      <c r="CP220" s="75"/>
      <c r="CQ220" s="75"/>
      <c r="CR220" s="75"/>
      <c r="CS220" s="75"/>
      <c r="CT220" s="75"/>
      <c r="CU220" s="75"/>
      <c r="CV220" s="75"/>
      <c r="CW220" s="76"/>
      <c r="CX220" s="72"/>
      <c r="CY220" s="68"/>
      <c r="CZ220" s="68"/>
      <c r="DA220" s="69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</row>
    <row r="221" spans="1:128" ht="18" customHeight="1" x14ac:dyDescent="0.2">
      <c r="A221" s="74"/>
      <c r="B221" s="75"/>
      <c r="C221" s="75"/>
      <c r="D221" s="75"/>
      <c r="E221" s="75"/>
      <c r="F221" s="75"/>
      <c r="G221" s="75" t="s">
        <v>354</v>
      </c>
      <c r="H221" s="75"/>
      <c r="I221" s="75"/>
      <c r="J221" s="75" t="s">
        <v>536</v>
      </c>
      <c r="K221" s="75"/>
      <c r="L221" s="75" t="str">
        <f>TEXT(1,"#,##0.0#######")</f>
        <v>1.0</v>
      </c>
      <c r="M221" s="75"/>
      <c r="N221" s="75"/>
      <c r="O221" s="75"/>
      <c r="P221" s="75" t="s">
        <v>336</v>
      </c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75"/>
      <c r="AC221" s="75"/>
      <c r="AD221" s="75"/>
      <c r="AE221" s="75"/>
      <c r="AF221" s="75"/>
      <c r="AG221" s="75"/>
      <c r="AH221" s="75"/>
      <c r="AI221" s="75"/>
      <c r="AJ221" s="75"/>
      <c r="AK221" s="75"/>
      <c r="AL221" s="75"/>
      <c r="AM221" s="75"/>
      <c r="AN221" s="75"/>
      <c r="AO221" s="75"/>
      <c r="AP221" s="75"/>
      <c r="AQ221" s="75"/>
      <c r="AR221" s="75"/>
      <c r="AS221" s="75"/>
      <c r="AT221" s="75"/>
      <c r="AU221" s="75"/>
      <c r="AV221" s="75"/>
      <c r="AW221" s="75"/>
      <c r="AX221" s="75"/>
      <c r="AY221" s="75"/>
      <c r="AZ221" s="75"/>
      <c r="BA221" s="75"/>
      <c r="BB221" s="75"/>
      <c r="BC221" s="75"/>
      <c r="BD221" s="75"/>
      <c r="BE221" s="75"/>
      <c r="BF221" s="75"/>
      <c r="BG221" s="75"/>
      <c r="BH221" s="75"/>
      <c r="BI221" s="75"/>
      <c r="BJ221" s="75"/>
      <c r="BK221" s="75"/>
      <c r="BL221" s="75"/>
      <c r="BM221" s="75"/>
      <c r="BN221" s="75"/>
      <c r="BO221" s="75"/>
      <c r="BP221" s="75"/>
      <c r="BQ221" s="75"/>
      <c r="BR221" s="75"/>
      <c r="BS221" s="75"/>
      <c r="BT221" s="75"/>
      <c r="BU221" s="75"/>
      <c r="BV221" s="75"/>
      <c r="BW221" s="75"/>
      <c r="BX221" s="75"/>
      <c r="BY221" s="75"/>
      <c r="BZ221" s="75"/>
      <c r="CA221" s="75"/>
      <c r="CB221" s="75"/>
      <c r="CC221" s="75"/>
      <c r="CD221" s="75"/>
      <c r="CE221" s="75"/>
      <c r="CF221" s="75"/>
      <c r="CG221" s="75"/>
      <c r="CH221" s="75"/>
      <c r="CI221" s="75"/>
      <c r="CJ221" s="75"/>
      <c r="CK221" s="75"/>
      <c r="CL221" s="75"/>
      <c r="CM221" s="75"/>
      <c r="CN221" s="75"/>
      <c r="CO221" s="75"/>
      <c r="CP221" s="75"/>
      <c r="CQ221" s="75"/>
      <c r="CR221" s="75"/>
      <c r="CS221" s="75"/>
      <c r="CT221" s="75"/>
      <c r="CU221" s="75"/>
      <c r="CV221" s="75"/>
      <c r="CW221" s="76"/>
      <c r="CX221" s="72"/>
      <c r="CY221" s="68"/>
      <c r="CZ221" s="68"/>
      <c r="DA221" s="69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 t="s">
        <v>8</v>
      </c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</row>
    <row r="222" spans="1:128" ht="18" customHeight="1" x14ac:dyDescent="0.2">
      <c r="A222" s="74" t="s">
        <v>8</v>
      </c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  <c r="AD222" s="75"/>
      <c r="AE222" s="75"/>
      <c r="AF222" s="75"/>
      <c r="AG222" s="75"/>
      <c r="AH222" s="75"/>
      <c r="AI222" s="75"/>
      <c r="AJ222" s="75"/>
      <c r="AK222" s="75"/>
      <c r="AL222" s="75"/>
      <c r="AM222" s="75"/>
      <c r="AN222" s="75"/>
      <c r="AO222" s="75"/>
      <c r="AP222" s="75"/>
      <c r="AQ222" s="75"/>
      <c r="AR222" s="75"/>
      <c r="AS222" s="75"/>
      <c r="AT222" s="75"/>
      <c r="AU222" s="75"/>
      <c r="AV222" s="75"/>
      <c r="AW222" s="75"/>
      <c r="AX222" s="75"/>
      <c r="AY222" s="75"/>
      <c r="AZ222" s="75"/>
      <c r="BA222" s="75"/>
      <c r="BB222" s="75"/>
      <c r="BC222" s="75"/>
      <c r="BD222" s="75"/>
      <c r="BE222" s="75"/>
      <c r="BF222" s="75"/>
      <c r="BG222" s="75"/>
      <c r="BH222" s="75"/>
      <c r="BI222" s="75"/>
      <c r="BJ222" s="75"/>
      <c r="BK222" s="75"/>
      <c r="BL222" s="75"/>
      <c r="BM222" s="75"/>
      <c r="BN222" s="75"/>
      <c r="BO222" s="75"/>
      <c r="BP222" s="75"/>
      <c r="BQ222" s="75"/>
      <c r="BR222" s="75"/>
      <c r="BS222" s="75"/>
      <c r="BT222" s="75"/>
      <c r="BU222" s="75"/>
      <c r="BV222" s="75"/>
      <c r="BW222" s="75"/>
      <c r="BX222" s="75"/>
      <c r="BY222" s="75"/>
      <c r="BZ222" s="75"/>
      <c r="CA222" s="75"/>
      <c r="CB222" s="75"/>
      <c r="CC222" s="75"/>
      <c r="CD222" s="75"/>
      <c r="CE222" s="75"/>
      <c r="CF222" s="75"/>
      <c r="CG222" s="75"/>
      <c r="CH222" s="75"/>
      <c r="CI222" s="75"/>
      <c r="CJ222" s="75"/>
      <c r="CK222" s="75"/>
      <c r="CL222" s="75"/>
      <c r="CM222" s="75"/>
      <c r="CN222" s="75"/>
      <c r="CO222" s="75"/>
      <c r="CP222" s="75"/>
      <c r="CQ222" s="75"/>
      <c r="CR222" s="75"/>
      <c r="CS222" s="75"/>
      <c r="CT222" s="75"/>
      <c r="CU222" s="75"/>
      <c r="CV222" s="75"/>
      <c r="CW222" s="76"/>
      <c r="CX222" s="72"/>
      <c r="CY222" s="68"/>
      <c r="CZ222" s="68"/>
      <c r="DA222" s="69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</row>
    <row r="223" spans="1:128" ht="18" customHeight="1" x14ac:dyDescent="0.2">
      <c r="A223" s="74"/>
      <c r="B223" s="75"/>
      <c r="C223" s="75"/>
      <c r="D223" s="75"/>
      <c r="E223" s="75"/>
      <c r="F223" s="75"/>
      <c r="G223" s="75" t="s">
        <v>533</v>
      </c>
      <c r="H223" s="75"/>
      <c r="I223" s="75"/>
      <c r="J223" s="75" t="s">
        <v>536</v>
      </c>
      <c r="K223" s="75"/>
      <c r="L223" s="75" t="str">
        <f>TEXT(1,"#,##0.0#######")</f>
        <v>1.0</v>
      </c>
      <c r="M223" s="75"/>
      <c r="N223" s="75"/>
      <c r="O223" s="75"/>
      <c r="P223" s="75" t="s">
        <v>298</v>
      </c>
      <c r="Q223" s="75"/>
      <c r="R223" s="75"/>
      <c r="S223" s="75"/>
      <c r="T223" s="75"/>
      <c r="U223" s="75"/>
      <c r="V223" s="75" t="s">
        <v>357</v>
      </c>
      <c r="W223" s="75"/>
      <c r="X223" s="75" t="str">
        <f>TEXT(2,"#,##0")</f>
        <v>2</v>
      </c>
      <c r="Y223" s="75"/>
      <c r="Z223" s="75"/>
      <c r="AA223" s="75" t="s">
        <v>257</v>
      </c>
      <c r="AB223" s="75"/>
      <c r="AC223" s="75"/>
      <c r="AD223" s="75"/>
      <c r="AE223" s="75"/>
      <c r="AF223" s="75"/>
      <c r="AG223" s="75" t="s">
        <v>536</v>
      </c>
      <c r="AH223" s="75"/>
      <c r="AI223" s="75" t="str">
        <f>TEXT(ROUND(L223*X223,0),"#,##0")</f>
        <v>2</v>
      </c>
      <c r="AJ223" s="75"/>
      <c r="AK223" s="75"/>
      <c r="AL223" s="75"/>
      <c r="AM223" s="75"/>
      <c r="AN223" s="75"/>
      <c r="AO223" s="75"/>
      <c r="AP223" s="75"/>
      <c r="AQ223" s="75"/>
      <c r="AR223" s="75"/>
      <c r="AS223" s="75"/>
      <c r="AT223" s="75"/>
      <c r="AU223" s="75"/>
      <c r="AV223" s="75"/>
      <c r="AW223" s="75"/>
      <c r="AX223" s="75"/>
      <c r="AY223" s="75"/>
      <c r="AZ223" s="75"/>
      <c r="BA223" s="75"/>
      <c r="BB223" s="75"/>
      <c r="BC223" s="75"/>
      <c r="BD223" s="75"/>
      <c r="BE223" s="75"/>
      <c r="BF223" s="75"/>
      <c r="BG223" s="75"/>
      <c r="BH223" s="75"/>
      <c r="BI223" s="75"/>
      <c r="BJ223" s="75"/>
      <c r="BK223" s="75"/>
      <c r="BL223" s="75"/>
      <c r="BM223" s="75"/>
      <c r="BN223" s="75"/>
      <c r="BO223" s="75"/>
      <c r="BP223" s="75"/>
      <c r="BQ223" s="75"/>
      <c r="BR223" s="75"/>
      <c r="BS223" s="75"/>
      <c r="BT223" s="75"/>
      <c r="BU223" s="75"/>
      <c r="BV223" s="75"/>
      <c r="BW223" s="75"/>
      <c r="BX223" s="75"/>
      <c r="BY223" s="75"/>
      <c r="BZ223" s="75"/>
      <c r="CA223" s="75"/>
      <c r="CB223" s="75"/>
      <c r="CC223" s="75"/>
      <c r="CD223" s="75"/>
      <c r="CE223" s="75"/>
      <c r="CF223" s="75"/>
      <c r="CG223" s="75"/>
      <c r="CH223" s="75"/>
      <c r="CI223" s="75"/>
      <c r="CJ223" s="75"/>
      <c r="CK223" s="75"/>
      <c r="CL223" s="75"/>
      <c r="CM223" s="75"/>
      <c r="CN223" s="75"/>
      <c r="CO223" s="75"/>
      <c r="CP223" s="75"/>
      <c r="CQ223" s="75"/>
      <c r="CR223" s="75"/>
      <c r="CS223" s="75"/>
      <c r="CT223" s="75"/>
      <c r="CU223" s="75"/>
      <c r="CV223" s="75"/>
      <c r="CW223" s="76"/>
      <c r="CX223" s="72"/>
      <c r="CY223" s="68"/>
      <c r="CZ223" s="68"/>
      <c r="DA223" s="69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 t="s">
        <v>8</v>
      </c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</row>
    <row r="224" spans="1:128" ht="18" customHeight="1" x14ac:dyDescent="0.2">
      <c r="A224" s="74" t="s">
        <v>8</v>
      </c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  <c r="AA224" s="75"/>
      <c r="AB224" s="75"/>
      <c r="AC224" s="75"/>
      <c r="AD224" s="75"/>
      <c r="AE224" s="75"/>
      <c r="AF224" s="75"/>
      <c r="AG224" s="75"/>
      <c r="AH224" s="75"/>
      <c r="AI224" s="75"/>
      <c r="AJ224" s="75"/>
      <c r="AK224" s="75"/>
      <c r="AL224" s="75"/>
      <c r="AM224" s="75"/>
      <c r="AN224" s="75"/>
      <c r="AO224" s="75"/>
      <c r="AP224" s="75"/>
      <c r="AQ224" s="75"/>
      <c r="AR224" s="75"/>
      <c r="AS224" s="75"/>
      <c r="AT224" s="75"/>
      <c r="AU224" s="75"/>
      <c r="AV224" s="75"/>
      <c r="AW224" s="75"/>
      <c r="AX224" s="75"/>
      <c r="AY224" s="75"/>
      <c r="AZ224" s="75"/>
      <c r="BA224" s="75"/>
      <c r="BB224" s="75"/>
      <c r="BC224" s="75"/>
      <c r="BD224" s="75"/>
      <c r="BE224" s="75"/>
      <c r="BF224" s="75"/>
      <c r="BG224" s="75"/>
      <c r="BH224" s="75"/>
      <c r="BI224" s="75"/>
      <c r="BJ224" s="75"/>
      <c r="BK224" s="75"/>
      <c r="BL224" s="75"/>
      <c r="BM224" s="75"/>
      <c r="BN224" s="75"/>
      <c r="BO224" s="75"/>
      <c r="BP224" s="75"/>
      <c r="BQ224" s="75"/>
      <c r="BR224" s="75"/>
      <c r="BS224" s="75"/>
      <c r="BT224" s="75"/>
      <c r="BU224" s="75"/>
      <c r="BV224" s="75"/>
      <c r="BW224" s="75"/>
      <c r="BX224" s="75"/>
      <c r="BY224" s="75"/>
      <c r="BZ224" s="75"/>
      <c r="CA224" s="75"/>
      <c r="CB224" s="75"/>
      <c r="CC224" s="75"/>
      <c r="CD224" s="75"/>
      <c r="CE224" s="75"/>
      <c r="CF224" s="75"/>
      <c r="CG224" s="75"/>
      <c r="CH224" s="75"/>
      <c r="CI224" s="75"/>
      <c r="CJ224" s="75"/>
      <c r="CK224" s="75"/>
      <c r="CL224" s="75"/>
      <c r="CM224" s="75"/>
      <c r="CN224" s="75"/>
      <c r="CO224" s="75"/>
      <c r="CP224" s="75"/>
      <c r="CQ224" s="75"/>
      <c r="CR224" s="75"/>
      <c r="CS224" s="75"/>
      <c r="CT224" s="75"/>
      <c r="CU224" s="75"/>
      <c r="CV224" s="75"/>
      <c r="CW224" s="76"/>
      <c r="CX224" s="72"/>
      <c r="CY224" s="68"/>
      <c r="CZ224" s="68"/>
      <c r="DA224" s="69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</row>
    <row r="225" spans="1:128" ht="18" customHeight="1" x14ac:dyDescent="0.2">
      <c r="A225" s="74"/>
      <c r="B225" s="75"/>
      <c r="C225" s="75"/>
      <c r="D225" s="75"/>
      <c r="E225" s="75"/>
      <c r="F225" s="75"/>
      <c r="G225" s="75" t="s">
        <v>4</v>
      </c>
      <c r="H225" s="75"/>
      <c r="I225" s="75"/>
      <c r="J225" s="75" t="s">
        <v>536</v>
      </c>
      <c r="K225" s="75"/>
      <c r="L225" s="75" t="str">
        <f>TEXT(1,"#,##0.0#######")</f>
        <v>1.0</v>
      </c>
      <c r="M225" s="75"/>
      <c r="N225" s="75"/>
      <c r="O225" s="75"/>
      <c r="P225" s="75" t="s">
        <v>120</v>
      </c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  <c r="CB225" s="75"/>
      <c r="CC225" s="75"/>
      <c r="CD225" s="75"/>
      <c r="CE225" s="75"/>
      <c r="CF225" s="75"/>
      <c r="CG225" s="75"/>
      <c r="CH225" s="75"/>
      <c r="CI225" s="75"/>
      <c r="CJ225" s="75"/>
      <c r="CK225" s="75"/>
      <c r="CL225" s="75"/>
      <c r="CM225" s="75"/>
      <c r="CN225" s="75"/>
      <c r="CO225" s="75"/>
      <c r="CP225" s="75"/>
      <c r="CQ225" s="75"/>
      <c r="CR225" s="75"/>
      <c r="CS225" s="75"/>
      <c r="CT225" s="75"/>
      <c r="CU225" s="75"/>
      <c r="CV225" s="75"/>
      <c r="CW225" s="76"/>
      <c r="CX225" s="72"/>
      <c r="CY225" s="68"/>
      <c r="CZ225" s="68"/>
      <c r="DA225" s="69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 t="s">
        <v>8</v>
      </c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</row>
    <row r="226" spans="1:128" ht="18" customHeight="1" x14ac:dyDescent="0.2">
      <c r="A226" s="74" t="s">
        <v>8</v>
      </c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  <c r="AM226" s="75"/>
      <c r="AN226" s="75"/>
      <c r="AO226" s="75"/>
      <c r="AP226" s="75"/>
      <c r="AQ226" s="75"/>
      <c r="AR226" s="75"/>
      <c r="AS226" s="75"/>
      <c r="AT226" s="75"/>
      <c r="AU226" s="75"/>
      <c r="AV226" s="75"/>
      <c r="AW226" s="75"/>
      <c r="AX226" s="75"/>
      <c r="AY226" s="75"/>
      <c r="AZ226" s="75"/>
      <c r="BA226" s="75"/>
      <c r="BB226" s="75"/>
      <c r="BC226" s="75"/>
      <c r="BD226" s="75"/>
      <c r="BE226" s="75"/>
      <c r="BF226" s="75"/>
      <c r="BG226" s="75"/>
      <c r="BH226" s="75"/>
      <c r="BI226" s="75"/>
      <c r="BJ226" s="75"/>
      <c r="BK226" s="75"/>
      <c r="BL226" s="75"/>
      <c r="BM226" s="75"/>
      <c r="BN226" s="75"/>
      <c r="BO226" s="75"/>
      <c r="BP226" s="75"/>
      <c r="BQ226" s="75"/>
      <c r="BR226" s="75"/>
      <c r="BS226" s="75"/>
      <c r="BT226" s="75"/>
      <c r="BU226" s="75"/>
      <c r="BV226" s="75"/>
      <c r="BW226" s="75"/>
      <c r="BX226" s="75"/>
      <c r="BY226" s="75"/>
      <c r="BZ226" s="75"/>
      <c r="CA226" s="75"/>
      <c r="CB226" s="75"/>
      <c r="CC226" s="75"/>
      <c r="CD226" s="75"/>
      <c r="CE226" s="75"/>
      <c r="CF226" s="75"/>
      <c r="CG226" s="75"/>
      <c r="CH226" s="75"/>
      <c r="CI226" s="75"/>
      <c r="CJ226" s="75"/>
      <c r="CK226" s="75"/>
      <c r="CL226" s="75"/>
      <c r="CM226" s="75"/>
      <c r="CN226" s="75"/>
      <c r="CO226" s="75"/>
      <c r="CP226" s="75"/>
      <c r="CQ226" s="75"/>
      <c r="CR226" s="75"/>
      <c r="CS226" s="75"/>
      <c r="CT226" s="75"/>
      <c r="CU226" s="75"/>
      <c r="CV226" s="75"/>
      <c r="CW226" s="76"/>
      <c r="CX226" s="72"/>
      <c r="CY226" s="68"/>
      <c r="CZ226" s="68"/>
      <c r="DA226" s="69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</row>
    <row r="227" spans="1:128" ht="18" customHeight="1" x14ac:dyDescent="0.2">
      <c r="A227" s="74"/>
      <c r="B227" s="75"/>
      <c r="C227" s="75"/>
      <c r="D227" s="75"/>
      <c r="E227" s="75"/>
      <c r="F227" s="75"/>
      <c r="G227" s="75" t="s">
        <v>133</v>
      </c>
      <c r="H227" s="75"/>
      <c r="I227" s="75"/>
      <c r="J227" s="75" t="s">
        <v>536</v>
      </c>
      <c r="K227" s="75"/>
      <c r="L227" s="75" t="s">
        <v>354</v>
      </c>
      <c r="M227" s="75"/>
      <c r="N227" s="75"/>
      <c r="O227" s="75" t="s">
        <v>173</v>
      </c>
      <c r="P227" s="75"/>
      <c r="Q227" s="75" t="s">
        <v>533</v>
      </c>
      <c r="R227" s="75"/>
      <c r="S227" s="75"/>
      <c r="T227" s="75" t="s">
        <v>173</v>
      </c>
      <c r="U227" s="75"/>
      <c r="V227" s="75" t="s">
        <v>4</v>
      </c>
      <c r="W227" s="75"/>
      <c r="X227" s="75"/>
      <c r="Y227" s="75" t="s">
        <v>536</v>
      </c>
      <c r="Z227" s="75"/>
      <c r="AA227" s="75" t="str">
        <f>TEXT(ROUND(L221+AI223+L225,0),"#,##0")</f>
        <v>4</v>
      </c>
      <c r="AB227" s="75"/>
      <c r="AC227" s="75"/>
      <c r="AD227" s="75" t="s">
        <v>298</v>
      </c>
      <c r="AE227" s="75"/>
      <c r="AF227" s="75"/>
      <c r="AG227" s="75"/>
      <c r="AH227" s="75"/>
      <c r="AI227" s="75"/>
      <c r="AJ227" s="75"/>
      <c r="AK227" s="75"/>
      <c r="AL227" s="75"/>
      <c r="AM227" s="75"/>
      <c r="AN227" s="75"/>
      <c r="AO227" s="75"/>
      <c r="AP227" s="75"/>
      <c r="AQ227" s="75"/>
      <c r="AR227" s="75"/>
      <c r="AS227" s="75"/>
      <c r="AT227" s="75"/>
      <c r="AU227" s="75"/>
      <c r="AV227" s="75"/>
      <c r="AW227" s="75"/>
      <c r="AX227" s="75"/>
      <c r="AY227" s="75"/>
      <c r="AZ227" s="75"/>
      <c r="BA227" s="75"/>
      <c r="BB227" s="75"/>
      <c r="BC227" s="75"/>
      <c r="BD227" s="75"/>
      <c r="BE227" s="75"/>
      <c r="BF227" s="75"/>
      <c r="BG227" s="75"/>
      <c r="BH227" s="75"/>
      <c r="BI227" s="75"/>
      <c r="BJ227" s="75"/>
      <c r="BK227" s="75"/>
      <c r="BL227" s="75"/>
      <c r="BM227" s="75"/>
      <c r="BN227" s="75"/>
      <c r="BO227" s="75"/>
      <c r="BP227" s="75"/>
      <c r="BQ227" s="75"/>
      <c r="BR227" s="75"/>
      <c r="BS227" s="75"/>
      <c r="BT227" s="75"/>
      <c r="BU227" s="75"/>
      <c r="BV227" s="75"/>
      <c r="BW227" s="75"/>
      <c r="BX227" s="75"/>
      <c r="BY227" s="75"/>
      <c r="BZ227" s="75"/>
      <c r="CA227" s="75"/>
      <c r="CB227" s="75"/>
      <c r="CC227" s="75"/>
      <c r="CD227" s="75"/>
      <c r="CE227" s="75"/>
      <c r="CF227" s="75"/>
      <c r="CG227" s="75"/>
      <c r="CH227" s="75"/>
      <c r="CI227" s="75"/>
      <c r="CJ227" s="75"/>
      <c r="CK227" s="75"/>
      <c r="CL227" s="75"/>
      <c r="CM227" s="75"/>
      <c r="CN227" s="75"/>
      <c r="CO227" s="75"/>
      <c r="CP227" s="75"/>
      <c r="CQ227" s="75"/>
      <c r="CR227" s="75"/>
      <c r="CS227" s="75"/>
      <c r="CT227" s="75"/>
      <c r="CU227" s="75"/>
      <c r="CV227" s="75"/>
      <c r="CW227" s="76"/>
      <c r="CX227" s="72"/>
      <c r="CY227" s="68"/>
      <c r="CZ227" s="68"/>
      <c r="DA227" s="69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 t="s">
        <v>8</v>
      </c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</row>
    <row r="228" spans="1:128" ht="18" customHeight="1" x14ac:dyDescent="0.2">
      <c r="A228" s="74" t="s">
        <v>8</v>
      </c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5"/>
      <c r="AH228" s="75"/>
      <c r="AI228" s="75"/>
      <c r="AJ228" s="75"/>
      <c r="AK228" s="75"/>
      <c r="AL228" s="75"/>
      <c r="AM228" s="75"/>
      <c r="AN228" s="75"/>
      <c r="AO228" s="75"/>
      <c r="AP228" s="75"/>
      <c r="AQ228" s="75"/>
      <c r="AR228" s="75"/>
      <c r="AS228" s="75"/>
      <c r="AT228" s="75"/>
      <c r="AU228" s="75"/>
      <c r="AV228" s="75"/>
      <c r="AW228" s="75"/>
      <c r="AX228" s="75"/>
      <c r="AY228" s="75"/>
      <c r="AZ228" s="75"/>
      <c r="BA228" s="75"/>
      <c r="BB228" s="75"/>
      <c r="BC228" s="75"/>
      <c r="BD228" s="75"/>
      <c r="BE228" s="75"/>
      <c r="BF228" s="75"/>
      <c r="BG228" s="75"/>
      <c r="BH228" s="75"/>
      <c r="BI228" s="75"/>
      <c r="BJ228" s="75"/>
      <c r="BK228" s="75"/>
      <c r="BL228" s="75"/>
      <c r="BM228" s="75"/>
      <c r="BN228" s="75"/>
      <c r="BO228" s="75"/>
      <c r="BP228" s="75"/>
      <c r="BQ228" s="75"/>
      <c r="BR228" s="75"/>
      <c r="BS228" s="75"/>
      <c r="BT228" s="75"/>
      <c r="BU228" s="75"/>
      <c r="BV228" s="75"/>
      <c r="BW228" s="75"/>
      <c r="BX228" s="75"/>
      <c r="BY228" s="75"/>
      <c r="BZ228" s="75"/>
      <c r="CA228" s="75"/>
      <c r="CB228" s="75"/>
      <c r="CC228" s="75"/>
      <c r="CD228" s="75"/>
      <c r="CE228" s="75"/>
      <c r="CF228" s="75"/>
      <c r="CG228" s="75"/>
      <c r="CH228" s="75"/>
      <c r="CI228" s="75"/>
      <c r="CJ228" s="75"/>
      <c r="CK228" s="75"/>
      <c r="CL228" s="75"/>
      <c r="CM228" s="75"/>
      <c r="CN228" s="75"/>
      <c r="CO228" s="75"/>
      <c r="CP228" s="75"/>
      <c r="CQ228" s="75"/>
      <c r="CR228" s="75"/>
      <c r="CS228" s="75"/>
      <c r="CT228" s="75"/>
      <c r="CU228" s="75"/>
      <c r="CV228" s="75"/>
      <c r="CW228" s="76"/>
      <c r="CX228" s="72"/>
      <c r="CY228" s="68"/>
      <c r="CZ228" s="68"/>
      <c r="DA228" s="69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</row>
    <row r="229" spans="1:128" ht="18" customHeight="1" x14ac:dyDescent="0.2">
      <c r="A229" s="74"/>
      <c r="B229" s="75"/>
      <c r="C229" s="75"/>
      <c r="D229" s="75"/>
      <c r="E229" s="75"/>
      <c r="F229" s="75"/>
      <c r="G229" s="75" t="s">
        <v>214</v>
      </c>
      <c r="H229" s="75"/>
      <c r="I229" s="75"/>
      <c r="J229" s="75" t="s">
        <v>536</v>
      </c>
      <c r="K229" s="75"/>
      <c r="L229" s="75" t="str">
        <f>TEXT(0.7,"#,##0.0#######")</f>
        <v>0.7</v>
      </c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/>
      <c r="AL229" s="75"/>
      <c r="AM229" s="75"/>
      <c r="AN229" s="75"/>
      <c r="AO229" s="75"/>
      <c r="AP229" s="75"/>
      <c r="AQ229" s="75"/>
      <c r="AR229" s="75"/>
      <c r="AS229" s="75"/>
      <c r="AT229" s="75"/>
      <c r="AU229" s="75"/>
      <c r="AV229" s="75"/>
      <c r="AW229" s="75"/>
      <c r="AX229" s="75"/>
      <c r="AY229" s="75"/>
      <c r="AZ229" s="75"/>
      <c r="BA229" s="75"/>
      <c r="BB229" s="75"/>
      <c r="BC229" s="75"/>
      <c r="BD229" s="75"/>
      <c r="BE229" s="75"/>
      <c r="BF229" s="75"/>
      <c r="BG229" s="75"/>
      <c r="BH229" s="75"/>
      <c r="BI229" s="75"/>
      <c r="BJ229" s="75"/>
      <c r="BK229" s="75"/>
      <c r="BL229" s="75"/>
      <c r="BM229" s="75"/>
      <c r="BN229" s="75"/>
      <c r="BO229" s="75"/>
      <c r="BP229" s="75"/>
      <c r="BQ229" s="75"/>
      <c r="BR229" s="75"/>
      <c r="BS229" s="75"/>
      <c r="BT229" s="75"/>
      <c r="BU229" s="75"/>
      <c r="BV229" s="75"/>
      <c r="BW229" s="75"/>
      <c r="BX229" s="75"/>
      <c r="BY229" s="75"/>
      <c r="BZ229" s="75"/>
      <c r="CA229" s="75"/>
      <c r="CB229" s="75"/>
      <c r="CC229" s="75"/>
      <c r="CD229" s="75"/>
      <c r="CE229" s="75"/>
      <c r="CF229" s="75"/>
      <c r="CG229" s="75"/>
      <c r="CH229" s="75"/>
      <c r="CI229" s="75"/>
      <c r="CJ229" s="75"/>
      <c r="CK229" s="75"/>
      <c r="CL229" s="75"/>
      <c r="CM229" s="75"/>
      <c r="CN229" s="75"/>
      <c r="CO229" s="75"/>
      <c r="CP229" s="75"/>
      <c r="CQ229" s="75"/>
      <c r="CR229" s="75"/>
      <c r="CS229" s="75"/>
      <c r="CT229" s="75"/>
      <c r="CU229" s="75"/>
      <c r="CV229" s="75"/>
      <c r="CW229" s="76"/>
      <c r="CX229" s="72"/>
      <c r="CY229" s="68"/>
      <c r="CZ229" s="68"/>
      <c r="DA229" s="69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 t="s">
        <v>8</v>
      </c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</row>
    <row r="230" spans="1:128" ht="18" customHeight="1" x14ac:dyDescent="0.2">
      <c r="A230" s="74" t="s">
        <v>8</v>
      </c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75"/>
      <c r="AL230" s="75"/>
      <c r="AM230" s="75"/>
      <c r="AN230" s="75"/>
      <c r="AO230" s="75"/>
      <c r="AP230" s="75"/>
      <c r="AQ230" s="75"/>
      <c r="AR230" s="75"/>
      <c r="AS230" s="75"/>
      <c r="AT230" s="75"/>
      <c r="AU230" s="75"/>
      <c r="AV230" s="75"/>
      <c r="AW230" s="75"/>
      <c r="AX230" s="75"/>
      <c r="AY230" s="75"/>
      <c r="AZ230" s="75"/>
      <c r="BA230" s="75"/>
      <c r="BB230" s="75"/>
      <c r="BC230" s="75"/>
      <c r="BD230" s="75"/>
      <c r="BE230" s="75"/>
      <c r="BF230" s="75"/>
      <c r="BG230" s="75"/>
      <c r="BH230" s="75"/>
      <c r="BI230" s="75"/>
      <c r="BJ230" s="75"/>
      <c r="BK230" s="75"/>
      <c r="BL230" s="75"/>
      <c r="BM230" s="75"/>
      <c r="BN230" s="75"/>
      <c r="BO230" s="75"/>
      <c r="BP230" s="75"/>
      <c r="BQ230" s="75"/>
      <c r="BR230" s="75"/>
      <c r="BS230" s="75"/>
      <c r="BT230" s="75"/>
      <c r="BU230" s="75"/>
      <c r="BV230" s="75"/>
      <c r="BW230" s="75"/>
      <c r="BX230" s="75"/>
      <c r="BY230" s="75"/>
      <c r="BZ230" s="75"/>
      <c r="CA230" s="75"/>
      <c r="CB230" s="75"/>
      <c r="CC230" s="75"/>
      <c r="CD230" s="75"/>
      <c r="CE230" s="75"/>
      <c r="CF230" s="75"/>
      <c r="CG230" s="75"/>
      <c r="CH230" s="75"/>
      <c r="CI230" s="75"/>
      <c r="CJ230" s="75"/>
      <c r="CK230" s="75"/>
      <c r="CL230" s="75"/>
      <c r="CM230" s="75"/>
      <c r="CN230" s="75"/>
      <c r="CO230" s="75"/>
      <c r="CP230" s="75"/>
      <c r="CQ230" s="75"/>
      <c r="CR230" s="75"/>
      <c r="CS230" s="75"/>
      <c r="CT230" s="75"/>
      <c r="CU230" s="75"/>
      <c r="CV230" s="75"/>
      <c r="CW230" s="76"/>
      <c r="CX230" s="72"/>
      <c r="CY230" s="68"/>
      <c r="CZ230" s="68"/>
      <c r="DA230" s="69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</row>
    <row r="231" spans="1:128" ht="18" customHeight="1" x14ac:dyDescent="0.2">
      <c r="A231" s="74"/>
      <c r="B231" s="75"/>
      <c r="C231" s="75"/>
      <c r="D231" s="75"/>
      <c r="E231" s="75"/>
      <c r="F231" s="75"/>
      <c r="G231" s="75" t="s">
        <v>534</v>
      </c>
      <c r="H231" s="75"/>
      <c r="I231" s="75" t="s">
        <v>536</v>
      </c>
      <c r="J231" s="75"/>
      <c r="K231" s="75" t="str">
        <f>TEXT(60,"#,##0")</f>
        <v>60</v>
      </c>
      <c r="L231" s="75"/>
      <c r="M231" s="75"/>
      <c r="N231" s="75" t="s">
        <v>357</v>
      </c>
      <c r="O231" s="75"/>
      <c r="P231" s="75" t="s">
        <v>54</v>
      </c>
      <c r="Q231" s="75"/>
      <c r="R231" s="75"/>
      <c r="S231" s="75" t="s">
        <v>357</v>
      </c>
      <c r="T231" s="75"/>
      <c r="U231" s="75" t="s">
        <v>214</v>
      </c>
      <c r="V231" s="75"/>
      <c r="W231" s="75"/>
      <c r="X231" s="75" t="s">
        <v>181</v>
      </c>
      <c r="Y231" s="75"/>
      <c r="Z231" s="75" t="s">
        <v>133</v>
      </c>
      <c r="AA231" s="75"/>
      <c r="AB231" s="75"/>
      <c r="AC231" s="75" t="s">
        <v>536</v>
      </c>
      <c r="AD231" s="75"/>
      <c r="AE231" s="75" t="str">
        <f>TEXT(ROUND(K231*L219*L229/AA227,1),"#,##0.0#######")</f>
        <v>10.5</v>
      </c>
      <c r="AF231" s="75"/>
      <c r="AG231" s="75"/>
      <c r="AH231" s="75"/>
      <c r="AI231" s="75"/>
      <c r="AJ231" s="75"/>
      <c r="AK231" s="75" t="s">
        <v>46</v>
      </c>
      <c r="AL231" s="75"/>
      <c r="AM231" s="75"/>
      <c r="AN231" s="75"/>
      <c r="AO231" s="75"/>
      <c r="AP231" s="75"/>
      <c r="AQ231" s="75"/>
      <c r="AR231" s="75"/>
      <c r="AS231" s="75"/>
      <c r="AT231" s="75"/>
      <c r="AU231" s="75"/>
      <c r="AV231" s="75"/>
      <c r="AW231" s="75"/>
      <c r="AX231" s="75"/>
      <c r="AY231" s="75"/>
      <c r="AZ231" s="75"/>
      <c r="BA231" s="75"/>
      <c r="BB231" s="75"/>
      <c r="BC231" s="75"/>
      <c r="BD231" s="75"/>
      <c r="BE231" s="75"/>
      <c r="BF231" s="75"/>
      <c r="BG231" s="75"/>
      <c r="BH231" s="75"/>
      <c r="BI231" s="75"/>
      <c r="BJ231" s="75"/>
      <c r="BK231" s="75"/>
      <c r="BL231" s="75"/>
      <c r="BM231" s="75"/>
      <c r="BN231" s="75"/>
      <c r="BO231" s="75"/>
      <c r="BP231" s="75"/>
      <c r="BQ231" s="75"/>
      <c r="BR231" s="75"/>
      <c r="BS231" s="75"/>
      <c r="BT231" s="75"/>
      <c r="BU231" s="75"/>
      <c r="BV231" s="75"/>
      <c r="BW231" s="75"/>
      <c r="BX231" s="75"/>
      <c r="BY231" s="75"/>
      <c r="BZ231" s="75"/>
      <c r="CA231" s="75"/>
      <c r="CB231" s="75"/>
      <c r="CC231" s="75"/>
      <c r="CD231" s="75"/>
      <c r="CE231" s="75"/>
      <c r="CF231" s="75"/>
      <c r="CG231" s="75"/>
      <c r="CH231" s="75"/>
      <c r="CI231" s="75"/>
      <c r="CJ231" s="75"/>
      <c r="CK231" s="75"/>
      <c r="CL231" s="75"/>
      <c r="CM231" s="75"/>
      <c r="CN231" s="75"/>
      <c r="CO231" s="75"/>
      <c r="CP231" s="75"/>
      <c r="CQ231" s="75"/>
      <c r="CR231" s="75"/>
      <c r="CS231" s="75"/>
      <c r="CT231" s="75"/>
      <c r="CU231" s="75"/>
      <c r="CV231" s="75"/>
      <c r="CW231" s="76"/>
      <c r="CX231" s="72"/>
      <c r="CY231" s="68"/>
      <c r="CZ231" s="68"/>
      <c r="DA231" s="69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 t="s">
        <v>8</v>
      </c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</row>
    <row r="232" spans="1:128" ht="18" customHeight="1" x14ac:dyDescent="0.2">
      <c r="A232" s="74" t="s">
        <v>8</v>
      </c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75"/>
      <c r="AL232" s="75"/>
      <c r="AM232" s="75"/>
      <c r="AN232" s="75"/>
      <c r="AO232" s="75"/>
      <c r="AP232" s="75"/>
      <c r="AQ232" s="75"/>
      <c r="AR232" s="75"/>
      <c r="AS232" s="75"/>
      <c r="AT232" s="75"/>
      <c r="AU232" s="75"/>
      <c r="AV232" s="75"/>
      <c r="AW232" s="75"/>
      <c r="AX232" s="75"/>
      <c r="AY232" s="75"/>
      <c r="AZ232" s="75"/>
      <c r="BA232" s="75"/>
      <c r="BB232" s="75"/>
      <c r="BC232" s="75"/>
      <c r="BD232" s="75"/>
      <c r="BE232" s="75"/>
      <c r="BF232" s="75"/>
      <c r="BG232" s="75"/>
      <c r="BH232" s="75"/>
      <c r="BI232" s="75"/>
      <c r="BJ232" s="75"/>
      <c r="BK232" s="75"/>
      <c r="BL232" s="75"/>
      <c r="BM232" s="75"/>
      <c r="BN232" s="75"/>
      <c r="BO232" s="75"/>
      <c r="BP232" s="75"/>
      <c r="BQ232" s="75"/>
      <c r="BR232" s="75"/>
      <c r="BS232" s="75"/>
      <c r="BT232" s="75"/>
      <c r="BU232" s="75"/>
      <c r="BV232" s="75"/>
      <c r="BW232" s="75"/>
      <c r="BX232" s="75"/>
      <c r="BY232" s="75"/>
      <c r="BZ232" s="75"/>
      <c r="CA232" s="75"/>
      <c r="CB232" s="75"/>
      <c r="CC232" s="75"/>
      <c r="CD232" s="75"/>
      <c r="CE232" s="75"/>
      <c r="CF232" s="75"/>
      <c r="CG232" s="75"/>
      <c r="CH232" s="75"/>
      <c r="CI232" s="75"/>
      <c r="CJ232" s="75"/>
      <c r="CK232" s="75"/>
      <c r="CL232" s="75"/>
      <c r="CM232" s="75"/>
      <c r="CN232" s="75"/>
      <c r="CO232" s="75"/>
      <c r="CP232" s="75"/>
      <c r="CQ232" s="75"/>
      <c r="CR232" s="75"/>
      <c r="CS232" s="75"/>
      <c r="CT232" s="75"/>
      <c r="CU232" s="75"/>
      <c r="CV232" s="75"/>
      <c r="CW232" s="76"/>
      <c r="CX232" s="72"/>
      <c r="CY232" s="68"/>
      <c r="CZ232" s="68"/>
      <c r="DA232" s="69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</row>
    <row r="233" spans="1:128" ht="18" customHeight="1" x14ac:dyDescent="0.2">
      <c r="A233" s="74"/>
      <c r="B233" s="75"/>
      <c r="C233" s="75"/>
      <c r="D233" s="75"/>
      <c r="E233" s="75"/>
      <c r="F233" s="75" t="s">
        <v>565</v>
      </c>
      <c r="G233" s="75"/>
      <c r="H233" s="75"/>
      <c r="I233" s="75"/>
      <c r="J233" s="75"/>
      <c r="K233" s="75"/>
      <c r="L233" s="75" t="str">
        <f>TEXT(TRUNC(건설기계!H88,0),"#,##0")</f>
        <v>20,013</v>
      </c>
      <c r="M233" s="75"/>
      <c r="N233" s="75"/>
      <c r="O233" s="75"/>
      <c r="P233" s="75"/>
      <c r="Q233" s="75"/>
      <c r="R233" s="75"/>
      <c r="S233" s="75" t="s">
        <v>181</v>
      </c>
      <c r="T233" s="75"/>
      <c r="U233" s="75"/>
      <c r="V233" s="75" t="s">
        <v>534</v>
      </c>
      <c r="W233" s="75"/>
      <c r="X233" s="75"/>
      <c r="Y233" s="75" t="s">
        <v>536</v>
      </c>
      <c r="Z233" s="75"/>
      <c r="AA233" s="75" t="str">
        <f>TEXT(ROUNDDOWN(L233/AE231,1),"#,##0.0#######")</f>
        <v>1,906.0</v>
      </c>
      <c r="AB233" s="75"/>
      <c r="AC233" s="75"/>
      <c r="AD233" s="75"/>
      <c r="AE233" s="75"/>
      <c r="AF233" s="75"/>
      <c r="AG233" s="75"/>
      <c r="AH233" s="75"/>
      <c r="AI233" s="75"/>
      <c r="AJ233" s="75" t="s">
        <v>679</v>
      </c>
      <c r="AK233" s="75"/>
      <c r="AL233" s="75"/>
      <c r="AM233" s="75"/>
      <c r="AN233" s="75"/>
      <c r="AO233" s="75"/>
      <c r="AP233" s="75"/>
      <c r="AQ233" s="75"/>
      <c r="AR233" s="75"/>
      <c r="AS233" s="75"/>
      <c r="AT233" s="75"/>
      <c r="AU233" s="75"/>
      <c r="AV233" s="75"/>
      <c r="AW233" s="75"/>
      <c r="AX233" s="75"/>
      <c r="AY233" s="75"/>
      <c r="AZ233" s="75"/>
      <c r="BA233" s="75"/>
      <c r="BB233" s="75"/>
      <c r="BC233" s="75"/>
      <c r="BD233" s="75"/>
      <c r="BE233" s="75"/>
      <c r="BF233" s="75"/>
      <c r="BG233" s="75"/>
      <c r="BH233" s="75"/>
      <c r="BI233" s="75"/>
      <c r="BJ233" s="75"/>
      <c r="BK233" s="75"/>
      <c r="BL233" s="75"/>
      <c r="BM233" s="75"/>
      <c r="BN233" s="75"/>
      <c r="BO233" s="75"/>
      <c r="BP233" s="75"/>
      <c r="BQ233" s="75"/>
      <c r="BR233" s="75"/>
      <c r="BS233" s="75"/>
      <c r="BT233" s="75"/>
      <c r="BU233" s="75"/>
      <c r="BV233" s="75"/>
      <c r="BW233" s="75"/>
      <c r="BX233" s="75"/>
      <c r="BY233" s="75"/>
      <c r="BZ233" s="75"/>
      <c r="CA233" s="75"/>
      <c r="CB233" s="75"/>
      <c r="CC233" s="75"/>
      <c r="CD233" s="75"/>
      <c r="CE233" s="75"/>
      <c r="CF233" s="75"/>
      <c r="CG233" s="75"/>
      <c r="CH233" s="75"/>
      <c r="CI233" s="75"/>
      <c r="CJ233" s="75"/>
      <c r="CK233" s="75"/>
      <c r="CL233" s="75"/>
      <c r="CM233" s="75"/>
      <c r="CN233" s="75"/>
      <c r="CO233" s="75"/>
      <c r="CP233" s="75"/>
      <c r="CQ233" s="75"/>
      <c r="CR233" s="75"/>
      <c r="CS233" s="75"/>
      <c r="CT233" s="75"/>
      <c r="CU233" s="75"/>
      <c r="CV233" s="75"/>
      <c r="CW233" s="76"/>
      <c r="CX233" s="72">
        <f>CY233+CZ233+DA233</f>
        <v>1906</v>
      </c>
      <c r="CY233" s="68" t="str">
        <f>TEXT(AA233,"#,###.0")</f>
        <v>1,906.0</v>
      </c>
      <c r="CZ233" s="68"/>
      <c r="DA233" s="69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 t="s">
        <v>35</v>
      </c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</row>
    <row r="234" spans="1:128" ht="18" customHeight="1" x14ac:dyDescent="0.2">
      <c r="A234" s="74" t="s">
        <v>8</v>
      </c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5"/>
      <c r="AH234" s="75"/>
      <c r="AI234" s="75"/>
      <c r="AJ234" s="75"/>
      <c r="AK234" s="75"/>
      <c r="AL234" s="75"/>
      <c r="AM234" s="75"/>
      <c r="AN234" s="75"/>
      <c r="AO234" s="75"/>
      <c r="AP234" s="75"/>
      <c r="AQ234" s="75"/>
      <c r="AR234" s="75"/>
      <c r="AS234" s="75"/>
      <c r="AT234" s="75"/>
      <c r="AU234" s="75"/>
      <c r="AV234" s="75"/>
      <c r="AW234" s="75"/>
      <c r="AX234" s="75"/>
      <c r="AY234" s="75"/>
      <c r="AZ234" s="75"/>
      <c r="BA234" s="75"/>
      <c r="BB234" s="75"/>
      <c r="BC234" s="75"/>
      <c r="BD234" s="75"/>
      <c r="BE234" s="75"/>
      <c r="BF234" s="75"/>
      <c r="BG234" s="75"/>
      <c r="BH234" s="75"/>
      <c r="BI234" s="75"/>
      <c r="BJ234" s="75"/>
      <c r="BK234" s="75"/>
      <c r="BL234" s="75"/>
      <c r="BM234" s="75"/>
      <c r="BN234" s="75"/>
      <c r="BO234" s="75"/>
      <c r="BP234" s="75"/>
      <c r="BQ234" s="75"/>
      <c r="BR234" s="75"/>
      <c r="BS234" s="75"/>
      <c r="BT234" s="75"/>
      <c r="BU234" s="75"/>
      <c r="BV234" s="75"/>
      <c r="BW234" s="75"/>
      <c r="BX234" s="75"/>
      <c r="BY234" s="75"/>
      <c r="BZ234" s="75"/>
      <c r="CA234" s="75"/>
      <c r="CB234" s="75"/>
      <c r="CC234" s="75"/>
      <c r="CD234" s="75"/>
      <c r="CE234" s="75"/>
      <c r="CF234" s="75"/>
      <c r="CG234" s="75"/>
      <c r="CH234" s="75"/>
      <c r="CI234" s="75"/>
      <c r="CJ234" s="75"/>
      <c r="CK234" s="75"/>
      <c r="CL234" s="75"/>
      <c r="CM234" s="75"/>
      <c r="CN234" s="75"/>
      <c r="CO234" s="75"/>
      <c r="CP234" s="75"/>
      <c r="CQ234" s="75"/>
      <c r="CR234" s="75"/>
      <c r="CS234" s="75"/>
      <c r="CT234" s="75"/>
      <c r="CU234" s="75"/>
      <c r="CV234" s="75"/>
      <c r="CW234" s="76"/>
      <c r="CX234" s="72"/>
      <c r="CY234" s="68"/>
      <c r="CZ234" s="68"/>
      <c r="DA234" s="69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</row>
    <row r="235" spans="1:128" ht="18" customHeight="1" x14ac:dyDescent="0.2">
      <c r="A235" s="74"/>
      <c r="B235" s="75"/>
      <c r="C235" s="75"/>
      <c r="D235" s="75"/>
      <c r="E235" s="75"/>
      <c r="F235" s="75" t="s">
        <v>329</v>
      </c>
      <c r="G235" s="75"/>
      <c r="H235" s="75"/>
      <c r="I235" s="75"/>
      <c r="J235" s="75"/>
      <c r="K235" s="75"/>
      <c r="L235" s="75" t="str">
        <f>TEXT(TRUNC(건설기계!J88,0),"#,##0")</f>
        <v>59,020</v>
      </c>
      <c r="M235" s="75"/>
      <c r="N235" s="75"/>
      <c r="O235" s="75"/>
      <c r="P235" s="75"/>
      <c r="Q235" s="75"/>
      <c r="R235" s="75"/>
      <c r="S235" s="75" t="s">
        <v>181</v>
      </c>
      <c r="T235" s="75"/>
      <c r="U235" s="75"/>
      <c r="V235" s="75" t="s">
        <v>534</v>
      </c>
      <c r="W235" s="75"/>
      <c r="X235" s="75"/>
      <c r="Y235" s="75" t="s">
        <v>536</v>
      </c>
      <c r="Z235" s="75"/>
      <c r="AA235" s="75" t="str">
        <f>TEXT(ROUNDDOWN(L235/AE231,1),"#,##0.0#######")</f>
        <v>5,620.9</v>
      </c>
      <c r="AB235" s="75"/>
      <c r="AC235" s="75"/>
      <c r="AD235" s="75"/>
      <c r="AE235" s="75"/>
      <c r="AF235" s="75"/>
      <c r="AG235" s="75"/>
      <c r="AH235" s="75"/>
      <c r="AI235" s="75"/>
      <c r="AJ235" s="75" t="s">
        <v>679</v>
      </c>
      <c r="AK235" s="75"/>
      <c r="AL235" s="75"/>
      <c r="AM235" s="75"/>
      <c r="AN235" s="75"/>
      <c r="AO235" s="75"/>
      <c r="AP235" s="75"/>
      <c r="AQ235" s="75"/>
      <c r="AR235" s="75"/>
      <c r="AS235" s="75"/>
      <c r="AT235" s="75"/>
      <c r="AU235" s="75"/>
      <c r="AV235" s="75"/>
      <c r="AW235" s="75"/>
      <c r="AX235" s="75"/>
      <c r="AY235" s="75"/>
      <c r="AZ235" s="75"/>
      <c r="BA235" s="75"/>
      <c r="BB235" s="75"/>
      <c r="BC235" s="75"/>
      <c r="BD235" s="75"/>
      <c r="BE235" s="75"/>
      <c r="BF235" s="75"/>
      <c r="BG235" s="75"/>
      <c r="BH235" s="75"/>
      <c r="BI235" s="75"/>
      <c r="BJ235" s="75"/>
      <c r="BK235" s="75"/>
      <c r="BL235" s="75"/>
      <c r="BM235" s="75"/>
      <c r="BN235" s="75"/>
      <c r="BO235" s="75"/>
      <c r="BP235" s="75"/>
      <c r="BQ235" s="75"/>
      <c r="BR235" s="75"/>
      <c r="BS235" s="75"/>
      <c r="BT235" s="75"/>
      <c r="BU235" s="75"/>
      <c r="BV235" s="75"/>
      <c r="BW235" s="75"/>
      <c r="BX235" s="75"/>
      <c r="BY235" s="75"/>
      <c r="BZ235" s="75"/>
      <c r="CA235" s="75"/>
      <c r="CB235" s="75"/>
      <c r="CC235" s="75"/>
      <c r="CD235" s="75"/>
      <c r="CE235" s="75"/>
      <c r="CF235" s="75"/>
      <c r="CG235" s="75"/>
      <c r="CH235" s="75"/>
      <c r="CI235" s="75"/>
      <c r="CJ235" s="75"/>
      <c r="CK235" s="75"/>
      <c r="CL235" s="75"/>
      <c r="CM235" s="75"/>
      <c r="CN235" s="75"/>
      <c r="CO235" s="75"/>
      <c r="CP235" s="75"/>
      <c r="CQ235" s="75"/>
      <c r="CR235" s="75"/>
      <c r="CS235" s="75"/>
      <c r="CT235" s="75"/>
      <c r="CU235" s="75"/>
      <c r="CV235" s="75"/>
      <c r="CW235" s="76"/>
      <c r="CX235" s="72">
        <f>CY235+CZ235+DA235</f>
        <v>5620.9</v>
      </c>
      <c r="CY235" s="68"/>
      <c r="CZ235" s="68" t="str">
        <f>TEXT(AA235,"#,###.0")</f>
        <v>5,620.9</v>
      </c>
      <c r="DA235" s="69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 t="s">
        <v>35</v>
      </c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</row>
    <row r="236" spans="1:128" ht="18" customHeight="1" x14ac:dyDescent="0.2">
      <c r="A236" s="74" t="s">
        <v>8</v>
      </c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  <c r="AF236" s="75"/>
      <c r="AG236" s="75"/>
      <c r="AH236" s="75"/>
      <c r="AI236" s="75"/>
      <c r="AJ236" s="75"/>
      <c r="AK236" s="75"/>
      <c r="AL236" s="75"/>
      <c r="AM236" s="75"/>
      <c r="AN236" s="75"/>
      <c r="AO236" s="75"/>
      <c r="AP236" s="75"/>
      <c r="AQ236" s="75"/>
      <c r="AR236" s="75"/>
      <c r="AS236" s="75"/>
      <c r="AT236" s="75"/>
      <c r="AU236" s="75"/>
      <c r="AV236" s="75"/>
      <c r="AW236" s="75"/>
      <c r="AX236" s="75"/>
      <c r="AY236" s="75"/>
      <c r="AZ236" s="75"/>
      <c r="BA236" s="75"/>
      <c r="BB236" s="75"/>
      <c r="BC236" s="75"/>
      <c r="BD236" s="75"/>
      <c r="BE236" s="75"/>
      <c r="BF236" s="75"/>
      <c r="BG236" s="75"/>
      <c r="BH236" s="75"/>
      <c r="BI236" s="75"/>
      <c r="BJ236" s="75"/>
      <c r="BK236" s="75"/>
      <c r="BL236" s="75"/>
      <c r="BM236" s="75"/>
      <c r="BN236" s="75"/>
      <c r="BO236" s="75"/>
      <c r="BP236" s="75"/>
      <c r="BQ236" s="75"/>
      <c r="BR236" s="75"/>
      <c r="BS236" s="75"/>
      <c r="BT236" s="75"/>
      <c r="BU236" s="75"/>
      <c r="BV236" s="75"/>
      <c r="BW236" s="75"/>
      <c r="BX236" s="75"/>
      <c r="BY236" s="75"/>
      <c r="BZ236" s="75"/>
      <c r="CA236" s="75"/>
      <c r="CB236" s="75"/>
      <c r="CC236" s="75"/>
      <c r="CD236" s="75"/>
      <c r="CE236" s="75"/>
      <c r="CF236" s="75"/>
      <c r="CG236" s="75"/>
      <c r="CH236" s="75"/>
      <c r="CI236" s="75"/>
      <c r="CJ236" s="75"/>
      <c r="CK236" s="75"/>
      <c r="CL236" s="75"/>
      <c r="CM236" s="75"/>
      <c r="CN236" s="75"/>
      <c r="CO236" s="75"/>
      <c r="CP236" s="75"/>
      <c r="CQ236" s="75"/>
      <c r="CR236" s="75"/>
      <c r="CS236" s="75"/>
      <c r="CT236" s="75"/>
      <c r="CU236" s="75"/>
      <c r="CV236" s="75"/>
      <c r="CW236" s="76"/>
      <c r="CX236" s="72"/>
      <c r="CY236" s="68"/>
      <c r="CZ236" s="68"/>
      <c r="DA236" s="69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</row>
    <row r="237" spans="1:128" ht="18" customHeight="1" x14ac:dyDescent="0.2">
      <c r="A237" s="74"/>
      <c r="B237" s="75"/>
      <c r="C237" s="75"/>
      <c r="D237" s="75"/>
      <c r="E237" s="75"/>
      <c r="F237" s="75" t="s">
        <v>655</v>
      </c>
      <c r="G237" s="75"/>
      <c r="H237" s="75"/>
      <c r="I237" s="75"/>
      <c r="J237" s="75"/>
      <c r="K237" s="75"/>
      <c r="L237" s="75" t="str">
        <f>TEXT(TRUNC(건설기계!L88,0),"#,##0")</f>
        <v>17,514</v>
      </c>
      <c r="M237" s="75"/>
      <c r="N237" s="75"/>
      <c r="O237" s="75"/>
      <c r="P237" s="75"/>
      <c r="Q237" s="75"/>
      <c r="R237" s="75"/>
      <c r="S237" s="75" t="s">
        <v>181</v>
      </c>
      <c r="T237" s="75"/>
      <c r="U237" s="75"/>
      <c r="V237" s="75" t="s">
        <v>534</v>
      </c>
      <c r="W237" s="75"/>
      <c r="X237" s="75"/>
      <c r="Y237" s="75" t="s">
        <v>536</v>
      </c>
      <c r="Z237" s="75"/>
      <c r="AA237" s="75" t="str">
        <f>TEXT(ROUNDDOWN(L237/AE231,1),"#,##0.0#######")</f>
        <v>1,668.0</v>
      </c>
      <c r="AB237" s="75"/>
      <c r="AC237" s="75"/>
      <c r="AD237" s="75"/>
      <c r="AE237" s="75"/>
      <c r="AF237" s="75"/>
      <c r="AG237" s="75"/>
      <c r="AH237" s="75"/>
      <c r="AI237" s="75"/>
      <c r="AJ237" s="75" t="s">
        <v>679</v>
      </c>
      <c r="AK237" s="75"/>
      <c r="AL237" s="75"/>
      <c r="AM237" s="75"/>
      <c r="AN237" s="75"/>
      <c r="AO237" s="75"/>
      <c r="AP237" s="75"/>
      <c r="AQ237" s="75"/>
      <c r="AR237" s="75"/>
      <c r="AS237" s="75"/>
      <c r="AT237" s="75"/>
      <c r="AU237" s="75"/>
      <c r="AV237" s="75"/>
      <c r="AW237" s="75"/>
      <c r="AX237" s="75"/>
      <c r="AY237" s="75"/>
      <c r="AZ237" s="75"/>
      <c r="BA237" s="75"/>
      <c r="BB237" s="75"/>
      <c r="BC237" s="75"/>
      <c r="BD237" s="75"/>
      <c r="BE237" s="75"/>
      <c r="BF237" s="75"/>
      <c r="BG237" s="75"/>
      <c r="BH237" s="75"/>
      <c r="BI237" s="75"/>
      <c r="BJ237" s="75"/>
      <c r="BK237" s="75"/>
      <c r="BL237" s="75"/>
      <c r="BM237" s="75"/>
      <c r="BN237" s="75"/>
      <c r="BO237" s="75"/>
      <c r="BP237" s="75"/>
      <c r="BQ237" s="75"/>
      <c r="BR237" s="75"/>
      <c r="BS237" s="75"/>
      <c r="BT237" s="75"/>
      <c r="BU237" s="75"/>
      <c r="BV237" s="75"/>
      <c r="BW237" s="75"/>
      <c r="BX237" s="75"/>
      <c r="BY237" s="75"/>
      <c r="BZ237" s="75"/>
      <c r="CA237" s="75"/>
      <c r="CB237" s="75"/>
      <c r="CC237" s="75"/>
      <c r="CD237" s="75"/>
      <c r="CE237" s="75"/>
      <c r="CF237" s="75"/>
      <c r="CG237" s="75"/>
      <c r="CH237" s="75"/>
      <c r="CI237" s="75"/>
      <c r="CJ237" s="75"/>
      <c r="CK237" s="75"/>
      <c r="CL237" s="75"/>
      <c r="CM237" s="75"/>
      <c r="CN237" s="75"/>
      <c r="CO237" s="75"/>
      <c r="CP237" s="75"/>
      <c r="CQ237" s="75"/>
      <c r="CR237" s="75"/>
      <c r="CS237" s="75"/>
      <c r="CT237" s="75"/>
      <c r="CU237" s="75"/>
      <c r="CV237" s="75"/>
      <c r="CW237" s="76"/>
      <c r="CX237" s="72">
        <f>CY237+CZ237+DA237</f>
        <v>1668</v>
      </c>
      <c r="CY237" s="68"/>
      <c r="CZ237" s="68"/>
      <c r="DA237" s="69" t="str">
        <f>TEXT(AA237,"#,###.0")</f>
        <v>1,668.0</v>
      </c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 t="s">
        <v>35</v>
      </c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</row>
    <row r="238" spans="1:128" ht="18" customHeight="1" x14ac:dyDescent="0.2">
      <c r="A238" s="74" t="s">
        <v>8</v>
      </c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  <c r="AF238" s="75"/>
      <c r="AG238" s="75"/>
      <c r="AH238" s="75"/>
      <c r="AI238" s="75"/>
      <c r="AJ238" s="75"/>
      <c r="AK238" s="75"/>
      <c r="AL238" s="75"/>
      <c r="AM238" s="75"/>
      <c r="AN238" s="75"/>
      <c r="AO238" s="75"/>
      <c r="AP238" s="75"/>
      <c r="AQ238" s="75"/>
      <c r="AR238" s="75"/>
      <c r="AS238" s="75"/>
      <c r="AT238" s="75"/>
      <c r="AU238" s="75"/>
      <c r="AV238" s="75"/>
      <c r="AW238" s="75"/>
      <c r="AX238" s="75"/>
      <c r="AY238" s="75"/>
      <c r="AZ238" s="75"/>
      <c r="BA238" s="75"/>
      <c r="BB238" s="75"/>
      <c r="BC238" s="75"/>
      <c r="BD238" s="75"/>
      <c r="BE238" s="75"/>
      <c r="BF238" s="75"/>
      <c r="BG238" s="75"/>
      <c r="BH238" s="75"/>
      <c r="BI238" s="75"/>
      <c r="BJ238" s="75"/>
      <c r="BK238" s="75"/>
      <c r="BL238" s="75"/>
      <c r="BM238" s="75"/>
      <c r="BN238" s="75"/>
      <c r="BO238" s="75"/>
      <c r="BP238" s="75"/>
      <c r="BQ238" s="75"/>
      <c r="BR238" s="75"/>
      <c r="BS238" s="75"/>
      <c r="BT238" s="75"/>
      <c r="BU238" s="75"/>
      <c r="BV238" s="75"/>
      <c r="BW238" s="75"/>
      <c r="BX238" s="75"/>
      <c r="BY238" s="75"/>
      <c r="BZ238" s="75"/>
      <c r="CA238" s="75"/>
      <c r="CB238" s="75"/>
      <c r="CC238" s="75"/>
      <c r="CD238" s="75"/>
      <c r="CE238" s="75"/>
      <c r="CF238" s="75"/>
      <c r="CG238" s="75"/>
      <c r="CH238" s="75"/>
      <c r="CI238" s="75"/>
      <c r="CJ238" s="75"/>
      <c r="CK238" s="75"/>
      <c r="CL238" s="75"/>
      <c r="CM238" s="75"/>
      <c r="CN238" s="75"/>
      <c r="CO238" s="75"/>
      <c r="CP238" s="75"/>
      <c r="CQ238" s="75"/>
      <c r="CR238" s="75"/>
      <c r="CS238" s="75"/>
      <c r="CT238" s="75"/>
      <c r="CU238" s="75"/>
      <c r="CV238" s="75"/>
      <c r="CW238" s="76"/>
      <c r="CX238" s="72"/>
      <c r="CY238" s="68"/>
      <c r="CZ238" s="68"/>
      <c r="DA238" s="69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</row>
    <row r="239" spans="1:128" ht="18" customHeight="1" x14ac:dyDescent="0.2">
      <c r="A239" s="74" t="s">
        <v>562</v>
      </c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  <c r="AF239" s="75"/>
      <c r="AG239" s="75"/>
      <c r="AH239" s="75"/>
      <c r="AI239" s="75"/>
      <c r="AJ239" s="75"/>
      <c r="AK239" s="75"/>
      <c r="AL239" s="75"/>
      <c r="AM239" s="75"/>
      <c r="AN239" s="75"/>
      <c r="AO239" s="75"/>
      <c r="AP239" s="75"/>
      <c r="AQ239" s="75"/>
      <c r="AR239" s="75"/>
      <c r="AS239" s="75"/>
      <c r="AT239" s="75"/>
      <c r="AU239" s="75"/>
      <c r="AV239" s="75"/>
      <c r="AW239" s="75"/>
      <c r="AX239" s="75"/>
      <c r="AY239" s="75"/>
      <c r="AZ239" s="75"/>
      <c r="BA239" s="75"/>
      <c r="BB239" s="75"/>
      <c r="BC239" s="75"/>
      <c r="BD239" s="75"/>
      <c r="BE239" s="75"/>
      <c r="BF239" s="75"/>
      <c r="BG239" s="75"/>
      <c r="BH239" s="75"/>
      <c r="BI239" s="75"/>
      <c r="BJ239" s="75"/>
      <c r="BK239" s="75"/>
      <c r="BL239" s="75"/>
      <c r="BM239" s="75"/>
      <c r="BN239" s="75"/>
      <c r="BO239" s="75"/>
      <c r="BP239" s="75"/>
      <c r="BQ239" s="75"/>
      <c r="BR239" s="75"/>
      <c r="BS239" s="75"/>
      <c r="BT239" s="75"/>
      <c r="BU239" s="75"/>
      <c r="BV239" s="75"/>
      <c r="BW239" s="75"/>
      <c r="BX239" s="75"/>
      <c r="BY239" s="75"/>
      <c r="BZ239" s="75"/>
      <c r="CA239" s="75"/>
      <c r="CB239" s="75"/>
      <c r="CC239" s="75"/>
      <c r="CD239" s="75"/>
      <c r="CE239" s="75"/>
      <c r="CF239" s="75"/>
      <c r="CG239" s="75"/>
      <c r="CH239" s="75"/>
      <c r="CI239" s="75"/>
      <c r="CJ239" s="75"/>
      <c r="CK239" s="75"/>
      <c r="CL239" s="75"/>
      <c r="CM239" s="75"/>
      <c r="CN239" s="75"/>
      <c r="CO239" s="75"/>
      <c r="CP239" s="75"/>
      <c r="CQ239" s="75"/>
      <c r="CR239" s="75"/>
      <c r="CS239" s="75"/>
      <c r="CT239" s="75"/>
      <c r="CU239" s="75"/>
      <c r="CV239" s="75"/>
      <c r="CW239" s="76"/>
      <c r="CX239" s="72"/>
      <c r="CY239" s="68"/>
      <c r="CZ239" s="68"/>
      <c r="DA239" s="69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 t="s">
        <v>8</v>
      </c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</row>
    <row r="240" spans="1:128" ht="18" customHeight="1" x14ac:dyDescent="0.2">
      <c r="A240" s="74" t="s">
        <v>8</v>
      </c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75"/>
      <c r="AL240" s="75"/>
      <c r="AM240" s="75"/>
      <c r="AN240" s="75"/>
      <c r="AO240" s="75"/>
      <c r="AP240" s="75"/>
      <c r="AQ240" s="75"/>
      <c r="AR240" s="75"/>
      <c r="AS240" s="75"/>
      <c r="AT240" s="75"/>
      <c r="AU240" s="75"/>
      <c r="AV240" s="75"/>
      <c r="AW240" s="75"/>
      <c r="AX240" s="75"/>
      <c r="AY240" s="75"/>
      <c r="AZ240" s="75"/>
      <c r="BA240" s="75"/>
      <c r="BB240" s="75"/>
      <c r="BC240" s="75"/>
      <c r="BD240" s="75"/>
      <c r="BE240" s="75"/>
      <c r="BF240" s="75"/>
      <c r="BG240" s="75"/>
      <c r="BH240" s="75"/>
      <c r="BI240" s="75"/>
      <c r="BJ240" s="75"/>
      <c r="BK240" s="75"/>
      <c r="BL240" s="75"/>
      <c r="BM240" s="75"/>
      <c r="BN240" s="75"/>
      <c r="BO240" s="75"/>
      <c r="BP240" s="75"/>
      <c r="BQ240" s="75"/>
      <c r="BR240" s="75"/>
      <c r="BS240" s="75"/>
      <c r="BT240" s="75"/>
      <c r="BU240" s="75"/>
      <c r="BV240" s="75"/>
      <c r="BW240" s="75"/>
      <c r="BX240" s="75"/>
      <c r="BY240" s="75"/>
      <c r="BZ240" s="75"/>
      <c r="CA240" s="75"/>
      <c r="CB240" s="75"/>
      <c r="CC240" s="75"/>
      <c r="CD240" s="75"/>
      <c r="CE240" s="75"/>
      <c r="CF240" s="75"/>
      <c r="CG240" s="75"/>
      <c r="CH240" s="75"/>
      <c r="CI240" s="75"/>
      <c r="CJ240" s="75"/>
      <c r="CK240" s="75"/>
      <c r="CL240" s="75"/>
      <c r="CM240" s="75"/>
      <c r="CN240" s="75"/>
      <c r="CO240" s="75"/>
      <c r="CP240" s="75"/>
      <c r="CQ240" s="75"/>
      <c r="CR240" s="75"/>
      <c r="CS240" s="75"/>
      <c r="CT240" s="75"/>
      <c r="CU240" s="75"/>
      <c r="CV240" s="75"/>
      <c r="CW240" s="76"/>
      <c r="CX240" s="72"/>
      <c r="CY240" s="68"/>
      <c r="CZ240" s="68"/>
      <c r="DA240" s="69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</row>
    <row r="241" spans="1:128" ht="18" customHeight="1" x14ac:dyDescent="0.2">
      <c r="A241" s="92"/>
      <c r="B241" s="93" t="s">
        <v>215</v>
      </c>
      <c r="C241" s="93"/>
      <c r="D241" s="93"/>
      <c r="E241" s="93"/>
      <c r="F241" s="93" t="s">
        <v>328</v>
      </c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3"/>
      <c r="AC241" s="93"/>
      <c r="AD241" s="93"/>
      <c r="AE241" s="93"/>
      <c r="AF241" s="93"/>
      <c r="AG241" s="93"/>
      <c r="AH241" s="93"/>
      <c r="AI241" s="93"/>
      <c r="AJ241" s="93"/>
      <c r="AK241" s="93"/>
      <c r="AL241" s="93"/>
      <c r="AM241" s="93"/>
      <c r="AN241" s="93"/>
      <c r="AO241" s="93"/>
      <c r="AP241" s="93"/>
      <c r="AQ241" s="93"/>
      <c r="AR241" s="93"/>
      <c r="AS241" s="93"/>
      <c r="AT241" s="93"/>
      <c r="AU241" s="93"/>
      <c r="AV241" s="93"/>
      <c r="AW241" s="93"/>
      <c r="AX241" s="93"/>
      <c r="AY241" s="93"/>
      <c r="AZ241" s="93"/>
      <c r="BA241" s="93"/>
      <c r="BB241" s="93"/>
      <c r="BC241" s="93"/>
      <c r="BD241" s="93"/>
      <c r="BE241" s="93"/>
      <c r="BF241" s="93"/>
      <c r="BG241" s="93"/>
      <c r="BH241" s="93"/>
      <c r="BI241" s="93"/>
      <c r="BJ241" s="93"/>
      <c r="BK241" s="93"/>
      <c r="BL241" s="93"/>
      <c r="BM241" s="93"/>
      <c r="BN241" s="93"/>
      <c r="BO241" s="93"/>
      <c r="BP241" s="93"/>
      <c r="BQ241" s="93"/>
      <c r="BR241" s="93"/>
      <c r="BS241" s="93"/>
      <c r="BT241" s="93"/>
      <c r="BU241" s="93"/>
      <c r="BV241" s="93"/>
      <c r="BW241" s="93"/>
      <c r="BX241" s="93"/>
      <c r="BY241" s="93"/>
      <c r="BZ241" s="93"/>
      <c r="CA241" s="93"/>
      <c r="CB241" s="93"/>
      <c r="CC241" s="93"/>
      <c r="CD241" s="93"/>
      <c r="CE241" s="93"/>
      <c r="CF241" s="93"/>
      <c r="CG241" s="93"/>
      <c r="CH241" s="93"/>
      <c r="CI241" s="93"/>
      <c r="CJ241" s="93"/>
      <c r="CK241" s="93"/>
      <c r="CL241" s="93"/>
      <c r="CM241" s="93"/>
      <c r="CN241" s="93"/>
      <c r="CO241" s="93"/>
      <c r="CP241" s="93"/>
      <c r="CQ241" s="93"/>
      <c r="CR241" s="93"/>
      <c r="CS241" s="93"/>
      <c r="CT241" s="93"/>
      <c r="CU241" s="93"/>
      <c r="CV241" s="93"/>
      <c r="CW241" s="94"/>
      <c r="CX241" s="95">
        <f>CY241+CZ241+DA241</f>
        <v>9194.9</v>
      </c>
      <c r="CY241" s="96" t="str">
        <f>TEXT(TRUNC(CY233+CY235+CY237,1),"#,###.0")</f>
        <v>1,906.0</v>
      </c>
      <c r="CZ241" s="96" t="str">
        <f>TEXT(TRUNC(CZ233+CZ235+CZ237,1),"#,###.0")</f>
        <v>5,620.9</v>
      </c>
      <c r="DA241" s="97" t="str">
        <f>TEXT(TRUNC(DA233+DA235+DA237,1),"#,###.0")</f>
        <v>1,668.0</v>
      </c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 t="s">
        <v>8</v>
      </c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</row>
    <row r="242" spans="1:128" ht="18" customHeight="1" x14ac:dyDescent="0.2">
      <c r="A242" s="74" t="s">
        <v>8</v>
      </c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75"/>
      <c r="AJ242" s="75"/>
      <c r="AK242" s="75"/>
      <c r="AL242" s="75"/>
      <c r="AM242" s="75"/>
      <c r="AN242" s="75"/>
      <c r="AO242" s="75"/>
      <c r="AP242" s="75"/>
      <c r="AQ242" s="75"/>
      <c r="AR242" s="75"/>
      <c r="AS242" s="75"/>
      <c r="AT242" s="75"/>
      <c r="AU242" s="75"/>
      <c r="AV242" s="75"/>
      <c r="AW242" s="75"/>
      <c r="AX242" s="75"/>
      <c r="AY242" s="75"/>
      <c r="AZ242" s="75"/>
      <c r="BA242" s="75"/>
      <c r="BB242" s="75"/>
      <c r="BC242" s="75"/>
      <c r="BD242" s="75"/>
      <c r="BE242" s="75"/>
      <c r="BF242" s="75"/>
      <c r="BG242" s="75"/>
      <c r="BH242" s="75"/>
      <c r="BI242" s="75"/>
      <c r="BJ242" s="75"/>
      <c r="BK242" s="75"/>
      <c r="BL242" s="75"/>
      <c r="BM242" s="75"/>
      <c r="BN242" s="75"/>
      <c r="BO242" s="75"/>
      <c r="BP242" s="75"/>
      <c r="BQ242" s="75"/>
      <c r="BR242" s="75"/>
      <c r="BS242" s="75"/>
      <c r="BT242" s="75"/>
      <c r="BU242" s="75"/>
      <c r="BV242" s="75"/>
      <c r="BW242" s="75"/>
      <c r="BX242" s="75"/>
      <c r="BY242" s="75"/>
      <c r="BZ242" s="75"/>
      <c r="CA242" s="75"/>
      <c r="CB242" s="75"/>
      <c r="CC242" s="75"/>
      <c r="CD242" s="75"/>
      <c r="CE242" s="75"/>
      <c r="CF242" s="75"/>
      <c r="CG242" s="75"/>
      <c r="CH242" s="75"/>
      <c r="CI242" s="75"/>
      <c r="CJ242" s="75"/>
      <c r="CK242" s="75"/>
      <c r="CL242" s="75"/>
      <c r="CM242" s="75"/>
      <c r="CN242" s="75"/>
      <c r="CO242" s="75"/>
      <c r="CP242" s="75"/>
      <c r="CQ242" s="75"/>
      <c r="CR242" s="75"/>
      <c r="CS242" s="75"/>
      <c r="CT242" s="75"/>
      <c r="CU242" s="75"/>
      <c r="CV242" s="75"/>
      <c r="CW242" s="76"/>
      <c r="CX242" s="72"/>
      <c r="CY242" s="68"/>
      <c r="CZ242" s="68"/>
      <c r="DA242" s="69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</row>
    <row r="243" spans="1:128" ht="18" customHeight="1" x14ac:dyDescent="0.2">
      <c r="A243" s="74" t="s">
        <v>140</v>
      </c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75"/>
      <c r="AL243" s="75"/>
      <c r="AM243" s="75"/>
      <c r="AN243" s="75"/>
      <c r="AO243" s="75"/>
      <c r="AP243" s="75"/>
      <c r="AQ243" s="75"/>
      <c r="AR243" s="75"/>
      <c r="AS243" s="75"/>
      <c r="AT243" s="75"/>
      <c r="AU243" s="75"/>
      <c r="AV243" s="75"/>
      <c r="AW243" s="75"/>
      <c r="AX243" s="75"/>
      <c r="AY243" s="75"/>
      <c r="AZ243" s="75"/>
      <c r="BA243" s="75"/>
      <c r="BB243" s="75"/>
      <c r="BC243" s="75"/>
      <c r="BD243" s="75"/>
      <c r="BE243" s="75"/>
      <c r="BF243" s="75"/>
      <c r="BG243" s="75"/>
      <c r="BH243" s="75"/>
      <c r="BI243" s="75"/>
      <c r="BJ243" s="75"/>
      <c r="BK243" s="75"/>
      <c r="BL243" s="75"/>
      <c r="BM243" s="75"/>
      <c r="BN243" s="75"/>
      <c r="BO243" s="75"/>
      <c r="BP243" s="75"/>
      <c r="BQ243" s="75"/>
      <c r="BR243" s="75"/>
      <c r="BS243" s="75"/>
      <c r="BT243" s="75"/>
      <c r="BU243" s="75"/>
      <c r="BV243" s="75"/>
      <c r="BW243" s="75"/>
      <c r="BX243" s="75"/>
      <c r="BY243" s="75"/>
      <c r="BZ243" s="75"/>
      <c r="CA243" s="75"/>
      <c r="CB243" s="75"/>
      <c r="CC243" s="75"/>
      <c r="CD243" s="75"/>
      <c r="CE243" s="75"/>
      <c r="CF243" s="75"/>
      <c r="CG243" s="75"/>
      <c r="CH243" s="75"/>
      <c r="CI243" s="75"/>
      <c r="CJ243" s="75"/>
      <c r="CK243" s="75"/>
      <c r="CL243" s="75"/>
      <c r="CM243" s="75"/>
      <c r="CN243" s="75"/>
      <c r="CO243" s="75"/>
      <c r="CP243" s="75"/>
      <c r="CQ243" s="75"/>
      <c r="CR243" s="75"/>
      <c r="CS243" s="75"/>
      <c r="CT243" s="75"/>
      <c r="CU243" s="75"/>
      <c r="CV243" s="75"/>
      <c r="CW243" s="76"/>
      <c r="CX243" s="72"/>
      <c r="CY243" s="68"/>
      <c r="CZ243" s="68"/>
      <c r="DA243" s="69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</row>
    <row r="244" spans="1:128" ht="18" customHeight="1" x14ac:dyDescent="0.2">
      <c r="A244" s="74" t="s">
        <v>8</v>
      </c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  <c r="AT244" s="75"/>
      <c r="AU244" s="75"/>
      <c r="AV244" s="75"/>
      <c r="AW244" s="75"/>
      <c r="AX244" s="75"/>
      <c r="AY244" s="75"/>
      <c r="AZ244" s="75"/>
      <c r="BA244" s="75"/>
      <c r="BB244" s="75"/>
      <c r="BC244" s="75"/>
      <c r="BD244" s="75"/>
      <c r="BE244" s="75"/>
      <c r="BF244" s="75"/>
      <c r="BG244" s="75"/>
      <c r="BH244" s="75"/>
      <c r="BI244" s="75"/>
      <c r="BJ244" s="75"/>
      <c r="BK244" s="75"/>
      <c r="BL244" s="75"/>
      <c r="BM244" s="75"/>
      <c r="BN244" s="75"/>
      <c r="BO244" s="75"/>
      <c r="BP244" s="75"/>
      <c r="BQ244" s="75"/>
      <c r="BR244" s="75"/>
      <c r="BS244" s="75"/>
      <c r="BT244" s="75"/>
      <c r="BU244" s="75"/>
      <c r="BV244" s="75"/>
      <c r="BW244" s="75"/>
      <c r="BX244" s="75"/>
      <c r="BY244" s="75"/>
      <c r="BZ244" s="75"/>
      <c r="CA244" s="75"/>
      <c r="CB244" s="75"/>
      <c r="CC244" s="75"/>
      <c r="CD244" s="75"/>
      <c r="CE244" s="75"/>
      <c r="CF244" s="75"/>
      <c r="CG244" s="75"/>
      <c r="CH244" s="75"/>
      <c r="CI244" s="75"/>
      <c r="CJ244" s="75"/>
      <c r="CK244" s="75"/>
      <c r="CL244" s="75"/>
      <c r="CM244" s="75"/>
      <c r="CN244" s="75"/>
      <c r="CO244" s="75"/>
      <c r="CP244" s="75"/>
      <c r="CQ244" s="75"/>
      <c r="CR244" s="75"/>
      <c r="CS244" s="75"/>
      <c r="CT244" s="75"/>
      <c r="CU244" s="75"/>
      <c r="CV244" s="75"/>
      <c r="CW244" s="76"/>
      <c r="CX244" s="72"/>
      <c r="CY244" s="68"/>
      <c r="CZ244" s="68"/>
      <c r="DA244" s="69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</row>
    <row r="245" spans="1:128" ht="18" customHeight="1" x14ac:dyDescent="0.2">
      <c r="A245" s="74"/>
      <c r="B245" s="75"/>
      <c r="C245" s="75"/>
      <c r="D245" s="75"/>
      <c r="E245" s="75"/>
      <c r="F245" s="75" t="s">
        <v>561</v>
      </c>
      <c r="G245" s="75"/>
      <c r="H245" s="75"/>
      <c r="I245" s="75"/>
      <c r="J245" s="75"/>
      <c r="K245" s="75" t="str">
        <f>TEXT(TRUNC(노임단가!K5,0),"#,##0")</f>
        <v>172,068</v>
      </c>
      <c r="L245" s="75"/>
      <c r="M245" s="75"/>
      <c r="N245" s="75"/>
      <c r="O245" s="75"/>
      <c r="P245" s="75"/>
      <c r="Q245" s="75"/>
      <c r="R245" s="75"/>
      <c r="S245" s="75" t="s">
        <v>357</v>
      </c>
      <c r="T245" s="75"/>
      <c r="U245" s="75" t="str">
        <f>TEXT(2,"#,##0")</f>
        <v>2</v>
      </c>
      <c r="V245" s="75"/>
      <c r="W245" s="75"/>
      <c r="X245" s="75" t="s">
        <v>221</v>
      </c>
      <c r="Y245" s="75"/>
      <c r="Z245" s="75"/>
      <c r="AA245" s="75"/>
      <c r="AB245" s="75"/>
      <c r="AC245" s="75"/>
      <c r="AD245" s="75" t="s">
        <v>357</v>
      </c>
      <c r="AE245" s="75"/>
      <c r="AF245" s="75" t="s">
        <v>133</v>
      </c>
      <c r="AG245" s="75"/>
      <c r="AH245" s="75"/>
      <c r="AI245" s="75" t="s">
        <v>181</v>
      </c>
      <c r="AJ245" s="75"/>
      <c r="AK245" s="75" t="str">
        <f>TEXT(450,"#,##0")</f>
        <v>450</v>
      </c>
      <c r="AL245" s="75"/>
      <c r="AM245" s="75"/>
      <c r="AN245" s="75"/>
      <c r="AO245" s="75" t="s">
        <v>536</v>
      </c>
      <c r="AP245" s="75"/>
      <c r="AQ245" s="75" t="str">
        <f>TEXT(ROUNDDOWN(K245*U245*AA227/AK245,1),"#,##0.0#######")</f>
        <v>3,058.9</v>
      </c>
      <c r="AR245" s="75"/>
      <c r="AS245" s="75"/>
      <c r="AT245" s="75"/>
      <c r="AU245" s="75"/>
      <c r="AV245" s="75"/>
      <c r="AW245" s="75"/>
      <c r="AX245" s="75"/>
      <c r="AY245" s="75"/>
      <c r="AZ245" s="75"/>
      <c r="BA245" s="75"/>
      <c r="BB245" s="75"/>
      <c r="BC245" s="75"/>
      <c r="BD245" s="75"/>
      <c r="BE245" s="75"/>
      <c r="BF245" s="75"/>
      <c r="BG245" s="75"/>
      <c r="BH245" s="75"/>
      <c r="BI245" s="75"/>
      <c r="BJ245" s="75"/>
      <c r="BK245" s="75"/>
      <c r="BL245" s="75"/>
      <c r="BM245" s="75"/>
      <c r="BN245" s="75"/>
      <c r="BO245" s="75"/>
      <c r="BP245" s="75"/>
      <c r="BQ245" s="75"/>
      <c r="BR245" s="75"/>
      <c r="BS245" s="75"/>
      <c r="BT245" s="75"/>
      <c r="BU245" s="75"/>
      <c r="BV245" s="75"/>
      <c r="BW245" s="75"/>
      <c r="BX245" s="75"/>
      <c r="BY245" s="75"/>
      <c r="BZ245" s="75"/>
      <c r="CA245" s="75"/>
      <c r="CB245" s="75"/>
      <c r="CC245" s="75"/>
      <c r="CD245" s="75"/>
      <c r="CE245" s="75"/>
      <c r="CF245" s="75"/>
      <c r="CG245" s="75"/>
      <c r="CH245" s="75"/>
      <c r="CI245" s="75"/>
      <c r="CJ245" s="75"/>
      <c r="CK245" s="75"/>
      <c r="CL245" s="75"/>
      <c r="CM245" s="75"/>
      <c r="CN245" s="75"/>
      <c r="CO245" s="75"/>
      <c r="CP245" s="75"/>
      <c r="CQ245" s="75"/>
      <c r="CR245" s="75"/>
      <c r="CS245" s="75"/>
      <c r="CT245" s="75"/>
      <c r="CU245" s="75"/>
      <c r="CV245" s="75"/>
      <c r="CW245" s="76"/>
      <c r="CX245" s="72">
        <f>CY245+CZ245+DA245</f>
        <v>3058.9</v>
      </c>
      <c r="CY245" s="68"/>
      <c r="CZ245" s="68" t="str">
        <f>TEXT(AQ245,"#,###.0")</f>
        <v>3,058.9</v>
      </c>
      <c r="DA245" s="69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 t="s">
        <v>25</v>
      </c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</row>
    <row r="246" spans="1:128" ht="18" customHeight="1" x14ac:dyDescent="0.2">
      <c r="A246" s="74" t="s">
        <v>8</v>
      </c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75"/>
      <c r="AL246" s="75"/>
      <c r="AM246" s="75"/>
      <c r="AN246" s="75"/>
      <c r="AO246" s="75"/>
      <c r="AP246" s="75"/>
      <c r="AQ246" s="75"/>
      <c r="AR246" s="75"/>
      <c r="AS246" s="75"/>
      <c r="AT246" s="75"/>
      <c r="AU246" s="75"/>
      <c r="AV246" s="75"/>
      <c r="AW246" s="75"/>
      <c r="AX246" s="75"/>
      <c r="AY246" s="75"/>
      <c r="AZ246" s="75"/>
      <c r="BA246" s="75"/>
      <c r="BB246" s="75"/>
      <c r="BC246" s="75"/>
      <c r="BD246" s="75"/>
      <c r="BE246" s="75"/>
      <c r="BF246" s="75"/>
      <c r="BG246" s="75"/>
      <c r="BH246" s="75"/>
      <c r="BI246" s="75"/>
      <c r="BJ246" s="75"/>
      <c r="BK246" s="75"/>
      <c r="BL246" s="75"/>
      <c r="BM246" s="75"/>
      <c r="BN246" s="75"/>
      <c r="BO246" s="75"/>
      <c r="BP246" s="75"/>
      <c r="BQ246" s="75"/>
      <c r="BR246" s="75"/>
      <c r="BS246" s="75"/>
      <c r="BT246" s="75"/>
      <c r="BU246" s="75"/>
      <c r="BV246" s="75"/>
      <c r="BW246" s="75"/>
      <c r="BX246" s="75"/>
      <c r="BY246" s="75"/>
      <c r="BZ246" s="75"/>
      <c r="CA246" s="75"/>
      <c r="CB246" s="75"/>
      <c r="CC246" s="75"/>
      <c r="CD246" s="75"/>
      <c r="CE246" s="75"/>
      <c r="CF246" s="75"/>
      <c r="CG246" s="75"/>
      <c r="CH246" s="75"/>
      <c r="CI246" s="75"/>
      <c r="CJ246" s="75"/>
      <c r="CK246" s="75"/>
      <c r="CL246" s="75"/>
      <c r="CM246" s="75"/>
      <c r="CN246" s="75"/>
      <c r="CO246" s="75"/>
      <c r="CP246" s="75"/>
      <c r="CQ246" s="75"/>
      <c r="CR246" s="75"/>
      <c r="CS246" s="75"/>
      <c r="CT246" s="75"/>
      <c r="CU246" s="75"/>
      <c r="CV246" s="75"/>
      <c r="CW246" s="76"/>
      <c r="CX246" s="72"/>
      <c r="CY246" s="68"/>
      <c r="CZ246" s="68"/>
      <c r="DA246" s="69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</row>
    <row r="247" spans="1:128" ht="18" customHeight="1" x14ac:dyDescent="0.2">
      <c r="A247" s="74" t="s">
        <v>562</v>
      </c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  <c r="AD247" s="75"/>
      <c r="AE247" s="75"/>
      <c r="AF247" s="75"/>
      <c r="AG247" s="75"/>
      <c r="AH247" s="75"/>
      <c r="AI247" s="75"/>
      <c r="AJ247" s="75"/>
      <c r="AK247" s="75"/>
      <c r="AL247" s="75"/>
      <c r="AM247" s="75"/>
      <c r="AN247" s="75"/>
      <c r="AO247" s="75"/>
      <c r="AP247" s="75"/>
      <c r="AQ247" s="75"/>
      <c r="AR247" s="75"/>
      <c r="AS247" s="75"/>
      <c r="AT247" s="75"/>
      <c r="AU247" s="75"/>
      <c r="AV247" s="75"/>
      <c r="AW247" s="75"/>
      <c r="AX247" s="75"/>
      <c r="AY247" s="75"/>
      <c r="AZ247" s="75"/>
      <c r="BA247" s="75"/>
      <c r="BB247" s="75"/>
      <c r="BC247" s="75"/>
      <c r="BD247" s="75"/>
      <c r="BE247" s="75"/>
      <c r="BF247" s="75"/>
      <c r="BG247" s="75"/>
      <c r="BH247" s="75"/>
      <c r="BI247" s="75"/>
      <c r="BJ247" s="75"/>
      <c r="BK247" s="75"/>
      <c r="BL247" s="75"/>
      <c r="BM247" s="75"/>
      <c r="BN247" s="75"/>
      <c r="BO247" s="75"/>
      <c r="BP247" s="75"/>
      <c r="BQ247" s="75"/>
      <c r="BR247" s="75"/>
      <c r="BS247" s="75"/>
      <c r="BT247" s="75"/>
      <c r="BU247" s="75"/>
      <c r="BV247" s="75"/>
      <c r="BW247" s="75"/>
      <c r="BX247" s="75"/>
      <c r="BY247" s="75"/>
      <c r="BZ247" s="75"/>
      <c r="CA247" s="75"/>
      <c r="CB247" s="75"/>
      <c r="CC247" s="75"/>
      <c r="CD247" s="75"/>
      <c r="CE247" s="75"/>
      <c r="CF247" s="75"/>
      <c r="CG247" s="75"/>
      <c r="CH247" s="75"/>
      <c r="CI247" s="75"/>
      <c r="CJ247" s="75"/>
      <c r="CK247" s="75"/>
      <c r="CL247" s="75"/>
      <c r="CM247" s="75"/>
      <c r="CN247" s="75"/>
      <c r="CO247" s="75"/>
      <c r="CP247" s="75"/>
      <c r="CQ247" s="75"/>
      <c r="CR247" s="75"/>
      <c r="CS247" s="75"/>
      <c r="CT247" s="75"/>
      <c r="CU247" s="75"/>
      <c r="CV247" s="75"/>
      <c r="CW247" s="76"/>
      <c r="CX247" s="72"/>
      <c r="CY247" s="68"/>
      <c r="CZ247" s="68"/>
      <c r="DA247" s="69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 t="s">
        <v>8</v>
      </c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</row>
    <row r="248" spans="1:128" ht="18" customHeight="1" x14ac:dyDescent="0.2">
      <c r="A248" s="74" t="s">
        <v>8</v>
      </c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  <c r="AA248" s="75"/>
      <c r="AB248" s="75"/>
      <c r="AC248" s="75"/>
      <c r="AD248" s="75"/>
      <c r="AE248" s="75"/>
      <c r="AF248" s="75"/>
      <c r="AG248" s="75"/>
      <c r="AH248" s="75"/>
      <c r="AI248" s="75"/>
      <c r="AJ248" s="75"/>
      <c r="AK248" s="75"/>
      <c r="AL248" s="75"/>
      <c r="AM248" s="75"/>
      <c r="AN248" s="75"/>
      <c r="AO248" s="75"/>
      <c r="AP248" s="75"/>
      <c r="AQ248" s="75"/>
      <c r="AR248" s="75"/>
      <c r="AS248" s="75"/>
      <c r="AT248" s="75"/>
      <c r="AU248" s="75"/>
      <c r="AV248" s="75"/>
      <c r="AW248" s="75"/>
      <c r="AX248" s="75"/>
      <c r="AY248" s="75"/>
      <c r="AZ248" s="75"/>
      <c r="BA248" s="75"/>
      <c r="BB248" s="75"/>
      <c r="BC248" s="75"/>
      <c r="BD248" s="75"/>
      <c r="BE248" s="75"/>
      <c r="BF248" s="75"/>
      <c r="BG248" s="75"/>
      <c r="BH248" s="75"/>
      <c r="BI248" s="75"/>
      <c r="BJ248" s="75"/>
      <c r="BK248" s="75"/>
      <c r="BL248" s="75"/>
      <c r="BM248" s="75"/>
      <c r="BN248" s="75"/>
      <c r="BO248" s="75"/>
      <c r="BP248" s="75"/>
      <c r="BQ248" s="75"/>
      <c r="BR248" s="75"/>
      <c r="BS248" s="75"/>
      <c r="BT248" s="75"/>
      <c r="BU248" s="75"/>
      <c r="BV248" s="75"/>
      <c r="BW248" s="75"/>
      <c r="BX248" s="75"/>
      <c r="BY248" s="75"/>
      <c r="BZ248" s="75"/>
      <c r="CA248" s="75"/>
      <c r="CB248" s="75"/>
      <c r="CC248" s="75"/>
      <c r="CD248" s="75"/>
      <c r="CE248" s="75"/>
      <c r="CF248" s="75"/>
      <c r="CG248" s="75"/>
      <c r="CH248" s="75"/>
      <c r="CI248" s="75"/>
      <c r="CJ248" s="75"/>
      <c r="CK248" s="75"/>
      <c r="CL248" s="75"/>
      <c r="CM248" s="75"/>
      <c r="CN248" s="75"/>
      <c r="CO248" s="75"/>
      <c r="CP248" s="75"/>
      <c r="CQ248" s="75"/>
      <c r="CR248" s="75"/>
      <c r="CS248" s="75"/>
      <c r="CT248" s="75"/>
      <c r="CU248" s="75"/>
      <c r="CV248" s="75"/>
      <c r="CW248" s="76"/>
      <c r="CX248" s="72"/>
      <c r="CY248" s="68"/>
      <c r="CZ248" s="68"/>
      <c r="DA248" s="69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</row>
    <row r="249" spans="1:128" ht="18" customHeight="1" x14ac:dyDescent="0.2">
      <c r="A249" s="92"/>
      <c r="B249" s="93" t="s">
        <v>215</v>
      </c>
      <c r="C249" s="93"/>
      <c r="D249" s="93"/>
      <c r="E249" s="93"/>
      <c r="F249" s="93" t="s">
        <v>328</v>
      </c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  <c r="AM249" s="93"/>
      <c r="AN249" s="93"/>
      <c r="AO249" s="93"/>
      <c r="AP249" s="93"/>
      <c r="AQ249" s="93"/>
      <c r="AR249" s="93"/>
      <c r="AS249" s="93"/>
      <c r="AT249" s="93"/>
      <c r="AU249" s="93"/>
      <c r="AV249" s="93"/>
      <c r="AW249" s="93"/>
      <c r="AX249" s="93"/>
      <c r="AY249" s="93"/>
      <c r="AZ249" s="93"/>
      <c r="BA249" s="93"/>
      <c r="BB249" s="93"/>
      <c r="BC249" s="93"/>
      <c r="BD249" s="93"/>
      <c r="BE249" s="93"/>
      <c r="BF249" s="93"/>
      <c r="BG249" s="93"/>
      <c r="BH249" s="93"/>
      <c r="BI249" s="93"/>
      <c r="BJ249" s="93"/>
      <c r="BK249" s="93"/>
      <c r="BL249" s="93"/>
      <c r="BM249" s="93"/>
      <c r="BN249" s="93"/>
      <c r="BO249" s="93"/>
      <c r="BP249" s="93"/>
      <c r="BQ249" s="93"/>
      <c r="BR249" s="93"/>
      <c r="BS249" s="93"/>
      <c r="BT249" s="93"/>
      <c r="BU249" s="93"/>
      <c r="BV249" s="93"/>
      <c r="BW249" s="93"/>
      <c r="BX249" s="93"/>
      <c r="BY249" s="93"/>
      <c r="BZ249" s="93"/>
      <c r="CA249" s="93"/>
      <c r="CB249" s="93"/>
      <c r="CC249" s="93"/>
      <c r="CD249" s="93"/>
      <c r="CE249" s="93"/>
      <c r="CF249" s="93"/>
      <c r="CG249" s="93"/>
      <c r="CH249" s="93"/>
      <c r="CI249" s="93"/>
      <c r="CJ249" s="93"/>
      <c r="CK249" s="93"/>
      <c r="CL249" s="93"/>
      <c r="CM249" s="93"/>
      <c r="CN249" s="93"/>
      <c r="CO249" s="93"/>
      <c r="CP249" s="93"/>
      <c r="CQ249" s="93"/>
      <c r="CR249" s="93"/>
      <c r="CS249" s="93"/>
      <c r="CT249" s="93"/>
      <c r="CU249" s="93"/>
      <c r="CV249" s="93"/>
      <c r="CW249" s="94"/>
      <c r="CX249" s="95">
        <f>CY249+CZ249+DA249</f>
        <v>3058.9</v>
      </c>
      <c r="CY249" s="96" t="str">
        <f>TEXT(TRUNC(CY245,1),"#,###.0")</f>
        <v>.0</v>
      </c>
      <c r="CZ249" s="96" t="str">
        <f>TEXT(TRUNC(CZ245,1),"#,###.0")</f>
        <v>3,058.9</v>
      </c>
      <c r="DA249" s="97" t="str">
        <f>TEXT(TRUNC(DA245,1),"#,###.0")</f>
        <v>.0</v>
      </c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 t="s">
        <v>8</v>
      </c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</row>
    <row r="250" spans="1:128" ht="18" customHeight="1" x14ac:dyDescent="0.2">
      <c r="A250" s="74" t="s">
        <v>8</v>
      </c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  <c r="AD250" s="75"/>
      <c r="AE250" s="75"/>
      <c r="AF250" s="75"/>
      <c r="AG250" s="75"/>
      <c r="AH250" s="75"/>
      <c r="AI250" s="75"/>
      <c r="AJ250" s="75"/>
      <c r="AK250" s="75"/>
      <c r="AL250" s="75"/>
      <c r="AM250" s="75"/>
      <c r="AN250" s="75"/>
      <c r="AO250" s="75"/>
      <c r="AP250" s="75"/>
      <c r="AQ250" s="75"/>
      <c r="AR250" s="75"/>
      <c r="AS250" s="75"/>
      <c r="AT250" s="75"/>
      <c r="AU250" s="75"/>
      <c r="AV250" s="75"/>
      <c r="AW250" s="75"/>
      <c r="AX250" s="75"/>
      <c r="AY250" s="75"/>
      <c r="AZ250" s="75"/>
      <c r="BA250" s="75"/>
      <c r="BB250" s="75"/>
      <c r="BC250" s="75"/>
      <c r="BD250" s="75"/>
      <c r="BE250" s="75"/>
      <c r="BF250" s="75"/>
      <c r="BG250" s="75"/>
      <c r="BH250" s="75"/>
      <c r="BI250" s="75"/>
      <c r="BJ250" s="75"/>
      <c r="BK250" s="75"/>
      <c r="BL250" s="75"/>
      <c r="BM250" s="75"/>
      <c r="BN250" s="75"/>
      <c r="BO250" s="75"/>
      <c r="BP250" s="75"/>
      <c r="BQ250" s="75"/>
      <c r="BR250" s="75"/>
      <c r="BS250" s="75"/>
      <c r="BT250" s="75"/>
      <c r="BU250" s="75"/>
      <c r="BV250" s="75"/>
      <c r="BW250" s="75"/>
      <c r="BX250" s="75"/>
      <c r="BY250" s="75"/>
      <c r="BZ250" s="75"/>
      <c r="CA250" s="75"/>
      <c r="CB250" s="75"/>
      <c r="CC250" s="75"/>
      <c r="CD250" s="75"/>
      <c r="CE250" s="75"/>
      <c r="CF250" s="75"/>
      <c r="CG250" s="75"/>
      <c r="CH250" s="75"/>
      <c r="CI250" s="75"/>
      <c r="CJ250" s="75"/>
      <c r="CK250" s="75"/>
      <c r="CL250" s="75"/>
      <c r="CM250" s="75"/>
      <c r="CN250" s="75"/>
      <c r="CO250" s="75"/>
      <c r="CP250" s="75"/>
      <c r="CQ250" s="75"/>
      <c r="CR250" s="75"/>
      <c r="CS250" s="75"/>
      <c r="CT250" s="75"/>
      <c r="CU250" s="75"/>
      <c r="CV250" s="75"/>
      <c r="CW250" s="76"/>
      <c r="CX250" s="72"/>
      <c r="CY250" s="68"/>
      <c r="CZ250" s="68"/>
      <c r="DA250" s="69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</row>
    <row r="251" spans="1:128" ht="18" customHeight="1" x14ac:dyDescent="0.2">
      <c r="A251" s="74" t="s">
        <v>499</v>
      </c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75"/>
      <c r="AC251" s="75"/>
      <c r="AD251" s="75"/>
      <c r="AE251" s="75"/>
      <c r="AF251" s="75"/>
      <c r="AG251" s="75"/>
      <c r="AH251" s="75"/>
      <c r="AI251" s="75"/>
      <c r="AJ251" s="75"/>
      <c r="AK251" s="75"/>
      <c r="AL251" s="75"/>
      <c r="AM251" s="75"/>
      <c r="AN251" s="75"/>
      <c r="AO251" s="75"/>
      <c r="AP251" s="75"/>
      <c r="AQ251" s="75"/>
      <c r="AR251" s="75"/>
      <c r="AS251" s="75"/>
      <c r="AT251" s="75"/>
      <c r="AU251" s="75"/>
      <c r="AV251" s="75"/>
      <c r="AW251" s="75"/>
      <c r="AX251" s="75"/>
      <c r="AY251" s="75"/>
      <c r="AZ251" s="75"/>
      <c r="BA251" s="75"/>
      <c r="BB251" s="75"/>
      <c r="BC251" s="75"/>
      <c r="BD251" s="75"/>
      <c r="BE251" s="75"/>
      <c r="BF251" s="75"/>
      <c r="BG251" s="75"/>
      <c r="BH251" s="75"/>
      <c r="BI251" s="75"/>
      <c r="BJ251" s="75"/>
      <c r="BK251" s="75"/>
      <c r="BL251" s="75"/>
      <c r="BM251" s="75"/>
      <c r="BN251" s="75"/>
      <c r="BO251" s="75"/>
      <c r="BP251" s="75"/>
      <c r="BQ251" s="75"/>
      <c r="BR251" s="75"/>
      <c r="BS251" s="75"/>
      <c r="BT251" s="75"/>
      <c r="BU251" s="75"/>
      <c r="BV251" s="75"/>
      <c r="BW251" s="75"/>
      <c r="BX251" s="75"/>
      <c r="BY251" s="75"/>
      <c r="BZ251" s="75"/>
      <c r="CA251" s="75"/>
      <c r="CB251" s="75"/>
      <c r="CC251" s="75"/>
      <c r="CD251" s="75"/>
      <c r="CE251" s="75"/>
      <c r="CF251" s="75"/>
      <c r="CG251" s="75"/>
      <c r="CH251" s="75"/>
      <c r="CI251" s="75"/>
      <c r="CJ251" s="75"/>
      <c r="CK251" s="75"/>
      <c r="CL251" s="75"/>
      <c r="CM251" s="75"/>
      <c r="CN251" s="75"/>
      <c r="CO251" s="75"/>
      <c r="CP251" s="75"/>
      <c r="CQ251" s="75"/>
      <c r="CR251" s="75"/>
      <c r="CS251" s="75"/>
      <c r="CT251" s="75"/>
      <c r="CU251" s="75"/>
      <c r="CV251" s="75"/>
      <c r="CW251" s="76"/>
      <c r="CX251" s="72"/>
      <c r="CY251" s="68"/>
      <c r="CZ251" s="68"/>
      <c r="DA251" s="69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</row>
    <row r="252" spans="1:128" ht="18" customHeight="1" x14ac:dyDescent="0.2">
      <c r="A252" s="74" t="s">
        <v>8</v>
      </c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5"/>
      <c r="AH252" s="75"/>
      <c r="AI252" s="75"/>
      <c r="AJ252" s="75"/>
      <c r="AK252" s="75"/>
      <c r="AL252" s="75"/>
      <c r="AM252" s="75"/>
      <c r="AN252" s="75"/>
      <c r="AO252" s="75"/>
      <c r="AP252" s="75"/>
      <c r="AQ252" s="75"/>
      <c r="AR252" s="75"/>
      <c r="AS252" s="75"/>
      <c r="AT252" s="75"/>
      <c r="AU252" s="75"/>
      <c r="AV252" s="75"/>
      <c r="AW252" s="75"/>
      <c r="AX252" s="75"/>
      <c r="AY252" s="75"/>
      <c r="AZ252" s="75"/>
      <c r="BA252" s="75"/>
      <c r="BB252" s="75"/>
      <c r="BC252" s="75"/>
      <c r="BD252" s="75"/>
      <c r="BE252" s="75"/>
      <c r="BF252" s="75"/>
      <c r="BG252" s="75"/>
      <c r="BH252" s="75"/>
      <c r="BI252" s="75"/>
      <c r="BJ252" s="75"/>
      <c r="BK252" s="75"/>
      <c r="BL252" s="75"/>
      <c r="BM252" s="75"/>
      <c r="BN252" s="75"/>
      <c r="BO252" s="75"/>
      <c r="BP252" s="75"/>
      <c r="BQ252" s="75"/>
      <c r="BR252" s="75"/>
      <c r="BS252" s="75"/>
      <c r="BT252" s="75"/>
      <c r="BU252" s="75"/>
      <c r="BV252" s="75"/>
      <c r="BW252" s="75"/>
      <c r="BX252" s="75"/>
      <c r="BY252" s="75"/>
      <c r="BZ252" s="75"/>
      <c r="CA252" s="75"/>
      <c r="CB252" s="75"/>
      <c r="CC252" s="75"/>
      <c r="CD252" s="75"/>
      <c r="CE252" s="75"/>
      <c r="CF252" s="75"/>
      <c r="CG252" s="75"/>
      <c r="CH252" s="75"/>
      <c r="CI252" s="75"/>
      <c r="CJ252" s="75"/>
      <c r="CK252" s="75"/>
      <c r="CL252" s="75"/>
      <c r="CM252" s="75"/>
      <c r="CN252" s="75"/>
      <c r="CO252" s="75"/>
      <c r="CP252" s="75"/>
      <c r="CQ252" s="75"/>
      <c r="CR252" s="75"/>
      <c r="CS252" s="75"/>
      <c r="CT252" s="75"/>
      <c r="CU252" s="75"/>
      <c r="CV252" s="75"/>
      <c r="CW252" s="76"/>
      <c r="CX252" s="72"/>
      <c r="CY252" s="68"/>
      <c r="CZ252" s="68"/>
      <c r="DA252" s="69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</row>
    <row r="253" spans="1:128" ht="18" customHeight="1" x14ac:dyDescent="0.2">
      <c r="A253" s="74"/>
      <c r="B253" s="75"/>
      <c r="C253" s="75"/>
      <c r="D253" s="75" t="s">
        <v>12</v>
      </c>
      <c r="E253" s="75"/>
      <c r="F253" s="75" t="s">
        <v>536</v>
      </c>
      <c r="G253" s="75"/>
      <c r="H253" s="75" t="str">
        <f>TEXT(0.06,"#,##0.00#######")</f>
        <v>0.06</v>
      </c>
      <c r="I253" s="75"/>
      <c r="J253" s="75"/>
      <c r="K253" s="75"/>
      <c r="L253" s="75"/>
      <c r="M253" s="75"/>
      <c r="N253" s="75" t="s">
        <v>480</v>
      </c>
      <c r="O253" s="75"/>
      <c r="P253" s="75"/>
      <c r="Q253" s="75"/>
      <c r="R253" s="75"/>
      <c r="S253" s="75"/>
      <c r="T253" s="75" t="s">
        <v>14</v>
      </c>
      <c r="U253" s="75"/>
      <c r="V253" s="75"/>
      <c r="W253" s="75" t="s">
        <v>530</v>
      </c>
      <c r="X253" s="75"/>
      <c r="Y253" s="75" t="s">
        <v>536</v>
      </c>
      <c r="Z253" s="75"/>
      <c r="AA253" s="75" t="str">
        <f>TEXT(2.5,"#,##0.0#######")</f>
        <v>2.5</v>
      </c>
      <c r="AB253" s="75"/>
      <c r="AC253" s="75"/>
      <c r="AD253" s="75"/>
      <c r="AE253" s="75"/>
      <c r="AF253" s="75"/>
      <c r="AG253" s="75" t="s">
        <v>688</v>
      </c>
      <c r="AH253" s="75"/>
      <c r="AI253" s="75"/>
      <c r="AJ253" s="75"/>
      <c r="AK253" s="75"/>
      <c r="AL253" s="75"/>
      <c r="AM253" s="75"/>
      <c r="AN253" s="75"/>
      <c r="AO253" s="75"/>
      <c r="AP253" s="75"/>
      <c r="AQ253" s="75"/>
      <c r="AR253" s="75"/>
      <c r="AS253" s="75"/>
      <c r="AT253" s="75"/>
      <c r="AU253" s="75"/>
      <c r="AV253" s="75"/>
      <c r="AW253" s="75"/>
      <c r="AX253" s="75"/>
      <c r="AY253" s="75"/>
      <c r="AZ253" s="75"/>
      <c r="BA253" s="75"/>
      <c r="BB253" s="75"/>
      <c r="BC253" s="75"/>
      <c r="BD253" s="75"/>
      <c r="BE253" s="75"/>
      <c r="BF253" s="75"/>
      <c r="BG253" s="75"/>
      <c r="BH253" s="75"/>
      <c r="BI253" s="75"/>
      <c r="BJ253" s="75"/>
      <c r="BK253" s="75"/>
      <c r="BL253" s="75"/>
      <c r="BM253" s="75"/>
      <c r="BN253" s="75"/>
      <c r="BO253" s="75"/>
      <c r="BP253" s="75"/>
      <c r="BQ253" s="75"/>
      <c r="BR253" s="75"/>
      <c r="BS253" s="75"/>
      <c r="BT253" s="75"/>
      <c r="BU253" s="75"/>
      <c r="BV253" s="75"/>
      <c r="BW253" s="75"/>
      <c r="BX253" s="75"/>
      <c r="BY253" s="75"/>
      <c r="BZ253" s="75"/>
      <c r="CA253" s="75"/>
      <c r="CB253" s="75"/>
      <c r="CC253" s="75"/>
      <c r="CD253" s="75"/>
      <c r="CE253" s="75"/>
      <c r="CF253" s="75"/>
      <c r="CG253" s="75"/>
      <c r="CH253" s="75"/>
      <c r="CI253" s="75"/>
      <c r="CJ253" s="75"/>
      <c r="CK253" s="75"/>
      <c r="CL253" s="75"/>
      <c r="CM253" s="75"/>
      <c r="CN253" s="75"/>
      <c r="CO253" s="75"/>
      <c r="CP253" s="75"/>
      <c r="CQ253" s="75"/>
      <c r="CR253" s="75"/>
      <c r="CS253" s="75"/>
      <c r="CT253" s="75"/>
      <c r="CU253" s="75"/>
      <c r="CV253" s="75"/>
      <c r="CW253" s="76"/>
      <c r="CX253" s="72"/>
      <c r="CY253" s="68"/>
      <c r="CZ253" s="68"/>
      <c r="DA253" s="69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 t="s">
        <v>8</v>
      </c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</row>
    <row r="254" spans="1:128" ht="18" customHeight="1" x14ac:dyDescent="0.2">
      <c r="A254" s="74" t="s">
        <v>8</v>
      </c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  <c r="AA254" s="75"/>
      <c r="AB254" s="75"/>
      <c r="AC254" s="75"/>
      <c r="AD254" s="75"/>
      <c r="AE254" s="75"/>
      <c r="AF254" s="75"/>
      <c r="AG254" s="75"/>
      <c r="AH254" s="75"/>
      <c r="AI254" s="75"/>
      <c r="AJ254" s="75"/>
      <c r="AK254" s="75"/>
      <c r="AL254" s="75"/>
      <c r="AM254" s="75"/>
      <c r="AN254" s="75"/>
      <c r="AO254" s="75"/>
      <c r="AP254" s="75"/>
      <c r="AQ254" s="75"/>
      <c r="AR254" s="75"/>
      <c r="AS254" s="75"/>
      <c r="AT254" s="75"/>
      <c r="AU254" s="75"/>
      <c r="AV254" s="75"/>
      <c r="AW254" s="75"/>
      <c r="AX254" s="75"/>
      <c r="AY254" s="75"/>
      <c r="AZ254" s="75"/>
      <c r="BA254" s="75"/>
      <c r="BB254" s="75"/>
      <c r="BC254" s="75"/>
      <c r="BD254" s="75"/>
      <c r="BE254" s="75"/>
      <c r="BF254" s="75"/>
      <c r="BG254" s="75"/>
      <c r="BH254" s="75"/>
      <c r="BI254" s="75"/>
      <c r="BJ254" s="75"/>
      <c r="BK254" s="75"/>
      <c r="BL254" s="75"/>
      <c r="BM254" s="75"/>
      <c r="BN254" s="75"/>
      <c r="BO254" s="75"/>
      <c r="BP254" s="75"/>
      <c r="BQ254" s="75"/>
      <c r="BR254" s="75"/>
      <c r="BS254" s="75"/>
      <c r="BT254" s="75"/>
      <c r="BU254" s="75"/>
      <c r="BV254" s="75"/>
      <c r="BW254" s="75"/>
      <c r="BX254" s="75"/>
      <c r="BY254" s="75"/>
      <c r="BZ254" s="75"/>
      <c r="CA254" s="75"/>
      <c r="CB254" s="75"/>
      <c r="CC254" s="75"/>
      <c r="CD254" s="75"/>
      <c r="CE254" s="75"/>
      <c r="CF254" s="75"/>
      <c r="CG254" s="75"/>
      <c r="CH254" s="75"/>
      <c r="CI254" s="75"/>
      <c r="CJ254" s="75"/>
      <c r="CK254" s="75"/>
      <c r="CL254" s="75"/>
      <c r="CM254" s="75"/>
      <c r="CN254" s="75"/>
      <c r="CO254" s="75"/>
      <c r="CP254" s="75"/>
      <c r="CQ254" s="75"/>
      <c r="CR254" s="75"/>
      <c r="CS254" s="75"/>
      <c r="CT254" s="75"/>
      <c r="CU254" s="75"/>
      <c r="CV254" s="75"/>
      <c r="CW254" s="76"/>
      <c r="CX254" s="72"/>
      <c r="CY254" s="68"/>
      <c r="CZ254" s="68"/>
      <c r="DA254" s="69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</row>
    <row r="255" spans="1:128" ht="18" customHeight="1" x14ac:dyDescent="0.2">
      <c r="A255" s="74"/>
      <c r="B255" s="75"/>
      <c r="C255" s="75"/>
      <c r="D255" s="75" t="s">
        <v>347</v>
      </c>
      <c r="E255" s="75"/>
      <c r="F255" s="75" t="s">
        <v>536</v>
      </c>
      <c r="G255" s="75"/>
      <c r="H255" s="75" t="str">
        <f>TEXT(1,"#,##0.0#######")</f>
        <v>1.0</v>
      </c>
      <c r="I255" s="75"/>
      <c r="J255" s="75"/>
      <c r="K255" s="75"/>
      <c r="L255" s="75" t="s">
        <v>14</v>
      </c>
      <c r="M255" s="75"/>
      <c r="N255" s="75" t="s">
        <v>535</v>
      </c>
      <c r="O255" s="75"/>
      <c r="P255" s="75" t="s">
        <v>536</v>
      </c>
      <c r="Q255" s="75"/>
      <c r="R255" s="75" t="str">
        <f>TEXT(0.9,"#,##0.0#######")</f>
        <v>0.9</v>
      </c>
      <c r="S255" s="75"/>
      <c r="T255" s="75"/>
      <c r="U255" s="75"/>
      <c r="V255" s="75"/>
      <c r="W255" s="75"/>
      <c r="X255" s="75"/>
      <c r="Y255" s="75"/>
      <c r="Z255" s="75"/>
      <c r="AA255" s="75"/>
      <c r="AB255" s="75"/>
      <c r="AC255" s="75"/>
      <c r="AD255" s="75"/>
      <c r="AE255" s="75"/>
      <c r="AF255" s="75"/>
      <c r="AG255" s="75"/>
      <c r="AH255" s="75"/>
      <c r="AI255" s="75"/>
      <c r="AJ255" s="75"/>
      <c r="AK255" s="75"/>
      <c r="AL255" s="75"/>
      <c r="AM255" s="75"/>
      <c r="AN255" s="75"/>
      <c r="AO255" s="75"/>
      <c r="AP255" s="75"/>
      <c r="AQ255" s="75"/>
      <c r="AR255" s="75"/>
      <c r="AS255" s="75"/>
      <c r="AT255" s="75"/>
      <c r="AU255" s="75"/>
      <c r="AV255" s="75"/>
      <c r="AW255" s="75"/>
      <c r="AX255" s="75"/>
      <c r="AY255" s="75"/>
      <c r="AZ255" s="75"/>
      <c r="BA255" s="75"/>
      <c r="BB255" s="75"/>
      <c r="BC255" s="75"/>
      <c r="BD255" s="75"/>
      <c r="BE255" s="75"/>
      <c r="BF255" s="75"/>
      <c r="BG255" s="75"/>
      <c r="BH255" s="75"/>
      <c r="BI255" s="75"/>
      <c r="BJ255" s="75"/>
      <c r="BK255" s="75"/>
      <c r="BL255" s="75"/>
      <c r="BM255" s="75"/>
      <c r="BN255" s="75"/>
      <c r="BO255" s="75"/>
      <c r="BP255" s="75"/>
      <c r="BQ255" s="75"/>
      <c r="BR255" s="75"/>
      <c r="BS255" s="75"/>
      <c r="BT255" s="75"/>
      <c r="BU255" s="75"/>
      <c r="BV255" s="75"/>
      <c r="BW255" s="75"/>
      <c r="BX255" s="75"/>
      <c r="BY255" s="75"/>
      <c r="BZ255" s="75"/>
      <c r="CA255" s="75"/>
      <c r="CB255" s="75"/>
      <c r="CC255" s="75"/>
      <c r="CD255" s="75"/>
      <c r="CE255" s="75"/>
      <c r="CF255" s="75"/>
      <c r="CG255" s="75"/>
      <c r="CH255" s="75"/>
      <c r="CI255" s="75"/>
      <c r="CJ255" s="75"/>
      <c r="CK255" s="75"/>
      <c r="CL255" s="75"/>
      <c r="CM255" s="75"/>
      <c r="CN255" s="75"/>
      <c r="CO255" s="75"/>
      <c r="CP255" s="75"/>
      <c r="CQ255" s="75"/>
      <c r="CR255" s="75"/>
      <c r="CS255" s="75"/>
      <c r="CT255" s="75"/>
      <c r="CU255" s="75"/>
      <c r="CV255" s="75"/>
      <c r="CW255" s="76"/>
      <c r="CX255" s="72"/>
      <c r="CY255" s="68"/>
      <c r="CZ255" s="68"/>
      <c r="DA255" s="69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 t="s">
        <v>8</v>
      </c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</row>
    <row r="256" spans="1:128" ht="18" customHeight="1" x14ac:dyDescent="0.2">
      <c r="A256" s="74" t="s">
        <v>8</v>
      </c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  <c r="AA256" s="75"/>
      <c r="AB256" s="75"/>
      <c r="AC256" s="75"/>
      <c r="AD256" s="75"/>
      <c r="AE256" s="75"/>
      <c r="AF256" s="75"/>
      <c r="AG256" s="75"/>
      <c r="AH256" s="75"/>
      <c r="AI256" s="75"/>
      <c r="AJ256" s="75"/>
      <c r="AK256" s="75"/>
      <c r="AL256" s="75"/>
      <c r="AM256" s="75"/>
      <c r="AN256" s="75"/>
      <c r="AO256" s="75"/>
      <c r="AP256" s="75"/>
      <c r="AQ256" s="75"/>
      <c r="AR256" s="75"/>
      <c r="AS256" s="75"/>
      <c r="AT256" s="75"/>
      <c r="AU256" s="75"/>
      <c r="AV256" s="75"/>
      <c r="AW256" s="75"/>
      <c r="AX256" s="75"/>
      <c r="AY256" s="75"/>
      <c r="AZ256" s="75"/>
      <c r="BA256" s="75"/>
      <c r="BB256" s="75"/>
      <c r="BC256" s="75"/>
      <c r="BD256" s="75"/>
      <c r="BE256" s="75"/>
      <c r="BF256" s="75"/>
      <c r="BG256" s="75"/>
      <c r="BH256" s="75"/>
      <c r="BI256" s="75"/>
      <c r="BJ256" s="75"/>
      <c r="BK256" s="75"/>
      <c r="BL256" s="75"/>
      <c r="BM256" s="75"/>
      <c r="BN256" s="75"/>
      <c r="BO256" s="75"/>
      <c r="BP256" s="75"/>
      <c r="BQ256" s="75"/>
      <c r="BR256" s="75"/>
      <c r="BS256" s="75"/>
      <c r="BT256" s="75"/>
      <c r="BU256" s="75"/>
      <c r="BV256" s="75"/>
      <c r="BW256" s="75"/>
      <c r="BX256" s="75"/>
      <c r="BY256" s="75"/>
      <c r="BZ256" s="75"/>
      <c r="CA256" s="75"/>
      <c r="CB256" s="75"/>
      <c r="CC256" s="75"/>
      <c r="CD256" s="75"/>
      <c r="CE256" s="75"/>
      <c r="CF256" s="75"/>
      <c r="CG256" s="75"/>
      <c r="CH256" s="75"/>
      <c r="CI256" s="75"/>
      <c r="CJ256" s="75"/>
      <c r="CK256" s="75"/>
      <c r="CL256" s="75"/>
      <c r="CM256" s="75"/>
      <c r="CN256" s="75"/>
      <c r="CO256" s="75"/>
      <c r="CP256" s="75"/>
      <c r="CQ256" s="75"/>
      <c r="CR256" s="75"/>
      <c r="CS256" s="75"/>
      <c r="CT256" s="75"/>
      <c r="CU256" s="75"/>
      <c r="CV256" s="75"/>
      <c r="CW256" s="76"/>
      <c r="CX256" s="72"/>
      <c r="CY256" s="68"/>
      <c r="CZ256" s="68"/>
      <c r="DA256" s="69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</row>
    <row r="257" spans="1:128" ht="18" customHeight="1" x14ac:dyDescent="0.2">
      <c r="A257" s="74"/>
      <c r="B257" s="75"/>
      <c r="C257" s="75"/>
      <c r="D257" s="75" t="s">
        <v>343</v>
      </c>
      <c r="E257" s="75"/>
      <c r="F257" s="75"/>
      <c r="G257" s="75" t="s">
        <v>536</v>
      </c>
      <c r="H257" s="75"/>
      <c r="I257" s="75" t="s">
        <v>133</v>
      </c>
      <c r="J257" s="75"/>
      <c r="K257" s="75"/>
      <c r="L257" s="75" t="s">
        <v>357</v>
      </c>
      <c r="M257" s="75"/>
      <c r="N257" s="75" t="s">
        <v>530</v>
      </c>
      <c r="O257" s="75"/>
      <c r="P257" s="75" t="s">
        <v>536</v>
      </c>
      <c r="Q257" s="75"/>
      <c r="R257" s="75" t="str">
        <f>TEXT(ROUND(AA227*AA253,0),"#,##0")</f>
        <v>10</v>
      </c>
      <c r="S257" s="75"/>
      <c r="T257" s="75"/>
      <c r="U257" s="75"/>
      <c r="V257" s="75"/>
      <c r="W257" s="75"/>
      <c r="X257" s="75"/>
      <c r="Y257" s="75"/>
      <c r="Z257" s="75"/>
      <c r="AA257" s="75"/>
      <c r="AB257" s="75"/>
      <c r="AC257" s="75"/>
      <c r="AD257" s="75"/>
      <c r="AE257" s="75"/>
      <c r="AF257" s="75"/>
      <c r="AG257" s="75"/>
      <c r="AH257" s="75"/>
      <c r="AI257" s="75"/>
      <c r="AJ257" s="75"/>
      <c r="AK257" s="75"/>
      <c r="AL257" s="75"/>
      <c r="AM257" s="75"/>
      <c r="AN257" s="75"/>
      <c r="AO257" s="75"/>
      <c r="AP257" s="75"/>
      <c r="AQ257" s="75"/>
      <c r="AR257" s="75"/>
      <c r="AS257" s="75"/>
      <c r="AT257" s="75"/>
      <c r="AU257" s="75"/>
      <c r="AV257" s="75"/>
      <c r="AW257" s="75"/>
      <c r="AX257" s="75"/>
      <c r="AY257" s="75"/>
      <c r="AZ257" s="75"/>
      <c r="BA257" s="75"/>
      <c r="BB257" s="75"/>
      <c r="BC257" s="75"/>
      <c r="BD257" s="75"/>
      <c r="BE257" s="75"/>
      <c r="BF257" s="75"/>
      <c r="BG257" s="75"/>
      <c r="BH257" s="75"/>
      <c r="BI257" s="75"/>
      <c r="BJ257" s="75"/>
      <c r="BK257" s="75"/>
      <c r="BL257" s="75"/>
      <c r="BM257" s="75"/>
      <c r="BN257" s="75"/>
      <c r="BO257" s="75"/>
      <c r="BP257" s="75"/>
      <c r="BQ257" s="75"/>
      <c r="BR257" s="75"/>
      <c r="BS257" s="75"/>
      <c r="BT257" s="75"/>
      <c r="BU257" s="75"/>
      <c r="BV257" s="75"/>
      <c r="BW257" s="75"/>
      <c r="BX257" s="75"/>
      <c r="BY257" s="75"/>
      <c r="BZ257" s="75"/>
      <c r="CA257" s="75"/>
      <c r="CB257" s="75"/>
      <c r="CC257" s="75"/>
      <c r="CD257" s="75"/>
      <c r="CE257" s="75"/>
      <c r="CF257" s="75"/>
      <c r="CG257" s="75"/>
      <c r="CH257" s="75"/>
      <c r="CI257" s="75"/>
      <c r="CJ257" s="75"/>
      <c r="CK257" s="75"/>
      <c r="CL257" s="75"/>
      <c r="CM257" s="75"/>
      <c r="CN257" s="75"/>
      <c r="CO257" s="75"/>
      <c r="CP257" s="75"/>
      <c r="CQ257" s="75"/>
      <c r="CR257" s="75"/>
      <c r="CS257" s="75"/>
      <c r="CT257" s="75"/>
      <c r="CU257" s="75"/>
      <c r="CV257" s="75"/>
      <c r="CW257" s="76"/>
      <c r="CX257" s="72"/>
      <c r="CY257" s="68"/>
      <c r="CZ257" s="68"/>
      <c r="DA257" s="69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 t="s">
        <v>8</v>
      </c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</row>
    <row r="258" spans="1:128" ht="18" customHeight="1" x14ac:dyDescent="0.2">
      <c r="A258" s="74" t="s">
        <v>8</v>
      </c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  <c r="AD258" s="75"/>
      <c r="AE258" s="75"/>
      <c r="AF258" s="75"/>
      <c r="AG258" s="75"/>
      <c r="AH258" s="75"/>
      <c r="AI258" s="75"/>
      <c r="AJ258" s="75"/>
      <c r="AK258" s="75"/>
      <c r="AL258" s="75"/>
      <c r="AM258" s="75"/>
      <c r="AN258" s="75"/>
      <c r="AO258" s="75"/>
      <c r="AP258" s="75"/>
      <c r="AQ258" s="75"/>
      <c r="AR258" s="75"/>
      <c r="AS258" s="75"/>
      <c r="AT258" s="75"/>
      <c r="AU258" s="75"/>
      <c r="AV258" s="75"/>
      <c r="AW258" s="75"/>
      <c r="AX258" s="75"/>
      <c r="AY258" s="75"/>
      <c r="AZ258" s="75"/>
      <c r="BA258" s="75"/>
      <c r="BB258" s="75"/>
      <c r="BC258" s="75"/>
      <c r="BD258" s="75"/>
      <c r="BE258" s="75"/>
      <c r="BF258" s="75"/>
      <c r="BG258" s="75"/>
      <c r="BH258" s="75"/>
      <c r="BI258" s="75"/>
      <c r="BJ258" s="75"/>
      <c r="BK258" s="75"/>
      <c r="BL258" s="75"/>
      <c r="BM258" s="75"/>
      <c r="BN258" s="75"/>
      <c r="BO258" s="75"/>
      <c r="BP258" s="75"/>
      <c r="BQ258" s="75"/>
      <c r="BR258" s="75"/>
      <c r="BS258" s="75"/>
      <c r="BT258" s="75"/>
      <c r="BU258" s="75"/>
      <c r="BV258" s="75"/>
      <c r="BW258" s="75"/>
      <c r="BX258" s="75"/>
      <c r="BY258" s="75"/>
      <c r="BZ258" s="75"/>
      <c r="CA258" s="75"/>
      <c r="CB258" s="75"/>
      <c r="CC258" s="75"/>
      <c r="CD258" s="75"/>
      <c r="CE258" s="75"/>
      <c r="CF258" s="75"/>
      <c r="CG258" s="75"/>
      <c r="CH258" s="75"/>
      <c r="CI258" s="75"/>
      <c r="CJ258" s="75"/>
      <c r="CK258" s="75"/>
      <c r="CL258" s="75"/>
      <c r="CM258" s="75"/>
      <c r="CN258" s="75"/>
      <c r="CO258" s="75"/>
      <c r="CP258" s="75"/>
      <c r="CQ258" s="75"/>
      <c r="CR258" s="75"/>
      <c r="CS258" s="75"/>
      <c r="CT258" s="75"/>
      <c r="CU258" s="75"/>
      <c r="CV258" s="75"/>
      <c r="CW258" s="76"/>
      <c r="CX258" s="72"/>
      <c r="CY258" s="68"/>
      <c r="CZ258" s="68"/>
      <c r="DA258" s="69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</row>
    <row r="259" spans="1:128" ht="18" customHeight="1" x14ac:dyDescent="0.2">
      <c r="A259" s="74"/>
      <c r="B259" s="75"/>
      <c r="C259" s="75"/>
      <c r="D259" s="75" t="s">
        <v>527</v>
      </c>
      <c r="E259" s="75"/>
      <c r="F259" s="75"/>
      <c r="G259" s="75" t="s">
        <v>536</v>
      </c>
      <c r="H259" s="75"/>
      <c r="I259" s="75" t="s">
        <v>5</v>
      </c>
      <c r="J259" s="75"/>
      <c r="K259" s="75" t="s">
        <v>12</v>
      </c>
      <c r="L259" s="75"/>
      <c r="M259" s="75" t="s">
        <v>181</v>
      </c>
      <c r="N259" s="75"/>
      <c r="O259" s="75" t="str">
        <f>TEXT(10,"#,##0")</f>
        <v>10</v>
      </c>
      <c r="P259" s="75"/>
      <c r="Q259" s="75"/>
      <c r="R259" s="75" t="s">
        <v>173</v>
      </c>
      <c r="S259" s="75"/>
      <c r="T259" s="75"/>
      <c r="U259" s="75" t="s">
        <v>12</v>
      </c>
      <c r="V259" s="75"/>
      <c r="W259" s="75" t="s">
        <v>181</v>
      </c>
      <c r="X259" s="75"/>
      <c r="Y259" s="75" t="str">
        <f>TEXT(15,"#,##0")</f>
        <v>15</v>
      </c>
      <c r="Z259" s="75"/>
      <c r="AA259" s="75"/>
      <c r="AB259" s="75" t="s">
        <v>532</v>
      </c>
      <c r="AC259" s="75"/>
      <c r="AD259" s="75" t="s">
        <v>357</v>
      </c>
      <c r="AE259" s="75"/>
      <c r="AF259" s="75" t="str">
        <f>TEXT(60,"#,##0")</f>
        <v>60</v>
      </c>
      <c r="AG259" s="75"/>
      <c r="AH259" s="75"/>
      <c r="AI259" s="75" t="s">
        <v>536</v>
      </c>
      <c r="AJ259" s="75"/>
      <c r="AK259" s="75" t="str">
        <f>TEXT(ROUND((H253/O259+H253/Y259)*AF259,1),"#,##0.0#######")</f>
        <v>0.6</v>
      </c>
      <c r="AL259" s="75"/>
      <c r="AM259" s="75"/>
      <c r="AN259" s="75"/>
      <c r="AO259" s="75"/>
      <c r="AP259" s="75" t="s">
        <v>689</v>
      </c>
      <c r="AQ259" s="75"/>
      <c r="AR259" s="75"/>
      <c r="AS259" s="75"/>
      <c r="AT259" s="75"/>
      <c r="AU259" s="75"/>
      <c r="AV259" s="75"/>
      <c r="AW259" s="75"/>
      <c r="AX259" s="75"/>
      <c r="AY259" s="75"/>
      <c r="AZ259" s="75"/>
      <c r="BA259" s="75"/>
      <c r="BB259" s="75"/>
      <c r="BC259" s="75"/>
      <c r="BD259" s="75"/>
      <c r="BE259" s="75"/>
      <c r="BF259" s="75"/>
      <c r="BG259" s="75"/>
      <c r="BH259" s="75"/>
      <c r="BI259" s="75"/>
      <c r="BJ259" s="75"/>
      <c r="BK259" s="75"/>
      <c r="BL259" s="75"/>
      <c r="BM259" s="75"/>
      <c r="BN259" s="75"/>
      <c r="BO259" s="75"/>
      <c r="BP259" s="75"/>
      <c r="BQ259" s="75"/>
      <c r="BR259" s="75"/>
      <c r="BS259" s="75"/>
      <c r="BT259" s="75"/>
      <c r="BU259" s="75"/>
      <c r="BV259" s="75"/>
      <c r="BW259" s="75"/>
      <c r="BX259" s="75"/>
      <c r="BY259" s="75"/>
      <c r="BZ259" s="75"/>
      <c r="CA259" s="75"/>
      <c r="CB259" s="75"/>
      <c r="CC259" s="75"/>
      <c r="CD259" s="75"/>
      <c r="CE259" s="75"/>
      <c r="CF259" s="75"/>
      <c r="CG259" s="75"/>
      <c r="CH259" s="75"/>
      <c r="CI259" s="75"/>
      <c r="CJ259" s="75"/>
      <c r="CK259" s="75"/>
      <c r="CL259" s="75"/>
      <c r="CM259" s="75"/>
      <c r="CN259" s="75"/>
      <c r="CO259" s="75"/>
      <c r="CP259" s="75"/>
      <c r="CQ259" s="75"/>
      <c r="CR259" s="75"/>
      <c r="CS259" s="75"/>
      <c r="CT259" s="75"/>
      <c r="CU259" s="75"/>
      <c r="CV259" s="75"/>
      <c r="CW259" s="76"/>
      <c r="CX259" s="72"/>
      <c r="CY259" s="68"/>
      <c r="CZ259" s="68"/>
      <c r="DA259" s="69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 t="s">
        <v>8</v>
      </c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</row>
    <row r="260" spans="1:128" ht="18" customHeight="1" x14ac:dyDescent="0.2">
      <c r="A260" s="74" t="s">
        <v>8</v>
      </c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  <c r="AT260" s="75"/>
      <c r="AU260" s="75"/>
      <c r="AV260" s="75"/>
      <c r="AW260" s="75"/>
      <c r="AX260" s="75"/>
      <c r="AY260" s="75"/>
      <c r="AZ260" s="75"/>
      <c r="BA260" s="75"/>
      <c r="BB260" s="75"/>
      <c r="BC260" s="75"/>
      <c r="BD260" s="75"/>
      <c r="BE260" s="75"/>
      <c r="BF260" s="75"/>
      <c r="BG260" s="75"/>
      <c r="BH260" s="75"/>
      <c r="BI260" s="75"/>
      <c r="BJ260" s="75"/>
      <c r="BK260" s="75"/>
      <c r="BL260" s="75"/>
      <c r="BM260" s="75"/>
      <c r="BN260" s="75"/>
      <c r="BO260" s="75"/>
      <c r="BP260" s="75"/>
      <c r="BQ260" s="75"/>
      <c r="BR260" s="75"/>
      <c r="BS260" s="75"/>
      <c r="BT260" s="75"/>
      <c r="BU260" s="75"/>
      <c r="BV260" s="75"/>
      <c r="BW260" s="75"/>
      <c r="BX260" s="75"/>
      <c r="BY260" s="75"/>
      <c r="BZ260" s="75"/>
      <c r="CA260" s="75"/>
      <c r="CB260" s="75"/>
      <c r="CC260" s="75"/>
      <c r="CD260" s="75"/>
      <c r="CE260" s="75"/>
      <c r="CF260" s="75"/>
      <c r="CG260" s="75"/>
      <c r="CH260" s="75"/>
      <c r="CI260" s="75"/>
      <c r="CJ260" s="75"/>
      <c r="CK260" s="75"/>
      <c r="CL260" s="75"/>
      <c r="CM260" s="75"/>
      <c r="CN260" s="75"/>
      <c r="CO260" s="75"/>
      <c r="CP260" s="75"/>
      <c r="CQ260" s="75"/>
      <c r="CR260" s="75"/>
      <c r="CS260" s="75"/>
      <c r="CT260" s="75"/>
      <c r="CU260" s="75"/>
      <c r="CV260" s="75"/>
      <c r="CW260" s="76"/>
      <c r="CX260" s="72"/>
      <c r="CY260" s="68"/>
      <c r="CZ260" s="68"/>
      <c r="DA260" s="69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</row>
    <row r="261" spans="1:128" ht="18" customHeight="1" x14ac:dyDescent="0.2">
      <c r="A261" s="74"/>
      <c r="B261" s="75"/>
      <c r="C261" s="75"/>
      <c r="D261" s="75" t="s">
        <v>11</v>
      </c>
      <c r="E261" s="75"/>
      <c r="F261" s="75"/>
      <c r="G261" s="75" t="s">
        <v>536</v>
      </c>
      <c r="H261" s="75"/>
      <c r="I261" s="75" t="str">
        <f>TEXT(1,"#,##0")</f>
        <v>1</v>
      </c>
      <c r="J261" s="75"/>
      <c r="K261" s="75" t="s">
        <v>14</v>
      </c>
      <c r="L261" s="75"/>
      <c r="M261" s="75" t="s">
        <v>172</v>
      </c>
      <c r="N261" s="75"/>
      <c r="O261" s="75"/>
      <c r="P261" s="75" t="s">
        <v>536</v>
      </c>
      <c r="Q261" s="75"/>
      <c r="R261" s="75" t="str">
        <f>TEXT(0.42,"#,##0.00#######")</f>
        <v>0.42</v>
      </c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  <c r="AD261" s="75"/>
      <c r="AE261" s="75"/>
      <c r="AF261" s="75"/>
      <c r="AG261" s="75"/>
      <c r="AH261" s="75"/>
      <c r="AI261" s="75"/>
      <c r="AJ261" s="75"/>
      <c r="AK261" s="75"/>
      <c r="AL261" s="75"/>
      <c r="AM261" s="75"/>
      <c r="AN261" s="75"/>
      <c r="AO261" s="75"/>
      <c r="AP261" s="75"/>
      <c r="AQ261" s="75"/>
      <c r="AR261" s="75"/>
      <c r="AS261" s="75"/>
      <c r="AT261" s="75"/>
      <c r="AU261" s="75"/>
      <c r="AV261" s="75"/>
      <c r="AW261" s="75"/>
      <c r="AX261" s="75"/>
      <c r="AY261" s="75"/>
      <c r="AZ261" s="75"/>
      <c r="BA261" s="75"/>
      <c r="BB261" s="75"/>
      <c r="BC261" s="75"/>
      <c r="BD261" s="75"/>
      <c r="BE261" s="75"/>
      <c r="BF261" s="75"/>
      <c r="BG261" s="75"/>
      <c r="BH261" s="75"/>
      <c r="BI261" s="75"/>
      <c r="BJ261" s="75"/>
      <c r="BK261" s="75"/>
      <c r="BL261" s="75"/>
      <c r="BM261" s="75"/>
      <c r="BN261" s="75"/>
      <c r="BO261" s="75"/>
      <c r="BP261" s="75"/>
      <c r="BQ261" s="75"/>
      <c r="BR261" s="75"/>
      <c r="BS261" s="75"/>
      <c r="BT261" s="75"/>
      <c r="BU261" s="75"/>
      <c r="BV261" s="75"/>
      <c r="BW261" s="75"/>
      <c r="BX261" s="75"/>
      <c r="BY261" s="75"/>
      <c r="BZ261" s="75"/>
      <c r="CA261" s="75"/>
      <c r="CB261" s="75"/>
      <c r="CC261" s="75"/>
      <c r="CD261" s="75"/>
      <c r="CE261" s="75"/>
      <c r="CF261" s="75"/>
      <c r="CG261" s="75"/>
      <c r="CH261" s="75"/>
      <c r="CI261" s="75"/>
      <c r="CJ261" s="75"/>
      <c r="CK261" s="75"/>
      <c r="CL261" s="75"/>
      <c r="CM261" s="75"/>
      <c r="CN261" s="75"/>
      <c r="CO261" s="75"/>
      <c r="CP261" s="75"/>
      <c r="CQ261" s="75"/>
      <c r="CR261" s="75"/>
      <c r="CS261" s="75"/>
      <c r="CT261" s="75"/>
      <c r="CU261" s="75"/>
      <c r="CV261" s="75"/>
      <c r="CW261" s="76"/>
      <c r="CX261" s="72"/>
      <c r="CY261" s="68"/>
      <c r="CZ261" s="68"/>
      <c r="DA261" s="69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 t="s">
        <v>8</v>
      </c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</row>
    <row r="262" spans="1:128" ht="18" customHeight="1" x14ac:dyDescent="0.2">
      <c r="A262" s="74" t="s">
        <v>8</v>
      </c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  <c r="AA262" s="75"/>
      <c r="AB262" s="75"/>
      <c r="AC262" s="75"/>
      <c r="AD262" s="75"/>
      <c r="AE262" s="75"/>
      <c r="AF262" s="75"/>
      <c r="AG262" s="75"/>
      <c r="AH262" s="75"/>
      <c r="AI262" s="75"/>
      <c r="AJ262" s="75"/>
      <c r="AK262" s="75"/>
      <c r="AL262" s="75"/>
      <c r="AM262" s="75"/>
      <c r="AN262" s="75"/>
      <c r="AO262" s="75"/>
      <c r="AP262" s="75"/>
      <c r="AQ262" s="75"/>
      <c r="AR262" s="75"/>
      <c r="AS262" s="75"/>
      <c r="AT262" s="75"/>
      <c r="AU262" s="75"/>
      <c r="AV262" s="75"/>
      <c r="AW262" s="75"/>
      <c r="AX262" s="75"/>
      <c r="AY262" s="75"/>
      <c r="AZ262" s="75"/>
      <c r="BA262" s="75"/>
      <c r="BB262" s="75"/>
      <c r="BC262" s="75"/>
      <c r="BD262" s="75"/>
      <c r="BE262" s="75"/>
      <c r="BF262" s="75"/>
      <c r="BG262" s="75"/>
      <c r="BH262" s="75"/>
      <c r="BI262" s="75"/>
      <c r="BJ262" s="75"/>
      <c r="BK262" s="75"/>
      <c r="BL262" s="75"/>
      <c r="BM262" s="75"/>
      <c r="BN262" s="75"/>
      <c r="BO262" s="75"/>
      <c r="BP262" s="75"/>
      <c r="BQ262" s="75"/>
      <c r="BR262" s="75"/>
      <c r="BS262" s="75"/>
      <c r="BT262" s="75"/>
      <c r="BU262" s="75"/>
      <c r="BV262" s="75"/>
      <c r="BW262" s="75"/>
      <c r="BX262" s="75"/>
      <c r="BY262" s="75"/>
      <c r="BZ262" s="75"/>
      <c r="CA262" s="75"/>
      <c r="CB262" s="75"/>
      <c r="CC262" s="75"/>
      <c r="CD262" s="75"/>
      <c r="CE262" s="75"/>
      <c r="CF262" s="75"/>
      <c r="CG262" s="75"/>
      <c r="CH262" s="75"/>
      <c r="CI262" s="75"/>
      <c r="CJ262" s="75"/>
      <c r="CK262" s="75"/>
      <c r="CL262" s="75"/>
      <c r="CM262" s="75"/>
      <c r="CN262" s="75"/>
      <c r="CO262" s="75"/>
      <c r="CP262" s="75"/>
      <c r="CQ262" s="75"/>
      <c r="CR262" s="75"/>
      <c r="CS262" s="75"/>
      <c r="CT262" s="75"/>
      <c r="CU262" s="75"/>
      <c r="CV262" s="75"/>
      <c r="CW262" s="76"/>
      <c r="CX262" s="72"/>
      <c r="CY262" s="68"/>
      <c r="CZ262" s="68"/>
      <c r="DA262" s="69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</row>
    <row r="263" spans="1:128" ht="18" customHeight="1" x14ac:dyDescent="0.2">
      <c r="A263" s="74"/>
      <c r="B263" s="75"/>
      <c r="C263" s="75"/>
      <c r="D263" s="75" t="s">
        <v>133</v>
      </c>
      <c r="E263" s="75"/>
      <c r="F263" s="75"/>
      <c r="G263" s="75" t="s">
        <v>536</v>
      </c>
      <c r="H263" s="75"/>
      <c r="I263" s="75"/>
      <c r="J263" s="75" t="s">
        <v>343</v>
      </c>
      <c r="K263" s="75"/>
      <c r="L263" s="75"/>
      <c r="M263" s="75" t="s">
        <v>173</v>
      </c>
      <c r="N263" s="75"/>
      <c r="O263" s="75"/>
      <c r="P263" s="75" t="s">
        <v>527</v>
      </c>
      <c r="Q263" s="75"/>
      <c r="R263" s="75"/>
      <c r="S263" s="75" t="s">
        <v>173</v>
      </c>
      <c r="T263" s="75"/>
      <c r="U263" s="75"/>
      <c r="V263" s="75" t="s">
        <v>11</v>
      </c>
      <c r="W263" s="75"/>
      <c r="X263" s="75"/>
      <c r="Y263" s="75" t="s">
        <v>173</v>
      </c>
      <c r="Z263" s="75"/>
      <c r="AA263" s="75"/>
      <c r="AB263" s="75" t="s">
        <v>172</v>
      </c>
      <c r="AC263" s="75"/>
      <c r="AD263" s="75"/>
      <c r="AE263" s="75" t="s">
        <v>536</v>
      </c>
      <c r="AF263" s="75"/>
      <c r="AG263" s="75"/>
      <c r="AH263" s="75" t="str">
        <f>TEXT(ROUND(R257+AK259+I261+R261,2),"#,##0.00#######")</f>
        <v>12.02</v>
      </c>
      <c r="AI263" s="75"/>
      <c r="AJ263" s="75"/>
      <c r="AK263" s="75"/>
      <c r="AL263" s="75"/>
      <c r="AM263" s="75"/>
      <c r="AN263" s="75"/>
      <c r="AO263" s="75"/>
      <c r="AP263" s="75" t="s">
        <v>689</v>
      </c>
      <c r="AQ263" s="75"/>
      <c r="AR263" s="75"/>
      <c r="AS263" s="75"/>
      <c r="AT263" s="75"/>
      <c r="AU263" s="75"/>
      <c r="AV263" s="75"/>
      <c r="AW263" s="75"/>
      <c r="AX263" s="75"/>
      <c r="AY263" s="75"/>
      <c r="AZ263" s="75"/>
      <c r="BA263" s="75"/>
      <c r="BB263" s="75"/>
      <c r="BC263" s="75"/>
      <c r="BD263" s="75"/>
      <c r="BE263" s="75"/>
      <c r="BF263" s="75"/>
      <c r="BG263" s="75"/>
      <c r="BH263" s="75"/>
      <c r="BI263" s="75"/>
      <c r="BJ263" s="75"/>
      <c r="BK263" s="75"/>
      <c r="BL263" s="75"/>
      <c r="BM263" s="75"/>
      <c r="BN263" s="75"/>
      <c r="BO263" s="75"/>
      <c r="BP263" s="75"/>
      <c r="BQ263" s="75"/>
      <c r="BR263" s="75"/>
      <c r="BS263" s="75"/>
      <c r="BT263" s="75"/>
      <c r="BU263" s="75"/>
      <c r="BV263" s="75"/>
      <c r="BW263" s="75"/>
      <c r="BX263" s="75"/>
      <c r="BY263" s="75"/>
      <c r="BZ263" s="75"/>
      <c r="CA263" s="75"/>
      <c r="CB263" s="75"/>
      <c r="CC263" s="75"/>
      <c r="CD263" s="75"/>
      <c r="CE263" s="75"/>
      <c r="CF263" s="75"/>
      <c r="CG263" s="75"/>
      <c r="CH263" s="75"/>
      <c r="CI263" s="75"/>
      <c r="CJ263" s="75"/>
      <c r="CK263" s="75"/>
      <c r="CL263" s="75"/>
      <c r="CM263" s="75"/>
      <c r="CN263" s="75"/>
      <c r="CO263" s="75"/>
      <c r="CP263" s="75"/>
      <c r="CQ263" s="75"/>
      <c r="CR263" s="75"/>
      <c r="CS263" s="75"/>
      <c r="CT263" s="75"/>
      <c r="CU263" s="75"/>
      <c r="CV263" s="75"/>
      <c r="CW263" s="76"/>
      <c r="CX263" s="72"/>
      <c r="CY263" s="68"/>
      <c r="CZ263" s="68"/>
      <c r="DA263" s="69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 t="s">
        <v>8</v>
      </c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</row>
    <row r="264" spans="1:128" ht="18" customHeight="1" x14ac:dyDescent="0.2">
      <c r="A264" s="74" t="s">
        <v>8</v>
      </c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75"/>
      <c r="AN264" s="75"/>
      <c r="AO264" s="75"/>
      <c r="AP264" s="75"/>
      <c r="AQ264" s="75"/>
      <c r="AR264" s="75"/>
      <c r="AS264" s="75"/>
      <c r="AT264" s="75"/>
      <c r="AU264" s="75"/>
      <c r="AV264" s="75"/>
      <c r="AW264" s="75"/>
      <c r="AX264" s="75"/>
      <c r="AY264" s="75"/>
      <c r="AZ264" s="75"/>
      <c r="BA264" s="75"/>
      <c r="BB264" s="75"/>
      <c r="BC264" s="75"/>
      <c r="BD264" s="75"/>
      <c r="BE264" s="75"/>
      <c r="BF264" s="75"/>
      <c r="BG264" s="75"/>
      <c r="BH264" s="75"/>
      <c r="BI264" s="75"/>
      <c r="BJ264" s="75"/>
      <c r="BK264" s="75"/>
      <c r="BL264" s="75"/>
      <c r="BM264" s="75"/>
      <c r="BN264" s="75"/>
      <c r="BO264" s="75"/>
      <c r="BP264" s="75"/>
      <c r="BQ264" s="75"/>
      <c r="BR264" s="75"/>
      <c r="BS264" s="75"/>
      <c r="BT264" s="75"/>
      <c r="BU264" s="75"/>
      <c r="BV264" s="75"/>
      <c r="BW264" s="75"/>
      <c r="BX264" s="75"/>
      <c r="BY264" s="75"/>
      <c r="BZ264" s="75"/>
      <c r="CA264" s="75"/>
      <c r="CB264" s="75"/>
      <c r="CC264" s="75"/>
      <c r="CD264" s="75"/>
      <c r="CE264" s="75"/>
      <c r="CF264" s="75"/>
      <c r="CG264" s="75"/>
      <c r="CH264" s="75"/>
      <c r="CI264" s="75"/>
      <c r="CJ264" s="75"/>
      <c r="CK264" s="75"/>
      <c r="CL264" s="75"/>
      <c r="CM264" s="75"/>
      <c r="CN264" s="75"/>
      <c r="CO264" s="75"/>
      <c r="CP264" s="75"/>
      <c r="CQ264" s="75"/>
      <c r="CR264" s="75"/>
      <c r="CS264" s="75"/>
      <c r="CT264" s="75"/>
      <c r="CU264" s="75"/>
      <c r="CV264" s="75"/>
      <c r="CW264" s="76"/>
      <c r="CX264" s="72"/>
      <c r="CY264" s="68"/>
      <c r="CZ264" s="68"/>
      <c r="DA264" s="69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</row>
    <row r="265" spans="1:128" ht="18" customHeight="1" x14ac:dyDescent="0.2">
      <c r="A265" s="74"/>
      <c r="B265" s="75"/>
      <c r="C265" s="75"/>
      <c r="D265" s="75" t="s">
        <v>534</v>
      </c>
      <c r="E265" s="75"/>
      <c r="F265" s="75" t="s">
        <v>536</v>
      </c>
      <c r="G265" s="75"/>
      <c r="H265" s="75" t="str">
        <f>TEXT(60,"#,##0")</f>
        <v>60</v>
      </c>
      <c r="I265" s="75"/>
      <c r="J265" s="75"/>
      <c r="K265" s="75" t="s">
        <v>357</v>
      </c>
      <c r="L265" s="75"/>
      <c r="M265" s="75" t="s">
        <v>530</v>
      </c>
      <c r="N265" s="75"/>
      <c r="O265" s="75" t="s">
        <v>357</v>
      </c>
      <c r="P265" s="75"/>
      <c r="Q265" s="75" t="s">
        <v>347</v>
      </c>
      <c r="R265" s="75"/>
      <c r="S265" s="75" t="s">
        <v>357</v>
      </c>
      <c r="T265" s="75"/>
      <c r="U265" s="75" t="s">
        <v>535</v>
      </c>
      <c r="V265" s="75"/>
      <c r="W265" s="75" t="s">
        <v>181</v>
      </c>
      <c r="X265" s="75"/>
      <c r="Y265" s="75"/>
      <c r="Z265" s="75" t="s">
        <v>133</v>
      </c>
      <c r="AA265" s="75"/>
      <c r="AB265" s="75"/>
      <c r="AC265" s="75" t="s">
        <v>536</v>
      </c>
      <c r="AD265" s="75"/>
      <c r="AE265" s="75"/>
      <c r="AF265" s="75" t="str">
        <f>TEXT(ROUND(H265*AA253*H255*R255/AH263,2),"#,##0.00#######")</f>
        <v>11.23</v>
      </c>
      <c r="AG265" s="75"/>
      <c r="AH265" s="75"/>
      <c r="AI265" s="75"/>
      <c r="AJ265" s="75"/>
      <c r="AK265" s="75"/>
      <c r="AL265" s="75"/>
      <c r="AM265" s="75"/>
      <c r="AN265" s="75" t="s">
        <v>454</v>
      </c>
      <c r="AO265" s="75"/>
      <c r="AP265" s="75"/>
      <c r="AQ265" s="75"/>
      <c r="AR265" s="75"/>
      <c r="AS265" s="75"/>
      <c r="AT265" s="75"/>
      <c r="AU265" s="75"/>
      <c r="AV265" s="75"/>
      <c r="AW265" s="75"/>
      <c r="AX265" s="75"/>
      <c r="AY265" s="75"/>
      <c r="AZ265" s="75"/>
      <c r="BA265" s="75"/>
      <c r="BB265" s="75"/>
      <c r="BC265" s="75"/>
      <c r="BD265" s="75"/>
      <c r="BE265" s="75"/>
      <c r="BF265" s="75"/>
      <c r="BG265" s="75"/>
      <c r="BH265" s="75"/>
      <c r="BI265" s="75"/>
      <c r="BJ265" s="75"/>
      <c r="BK265" s="75"/>
      <c r="BL265" s="75"/>
      <c r="BM265" s="75"/>
      <c r="BN265" s="75"/>
      <c r="BO265" s="75"/>
      <c r="BP265" s="75"/>
      <c r="BQ265" s="75"/>
      <c r="BR265" s="75"/>
      <c r="BS265" s="75"/>
      <c r="BT265" s="75"/>
      <c r="BU265" s="75"/>
      <c r="BV265" s="75"/>
      <c r="BW265" s="75"/>
      <c r="BX265" s="75"/>
      <c r="BY265" s="75"/>
      <c r="BZ265" s="75"/>
      <c r="CA265" s="75"/>
      <c r="CB265" s="75"/>
      <c r="CC265" s="75"/>
      <c r="CD265" s="75"/>
      <c r="CE265" s="75"/>
      <c r="CF265" s="75"/>
      <c r="CG265" s="75"/>
      <c r="CH265" s="75"/>
      <c r="CI265" s="75"/>
      <c r="CJ265" s="75"/>
      <c r="CK265" s="75"/>
      <c r="CL265" s="75"/>
      <c r="CM265" s="75"/>
      <c r="CN265" s="75"/>
      <c r="CO265" s="75"/>
      <c r="CP265" s="75"/>
      <c r="CQ265" s="75"/>
      <c r="CR265" s="75"/>
      <c r="CS265" s="75"/>
      <c r="CT265" s="75"/>
      <c r="CU265" s="75"/>
      <c r="CV265" s="75"/>
      <c r="CW265" s="76"/>
      <c r="CX265" s="72"/>
      <c r="CY265" s="68"/>
      <c r="CZ265" s="68"/>
      <c r="DA265" s="69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 t="s">
        <v>8</v>
      </c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</row>
    <row r="266" spans="1:128" ht="18" customHeight="1" x14ac:dyDescent="0.2">
      <c r="A266" s="74" t="s">
        <v>8</v>
      </c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75"/>
      <c r="AC266" s="75"/>
      <c r="AD266" s="75"/>
      <c r="AE266" s="75"/>
      <c r="AF266" s="75"/>
      <c r="AG266" s="75"/>
      <c r="AH266" s="75"/>
      <c r="AI266" s="75"/>
      <c r="AJ266" s="75"/>
      <c r="AK266" s="75"/>
      <c r="AL266" s="75"/>
      <c r="AM266" s="75"/>
      <c r="AN266" s="75"/>
      <c r="AO266" s="75"/>
      <c r="AP266" s="75"/>
      <c r="AQ266" s="75"/>
      <c r="AR266" s="75"/>
      <c r="AS266" s="75"/>
      <c r="AT266" s="75"/>
      <c r="AU266" s="75"/>
      <c r="AV266" s="75"/>
      <c r="AW266" s="75"/>
      <c r="AX266" s="75"/>
      <c r="AY266" s="75"/>
      <c r="AZ266" s="75"/>
      <c r="BA266" s="75"/>
      <c r="BB266" s="75"/>
      <c r="BC266" s="75"/>
      <c r="BD266" s="75"/>
      <c r="BE266" s="75"/>
      <c r="BF266" s="75"/>
      <c r="BG266" s="75"/>
      <c r="BH266" s="75"/>
      <c r="BI266" s="75"/>
      <c r="BJ266" s="75"/>
      <c r="BK266" s="75"/>
      <c r="BL266" s="75"/>
      <c r="BM266" s="75"/>
      <c r="BN266" s="75"/>
      <c r="BO266" s="75"/>
      <c r="BP266" s="75"/>
      <c r="BQ266" s="75"/>
      <c r="BR266" s="75"/>
      <c r="BS266" s="75"/>
      <c r="BT266" s="75"/>
      <c r="BU266" s="75"/>
      <c r="BV266" s="75"/>
      <c r="BW266" s="75"/>
      <c r="BX266" s="75"/>
      <c r="BY266" s="75"/>
      <c r="BZ266" s="75"/>
      <c r="CA266" s="75"/>
      <c r="CB266" s="75"/>
      <c r="CC266" s="75"/>
      <c r="CD266" s="75"/>
      <c r="CE266" s="75"/>
      <c r="CF266" s="75"/>
      <c r="CG266" s="75"/>
      <c r="CH266" s="75"/>
      <c r="CI266" s="75"/>
      <c r="CJ266" s="75"/>
      <c r="CK266" s="75"/>
      <c r="CL266" s="75"/>
      <c r="CM266" s="75"/>
      <c r="CN266" s="75"/>
      <c r="CO266" s="75"/>
      <c r="CP266" s="75"/>
      <c r="CQ266" s="75"/>
      <c r="CR266" s="75"/>
      <c r="CS266" s="75"/>
      <c r="CT266" s="75"/>
      <c r="CU266" s="75"/>
      <c r="CV266" s="75"/>
      <c r="CW266" s="76"/>
      <c r="CX266" s="72"/>
      <c r="CY266" s="68"/>
      <c r="CZ266" s="68"/>
      <c r="DA266" s="69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</row>
    <row r="267" spans="1:128" ht="18" customHeight="1" x14ac:dyDescent="0.2">
      <c r="A267" s="74"/>
      <c r="B267" s="75"/>
      <c r="C267" s="75"/>
      <c r="D267" s="75"/>
      <c r="E267" s="75" t="s">
        <v>136</v>
      </c>
      <c r="F267" s="75"/>
      <c r="G267" s="75"/>
      <c r="H267" s="75"/>
      <c r="I267" s="75"/>
      <c r="J267" s="75" t="str">
        <f>TEXT(TRUNC(건설기계!H19,0),"#,##0")</f>
        <v>6,631</v>
      </c>
      <c r="K267" s="75"/>
      <c r="L267" s="75"/>
      <c r="M267" s="75"/>
      <c r="N267" s="75"/>
      <c r="O267" s="75"/>
      <c r="P267" s="75" t="s">
        <v>181</v>
      </c>
      <c r="Q267" s="75"/>
      <c r="R267" s="75"/>
      <c r="S267" s="75" t="s">
        <v>534</v>
      </c>
      <c r="T267" s="75"/>
      <c r="U267" s="75" t="s">
        <v>536</v>
      </c>
      <c r="V267" s="75"/>
      <c r="W267" s="75" t="str">
        <f>TEXT(ROUNDDOWN(J267/AF265,1),"#,##0.0#######")</f>
        <v>590.4</v>
      </c>
      <c r="X267" s="75"/>
      <c r="Y267" s="75"/>
      <c r="Z267" s="75"/>
      <c r="AA267" s="75"/>
      <c r="AB267" s="75"/>
      <c r="AC267" s="75"/>
      <c r="AD267" s="75" t="s">
        <v>679</v>
      </c>
      <c r="AE267" s="75"/>
      <c r="AF267" s="75"/>
      <c r="AG267" s="75"/>
      <c r="AH267" s="75"/>
      <c r="AI267" s="75"/>
      <c r="AJ267" s="75"/>
      <c r="AK267" s="75"/>
      <c r="AL267" s="75"/>
      <c r="AM267" s="75"/>
      <c r="AN267" s="75"/>
      <c r="AO267" s="75"/>
      <c r="AP267" s="75"/>
      <c r="AQ267" s="75"/>
      <c r="AR267" s="75"/>
      <c r="AS267" s="75"/>
      <c r="AT267" s="75"/>
      <c r="AU267" s="75"/>
      <c r="AV267" s="75"/>
      <c r="AW267" s="75"/>
      <c r="AX267" s="75"/>
      <c r="AY267" s="75"/>
      <c r="AZ267" s="75"/>
      <c r="BA267" s="75"/>
      <c r="BB267" s="75"/>
      <c r="BC267" s="75"/>
      <c r="BD267" s="75"/>
      <c r="BE267" s="75"/>
      <c r="BF267" s="75"/>
      <c r="BG267" s="75"/>
      <c r="BH267" s="75"/>
      <c r="BI267" s="75"/>
      <c r="BJ267" s="75"/>
      <c r="BK267" s="75"/>
      <c r="BL267" s="75"/>
      <c r="BM267" s="75"/>
      <c r="BN267" s="75"/>
      <c r="BO267" s="75"/>
      <c r="BP267" s="75"/>
      <c r="BQ267" s="75"/>
      <c r="BR267" s="75"/>
      <c r="BS267" s="75"/>
      <c r="BT267" s="75"/>
      <c r="BU267" s="75"/>
      <c r="BV267" s="75"/>
      <c r="BW267" s="75"/>
      <c r="BX267" s="75"/>
      <c r="BY267" s="75"/>
      <c r="BZ267" s="75"/>
      <c r="CA267" s="75"/>
      <c r="CB267" s="75"/>
      <c r="CC267" s="75"/>
      <c r="CD267" s="75"/>
      <c r="CE267" s="75"/>
      <c r="CF267" s="75"/>
      <c r="CG267" s="75"/>
      <c r="CH267" s="75"/>
      <c r="CI267" s="75"/>
      <c r="CJ267" s="75"/>
      <c r="CK267" s="75"/>
      <c r="CL267" s="75"/>
      <c r="CM267" s="75"/>
      <c r="CN267" s="75"/>
      <c r="CO267" s="75"/>
      <c r="CP267" s="75"/>
      <c r="CQ267" s="75"/>
      <c r="CR267" s="75"/>
      <c r="CS267" s="75"/>
      <c r="CT267" s="75"/>
      <c r="CU267" s="75"/>
      <c r="CV267" s="75"/>
      <c r="CW267" s="76"/>
      <c r="CX267" s="72">
        <f>CY267+CZ267+DA267</f>
        <v>590.4</v>
      </c>
      <c r="CY267" s="68"/>
      <c r="CZ267" s="68"/>
      <c r="DA267" s="69" t="str">
        <f>TEXT(W267,"#,###.0")</f>
        <v>590.4</v>
      </c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 t="s">
        <v>100</v>
      </c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</row>
    <row r="268" spans="1:128" ht="18" customHeight="1" x14ac:dyDescent="0.2">
      <c r="A268" s="74" t="s">
        <v>8</v>
      </c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  <c r="AA268" s="75"/>
      <c r="AB268" s="75"/>
      <c r="AC268" s="75"/>
      <c r="AD268" s="75"/>
      <c r="AE268" s="75"/>
      <c r="AF268" s="75"/>
      <c r="AG268" s="75"/>
      <c r="AH268" s="75"/>
      <c r="AI268" s="75"/>
      <c r="AJ268" s="75"/>
      <c r="AK268" s="75"/>
      <c r="AL268" s="75"/>
      <c r="AM268" s="75"/>
      <c r="AN268" s="75"/>
      <c r="AO268" s="75"/>
      <c r="AP268" s="75"/>
      <c r="AQ268" s="75"/>
      <c r="AR268" s="75"/>
      <c r="AS268" s="75"/>
      <c r="AT268" s="75"/>
      <c r="AU268" s="75"/>
      <c r="AV268" s="75"/>
      <c r="AW268" s="75"/>
      <c r="AX268" s="75"/>
      <c r="AY268" s="75"/>
      <c r="AZ268" s="75"/>
      <c r="BA268" s="75"/>
      <c r="BB268" s="75"/>
      <c r="BC268" s="75"/>
      <c r="BD268" s="75"/>
      <c r="BE268" s="75"/>
      <c r="BF268" s="75"/>
      <c r="BG268" s="75"/>
      <c r="BH268" s="75"/>
      <c r="BI268" s="75"/>
      <c r="BJ268" s="75"/>
      <c r="BK268" s="75"/>
      <c r="BL268" s="75"/>
      <c r="BM268" s="75"/>
      <c r="BN268" s="75"/>
      <c r="BO268" s="75"/>
      <c r="BP268" s="75"/>
      <c r="BQ268" s="75"/>
      <c r="BR268" s="75"/>
      <c r="BS268" s="75"/>
      <c r="BT268" s="75"/>
      <c r="BU268" s="75"/>
      <c r="BV268" s="75"/>
      <c r="BW268" s="75"/>
      <c r="BX268" s="75"/>
      <c r="BY268" s="75"/>
      <c r="BZ268" s="75"/>
      <c r="CA268" s="75"/>
      <c r="CB268" s="75"/>
      <c r="CC268" s="75"/>
      <c r="CD268" s="75"/>
      <c r="CE268" s="75"/>
      <c r="CF268" s="75"/>
      <c r="CG268" s="75"/>
      <c r="CH268" s="75"/>
      <c r="CI268" s="75"/>
      <c r="CJ268" s="75"/>
      <c r="CK268" s="75"/>
      <c r="CL268" s="75"/>
      <c r="CM268" s="75"/>
      <c r="CN268" s="75"/>
      <c r="CO268" s="75"/>
      <c r="CP268" s="75"/>
      <c r="CQ268" s="75"/>
      <c r="CR268" s="75"/>
      <c r="CS268" s="75"/>
      <c r="CT268" s="75"/>
      <c r="CU268" s="75"/>
      <c r="CV268" s="75"/>
      <c r="CW268" s="76"/>
      <c r="CX268" s="72"/>
      <c r="CY268" s="68"/>
      <c r="CZ268" s="68"/>
      <c r="DA268" s="69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</row>
    <row r="269" spans="1:128" ht="18" customHeight="1" x14ac:dyDescent="0.2">
      <c r="A269" s="74"/>
      <c r="B269" s="75"/>
      <c r="C269" s="75"/>
      <c r="D269" s="75"/>
      <c r="E269" s="75" t="s">
        <v>687</v>
      </c>
      <c r="F269" s="75"/>
      <c r="G269" s="75"/>
      <c r="H269" s="75"/>
      <c r="I269" s="75"/>
      <c r="J269" s="75" t="str">
        <f>TEXT(TRUNC(건설기계!J19,0),"#,##0")</f>
        <v>49,778</v>
      </c>
      <c r="K269" s="75"/>
      <c r="L269" s="75"/>
      <c r="M269" s="75"/>
      <c r="N269" s="75"/>
      <c r="O269" s="75"/>
      <c r="P269" s="75"/>
      <c r="Q269" s="75" t="s">
        <v>181</v>
      </c>
      <c r="R269" s="75"/>
      <c r="S269" s="75"/>
      <c r="T269" s="75" t="s">
        <v>534</v>
      </c>
      <c r="U269" s="75"/>
      <c r="V269" s="75" t="s">
        <v>536</v>
      </c>
      <c r="W269" s="75"/>
      <c r="X269" s="75" t="str">
        <f>TEXT(ROUNDDOWN(J269/AF265,1),"#,##0.0#######")</f>
        <v>4,432.5</v>
      </c>
      <c r="Y269" s="75"/>
      <c r="Z269" s="75"/>
      <c r="AA269" s="75"/>
      <c r="AB269" s="75"/>
      <c r="AC269" s="75"/>
      <c r="AD269" s="75"/>
      <c r="AE269" s="75"/>
      <c r="AF269" s="75"/>
      <c r="AG269" s="75" t="s">
        <v>679</v>
      </c>
      <c r="AH269" s="75"/>
      <c r="AI269" s="75"/>
      <c r="AJ269" s="75"/>
      <c r="AK269" s="75"/>
      <c r="AL269" s="75"/>
      <c r="AM269" s="75"/>
      <c r="AN269" s="75"/>
      <c r="AO269" s="75"/>
      <c r="AP269" s="75"/>
      <c r="AQ269" s="75"/>
      <c r="AR269" s="75"/>
      <c r="AS269" s="75"/>
      <c r="AT269" s="75"/>
      <c r="AU269" s="75"/>
      <c r="AV269" s="75"/>
      <c r="AW269" s="75"/>
      <c r="AX269" s="75"/>
      <c r="AY269" s="75"/>
      <c r="AZ269" s="75"/>
      <c r="BA269" s="75"/>
      <c r="BB269" s="75"/>
      <c r="BC269" s="75"/>
      <c r="BD269" s="75"/>
      <c r="BE269" s="75"/>
      <c r="BF269" s="75"/>
      <c r="BG269" s="75"/>
      <c r="BH269" s="75"/>
      <c r="BI269" s="75"/>
      <c r="BJ269" s="75"/>
      <c r="BK269" s="75"/>
      <c r="BL269" s="75"/>
      <c r="BM269" s="75"/>
      <c r="BN269" s="75"/>
      <c r="BO269" s="75"/>
      <c r="BP269" s="75"/>
      <c r="BQ269" s="75"/>
      <c r="BR269" s="75"/>
      <c r="BS269" s="75"/>
      <c r="BT269" s="75"/>
      <c r="BU269" s="75"/>
      <c r="BV269" s="75"/>
      <c r="BW269" s="75"/>
      <c r="BX269" s="75"/>
      <c r="BY269" s="75"/>
      <c r="BZ269" s="75"/>
      <c r="CA269" s="75"/>
      <c r="CB269" s="75"/>
      <c r="CC269" s="75"/>
      <c r="CD269" s="75"/>
      <c r="CE269" s="75"/>
      <c r="CF269" s="75"/>
      <c r="CG269" s="75"/>
      <c r="CH269" s="75"/>
      <c r="CI269" s="75"/>
      <c r="CJ269" s="75"/>
      <c r="CK269" s="75"/>
      <c r="CL269" s="75"/>
      <c r="CM269" s="75"/>
      <c r="CN269" s="75"/>
      <c r="CO269" s="75"/>
      <c r="CP269" s="75"/>
      <c r="CQ269" s="75"/>
      <c r="CR269" s="75"/>
      <c r="CS269" s="75"/>
      <c r="CT269" s="75"/>
      <c r="CU269" s="75"/>
      <c r="CV269" s="75"/>
      <c r="CW269" s="76"/>
      <c r="CX269" s="72">
        <f>CY269+CZ269+DA269</f>
        <v>4432.5</v>
      </c>
      <c r="CY269" s="68"/>
      <c r="CZ269" s="68"/>
      <c r="DA269" s="69" t="str">
        <f>TEXT(X269,"#,###.0")</f>
        <v>4,432.5</v>
      </c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 t="s">
        <v>100</v>
      </c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</row>
    <row r="270" spans="1:128" ht="18" customHeight="1" x14ac:dyDescent="0.2">
      <c r="A270" s="74" t="s">
        <v>8</v>
      </c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  <c r="AA270" s="75"/>
      <c r="AB270" s="75"/>
      <c r="AC270" s="75"/>
      <c r="AD270" s="75"/>
      <c r="AE270" s="75"/>
      <c r="AF270" s="75"/>
      <c r="AG270" s="75"/>
      <c r="AH270" s="75"/>
      <c r="AI270" s="75"/>
      <c r="AJ270" s="75"/>
      <c r="AK270" s="75"/>
      <c r="AL270" s="75"/>
      <c r="AM270" s="75"/>
      <c r="AN270" s="75"/>
      <c r="AO270" s="75"/>
      <c r="AP270" s="75"/>
      <c r="AQ270" s="75"/>
      <c r="AR270" s="75"/>
      <c r="AS270" s="75"/>
      <c r="AT270" s="75"/>
      <c r="AU270" s="75"/>
      <c r="AV270" s="75"/>
      <c r="AW270" s="75"/>
      <c r="AX270" s="75"/>
      <c r="AY270" s="75"/>
      <c r="AZ270" s="75"/>
      <c r="BA270" s="75"/>
      <c r="BB270" s="75"/>
      <c r="BC270" s="75"/>
      <c r="BD270" s="75"/>
      <c r="BE270" s="75"/>
      <c r="BF270" s="75"/>
      <c r="BG270" s="75"/>
      <c r="BH270" s="75"/>
      <c r="BI270" s="75"/>
      <c r="BJ270" s="75"/>
      <c r="BK270" s="75"/>
      <c r="BL270" s="75"/>
      <c r="BM270" s="75"/>
      <c r="BN270" s="75"/>
      <c r="BO270" s="75"/>
      <c r="BP270" s="75"/>
      <c r="BQ270" s="75"/>
      <c r="BR270" s="75"/>
      <c r="BS270" s="75"/>
      <c r="BT270" s="75"/>
      <c r="BU270" s="75"/>
      <c r="BV270" s="75"/>
      <c r="BW270" s="75"/>
      <c r="BX270" s="75"/>
      <c r="BY270" s="75"/>
      <c r="BZ270" s="75"/>
      <c r="CA270" s="75"/>
      <c r="CB270" s="75"/>
      <c r="CC270" s="75"/>
      <c r="CD270" s="75"/>
      <c r="CE270" s="75"/>
      <c r="CF270" s="75"/>
      <c r="CG270" s="75"/>
      <c r="CH270" s="75"/>
      <c r="CI270" s="75"/>
      <c r="CJ270" s="75"/>
      <c r="CK270" s="75"/>
      <c r="CL270" s="75"/>
      <c r="CM270" s="75"/>
      <c r="CN270" s="75"/>
      <c r="CO270" s="75"/>
      <c r="CP270" s="75"/>
      <c r="CQ270" s="75"/>
      <c r="CR270" s="75"/>
      <c r="CS270" s="75"/>
      <c r="CT270" s="75"/>
      <c r="CU270" s="75"/>
      <c r="CV270" s="75"/>
      <c r="CW270" s="76"/>
      <c r="CX270" s="72"/>
      <c r="CY270" s="68"/>
      <c r="CZ270" s="68"/>
      <c r="DA270" s="69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</row>
    <row r="271" spans="1:128" ht="18" customHeight="1" x14ac:dyDescent="0.2">
      <c r="A271" s="74"/>
      <c r="B271" s="75"/>
      <c r="C271" s="75"/>
      <c r="D271" s="75"/>
      <c r="E271" s="75" t="s">
        <v>313</v>
      </c>
      <c r="F271" s="75"/>
      <c r="G271" s="75"/>
      <c r="H271" s="75"/>
      <c r="I271" s="75"/>
      <c r="J271" s="75" t="str">
        <f>TEXT(TRUNC(건설기계!L19,0),"#,##0")</f>
        <v>6,522</v>
      </c>
      <c r="K271" s="75"/>
      <c r="L271" s="75"/>
      <c r="M271" s="75"/>
      <c r="N271" s="75"/>
      <c r="O271" s="75"/>
      <c r="P271" s="75" t="s">
        <v>181</v>
      </c>
      <c r="Q271" s="75"/>
      <c r="R271" s="75"/>
      <c r="S271" s="75" t="s">
        <v>534</v>
      </c>
      <c r="T271" s="75"/>
      <c r="U271" s="75" t="s">
        <v>536</v>
      </c>
      <c r="V271" s="75"/>
      <c r="W271" s="75" t="str">
        <f>TEXT(ROUNDDOWN(J271/AF265,1),"#,##0.0#######")</f>
        <v>580.7</v>
      </c>
      <c r="X271" s="75"/>
      <c r="Y271" s="75"/>
      <c r="Z271" s="75"/>
      <c r="AA271" s="75"/>
      <c r="AB271" s="75"/>
      <c r="AC271" s="75"/>
      <c r="AD271" s="75" t="s">
        <v>679</v>
      </c>
      <c r="AE271" s="75"/>
      <c r="AF271" s="75"/>
      <c r="AG271" s="75"/>
      <c r="AH271" s="75"/>
      <c r="AI271" s="75"/>
      <c r="AJ271" s="75"/>
      <c r="AK271" s="75"/>
      <c r="AL271" s="75"/>
      <c r="AM271" s="75"/>
      <c r="AN271" s="75"/>
      <c r="AO271" s="75"/>
      <c r="AP271" s="75"/>
      <c r="AQ271" s="75"/>
      <c r="AR271" s="75"/>
      <c r="AS271" s="75"/>
      <c r="AT271" s="75"/>
      <c r="AU271" s="75"/>
      <c r="AV271" s="75"/>
      <c r="AW271" s="75"/>
      <c r="AX271" s="75"/>
      <c r="AY271" s="75"/>
      <c r="AZ271" s="75"/>
      <c r="BA271" s="75"/>
      <c r="BB271" s="75"/>
      <c r="BC271" s="75"/>
      <c r="BD271" s="75"/>
      <c r="BE271" s="75"/>
      <c r="BF271" s="75"/>
      <c r="BG271" s="75"/>
      <c r="BH271" s="75"/>
      <c r="BI271" s="75"/>
      <c r="BJ271" s="75"/>
      <c r="BK271" s="75"/>
      <c r="BL271" s="75"/>
      <c r="BM271" s="75"/>
      <c r="BN271" s="75"/>
      <c r="BO271" s="75"/>
      <c r="BP271" s="75"/>
      <c r="BQ271" s="75"/>
      <c r="BR271" s="75"/>
      <c r="BS271" s="75"/>
      <c r="BT271" s="75"/>
      <c r="BU271" s="75"/>
      <c r="BV271" s="75"/>
      <c r="BW271" s="75"/>
      <c r="BX271" s="75"/>
      <c r="BY271" s="75"/>
      <c r="BZ271" s="75"/>
      <c r="CA271" s="75"/>
      <c r="CB271" s="75"/>
      <c r="CC271" s="75"/>
      <c r="CD271" s="75"/>
      <c r="CE271" s="75"/>
      <c r="CF271" s="75"/>
      <c r="CG271" s="75"/>
      <c r="CH271" s="75"/>
      <c r="CI271" s="75"/>
      <c r="CJ271" s="75"/>
      <c r="CK271" s="75"/>
      <c r="CL271" s="75"/>
      <c r="CM271" s="75"/>
      <c r="CN271" s="75"/>
      <c r="CO271" s="75"/>
      <c r="CP271" s="75"/>
      <c r="CQ271" s="75"/>
      <c r="CR271" s="75"/>
      <c r="CS271" s="75"/>
      <c r="CT271" s="75"/>
      <c r="CU271" s="75"/>
      <c r="CV271" s="75"/>
      <c r="CW271" s="76"/>
      <c r="CX271" s="72">
        <f>CY271+CZ271+DA271</f>
        <v>580.70000000000005</v>
      </c>
      <c r="CY271" s="68"/>
      <c r="CZ271" s="68"/>
      <c r="DA271" s="69" t="str">
        <f>TEXT(W271,"#,###.0")</f>
        <v>580.7</v>
      </c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 t="s">
        <v>100</v>
      </c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</row>
    <row r="272" spans="1:128" ht="18" customHeight="1" x14ac:dyDescent="0.2">
      <c r="A272" s="74" t="s">
        <v>8</v>
      </c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  <c r="AA272" s="75"/>
      <c r="AB272" s="75"/>
      <c r="AC272" s="75"/>
      <c r="AD272" s="75"/>
      <c r="AE272" s="75"/>
      <c r="AF272" s="75"/>
      <c r="AG272" s="75"/>
      <c r="AH272" s="75"/>
      <c r="AI272" s="75"/>
      <c r="AJ272" s="75"/>
      <c r="AK272" s="75"/>
      <c r="AL272" s="75"/>
      <c r="AM272" s="75"/>
      <c r="AN272" s="75"/>
      <c r="AO272" s="75"/>
      <c r="AP272" s="75"/>
      <c r="AQ272" s="75"/>
      <c r="AR272" s="75"/>
      <c r="AS272" s="75"/>
      <c r="AT272" s="75"/>
      <c r="AU272" s="75"/>
      <c r="AV272" s="75"/>
      <c r="AW272" s="75"/>
      <c r="AX272" s="75"/>
      <c r="AY272" s="75"/>
      <c r="AZ272" s="75"/>
      <c r="BA272" s="75"/>
      <c r="BB272" s="75"/>
      <c r="BC272" s="75"/>
      <c r="BD272" s="75"/>
      <c r="BE272" s="75"/>
      <c r="BF272" s="75"/>
      <c r="BG272" s="75"/>
      <c r="BH272" s="75"/>
      <c r="BI272" s="75"/>
      <c r="BJ272" s="75"/>
      <c r="BK272" s="75"/>
      <c r="BL272" s="75"/>
      <c r="BM272" s="75"/>
      <c r="BN272" s="75"/>
      <c r="BO272" s="75"/>
      <c r="BP272" s="75"/>
      <c r="BQ272" s="75"/>
      <c r="BR272" s="75"/>
      <c r="BS272" s="75"/>
      <c r="BT272" s="75"/>
      <c r="BU272" s="75"/>
      <c r="BV272" s="75"/>
      <c r="BW272" s="75"/>
      <c r="BX272" s="75"/>
      <c r="BY272" s="75"/>
      <c r="BZ272" s="75"/>
      <c r="CA272" s="75"/>
      <c r="CB272" s="75"/>
      <c r="CC272" s="75"/>
      <c r="CD272" s="75"/>
      <c r="CE272" s="75"/>
      <c r="CF272" s="75"/>
      <c r="CG272" s="75"/>
      <c r="CH272" s="75"/>
      <c r="CI272" s="75"/>
      <c r="CJ272" s="75"/>
      <c r="CK272" s="75"/>
      <c r="CL272" s="75"/>
      <c r="CM272" s="75"/>
      <c r="CN272" s="75"/>
      <c r="CO272" s="75"/>
      <c r="CP272" s="75"/>
      <c r="CQ272" s="75"/>
      <c r="CR272" s="75"/>
      <c r="CS272" s="75"/>
      <c r="CT272" s="75"/>
      <c r="CU272" s="75"/>
      <c r="CV272" s="75"/>
      <c r="CW272" s="76"/>
      <c r="CX272" s="72"/>
      <c r="CY272" s="68"/>
      <c r="CZ272" s="68"/>
      <c r="DA272" s="69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</row>
    <row r="273" spans="1:128" ht="18" customHeight="1" x14ac:dyDescent="0.2">
      <c r="A273" s="74" t="s">
        <v>148</v>
      </c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  <c r="AA273" s="75"/>
      <c r="AB273" s="75"/>
      <c r="AC273" s="75"/>
      <c r="AD273" s="75"/>
      <c r="AE273" s="75"/>
      <c r="AF273" s="75"/>
      <c r="AG273" s="75"/>
      <c r="AH273" s="75"/>
      <c r="AI273" s="75"/>
      <c r="AJ273" s="75"/>
      <c r="AK273" s="75"/>
      <c r="AL273" s="75"/>
      <c r="AM273" s="75"/>
      <c r="AN273" s="75"/>
      <c r="AO273" s="75"/>
      <c r="AP273" s="75"/>
      <c r="AQ273" s="75"/>
      <c r="AR273" s="75"/>
      <c r="AS273" s="75"/>
      <c r="AT273" s="75"/>
      <c r="AU273" s="75"/>
      <c r="AV273" s="75"/>
      <c r="AW273" s="75"/>
      <c r="AX273" s="75"/>
      <c r="AY273" s="75"/>
      <c r="AZ273" s="75"/>
      <c r="BA273" s="75"/>
      <c r="BB273" s="75"/>
      <c r="BC273" s="75"/>
      <c r="BD273" s="75"/>
      <c r="BE273" s="75"/>
      <c r="BF273" s="75"/>
      <c r="BG273" s="75"/>
      <c r="BH273" s="75"/>
      <c r="BI273" s="75"/>
      <c r="BJ273" s="75"/>
      <c r="BK273" s="75"/>
      <c r="BL273" s="75"/>
      <c r="BM273" s="75"/>
      <c r="BN273" s="75"/>
      <c r="BO273" s="75"/>
      <c r="BP273" s="75"/>
      <c r="BQ273" s="75"/>
      <c r="BR273" s="75"/>
      <c r="BS273" s="75"/>
      <c r="BT273" s="75"/>
      <c r="BU273" s="75"/>
      <c r="BV273" s="75"/>
      <c r="BW273" s="75"/>
      <c r="BX273" s="75"/>
      <c r="BY273" s="75"/>
      <c r="BZ273" s="75"/>
      <c r="CA273" s="75"/>
      <c r="CB273" s="75"/>
      <c r="CC273" s="75"/>
      <c r="CD273" s="75"/>
      <c r="CE273" s="75"/>
      <c r="CF273" s="75"/>
      <c r="CG273" s="75"/>
      <c r="CH273" s="75"/>
      <c r="CI273" s="75"/>
      <c r="CJ273" s="75"/>
      <c r="CK273" s="75"/>
      <c r="CL273" s="75"/>
      <c r="CM273" s="75"/>
      <c r="CN273" s="75"/>
      <c r="CO273" s="75"/>
      <c r="CP273" s="75"/>
      <c r="CQ273" s="75"/>
      <c r="CR273" s="75"/>
      <c r="CS273" s="75"/>
      <c r="CT273" s="75"/>
      <c r="CU273" s="75"/>
      <c r="CV273" s="75"/>
      <c r="CW273" s="76"/>
      <c r="CX273" s="72"/>
      <c r="CY273" s="68"/>
      <c r="CZ273" s="68"/>
      <c r="DA273" s="69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 t="s">
        <v>8</v>
      </c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</row>
    <row r="274" spans="1:128" ht="18" customHeight="1" x14ac:dyDescent="0.2">
      <c r="A274" s="74" t="s">
        <v>8</v>
      </c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  <c r="AA274" s="75"/>
      <c r="AB274" s="75"/>
      <c r="AC274" s="75"/>
      <c r="AD274" s="75"/>
      <c r="AE274" s="75"/>
      <c r="AF274" s="75"/>
      <c r="AG274" s="75"/>
      <c r="AH274" s="75"/>
      <c r="AI274" s="75"/>
      <c r="AJ274" s="75"/>
      <c r="AK274" s="75"/>
      <c r="AL274" s="75"/>
      <c r="AM274" s="75"/>
      <c r="AN274" s="75"/>
      <c r="AO274" s="75"/>
      <c r="AP274" s="75"/>
      <c r="AQ274" s="75"/>
      <c r="AR274" s="75"/>
      <c r="AS274" s="75"/>
      <c r="AT274" s="75"/>
      <c r="AU274" s="75"/>
      <c r="AV274" s="75"/>
      <c r="AW274" s="75"/>
      <c r="AX274" s="75"/>
      <c r="AY274" s="75"/>
      <c r="AZ274" s="75"/>
      <c r="BA274" s="75"/>
      <c r="BB274" s="75"/>
      <c r="BC274" s="75"/>
      <c r="BD274" s="75"/>
      <c r="BE274" s="75"/>
      <c r="BF274" s="75"/>
      <c r="BG274" s="75"/>
      <c r="BH274" s="75"/>
      <c r="BI274" s="75"/>
      <c r="BJ274" s="75"/>
      <c r="BK274" s="75"/>
      <c r="BL274" s="75"/>
      <c r="BM274" s="75"/>
      <c r="BN274" s="75"/>
      <c r="BO274" s="75"/>
      <c r="BP274" s="75"/>
      <c r="BQ274" s="75"/>
      <c r="BR274" s="75"/>
      <c r="BS274" s="75"/>
      <c r="BT274" s="75"/>
      <c r="BU274" s="75"/>
      <c r="BV274" s="75"/>
      <c r="BW274" s="75"/>
      <c r="BX274" s="75"/>
      <c r="BY274" s="75"/>
      <c r="BZ274" s="75"/>
      <c r="CA274" s="75"/>
      <c r="CB274" s="75"/>
      <c r="CC274" s="75"/>
      <c r="CD274" s="75"/>
      <c r="CE274" s="75"/>
      <c r="CF274" s="75"/>
      <c r="CG274" s="75"/>
      <c r="CH274" s="75"/>
      <c r="CI274" s="75"/>
      <c r="CJ274" s="75"/>
      <c r="CK274" s="75"/>
      <c r="CL274" s="75"/>
      <c r="CM274" s="75"/>
      <c r="CN274" s="75"/>
      <c r="CO274" s="75"/>
      <c r="CP274" s="75"/>
      <c r="CQ274" s="75"/>
      <c r="CR274" s="75"/>
      <c r="CS274" s="75"/>
      <c r="CT274" s="75"/>
      <c r="CU274" s="75"/>
      <c r="CV274" s="75"/>
      <c r="CW274" s="76"/>
      <c r="CX274" s="72"/>
      <c r="CY274" s="68"/>
      <c r="CZ274" s="68"/>
      <c r="DA274" s="69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</row>
    <row r="275" spans="1:128" ht="18" customHeight="1" x14ac:dyDescent="0.2">
      <c r="A275" s="92"/>
      <c r="B275" s="93" t="s">
        <v>215</v>
      </c>
      <c r="C275" s="93"/>
      <c r="D275" s="93"/>
      <c r="E275" s="93"/>
      <c r="F275" s="93" t="s">
        <v>328</v>
      </c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3"/>
      <c r="AC275" s="93"/>
      <c r="AD275" s="93"/>
      <c r="AE275" s="93"/>
      <c r="AF275" s="93"/>
      <c r="AG275" s="93"/>
      <c r="AH275" s="93"/>
      <c r="AI275" s="93"/>
      <c r="AJ275" s="93"/>
      <c r="AK275" s="93"/>
      <c r="AL275" s="93"/>
      <c r="AM275" s="93"/>
      <c r="AN275" s="93"/>
      <c r="AO275" s="93"/>
      <c r="AP275" s="93"/>
      <c r="AQ275" s="93"/>
      <c r="AR275" s="93"/>
      <c r="AS275" s="93"/>
      <c r="AT275" s="93"/>
      <c r="AU275" s="93"/>
      <c r="AV275" s="93"/>
      <c r="AW275" s="93"/>
      <c r="AX275" s="93"/>
      <c r="AY275" s="93"/>
      <c r="AZ275" s="93"/>
      <c r="BA275" s="93"/>
      <c r="BB275" s="93"/>
      <c r="BC275" s="93"/>
      <c r="BD275" s="93"/>
      <c r="BE275" s="93"/>
      <c r="BF275" s="93"/>
      <c r="BG275" s="93"/>
      <c r="BH275" s="93"/>
      <c r="BI275" s="93"/>
      <c r="BJ275" s="93"/>
      <c r="BK275" s="93"/>
      <c r="BL275" s="93"/>
      <c r="BM275" s="93"/>
      <c r="BN275" s="93"/>
      <c r="BO275" s="93"/>
      <c r="BP275" s="93"/>
      <c r="BQ275" s="93"/>
      <c r="BR275" s="93"/>
      <c r="BS275" s="93"/>
      <c r="BT275" s="93"/>
      <c r="BU275" s="93"/>
      <c r="BV275" s="93"/>
      <c r="BW275" s="93"/>
      <c r="BX275" s="93"/>
      <c r="BY275" s="93"/>
      <c r="BZ275" s="93"/>
      <c r="CA275" s="93"/>
      <c r="CB275" s="93"/>
      <c r="CC275" s="93"/>
      <c r="CD275" s="93"/>
      <c r="CE275" s="93"/>
      <c r="CF275" s="93"/>
      <c r="CG275" s="93"/>
      <c r="CH275" s="93"/>
      <c r="CI275" s="93"/>
      <c r="CJ275" s="93"/>
      <c r="CK275" s="93"/>
      <c r="CL275" s="93"/>
      <c r="CM275" s="93"/>
      <c r="CN275" s="93"/>
      <c r="CO275" s="93"/>
      <c r="CP275" s="93"/>
      <c r="CQ275" s="93"/>
      <c r="CR275" s="93"/>
      <c r="CS275" s="93"/>
      <c r="CT275" s="93"/>
      <c r="CU275" s="93"/>
      <c r="CV275" s="93"/>
      <c r="CW275" s="94"/>
      <c r="CX275" s="95">
        <f>CY275+CZ275+DA275</f>
        <v>5603.6</v>
      </c>
      <c r="CY275" s="96" t="str">
        <f>TEXT(TRUNC(CY267+CY269+CY271,1),"#,###.0")</f>
        <v>.0</v>
      </c>
      <c r="CZ275" s="96" t="str">
        <f>TEXT(TRUNC(CZ267+CZ269+CZ271,1),"#,###.0")</f>
        <v>.0</v>
      </c>
      <c r="DA275" s="97" t="str">
        <f>TEXT(TRUNC(DA267+DA269+DA271,1),"#,###.0")</f>
        <v>5,603.6</v>
      </c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 t="s">
        <v>8</v>
      </c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</row>
    <row r="276" spans="1:128" ht="18" customHeight="1" x14ac:dyDescent="0.2">
      <c r="A276" s="74" t="s">
        <v>8</v>
      </c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  <c r="AA276" s="75"/>
      <c r="AB276" s="75"/>
      <c r="AC276" s="75"/>
      <c r="AD276" s="75"/>
      <c r="AE276" s="75"/>
      <c r="AF276" s="75"/>
      <c r="AG276" s="75"/>
      <c r="AH276" s="75"/>
      <c r="AI276" s="75"/>
      <c r="AJ276" s="75"/>
      <c r="AK276" s="75"/>
      <c r="AL276" s="75"/>
      <c r="AM276" s="75"/>
      <c r="AN276" s="75"/>
      <c r="AO276" s="75"/>
      <c r="AP276" s="75"/>
      <c r="AQ276" s="75"/>
      <c r="AR276" s="75"/>
      <c r="AS276" s="75"/>
      <c r="AT276" s="75"/>
      <c r="AU276" s="75"/>
      <c r="AV276" s="75"/>
      <c r="AW276" s="75"/>
      <c r="AX276" s="75"/>
      <c r="AY276" s="75"/>
      <c r="AZ276" s="75"/>
      <c r="BA276" s="75"/>
      <c r="BB276" s="75"/>
      <c r="BC276" s="75"/>
      <c r="BD276" s="75"/>
      <c r="BE276" s="75"/>
      <c r="BF276" s="75"/>
      <c r="BG276" s="75"/>
      <c r="BH276" s="75"/>
      <c r="BI276" s="75"/>
      <c r="BJ276" s="75"/>
      <c r="BK276" s="75"/>
      <c r="BL276" s="75"/>
      <c r="BM276" s="75"/>
      <c r="BN276" s="75"/>
      <c r="BO276" s="75"/>
      <c r="BP276" s="75"/>
      <c r="BQ276" s="75"/>
      <c r="BR276" s="75"/>
      <c r="BS276" s="75"/>
      <c r="BT276" s="75"/>
      <c r="BU276" s="75"/>
      <c r="BV276" s="75"/>
      <c r="BW276" s="75"/>
      <c r="BX276" s="75"/>
      <c r="BY276" s="75"/>
      <c r="BZ276" s="75"/>
      <c r="CA276" s="75"/>
      <c r="CB276" s="75"/>
      <c r="CC276" s="75"/>
      <c r="CD276" s="75"/>
      <c r="CE276" s="75"/>
      <c r="CF276" s="75"/>
      <c r="CG276" s="75"/>
      <c r="CH276" s="75"/>
      <c r="CI276" s="75"/>
      <c r="CJ276" s="75"/>
      <c r="CK276" s="75"/>
      <c r="CL276" s="75"/>
      <c r="CM276" s="75"/>
      <c r="CN276" s="75"/>
      <c r="CO276" s="75"/>
      <c r="CP276" s="75"/>
      <c r="CQ276" s="75"/>
      <c r="CR276" s="75"/>
      <c r="CS276" s="75"/>
      <c r="CT276" s="75"/>
      <c r="CU276" s="75"/>
      <c r="CV276" s="75"/>
      <c r="CW276" s="76"/>
      <c r="CX276" s="72"/>
      <c r="CY276" s="68"/>
      <c r="CZ276" s="68"/>
      <c r="DA276" s="69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</row>
    <row r="277" spans="1:128" ht="18" customHeight="1" x14ac:dyDescent="0.2">
      <c r="A277" s="98"/>
      <c r="B277" s="99" t="s">
        <v>424</v>
      </c>
      <c r="C277" s="99"/>
      <c r="D277" s="99"/>
      <c r="E277" s="99"/>
      <c r="F277" s="99" t="s">
        <v>328</v>
      </c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99"/>
      <c r="Z277" s="99"/>
      <c r="AA277" s="99"/>
      <c r="AB277" s="99"/>
      <c r="AC277" s="99"/>
      <c r="AD277" s="99"/>
      <c r="AE277" s="99"/>
      <c r="AF277" s="99"/>
      <c r="AG277" s="99"/>
      <c r="AH277" s="99"/>
      <c r="AI277" s="99"/>
      <c r="AJ277" s="99"/>
      <c r="AK277" s="99"/>
      <c r="AL277" s="99"/>
      <c r="AM277" s="99"/>
      <c r="AN277" s="99"/>
      <c r="AO277" s="99"/>
      <c r="AP277" s="99"/>
      <c r="AQ277" s="99"/>
      <c r="AR277" s="99"/>
      <c r="AS277" s="99"/>
      <c r="AT277" s="99"/>
      <c r="AU277" s="99"/>
      <c r="AV277" s="99"/>
      <c r="AW277" s="99"/>
      <c r="AX277" s="99"/>
      <c r="AY277" s="99"/>
      <c r="AZ277" s="99"/>
      <c r="BA277" s="99"/>
      <c r="BB277" s="99"/>
      <c r="BC277" s="99"/>
      <c r="BD277" s="99"/>
      <c r="BE277" s="99"/>
      <c r="BF277" s="99"/>
      <c r="BG277" s="99"/>
      <c r="BH277" s="99"/>
      <c r="BI277" s="99"/>
      <c r="BJ277" s="99"/>
      <c r="BK277" s="99"/>
      <c r="BL277" s="99"/>
      <c r="BM277" s="99"/>
      <c r="BN277" s="99"/>
      <c r="BO277" s="99"/>
      <c r="BP277" s="99"/>
      <c r="BQ277" s="99"/>
      <c r="BR277" s="99"/>
      <c r="BS277" s="99"/>
      <c r="BT277" s="99"/>
      <c r="BU277" s="99"/>
      <c r="BV277" s="99"/>
      <c r="BW277" s="99"/>
      <c r="BX277" s="99"/>
      <c r="BY277" s="99"/>
      <c r="BZ277" s="99"/>
      <c r="CA277" s="99"/>
      <c r="CB277" s="99"/>
      <c r="CC277" s="99"/>
      <c r="CD277" s="99"/>
      <c r="CE277" s="99"/>
      <c r="CF277" s="99"/>
      <c r="CG277" s="99"/>
      <c r="CH277" s="99"/>
      <c r="CI277" s="99"/>
      <c r="CJ277" s="99"/>
      <c r="CK277" s="99"/>
      <c r="CL277" s="99"/>
      <c r="CM277" s="99"/>
      <c r="CN277" s="99"/>
      <c r="CO277" s="99"/>
      <c r="CP277" s="99"/>
      <c r="CQ277" s="99"/>
      <c r="CR277" s="99"/>
      <c r="CS277" s="99"/>
      <c r="CT277" s="99"/>
      <c r="CU277" s="99"/>
      <c r="CV277" s="99"/>
      <c r="CW277" s="100"/>
      <c r="CX277" s="101">
        <f>CY277+CZ277+DA277</f>
        <v>17857.400000000001</v>
      </c>
      <c r="CY277" s="102" t="str">
        <f>TEXT(TRUNC(CY241+CY249+CY275,1),"#,###.0")</f>
        <v>1,906.0</v>
      </c>
      <c r="CZ277" s="102" t="str">
        <f>TEXT(TRUNC(CZ241+CZ249+CZ275,1),"#,###.0")</f>
        <v>8,679.8</v>
      </c>
      <c r="DA277" s="103" t="str">
        <f>TEXT(TRUNC(DA241+DA249+DA275,1),"#,###.0")</f>
        <v>7,271.6</v>
      </c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 t="s">
        <v>8</v>
      </c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</row>
    <row r="278" spans="1:128" ht="18" customHeight="1" x14ac:dyDescent="0.2">
      <c r="A278" s="74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  <c r="AA278" s="75"/>
      <c r="AB278" s="75"/>
      <c r="AC278" s="75"/>
      <c r="AD278" s="75"/>
      <c r="AE278" s="75"/>
      <c r="AF278" s="75"/>
      <c r="AG278" s="75"/>
      <c r="AH278" s="75"/>
      <c r="AI278" s="75"/>
      <c r="AJ278" s="75"/>
      <c r="AK278" s="75"/>
      <c r="AL278" s="75"/>
      <c r="AM278" s="75"/>
      <c r="AN278" s="75"/>
      <c r="AO278" s="75"/>
      <c r="AP278" s="75"/>
      <c r="AQ278" s="75"/>
      <c r="AR278" s="75"/>
      <c r="AS278" s="75"/>
      <c r="AT278" s="75"/>
      <c r="AU278" s="75"/>
      <c r="AV278" s="75"/>
      <c r="AW278" s="75"/>
      <c r="AX278" s="75"/>
      <c r="AY278" s="75"/>
      <c r="AZ278" s="75"/>
      <c r="BA278" s="75"/>
      <c r="BB278" s="75"/>
      <c r="BC278" s="75"/>
      <c r="BD278" s="75"/>
      <c r="BE278" s="75"/>
      <c r="BF278" s="75"/>
      <c r="BG278" s="75"/>
      <c r="BH278" s="75"/>
      <c r="BI278" s="75"/>
      <c r="BJ278" s="75"/>
      <c r="BK278" s="75"/>
      <c r="BL278" s="75"/>
      <c r="BM278" s="75"/>
      <c r="BN278" s="75"/>
      <c r="BO278" s="75"/>
      <c r="BP278" s="75"/>
      <c r="BQ278" s="75"/>
      <c r="BR278" s="75"/>
      <c r="BS278" s="75"/>
      <c r="BT278" s="75"/>
      <c r="BU278" s="75"/>
      <c r="BV278" s="75"/>
      <c r="BW278" s="75"/>
      <c r="BX278" s="75"/>
      <c r="BY278" s="75"/>
      <c r="BZ278" s="75"/>
      <c r="CA278" s="75"/>
      <c r="CB278" s="75"/>
      <c r="CC278" s="75"/>
      <c r="CD278" s="75"/>
      <c r="CE278" s="75"/>
      <c r="CF278" s="75"/>
      <c r="CG278" s="75"/>
      <c r="CH278" s="75"/>
      <c r="CI278" s="75"/>
      <c r="CJ278" s="75"/>
      <c r="CK278" s="75"/>
      <c r="CL278" s="75"/>
      <c r="CM278" s="75"/>
      <c r="CN278" s="75"/>
      <c r="CO278" s="75"/>
      <c r="CP278" s="75"/>
      <c r="CQ278" s="75"/>
      <c r="CR278" s="75"/>
      <c r="CS278" s="75"/>
      <c r="CT278" s="75"/>
      <c r="CU278" s="75"/>
      <c r="CV278" s="75"/>
      <c r="CW278" s="76"/>
      <c r="CX278" s="72"/>
      <c r="CY278" s="68"/>
      <c r="CZ278" s="68"/>
      <c r="DA278" s="69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</row>
    <row r="279" spans="1:128" ht="18" customHeight="1" x14ac:dyDescent="0.2">
      <c r="A279" s="86" t="s">
        <v>389</v>
      </c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  <c r="AA279" s="87"/>
      <c r="AB279" s="87"/>
      <c r="AC279" s="87"/>
      <c r="AD279" s="87"/>
      <c r="AE279" s="87"/>
      <c r="AF279" s="87"/>
      <c r="AG279" s="87"/>
      <c r="AH279" s="87"/>
      <c r="AI279" s="87"/>
      <c r="AJ279" s="87"/>
      <c r="AK279" s="87"/>
      <c r="AL279" s="87"/>
      <c r="AM279" s="87"/>
      <c r="AN279" s="87"/>
      <c r="AO279" s="87"/>
      <c r="AP279" s="87"/>
      <c r="AQ279" s="87"/>
      <c r="AR279" s="87"/>
      <c r="AS279" s="87"/>
      <c r="AT279" s="87"/>
      <c r="AU279" s="87"/>
      <c r="AV279" s="87"/>
      <c r="AW279" s="87"/>
      <c r="AX279" s="87"/>
      <c r="AY279" s="87"/>
      <c r="AZ279" s="87"/>
      <c r="BA279" s="87"/>
      <c r="BB279" s="87"/>
      <c r="BC279" s="87"/>
      <c r="BD279" s="87"/>
      <c r="BE279" s="87"/>
      <c r="BF279" s="87"/>
      <c r="BG279" s="87"/>
      <c r="BH279" s="87"/>
      <c r="BI279" s="87"/>
      <c r="BJ279" s="87"/>
      <c r="BK279" s="87"/>
      <c r="BL279" s="87"/>
      <c r="BM279" s="87"/>
      <c r="BN279" s="87"/>
      <c r="BO279" s="87"/>
      <c r="BP279" s="87"/>
      <c r="BQ279" s="87"/>
      <c r="BR279" s="87"/>
      <c r="BS279" s="87"/>
      <c r="BT279" s="87"/>
      <c r="BU279" s="87"/>
      <c r="BV279" s="87"/>
      <c r="BW279" s="87"/>
      <c r="BX279" s="87"/>
      <c r="BY279" s="87"/>
      <c r="BZ279" s="87"/>
      <c r="CA279" s="87"/>
      <c r="CB279" s="87"/>
      <c r="CC279" s="87"/>
      <c r="CD279" s="87"/>
      <c r="CE279" s="87"/>
      <c r="CF279" s="87"/>
      <c r="CG279" s="87"/>
      <c r="CH279" s="87"/>
      <c r="CI279" s="87"/>
      <c r="CJ279" s="87"/>
      <c r="CK279" s="87"/>
      <c r="CL279" s="87"/>
      <c r="CM279" s="87"/>
      <c r="CN279" s="87"/>
      <c r="CO279" s="87"/>
      <c r="CP279" s="87"/>
      <c r="CQ279" s="87"/>
      <c r="CR279" s="87"/>
      <c r="CS279" s="87"/>
      <c r="CT279" s="87"/>
      <c r="CU279" s="87"/>
      <c r="CV279" s="87"/>
      <c r="CW279" s="88"/>
      <c r="CX279" s="89" t="str">
        <f>TEXT(CY279+CZ279+DA279,"#,##0")</f>
        <v>17,856</v>
      </c>
      <c r="CY279" s="90" t="str">
        <f>TEXT(TRUNC(CY277,0),"#,##0")</f>
        <v>1,906</v>
      </c>
      <c r="CZ279" s="90" t="str">
        <f>TEXT(TRUNC(CZ277,0),"#,##0")</f>
        <v>8,679</v>
      </c>
      <c r="DA279" s="91" t="str">
        <f>TEXT(TRUNC(DA277,0),"#,##0")</f>
        <v>7,271</v>
      </c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</row>
    <row r="280" spans="1:128" ht="18" customHeight="1" x14ac:dyDescent="0.2">
      <c r="A280" s="74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  <c r="AA280" s="75"/>
      <c r="AB280" s="75"/>
      <c r="AC280" s="75"/>
      <c r="AD280" s="75"/>
      <c r="AE280" s="75"/>
      <c r="AF280" s="75"/>
      <c r="AG280" s="75"/>
      <c r="AH280" s="75"/>
      <c r="AI280" s="75"/>
      <c r="AJ280" s="75"/>
      <c r="AK280" s="75"/>
      <c r="AL280" s="75"/>
      <c r="AM280" s="75"/>
      <c r="AN280" s="75"/>
      <c r="AO280" s="75"/>
      <c r="AP280" s="75"/>
      <c r="AQ280" s="75"/>
      <c r="AR280" s="75"/>
      <c r="AS280" s="75"/>
      <c r="AT280" s="75"/>
      <c r="AU280" s="75"/>
      <c r="AV280" s="75"/>
      <c r="AW280" s="75"/>
      <c r="AX280" s="75"/>
      <c r="AY280" s="75"/>
      <c r="AZ280" s="75"/>
      <c r="BA280" s="75"/>
      <c r="BB280" s="75"/>
      <c r="BC280" s="75"/>
      <c r="BD280" s="75"/>
      <c r="BE280" s="75"/>
      <c r="BF280" s="75"/>
      <c r="BG280" s="75"/>
      <c r="BH280" s="75"/>
      <c r="BI280" s="75"/>
      <c r="BJ280" s="75"/>
      <c r="BK280" s="75"/>
      <c r="BL280" s="75"/>
      <c r="BM280" s="75"/>
      <c r="BN280" s="75"/>
      <c r="BO280" s="75"/>
      <c r="BP280" s="75"/>
      <c r="BQ280" s="75"/>
      <c r="BR280" s="75"/>
      <c r="BS280" s="75"/>
      <c r="BT280" s="75"/>
      <c r="BU280" s="75"/>
      <c r="BV280" s="75"/>
      <c r="BW280" s="75"/>
      <c r="BX280" s="75"/>
      <c r="BY280" s="75"/>
      <c r="BZ280" s="75"/>
      <c r="CA280" s="75"/>
      <c r="CB280" s="75"/>
      <c r="CC280" s="75"/>
      <c r="CD280" s="75"/>
      <c r="CE280" s="75"/>
      <c r="CF280" s="75"/>
      <c r="CG280" s="75"/>
      <c r="CH280" s="75"/>
      <c r="CI280" s="75"/>
      <c r="CJ280" s="75"/>
      <c r="CK280" s="75"/>
      <c r="CL280" s="75"/>
      <c r="CM280" s="75"/>
      <c r="CN280" s="75"/>
      <c r="CO280" s="75"/>
      <c r="CP280" s="75"/>
      <c r="CQ280" s="75"/>
      <c r="CR280" s="75"/>
      <c r="CS280" s="75"/>
      <c r="CT280" s="75"/>
      <c r="CU280" s="75"/>
      <c r="CV280" s="75"/>
      <c r="CW280" s="76"/>
      <c r="CX280" s="72"/>
      <c r="CY280" s="68"/>
      <c r="CZ280" s="68"/>
      <c r="DA280" s="69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</row>
    <row r="281" spans="1:128" ht="18" customHeight="1" x14ac:dyDescent="0.2">
      <c r="A281" s="135" t="s">
        <v>652</v>
      </c>
      <c r="B281" s="135"/>
      <c r="C281" s="135"/>
      <c r="D281" s="135"/>
      <c r="E281" s="135"/>
      <c r="F281" s="135"/>
      <c r="G281" s="135"/>
      <c r="H281" s="135"/>
      <c r="I281" s="135"/>
      <c r="J281" s="135"/>
      <c r="K281" s="135"/>
      <c r="L281" s="135"/>
      <c r="M281" s="135"/>
      <c r="N281" s="135"/>
      <c r="O281" s="135"/>
      <c r="P281" s="135"/>
      <c r="Q281" s="135"/>
      <c r="R281" s="135"/>
      <c r="S281" s="135"/>
      <c r="T281" s="135"/>
      <c r="U281" s="135"/>
      <c r="V281" s="135"/>
      <c r="W281" s="135"/>
      <c r="X281" s="135"/>
      <c r="Y281" s="135"/>
      <c r="Z281" s="135"/>
      <c r="AA281" s="135"/>
      <c r="AB281" s="135"/>
      <c r="AC281" s="135"/>
      <c r="AD281" s="135"/>
      <c r="AE281" s="135"/>
      <c r="AF281" s="135"/>
      <c r="AG281" s="135"/>
      <c r="AH281" s="135"/>
      <c r="AI281" s="135"/>
      <c r="AJ281" s="135"/>
      <c r="AK281" s="135"/>
      <c r="AL281" s="135"/>
      <c r="AM281" s="135"/>
      <c r="AN281" s="135"/>
      <c r="AO281" s="135"/>
      <c r="AP281" s="135"/>
      <c r="AQ281" s="135"/>
      <c r="AR281" s="135"/>
      <c r="AS281" s="135"/>
      <c r="AT281" s="135"/>
      <c r="AU281" s="135"/>
      <c r="AV281" s="135"/>
      <c r="AW281" s="135"/>
      <c r="AX281" s="135"/>
      <c r="AY281" s="135"/>
      <c r="AZ281" s="135"/>
      <c r="BA281" s="135"/>
      <c r="BB281" s="135"/>
      <c r="BC281" s="135"/>
      <c r="BD281" s="135"/>
      <c r="BE281" s="135"/>
      <c r="BF281" s="135"/>
      <c r="BG281" s="135"/>
      <c r="BH281" s="135"/>
      <c r="BI281" s="135"/>
      <c r="BJ281" s="135"/>
      <c r="BK281" s="135"/>
      <c r="BL281" s="135"/>
      <c r="BM281" s="135"/>
      <c r="BN281" s="135"/>
      <c r="BO281" s="135"/>
      <c r="BP281" s="135"/>
      <c r="BQ281" s="135"/>
      <c r="BR281" s="135"/>
      <c r="BS281" s="135"/>
      <c r="BT281" s="135"/>
      <c r="BU281" s="135"/>
      <c r="BV281" s="135"/>
      <c r="BW281" s="135"/>
      <c r="BX281" s="135"/>
      <c r="BY281" s="135"/>
      <c r="BZ281" s="135"/>
      <c r="CA281" s="135"/>
      <c r="CB281" s="135"/>
      <c r="CC281" s="135"/>
      <c r="CD281" s="135"/>
      <c r="CE281" s="135"/>
      <c r="CF281" s="135"/>
      <c r="CG281" s="135"/>
      <c r="CH281" s="135"/>
      <c r="CI281" s="135"/>
      <c r="CJ281" s="135"/>
      <c r="CK281" s="135"/>
      <c r="CL281" s="135"/>
      <c r="CM281" s="135"/>
      <c r="CN281" s="135"/>
      <c r="CO281" s="135"/>
      <c r="CP281" s="135"/>
      <c r="CQ281" s="135"/>
      <c r="CR281" s="135"/>
      <c r="CS281" s="135"/>
      <c r="CT281" s="135"/>
      <c r="CU281" s="135"/>
      <c r="CV281" s="135"/>
      <c r="CW281" s="135"/>
      <c r="CX281" s="83"/>
      <c r="CY281" s="84"/>
      <c r="CZ281" s="84"/>
      <c r="DA281" s="85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 t="s">
        <v>262</v>
      </c>
      <c r="DN281" s="1" t="s">
        <v>33</v>
      </c>
      <c r="DO281" s="1"/>
      <c r="DP281" s="1"/>
      <c r="DQ281" s="1"/>
      <c r="DR281" s="1"/>
      <c r="DS281" s="1"/>
      <c r="DT281" s="1"/>
      <c r="DU281" s="1"/>
      <c r="DV281" s="1"/>
      <c r="DW281" s="1"/>
      <c r="DX281" s="1"/>
    </row>
    <row r="282" spans="1:128" ht="18" customHeight="1" x14ac:dyDescent="0.2">
      <c r="A282" s="74" t="s">
        <v>279</v>
      </c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  <c r="AA282" s="75"/>
      <c r="AB282" s="75"/>
      <c r="AC282" s="75"/>
      <c r="AD282" s="75"/>
      <c r="AE282" s="75"/>
      <c r="AF282" s="75"/>
      <c r="AG282" s="75"/>
      <c r="AH282" s="75"/>
      <c r="AI282" s="75"/>
      <c r="AJ282" s="75"/>
      <c r="AK282" s="75"/>
      <c r="AL282" s="75"/>
      <c r="AM282" s="75"/>
      <c r="AN282" s="75"/>
      <c r="AO282" s="75"/>
      <c r="AP282" s="75"/>
      <c r="AQ282" s="75"/>
      <c r="AR282" s="75"/>
      <c r="AS282" s="75"/>
      <c r="AT282" s="75"/>
      <c r="AU282" s="75"/>
      <c r="AV282" s="75"/>
      <c r="AW282" s="75"/>
      <c r="AX282" s="75"/>
      <c r="AY282" s="75"/>
      <c r="AZ282" s="75"/>
      <c r="BA282" s="75"/>
      <c r="BB282" s="75"/>
      <c r="BC282" s="75"/>
      <c r="BD282" s="75"/>
      <c r="BE282" s="75"/>
      <c r="BF282" s="75"/>
      <c r="BG282" s="75"/>
      <c r="BH282" s="75"/>
      <c r="BI282" s="75"/>
      <c r="BJ282" s="75"/>
      <c r="BK282" s="75"/>
      <c r="BL282" s="75"/>
      <c r="BM282" s="75"/>
      <c r="BN282" s="75"/>
      <c r="BO282" s="75"/>
      <c r="BP282" s="75"/>
      <c r="BQ282" s="75"/>
      <c r="BR282" s="75"/>
      <c r="BS282" s="75"/>
      <c r="BT282" s="75"/>
      <c r="BU282" s="75"/>
      <c r="BV282" s="75"/>
      <c r="BW282" s="75"/>
      <c r="BX282" s="75"/>
      <c r="BY282" s="75"/>
      <c r="BZ282" s="75"/>
      <c r="CA282" s="75"/>
      <c r="CB282" s="75"/>
      <c r="CC282" s="75"/>
      <c r="CD282" s="75"/>
      <c r="CE282" s="75"/>
      <c r="CF282" s="75"/>
      <c r="CG282" s="75"/>
      <c r="CH282" s="75"/>
      <c r="CI282" s="75"/>
      <c r="CJ282" s="75"/>
      <c r="CK282" s="75"/>
      <c r="CL282" s="75"/>
      <c r="CM282" s="75"/>
      <c r="CN282" s="75"/>
      <c r="CO282" s="75"/>
      <c r="CP282" s="75"/>
      <c r="CQ282" s="75"/>
      <c r="CR282" s="75"/>
      <c r="CS282" s="75"/>
      <c r="CT282" s="75"/>
      <c r="CU282" s="75"/>
      <c r="CV282" s="75"/>
      <c r="CW282" s="76"/>
      <c r="CX282" s="72">
        <f>CY282+CZ282+DA282</f>
        <v>0</v>
      </c>
      <c r="CY282" s="68"/>
      <c r="CZ282" s="68"/>
      <c r="DA282" s="69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 t="s">
        <v>8</v>
      </c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</row>
    <row r="283" spans="1:128" ht="18" customHeight="1" x14ac:dyDescent="0.2">
      <c r="A283" s="74" t="s">
        <v>8</v>
      </c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  <c r="AD283" s="75"/>
      <c r="AE283" s="75"/>
      <c r="AF283" s="75"/>
      <c r="AG283" s="75"/>
      <c r="AH283" s="75"/>
      <c r="AI283" s="75"/>
      <c r="AJ283" s="75"/>
      <c r="AK283" s="75"/>
      <c r="AL283" s="75"/>
      <c r="AM283" s="75"/>
      <c r="AN283" s="75"/>
      <c r="AO283" s="75"/>
      <c r="AP283" s="75"/>
      <c r="AQ283" s="75"/>
      <c r="AR283" s="75"/>
      <c r="AS283" s="75"/>
      <c r="AT283" s="75"/>
      <c r="AU283" s="75"/>
      <c r="AV283" s="75"/>
      <c r="AW283" s="75"/>
      <c r="AX283" s="75"/>
      <c r="AY283" s="75"/>
      <c r="AZ283" s="75"/>
      <c r="BA283" s="75"/>
      <c r="BB283" s="75"/>
      <c r="BC283" s="75"/>
      <c r="BD283" s="75"/>
      <c r="BE283" s="75"/>
      <c r="BF283" s="75"/>
      <c r="BG283" s="75"/>
      <c r="BH283" s="75"/>
      <c r="BI283" s="75"/>
      <c r="BJ283" s="75"/>
      <c r="BK283" s="75"/>
      <c r="BL283" s="75"/>
      <c r="BM283" s="75"/>
      <c r="BN283" s="75"/>
      <c r="BO283" s="75"/>
      <c r="BP283" s="75"/>
      <c r="BQ283" s="75"/>
      <c r="BR283" s="75"/>
      <c r="BS283" s="75"/>
      <c r="BT283" s="75"/>
      <c r="BU283" s="75"/>
      <c r="BV283" s="75"/>
      <c r="BW283" s="75"/>
      <c r="BX283" s="75"/>
      <c r="BY283" s="75"/>
      <c r="BZ283" s="75"/>
      <c r="CA283" s="75"/>
      <c r="CB283" s="75"/>
      <c r="CC283" s="75"/>
      <c r="CD283" s="75"/>
      <c r="CE283" s="75"/>
      <c r="CF283" s="75"/>
      <c r="CG283" s="75"/>
      <c r="CH283" s="75"/>
      <c r="CI283" s="75"/>
      <c r="CJ283" s="75"/>
      <c r="CK283" s="75"/>
      <c r="CL283" s="75"/>
      <c r="CM283" s="75"/>
      <c r="CN283" s="75"/>
      <c r="CO283" s="75"/>
      <c r="CP283" s="75"/>
      <c r="CQ283" s="75"/>
      <c r="CR283" s="75"/>
      <c r="CS283" s="75"/>
      <c r="CT283" s="75"/>
      <c r="CU283" s="75"/>
      <c r="CV283" s="75"/>
      <c r="CW283" s="76"/>
      <c r="CX283" s="72"/>
      <c r="CY283" s="68"/>
      <c r="CZ283" s="68"/>
      <c r="DA283" s="69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</row>
    <row r="284" spans="1:128" ht="18" customHeight="1" x14ac:dyDescent="0.2">
      <c r="A284" s="74" t="s">
        <v>458</v>
      </c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  <c r="AA284" s="75"/>
      <c r="AB284" s="75"/>
      <c r="AC284" s="75"/>
      <c r="AD284" s="75"/>
      <c r="AE284" s="75"/>
      <c r="AF284" s="75"/>
      <c r="AG284" s="75"/>
      <c r="AH284" s="75"/>
      <c r="AI284" s="75"/>
      <c r="AJ284" s="75"/>
      <c r="AK284" s="75"/>
      <c r="AL284" s="75"/>
      <c r="AM284" s="75"/>
      <c r="AN284" s="75"/>
      <c r="AO284" s="75"/>
      <c r="AP284" s="75"/>
      <c r="AQ284" s="75"/>
      <c r="AR284" s="75"/>
      <c r="AS284" s="75"/>
      <c r="AT284" s="75"/>
      <c r="AU284" s="75"/>
      <c r="AV284" s="75"/>
      <c r="AW284" s="75"/>
      <c r="AX284" s="75"/>
      <c r="AY284" s="75"/>
      <c r="AZ284" s="75"/>
      <c r="BA284" s="75"/>
      <c r="BB284" s="75"/>
      <c r="BC284" s="75"/>
      <c r="BD284" s="75"/>
      <c r="BE284" s="75"/>
      <c r="BF284" s="75"/>
      <c r="BG284" s="75"/>
      <c r="BH284" s="75"/>
      <c r="BI284" s="75"/>
      <c r="BJ284" s="75"/>
      <c r="BK284" s="75"/>
      <c r="BL284" s="75"/>
      <c r="BM284" s="75"/>
      <c r="BN284" s="75"/>
      <c r="BO284" s="75"/>
      <c r="BP284" s="75"/>
      <c r="BQ284" s="75"/>
      <c r="BR284" s="75"/>
      <c r="BS284" s="75"/>
      <c r="BT284" s="75"/>
      <c r="BU284" s="75"/>
      <c r="BV284" s="75"/>
      <c r="BW284" s="75"/>
      <c r="BX284" s="75"/>
      <c r="BY284" s="75"/>
      <c r="BZ284" s="75"/>
      <c r="CA284" s="75"/>
      <c r="CB284" s="75"/>
      <c r="CC284" s="75"/>
      <c r="CD284" s="75"/>
      <c r="CE284" s="75"/>
      <c r="CF284" s="75"/>
      <c r="CG284" s="75"/>
      <c r="CH284" s="75"/>
      <c r="CI284" s="75"/>
      <c r="CJ284" s="75"/>
      <c r="CK284" s="75"/>
      <c r="CL284" s="75"/>
      <c r="CM284" s="75"/>
      <c r="CN284" s="75"/>
      <c r="CO284" s="75"/>
      <c r="CP284" s="75"/>
      <c r="CQ284" s="75"/>
      <c r="CR284" s="75"/>
      <c r="CS284" s="75"/>
      <c r="CT284" s="75"/>
      <c r="CU284" s="75"/>
      <c r="CV284" s="75"/>
      <c r="CW284" s="76"/>
      <c r="CX284" s="72"/>
      <c r="CY284" s="68"/>
      <c r="CZ284" s="68"/>
      <c r="DA284" s="69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</row>
    <row r="285" spans="1:128" ht="18" customHeight="1" x14ac:dyDescent="0.2">
      <c r="A285" s="74" t="s">
        <v>8</v>
      </c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  <c r="AA285" s="75"/>
      <c r="AB285" s="75"/>
      <c r="AC285" s="75"/>
      <c r="AD285" s="75"/>
      <c r="AE285" s="75"/>
      <c r="AF285" s="75"/>
      <c r="AG285" s="75"/>
      <c r="AH285" s="75"/>
      <c r="AI285" s="75"/>
      <c r="AJ285" s="75"/>
      <c r="AK285" s="75"/>
      <c r="AL285" s="75"/>
      <c r="AM285" s="75"/>
      <c r="AN285" s="75"/>
      <c r="AO285" s="75"/>
      <c r="AP285" s="75"/>
      <c r="AQ285" s="75"/>
      <c r="AR285" s="75"/>
      <c r="AS285" s="75"/>
      <c r="AT285" s="75"/>
      <c r="AU285" s="75"/>
      <c r="AV285" s="75"/>
      <c r="AW285" s="75"/>
      <c r="AX285" s="75"/>
      <c r="AY285" s="75"/>
      <c r="AZ285" s="75"/>
      <c r="BA285" s="75"/>
      <c r="BB285" s="75"/>
      <c r="BC285" s="75"/>
      <c r="BD285" s="75"/>
      <c r="BE285" s="75"/>
      <c r="BF285" s="75"/>
      <c r="BG285" s="75"/>
      <c r="BH285" s="75"/>
      <c r="BI285" s="75"/>
      <c r="BJ285" s="75"/>
      <c r="BK285" s="75"/>
      <c r="BL285" s="75"/>
      <c r="BM285" s="75"/>
      <c r="BN285" s="75"/>
      <c r="BO285" s="75"/>
      <c r="BP285" s="75"/>
      <c r="BQ285" s="75"/>
      <c r="BR285" s="75"/>
      <c r="BS285" s="75"/>
      <c r="BT285" s="75"/>
      <c r="BU285" s="75"/>
      <c r="BV285" s="75"/>
      <c r="BW285" s="75"/>
      <c r="BX285" s="75"/>
      <c r="BY285" s="75"/>
      <c r="BZ285" s="75"/>
      <c r="CA285" s="75"/>
      <c r="CB285" s="75"/>
      <c r="CC285" s="75"/>
      <c r="CD285" s="75"/>
      <c r="CE285" s="75"/>
      <c r="CF285" s="75"/>
      <c r="CG285" s="75"/>
      <c r="CH285" s="75"/>
      <c r="CI285" s="75"/>
      <c r="CJ285" s="75"/>
      <c r="CK285" s="75"/>
      <c r="CL285" s="75"/>
      <c r="CM285" s="75"/>
      <c r="CN285" s="75"/>
      <c r="CO285" s="75"/>
      <c r="CP285" s="75"/>
      <c r="CQ285" s="75"/>
      <c r="CR285" s="75"/>
      <c r="CS285" s="75"/>
      <c r="CT285" s="75"/>
      <c r="CU285" s="75"/>
      <c r="CV285" s="75"/>
      <c r="CW285" s="76"/>
      <c r="CX285" s="72"/>
      <c r="CY285" s="68"/>
      <c r="CZ285" s="68"/>
      <c r="DA285" s="69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</row>
    <row r="286" spans="1:128" ht="18" customHeight="1" x14ac:dyDescent="0.2">
      <c r="A286" s="74"/>
      <c r="B286" s="75"/>
      <c r="C286" s="75"/>
      <c r="D286" s="75" t="s">
        <v>12</v>
      </c>
      <c r="E286" s="75"/>
      <c r="F286" s="75" t="s">
        <v>536</v>
      </c>
      <c r="G286" s="75"/>
      <c r="H286" s="75" t="str">
        <f>TEXT(0.06,"#,##0.00#######")</f>
        <v>0.06</v>
      </c>
      <c r="I286" s="75"/>
      <c r="J286" s="75"/>
      <c r="K286" s="75"/>
      <c r="L286" s="75"/>
      <c r="M286" s="75"/>
      <c r="N286" s="75" t="s">
        <v>480</v>
      </c>
      <c r="O286" s="75"/>
      <c r="P286" s="75"/>
      <c r="Q286" s="75"/>
      <c r="R286" s="75"/>
      <c r="S286" s="75"/>
      <c r="T286" s="75" t="s">
        <v>14</v>
      </c>
      <c r="U286" s="75"/>
      <c r="V286" s="75"/>
      <c r="W286" s="75" t="s">
        <v>530</v>
      </c>
      <c r="X286" s="75"/>
      <c r="Y286" s="75" t="s">
        <v>536</v>
      </c>
      <c r="Z286" s="75"/>
      <c r="AA286" s="75" t="str">
        <f>TEXT(2.5,"#,##0.0#######")</f>
        <v>2.5</v>
      </c>
      <c r="AB286" s="75"/>
      <c r="AC286" s="75"/>
      <c r="AD286" s="75"/>
      <c r="AE286" s="75" t="s">
        <v>181</v>
      </c>
      <c r="AF286" s="75"/>
      <c r="AG286" s="75" t="str">
        <f>TEXT(2.3,"#,##0.0#######")</f>
        <v>2.3</v>
      </c>
      <c r="AH286" s="75"/>
      <c r="AI286" s="75"/>
      <c r="AJ286" s="75"/>
      <c r="AK286" s="75"/>
      <c r="AL286" s="75" t="s">
        <v>536</v>
      </c>
      <c r="AM286" s="75"/>
      <c r="AN286" s="75" t="str">
        <f>TEXT(ROUND(AA286/AG286,2),"#,##0.00#######")</f>
        <v>1.09</v>
      </c>
      <c r="AO286" s="75"/>
      <c r="AP286" s="75"/>
      <c r="AQ286" s="75"/>
      <c r="AR286" s="75"/>
      <c r="AS286" s="75"/>
      <c r="AT286" s="75" t="s">
        <v>45</v>
      </c>
      <c r="AU286" s="75"/>
      <c r="AV286" s="75"/>
      <c r="AW286" s="75"/>
      <c r="AX286" s="75"/>
      <c r="AY286" s="75"/>
      <c r="AZ286" s="75"/>
      <c r="BA286" s="75"/>
      <c r="BB286" s="75"/>
      <c r="BC286" s="75"/>
      <c r="BD286" s="75"/>
      <c r="BE286" s="75"/>
      <c r="BF286" s="75"/>
      <c r="BG286" s="75"/>
      <c r="BH286" s="75"/>
      <c r="BI286" s="75"/>
      <c r="BJ286" s="75"/>
      <c r="BK286" s="75"/>
      <c r="BL286" s="75"/>
      <c r="BM286" s="75"/>
      <c r="BN286" s="75"/>
      <c r="BO286" s="75"/>
      <c r="BP286" s="75"/>
      <c r="BQ286" s="75"/>
      <c r="BR286" s="75"/>
      <c r="BS286" s="75"/>
      <c r="BT286" s="75"/>
      <c r="BU286" s="75"/>
      <c r="BV286" s="75"/>
      <c r="BW286" s="75"/>
      <c r="BX286" s="75"/>
      <c r="BY286" s="75"/>
      <c r="BZ286" s="75"/>
      <c r="CA286" s="75"/>
      <c r="CB286" s="75"/>
      <c r="CC286" s="75"/>
      <c r="CD286" s="75"/>
      <c r="CE286" s="75"/>
      <c r="CF286" s="75"/>
      <c r="CG286" s="75"/>
      <c r="CH286" s="75"/>
      <c r="CI286" s="75"/>
      <c r="CJ286" s="75"/>
      <c r="CK286" s="75"/>
      <c r="CL286" s="75"/>
      <c r="CM286" s="75"/>
      <c r="CN286" s="75"/>
      <c r="CO286" s="75"/>
      <c r="CP286" s="75"/>
      <c r="CQ286" s="75"/>
      <c r="CR286" s="75"/>
      <c r="CS286" s="75"/>
      <c r="CT286" s="75"/>
      <c r="CU286" s="75"/>
      <c r="CV286" s="75"/>
      <c r="CW286" s="76"/>
      <c r="CX286" s="72"/>
      <c r="CY286" s="68"/>
      <c r="CZ286" s="68"/>
      <c r="DA286" s="69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 t="s">
        <v>8</v>
      </c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</row>
    <row r="287" spans="1:128" ht="18" customHeight="1" x14ac:dyDescent="0.2">
      <c r="A287" s="74" t="s">
        <v>8</v>
      </c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  <c r="AA287" s="75"/>
      <c r="AB287" s="75"/>
      <c r="AC287" s="75"/>
      <c r="AD287" s="75"/>
      <c r="AE287" s="75"/>
      <c r="AF287" s="75"/>
      <c r="AG287" s="75"/>
      <c r="AH287" s="75"/>
      <c r="AI287" s="75"/>
      <c r="AJ287" s="75"/>
      <c r="AK287" s="75"/>
      <c r="AL287" s="75"/>
      <c r="AM287" s="75"/>
      <c r="AN287" s="75"/>
      <c r="AO287" s="75"/>
      <c r="AP287" s="75"/>
      <c r="AQ287" s="75"/>
      <c r="AR287" s="75"/>
      <c r="AS287" s="75"/>
      <c r="AT287" s="75"/>
      <c r="AU287" s="75"/>
      <c r="AV287" s="75"/>
      <c r="AW287" s="75"/>
      <c r="AX287" s="75"/>
      <c r="AY287" s="75"/>
      <c r="AZ287" s="75"/>
      <c r="BA287" s="75"/>
      <c r="BB287" s="75"/>
      <c r="BC287" s="75"/>
      <c r="BD287" s="75"/>
      <c r="BE287" s="75"/>
      <c r="BF287" s="75"/>
      <c r="BG287" s="75"/>
      <c r="BH287" s="75"/>
      <c r="BI287" s="75"/>
      <c r="BJ287" s="75"/>
      <c r="BK287" s="75"/>
      <c r="BL287" s="75"/>
      <c r="BM287" s="75"/>
      <c r="BN287" s="75"/>
      <c r="BO287" s="75"/>
      <c r="BP287" s="75"/>
      <c r="BQ287" s="75"/>
      <c r="BR287" s="75"/>
      <c r="BS287" s="75"/>
      <c r="BT287" s="75"/>
      <c r="BU287" s="75"/>
      <c r="BV287" s="75"/>
      <c r="BW287" s="75"/>
      <c r="BX287" s="75"/>
      <c r="BY287" s="75"/>
      <c r="BZ287" s="75"/>
      <c r="CA287" s="75"/>
      <c r="CB287" s="75"/>
      <c r="CC287" s="75"/>
      <c r="CD287" s="75"/>
      <c r="CE287" s="75"/>
      <c r="CF287" s="75"/>
      <c r="CG287" s="75"/>
      <c r="CH287" s="75"/>
      <c r="CI287" s="75"/>
      <c r="CJ287" s="75"/>
      <c r="CK287" s="75"/>
      <c r="CL287" s="75"/>
      <c r="CM287" s="75"/>
      <c r="CN287" s="75"/>
      <c r="CO287" s="75"/>
      <c r="CP287" s="75"/>
      <c r="CQ287" s="75"/>
      <c r="CR287" s="75"/>
      <c r="CS287" s="75"/>
      <c r="CT287" s="75"/>
      <c r="CU287" s="75"/>
      <c r="CV287" s="75"/>
      <c r="CW287" s="76"/>
      <c r="CX287" s="72"/>
      <c r="CY287" s="68"/>
      <c r="CZ287" s="68"/>
      <c r="DA287" s="69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</row>
    <row r="288" spans="1:128" ht="18" customHeight="1" x14ac:dyDescent="0.2">
      <c r="A288" s="74"/>
      <c r="B288" s="75"/>
      <c r="C288" s="75"/>
      <c r="D288" s="75" t="s">
        <v>347</v>
      </c>
      <c r="E288" s="75"/>
      <c r="F288" s="75" t="s">
        <v>536</v>
      </c>
      <c r="G288" s="75"/>
      <c r="H288" s="75" t="str">
        <f>TEXT(1,"#,##0.0#######")</f>
        <v>1.0</v>
      </c>
      <c r="I288" s="75"/>
      <c r="J288" s="75"/>
      <c r="K288" s="75"/>
      <c r="L288" s="75" t="s">
        <v>14</v>
      </c>
      <c r="M288" s="75"/>
      <c r="N288" s="75" t="s">
        <v>535</v>
      </c>
      <c r="O288" s="75"/>
      <c r="P288" s="75" t="s">
        <v>536</v>
      </c>
      <c r="Q288" s="75"/>
      <c r="R288" s="75" t="str">
        <f>TEXT(0.95,"#,##0.00#######")</f>
        <v>0.95</v>
      </c>
      <c r="S288" s="75"/>
      <c r="T288" s="75"/>
      <c r="U288" s="75"/>
      <c r="V288" s="75"/>
      <c r="W288" s="75" t="s">
        <v>14</v>
      </c>
      <c r="X288" s="75"/>
      <c r="Y288" s="75" t="s">
        <v>343</v>
      </c>
      <c r="Z288" s="75"/>
      <c r="AA288" s="75"/>
      <c r="AB288" s="75" t="s">
        <v>536</v>
      </c>
      <c r="AC288" s="75"/>
      <c r="AD288" s="75" t="str">
        <f>TEXT(3,"#,##0")</f>
        <v>3</v>
      </c>
      <c r="AE288" s="75"/>
      <c r="AF288" s="75"/>
      <c r="AG288" s="75"/>
      <c r="AH288" s="75"/>
      <c r="AI288" s="75"/>
      <c r="AJ288" s="75"/>
      <c r="AK288" s="75"/>
      <c r="AL288" s="75"/>
      <c r="AM288" s="75"/>
      <c r="AN288" s="75"/>
      <c r="AO288" s="75"/>
      <c r="AP288" s="75"/>
      <c r="AQ288" s="75"/>
      <c r="AR288" s="75"/>
      <c r="AS288" s="75"/>
      <c r="AT288" s="75"/>
      <c r="AU288" s="75"/>
      <c r="AV288" s="75"/>
      <c r="AW288" s="75"/>
      <c r="AX288" s="75"/>
      <c r="AY288" s="75"/>
      <c r="AZ288" s="75"/>
      <c r="BA288" s="75"/>
      <c r="BB288" s="75"/>
      <c r="BC288" s="75"/>
      <c r="BD288" s="75"/>
      <c r="BE288" s="75"/>
      <c r="BF288" s="75"/>
      <c r="BG288" s="75"/>
      <c r="BH288" s="75"/>
      <c r="BI288" s="75"/>
      <c r="BJ288" s="75"/>
      <c r="BK288" s="75"/>
      <c r="BL288" s="75"/>
      <c r="BM288" s="75"/>
      <c r="BN288" s="75"/>
      <c r="BO288" s="75"/>
      <c r="BP288" s="75"/>
      <c r="BQ288" s="75"/>
      <c r="BR288" s="75"/>
      <c r="BS288" s="75"/>
      <c r="BT288" s="75"/>
      <c r="BU288" s="75"/>
      <c r="BV288" s="75"/>
      <c r="BW288" s="75"/>
      <c r="BX288" s="75"/>
      <c r="BY288" s="75"/>
      <c r="BZ288" s="75"/>
      <c r="CA288" s="75"/>
      <c r="CB288" s="75"/>
      <c r="CC288" s="75"/>
      <c r="CD288" s="75"/>
      <c r="CE288" s="75"/>
      <c r="CF288" s="75"/>
      <c r="CG288" s="75"/>
      <c r="CH288" s="75"/>
      <c r="CI288" s="75"/>
      <c r="CJ288" s="75"/>
      <c r="CK288" s="75"/>
      <c r="CL288" s="75"/>
      <c r="CM288" s="75"/>
      <c r="CN288" s="75"/>
      <c r="CO288" s="75"/>
      <c r="CP288" s="75"/>
      <c r="CQ288" s="75"/>
      <c r="CR288" s="75"/>
      <c r="CS288" s="75"/>
      <c r="CT288" s="75"/>
      <c r="CU288" s="75"/>
      <c r="CV288" s="75"/>
      <c r="CW288" s="76"/>
      <c r="CX288" s="72"/>
      <c r="CY288" s="68"/>
      <c r="CZ288" s="68"/>
      <c r="DA288" s="69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 t="s">
        <v>8</v>
      </c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</row>
    <row r="289" spans="1:128" ht="18" customHeight="1" x14ac:dyDescent="0.2">
      <c r="A289" s="74" t="s">
        <v>8</v>
      </c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  <c r="AA289" s="75"/>
      <c r="AB289" s="75"/>
      <c r="AC289" s="75"/>
      <c r="AD289" s="75"/>
      <c r="AE289" s="75"/>
      <c r="AF289" s="75"/>
      <c r="AG289" s="75"/>
      <c r="AH289" s="75"/>
      <c r="AI289" s="75"/>
      <c r="AJ289" s="75"/>
      <c r="AK289" s="75"/>
      <c r="AL289" s="75"/>
      <c r="AM289" s="75"/>
      <c r="AN289" s="75"/>
      <c r="AO289" s="75"/>
      <c r="AP289" s="75"/>
      <c r="AQ289" s="75"/>
      <c r="AR289" s="75"/>
      <c r="AS289" s="75"/>
      <c r="AT289" s="75"/>
      <c r="AU289" s="75"/>
      <c r="AV289" s="75"/>
      <c r="AW289" s="75"/>
      <c r="AX289" s="75"/>
      <c r="AY289" s="75"/>
      <c r="AZ289" s="75"/>
      <c r="BA289" s="75"/>
      <c r="BB289" s="75"/>
      <c r="BC289" s="75"/>
      <c r="BD289" s="75"/>
      <c r="BE289" s="75"/>
      <c r="BF289" s="75"/>
      <c r="BG289" s="75"/>
      <c r="BH289" s="75"/>
      <c r="BI289" s="75"/>
      <c r="BJ289" s="75"/>
      <c r="BK289" s="75"/>
      <c r="BL289" s="75"/>
      <c r="BM289" s="75"/>
      <c r="BN289" s="75"/>
      <c r="BO289" s="75"/>
      <c r="BP289" s="75"/>
      <c r="BQ289" s="75"/>
      <c r="BR289" s="75"/>
      <c r="BS289" s="75"/>
      <c r="BT289" s="75"/>
      <c r="BU289" s="75"/>
      <c r="BV289" s="75"/>
      <c r="BW289" s="75"/>
      <c r="BX289" s="75"/>
      <c r="BY289" s="75"/>
      <c r="BZ289" s="75"/>
      <c r="CA289" s="75"/>
      <c r="CB289" s="75"/>
      <c r="CC289" s="75"/>
      <c r="CD289" s="75"/>
      <c r="CE289" s="75"/>
      <c r="CF289" s="75"/>
      <c r="CG289" s="75"/>
      <c r="CH289" s="75"/>
      <c r="CI289" s="75"/>
      <c r="CJ289" s="75"/>
      <c r="CK289" s="75"/>
      <c r="CL289" s="75"/>
      <c r="CM289" s="75"/>
      <c r="CN289" s="75"/>
      <c r="CO289" s="75"/>
      <c r="CP289" s="75"/>
      <c r="CQ289" s="75"/>
      <c r="CR289" s="75"/>
      <c r="CS289" s="75"/>
      <c r="CT289" s="75"/>
      <c r="CU289" s="75"/>
      <c r="CV289" s="75"/>
      <c r="CW289" s="76"/>
      <c r="CX289" s="72"/>
      <c r="CY289" s="68"/>
      <c r="CZ289" s="68"/>
      <c r="DA289" s="69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</row>
    <row r="290" spans="1:128" ht="18" customHeight="1" x14ac:dyDescent="0.2">
      <c r="A290" s="74"/>
      <c r="B290" s="75"/>
      <c r="C290" s="75" t="s">
        <v>527</v>
      </c>
      <c r="D290" s="75"/>
      <c r="E290" s="75"/>
      <c r="F290" s="75" t="s">
        <v>536</v>
      </c>
      <c r="G290" s="75"/>
      <c r="H290" s="75" t="s">
        <v>5</v>
      </c>
      <c r="I290" s="75"/>
      <c r="J290" s="75" t="s">
        <v>12</v>
      </c>
      <c r="K290" s="75"/>
      <c r="L290" s="75" t="s">
        <v>181</v>
      </c>
      <c r="M290" s="75"/>
      <c r="N290" s="75" t="str">
        <f>TEXT(10,"#,##0")</f>
        <v>10</v>
      </c>
      <c r="O290" s="75"/>
      <c r="P290" s="75"/>
      <c r="Q290" s="75" t="s">
        <v>173</v>
      </c>
      <c r="R290" s="75"/>
      <c r="S290" s="75"/>
      <c r="T290" s="75" t="s">
        <v>12</v>
      </c>
      <c r="U290" s="75"/>
      <c r="V290" s="75" t="s">
        <v>181</v>
      </c>
      <c r="W290" s="75"/>
      <c r="X290" s="75" t="str">
        <f>TEXT(15,"#,##0")</f>
        <v>15</v>
      </c>
      <c r="Y290" s="75"/>
      <c r="Z290" s="75"/>
      <c r="AA290" s="75" t="s">
        <v>532</v>
      </c>
      <c r="AB290" s="75"/>
      <c r="AC290" s="75" t="s">
        <v>357</v>
      </c>
      <c r="AD290" s="75"/>
      <c r="AE290" s="75" t="str">
        <f>TEXT(60,"#,##0")</f>
        <v>60</v>
      </c>
      <c r="AF290" s="75"/>
      <c r="AG290" s="75"/>
      <c r="AH290" s="75" t="s">
        <v>536</v>
      </c>
      <c r="AI290" s="75"/>
      <c r="AJ290" s="75" t="str">
        <f>TEXT(ROUND((H286/N290+H286/X290)*AE290,1),"#,##0.0#######")</f>
        <v>0.6</v>
      </c>
      <c r="AK290" s="75"/>
      <c r="AL290" s="75"/>
      <c r="AM290" s="75"/>
      <c r="AN290" s="75"/>
      <c r="AO290" s="75" t="s">
        <v>689</v>
      </c>
      <c r="AP290" s="75"/>
      <c r="AQ290" s="75"/>
      <c r="AR290" s="75"/>
      <c r="AS290" s="75"/>
      <c r="AT290" s="75"/>
      <c r="AU290" s="75"/>
      <c r="AV290" s="75"/>
      <c r="AW290" s="75"/>
      <c r="AX290" s="75"/>
      <c r="AY290" s="75"/>
      <c r="AZ290" s="75"/>
      <c r="BA290" s="75"/>
      <c r="BB290" s="75"/>
      <c r="BC290" s="75"/>
      <c r="BD290" s="75"/>
      <c r="BE290" s="75"/>
      <c r="BF290" s="75"/>
      <c r="BG290" s="75"/>
      <c r="BH290" s="75"/>
      <c r="BI290" s="75"/>
      <c r="BJ290" s="75"/>
      <c r="BK290" s="75"/>
      <c r="BL290" s="75"/>
      <c r="BM290" s="75"/>
      <c r="BN290" s="75"/>
      <c r="BO290" s="75"/>
      <c r="BP290" s="75"/>
      <c r="BQ290" s="75"/>
      <c r="BR290" s="75"/>
      <c r="BS290" s="75"/>
      <c r="BT290" s="75"/>
      <c r="BU290" s="75"/>
      <c r="BV290" s="75"/>
      <c r="BW290" s="75"/>
      <c r="BX290" s="75"/>
      <c r="BY290" s="75"/>
      <c r="BZ290" s="75"/>
      <c r="CA290" s="75"/>
      <c r="CB290" s="75"/>
      <c r="CC290" s="75"/>
      <c r="CD290" s="75"/>
      <c r="CE290" s="75"/>
      <c r="CF290" s="75"/>
      <c r="CG290" s="75"/>
      <c r="CH290" s="75"/>
      <c r="CI290" s="75"/>
      <c r="CJ290" s="75"/>
      <c r="CK290" s="75"/>
      <c r="CL290" s="75"/>
      <c r="CM290" s="75"/>
      <c r="CN290" s="75"/>
      <c r="CO290" s="75"/>
      <c r="CP290" s="75"/>
      <c r="CQ290" s="75"/>
      <c r="CR290" s="75"/>
      <c r="CS290" s="75"/>
      <c r="CT290" s="75"/>
      <c r="CU290" s="75"/>
      <c r="CV290" s="75"/>
      <c r="CW290" s="76"/>
      <c r="CX290" s="72"/>
      <c r="CY290" s="68"/>
      <c r="CZ290" s="68"/>
      <c r="DA290" s="69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 t="s">
        <v>8</v>
      </c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</row>
    <row r="291" spans="1:128" ht="18" customHeight="1" x14ac:dyDescent="0.2">
      <c r="A291" s="74" t="s">
        <v>8</v>
      </c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  <c r="AA291" s="75"/>
      <c r="AB291" s="75"/>
      <c r="AC291" s="75"/>
      <c r="AD291" s="75"/>
      <c r="AE291" s="75"/>
      <c r="AF291" s="75"/>
      <c r="AG291" s="75"/>
      <c r="AH291" s="75"/>
      <c r="AI291" s="75"/>
      <c r="AJ291" s="75"/>
      <c r="AK291" s="75"/>
      <c r="AL291" s="75"/>
      <c r="AM291" s="75"/>
      <c r="AN291" s="75"/>
      <c r="AO291" s="75"/>
      <c r="AP291" s="75"/>
      <c r="AQ291" s="75"/>
      <c r="AR291" s="75"/>
      <c r="AS291" s="75"/>
      <c r="AT291" s="75"/>
      <c r="AU291" s="75"/>
      <c r="AV291" s="75"/>
      <c r="AW291" s="75"/>
      <c r="AX291" s="75"/>
      <c r="AY291" s="75"/>
      <c r="AZ291" s="75"/>
      <c r="BA291" s="75"/>
      <c r="BB291" s="75"/>
      <c r="BC291" s="75"/>
      <c r="BD291" s="75"/>
      <c r="BE291" s="75"/>
      <c r="BF291" s="75"/>
      <c r="BG291" s="75"/>
      <c r="BH291" s="75"/>
      <c r="BI291" s="75"/>
      <c r="BJ291" s="75"/>
      <c r="BK291" s="75"/>
      <c r="BL291" s="75"/>
      <c r="BM291" s="75"/>
      <c r="BN291" s="75"/>
      <c r="BO291" s="75"/>
      <c r="BP291" s="75"/>
      <c r="BQ291" s="75"/>
      <c r="BR291" s="75"/>
      <c r="BS291" s="75"/>
      <c r="BT291" s="75"/>
      <c r="BU291" s="75"/>
      <c r="BV291" s="75"/>
      <c r="BW291" s="75"/>
      <c r="BX291" s="75"/>
      <c r="BY291" s="75"/>
      <c r="BZ291" s="75"/>
      <c r="CA291" s="75"/>
      <c r="CB291" s="75"/>
      <c r="CC291" s="75"/>
      <c r="CD291" s="75"/>
      <c r="CE291" s="75"/>
      <c r="CF291" s="75"/>
      <c r="CG291" s="75"/>
      <c r="CH291" s="75"/>
      <c r="CI291" s="75"/>
      <c r="CJ291" s="75"/>
      <c r="CK291" s="75"/>
      <c r="CL291" s="75"/>
      <c r="CM291" s="75"/>
      <c r="CN291" s="75"/>
      <c r="CO291" s="75"/>
      <c r="CP291" s="75"/>
      <c r="CQ291" s="75"/>
      <c r="CR291" s="75"/>
      <c r="CS291" s="75"/>
      <c r="CT291" s="75"/>
      <c r="CU291" s="75"/>
      <c r="CV291" s="75"/>
      <c r="CW291" s="76"/>
      <c r="CX291" s="72"/>
      <c r="CY291" s="68"/>
      <c r="CZ291" s="68"/>
      <c r="DA291" s="69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</row>
    <row r="292" spans="1:128" ht="18" customHeight="1" x14ac:dyDescent="0.2">
      <c r="A292" s="74"/>
      <c r="B292" s="75"/>
      <c r="C292" s="75" t="s">
        <v>11</v>
      </c>
      <c r="D292" s="75"/>
      <c r="E292" s="75"/>
      <c r="F292" s="75" t="s">
        <v>536</v>
      </c>
      <c r="G292" s="75"/>
      <c r="H292" s="75" t="str">
        <f>TEXT(0.8,"#,##0.0#######")</f>
        <v>0.8</v>
      </c>
      <c r="I292" s="75"/>
      <c r="J292" s="75"/>
      <c r="K292" s="75"/>
      <c r="L292" s="75" t="s">
        <v>14</v>
      </c>
      <c r="M292" s="75"/>
      <c r="N292" s="75" t="s">
        <v>172</v>
      </c>
      <c r="O292" s="75"/>
      <c r="P292" s="75"/>
      <c r="Q292" s="75" t="s">
        <v>536</v>
      </c>
      <c r="R292" s="75"/>
      <c r="S292" s="75" t="str">
        <f>TEXT(0.42,"#,##0.00#######")</f>
        <v>0.42</v>
      </c>
      <c r="T292" s="75"/>
      <c r="U292" s="75"/>
      <c r="V292" s="75"/>
      <c r="W292" s="75"/>
      <c r="X292" s="75"/>
      <c r="Y292" s="75"/>
      <c r="Z292" s="75"/>
      <c r="AA292" s="75"/>
      <c r="AB292" s="75"/>
      <c r="AC292" s="75"/>
      <c r="AD292" s="75"/>
      <c r="AE292" s="75"/>
      <c r="AF292" s="75"/>
      <c r="AG292" s="75"/>
      <c r="AH292" s="75"/>
      <c r="AI292" s="75"/>
      <c r="AJ292" s="75"/>
      <c r="AK292" s="75"/>
      <c r="AL292" s="75"/>
      <c r="AM292" s="75"/>
      <c r="AN292" s="75"/>
      <c r="AO292" s="75"/>
      <c r="AP292" s="75"/>
      <c r="AQ292" s="75"/>
      <c r="AR292" s="75"/>
      <c r="AS292" s="75"/>
      <c r="AT292" s="75"/>
      <c r="AU292" s="75"/>
      <c r="AV292" s="75"/>
      <c r="AW292" s="75"/>
      <c r="AX292" s="75"/>
      <c r="AY292" s="75"/>
      <c r="AZ292" s="75"/>
      <c r="BA292" s="75"/>
      <c r="BB292" s="75"/>
      <c r="BC292" s="75"/>
      <c r="BD292" s="75"/>
      <c r="BE292" s="75"/>
      <c r="BF292" s="75"/>
      <c r="BG292" s="75"/>
      <c r="BH292" s="75"/>
      <c r="BI292" s="75"/>
      <c r="BJ292" s="75"/>
      <c r="BK292" s="75"/>
      <c r="BL292" s="75"/>
      <c r="BM292" s="75"/>
      <c r="BN292" s="75"/>
      <c r="BO292" s="75"/>
      <c r="BP292" s="75"/>
      <c r="BQ292" s="75"/>
      <c r="BR292" s="75"/>
      <c r="BS292" s="75"/>
      <c r="BT292" s="75"/>
      <c r="BU292" s="75"/>
      <c r="BV292" s="75"/>
      <c r="BW292" s="75"/>
      <c r="BX292" s="75"/>
      <c r="BY292" s="75"/>
      <c r="BZ292" s="75"/>
      <c r="CA292" s="75"/>
      <c r="CB292" s="75"/>
      <c r="CC292" s="75"/>
      <c r="CD292" s="75"/>
      <c r="CE292" s="75"/>
      <c r="CF292" s="75"/>
      <c r="CG292" s="75"/>
      <c r="CH292" s="75"/>
      <c r="CI292" s="75"/>
      <c r="CJ292" s="75"/>
      <c r="CK292" s="75"/>
      <c r="CL292" s="75"/>
      <c r="CM292" s="75"/>
      <c r="CN292" s="75"/>
      <c r="CO292" s="75"/>
      <c r="CP292" s="75"/>
      <c r="CQ292" s="75"/>
      <c r="CR292" s="75"/>
      <c r="CS292" s="75"/>
      <c r="CT292" s="75"/>
      <c r="CU292" s="75"/>
      <c r="CV292" s="75"/>
      <c r="CW292" s="76"/>
      <c r="CX292" s="72"/>
      <c r="CY292" s="68"/>
      <c r="CZ292" s="68"/>
      <c r="DA292" s="69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 t="s">
        <v>8</v>
      </c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</row>
    <row r="293" spans="1:128" ht="18" customHeight="1" x14ac:dyDescent="0.2">
      <c r="A293" s="74" t="s">
        <v>8</v>
      </c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  <c r="AA293" s="75"/>
      <c r="AB293" s="75"/>
      <c r="AC293" s="75"/>
      <c r="AD293" s="75"/>
      <c r="AE293" s="75"/>
      <c r="AF293" s="75"/>
      <c r="AG293" s="75"/>
      <c r="AH293" s="75"/>
      <c r="AI293" s="75"/>
      <c r="AJ293" s="75"/>
      <c r="AK293" s="75"/>
      <c r="AL293" s="75"/>
      <c r="AM293" s="75"/>
      <c r="AN293" s="75"/>
      <c r="AO293" s="75"/>
      <c r="AP293" s="75"/>
      <c r="AQ293" s="75"/>
      <c r="AR293" s="75"/>
      <c r="AS293" s="75"/>
      <c r="AT293" s="75"/>
      <c r="AU293" s="75"/>
      <c r="AV293" s="75"/>
      <c r="AW293" s="75"/>
      <c r="AX293" s="75"/>
      <c r="AY293" s="75"/>
      <c r="AZ293" s="75"/>
      <c r="BA293" s="75"/>
      <c r="BB293" s="75"/>
      <c r="BC293" s="75"/>
      <c r="BD293" s="75"/>
      <c r="BE293" s="75"/>
      <c r="BF293" s="75"/>
      <c r="BG293" s="75"/>
      <c r="BH293" s="75"/>
      <c r="BI293" s="75"/>
      <c r="BJ293" s="75"/>
      <c r="BK293" s="75"/>
      <c r="BL293" s="75"/>
      <c r="BM293" s="75"/>
      <c r="BN293" s="75"/>
      <c r="BO293" s="75"/>
      <c r="BP293" s="75"/>
      <c r="BQ293" s="75"/>
      <c r="BR293" s="75"/>
      <c r="BS293" s="75"/>
      <c r="BT293" s="75"/>
      <c r="BU293" s="75"/>
      <c r="BV293" s="75"/>
      <c r="BW293" s="75"/>
      <c r="BX293" s="75"/>
      <c r="BY293" s="75"/>
      <c r="BZ293" s="75"/>
      <c r="CA293" s="75"/>
      <c r="CB293" s="75"/>
      <c r="CC293" s="75"/>
      <c r="CD293" s="75"/>
      <c r="CE293" s="75"/>
      <c r="CF293" s="75"/>
      <c r="CG293" s="75"/>
      <c r="CH293" s="75"/>
      <c r="CI293" s="75"/>
      <c r="CJ293" s="75"/>
      <c r="CK293" s="75"/>
      <c r="CL293" s="75"/>
      <c r="CM293" s="75"/>
      <c r="CN293" s="75"/>
      <c r="CO293" s="75"/>
      <c r="CP293" s="75"/>
      <c r="CQ293" s="75"/>
      <c r="CR293" s="75"/>
      <c r="CS293" s="75"/>
      <c r="CT293" s="75"/>
      <c r="CU293" s="75"/>
      <c r="CV293" s="75"/>
      <c r="CW293" s="76"/>
      <c r="CX293" s="72"/>
      <c r="CY293" s="68"/>
      <c r="CZ293" s="68"/>
      <c r="DA293" s="69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</row>
    <row r="294" spans="1:128" ht="18" customHeight="1" x14ac:dyDescent="0.2">
      <c r="A294" s="74"/>
      <c r="B294" s="75"/>
      <c r="C294" s="75" t="s">
        <v>133</v>
      </c>
      <c r="D294" s="75"/>
      <c r="E294" s="75"/>
      <c r="F294" s="75" t="s">
        <v>536</v>
      </c>
      <c r="G294" s="75"/>
      <c r="H294" s="75"/>
      <c r="I294" s="75" t="s">
        <v>343</v>
      </c>
      <c r="J294" s="75"/>
      <c r="K294" s="75"/>
      <c r="L294" s="75" t="s">
        <v>173</v>
      </c>
      <c r="M294" s="75"/>
      <c r="N294" s="75"/>
      <c r="O294" s="75" t="s">
        <v>527</v>
      </c>
      <c r="P294" s="75"/>
      <c r="Q294" s="75"/>
      <c r="R294" s="75" t="s">
        <v>173</v>
      </c>
      <c r="S294" s="75"/>
      <c r="T294" s="75"/>
      <c r="U294" s="75" t="s">
        <v>11</v>
      </c>
      <c r="V294" s="75"/>
      <c r="W294" s="75"/>
      <c r="X294" s="75" t="s">
        <v>173</v>
      </c>
      <c r="Y294" s="75"/>
      <c r="Z294" s="75"/>
      <c r="AA294" s="75" t="s">
        <v>172</v>
      </c>
      <c r="AB294" s="75"/>
      <c r="AC294" s="75"/>
      <c r="AD294" s="75" t="s">
        <v>536</v>
      </c>
      <c r="AE294" s="75"/>
      <c r="AF294" s="75"/>
      <c r="AG294" s="75" t="str">
        <f>TEXT(ROUND(AD288+AJ290+H292+S292,2),"#,##0.00#######")</f>
        <v>4.82</v>
      </c>
      <c r="AH294" s="75"/>
      <c r="AI294" s="75"/>
      <c r="AJ294" s="75"/>
      <c r="AK294" s="75"/>
      <c r="AL294" s="75"/>
      <c r="AM294" s="75"/>
      <c r="AN294" s="75" t="s">
        <v>689</v>
      </c>
      <c r="AO294" s="75"/>
      <c r="AP294" s="75"/>
      <c r="AQ294" s="75"/>
      <c r="AR294" s="75"/>
      <c r="AS294" s="75"/>
      <c r="AT294" s="75"/>
      <c r="AU294" s="75"/>
      <c r="AV294" s="75"/>
      <c r="AW294" s="75"/>
      <c r="AX294" s="75"/>
      <c r="AY294" s="75"/>
      <c r="AZ294" s="75"/>
      <c r="BA294" s="75"/>
      <c r="BB294" s="75"/>
      <c r="BC294" s="75"/>
      <c r="BD294" s="75"/>
      <c r="BE294" s="75"/>
      <c r="BF294" s="75"/>
      <c r="BG294" s="75"/>
      <c r="BH294" s="75"/>
      <c r="BI294" s="75"/>
      <c r="BJ294" s="75"/>
      <c r="BK294" s="75"/>
      <c r="BL294" s="75"/>
      <c r="BM294" s="75"/>
      <c r="BN294" s="75"/>
      <c r="BO294" s="75"/>
      <c r="BP294" s="75"/>
      <c r="BQ294" s="75"/>
      <c r="BR294" s="75"/>
      <c r="BS294" s="75"/>
      <c r="BT294" s="75"/>
      <c r="BU294" s="75"/>
      <c r="BV294" s="75"/>
      <c r="BW294" s="75"/>
      <c r="BX294" s="75"/>
      <c r="BY294" s="75"/>
      <c r="BZ294" s="75"/>
      <c r="CA294" s="75"/>
      <c r="CB294" s="75"/>
      <c r="CC294" s="75"/>
      <c r="CD294" s="75"/>
      <c r="CE294" s="75"/>
      <c r="CF294" s="75"/>
      <c r="CG294" s="75"/>
      <c r="CH294" s="75"/>
      <c r="CI294" s="75"/>
      <c r="CJ294" s="75"/>
      <c r="CK294" s="75"/>
      <c r="CL294" s="75"/>
      <c r="CM294" s="75"/>
      <c r="CN294" s="75"/>
      <c r="CO294" s="75"/>
      <c r="CP294" s="75"/>
      <c r="CQ294" s="75"/>
      <c r="CR294" s="75"/>
      <c r="CS294" s="75"/>
      <c r="CT294" s="75"/>
      <c r="CU294" s="75"/>
      <c r="CV294" s="75"/>
      <c r="CW294" s="76"/>
      <c r="CX294" s="72"/>
      <c r="CY294" s="68"/>
      <c r="CZ294" s="68"/>
      <c r="DA294" s="69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 t="s">
        <v>8</v>
      </c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</row>
    <row r="295" spans="1:128" ht="18" customHeight="1" x14ac:dyDescent="0.2">
      <c r="A295" s="74" t="s">
        <v>8</v>
      </c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  <c r="AA295" s="75"/>
      <c r="AB295" s="75"/>
      <c r="AC295" s="75"/>
      <c r="AD295" s="75"/>
      <c r="AE295" s="75"/>
      <c r="AF295" s="75"/>
      <c r="AG295" s="75"/>
      <c r="AH295" s="75"/>
      <c r="AI295" s="75"/>
      <c r="AJ295" s="75"/>
      <c r="AK295" s="75"/>
      <c r="AL295" s="75"/>
      <c r="AM295" s="75"/>
      <c r="AN295" s="75"/>
      <c r="AO295" s="75"/>
      <c r="AP295" s="75"/>
      <c r="AQ295" s="75"/>
      <c r="AR295" s="75"/>
      <c r="AS295" s="75"/>
      <c r="AT295" s="75"/>
      <c r="AU295" s="75"/>
      <c r="AV295" s="75"/>
      <c r="AW295" s="75"/>
      <c r="AX295" s="75"/>
      <c r="AY295" s="75"/>
      <c r="AZ295" s="75"/>
      <c r="BA295" s="75"/>
      <c r="BB295" s="75"/>
      <c r="BC295" s="75"/>
      <c r="BD295" s="75"/>
      <c r="BE295" s="75"/>
      <c r="BF295" s="75"/>
      <c r="BG295" s="75"/>
      <c r="BH295" s="75"/>
      <c r="BI295" s="75"/>
      <c r="BJ295" s="75"/>
      <c r="BK295" s="75"/>
      <c r="BL295" s="75"/>
      <c r="BM295" s="75"/>
      <c r="BN295" s="75"/>
      <c r="BO295" s="75"/>
      <c r="BP295" s="75"/>
      <c r="BQ295" s="75"/>
      <c r="BR295" s="75"/>
      <c r="BS295" s="75"/>
      <c r="BT295" s="75"/>
      <c r="BU295" s="75"/>
      <c r="BV295" s="75"/>
      <c r="BW295" s="75"/>
      <c r="BX295" s="75"/>
      <c r="BY295" s="75"/>
      <c r="BZ295" s="75"/>
      <c r="CA295" s="75"/>
      <c r="CB295" s="75"/>
      <c r="CC295" s="75"/>
      <c r="CD295" s="75"/>
      <c r="CE295" s="75"/>
      <c r="CF295" s="75"/>
      <c r="CG295" s="75"/>
      <c r="CH295" s="75"/>
      <c r="CI295" s="75"/>
      <c r="CJ295" s="75"/>
      <c r="CK295" s="75"/>
      <c r="CL295" s="75"/>
      <c r="CM295" s="75"/>
      <c r="CN295" s="75"/>
      <c r="CO295" s="75"/>
      <c r="CP295" s="75"/>
      <c r="CQ295" s="75"/>
      <c r="CR295" s="75"/>
      <c r="CS295" s="75"/>
      <c r="CT295" s="75"/>
      <c r="CU295" s="75"/>
      <c r="CV295" s="75"/>
      <c r="CW295" s="76"/>
      <c r="CX295" s="72"/>
      <c r="CY295" s="68"/>
      <c r="CZ295" s="68"/>
      <c r="DA295" s="69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</row>
    <row r="296" spans="1:128" ht="18" customHeight="1" x14ac:dyDescent="0.2">
      <c r="A296" s="74"/>
      <c r="B296" s="75"/>
      <c r="C296" s="75" t="s">
        <v>534</v>
      </c>
      <c r="D296" s="75"/>
      <c r="E296" s="75" t="s">
        <v>536</v>
      </c>
      <c r="F296" s="75"/>
      <c r="G296" s="75" t="str">
        <f>TEXT(60,"#,##0")</f>
        <v>60</v>
      </c>
      <c r="H296" s="75"/>
      <c r="I296" s="75"/>
      <c r="J296" s="75" t="s">
        <v>357</v>
      </c>
      <c r="K296" s="75"/>
      <c r="L296" s="75" t="s">
        <v>530</v>
      </c>
      <c r="M296" s="75"/>
      <c r="N296" s="75" t="s">
        <v>357</v>
      </c>
      <c r="O296" s="75"/>
      <c r="P296" s="75" t="s">
        <v>347</v>
      </c>
      <c r="Q296" s="75"/>
      <c r="R296" s="75" t="s">
        <v>357</v>
      </c>
      <c r="S296" s="75"/>
      <c r="T296" s="75" t="s">
        <v>535</v>
      </c>
      <c r="U296" s="75"/>
      <c r="V296" s="75" t="s">
        <v>181</v>
      </c>
      <c r="W296" s="75"/>
      <c r="X296" s="75"/>
      <c r="Y296" s="75" t="s">
        <v>133</v>
      </c>
      <c r="Z296" s="75"/>
      <c r="AA296" s="75"/>
      <c r="AB296" s="75" t="s">
        <v>536</v>
      </c>
      <c r="AC296" s="75"/>
      <c r="AD296" s="75"/>
      <c r="AE296" s="75" t="str">
        <f>TEXT(ROUND(G296*AN286*H288*R288/AG294,2),"#,##0.00#######")</f>
        <v>12.89</v>
      </c>
      <c r="AF296" s="75"/>
      <c r="AG296" s="75"/>
      <c r="AH296" s="75"/>
      <c r="AI296" s="75"/>
      <c r="AJ296" s="75"/>
      <c r="AK296" s="75"/>
      <c r="AL296" s="75"/>
      <c r="AM296" s="75" t="s">
        <v>268</v>
      </c>
      <c r="AN296" s="75"/>
      <c r="AO296" s="75"/>
      <c r="AP296" s="75"/>
      <c r="AQ296" s="75"/>
      <c r="AR296" s="75"/>
      <c r="AS296" s="75"/>
      <c r="AT296" s="75"/>
      <c r="AU296" s="75"/>
      <c r="AV296" s="75"/>
      <c r="AW296" s="75"/>
      <c r="AX296" s="75"/>
      <c r="AY296" s="75"/>
      <c r="AZ296" s="75"/>
      <c r="BA296" s="75"/>
      <c r="BB296" s="75"/>
      <c r="BC296" s="75"/>
      <c r="BD296" s="75"/>
      <c r="BE296" s="75"/>
      <c r="BF296" s="75"/>
      <c r="BG296" s="75"/>
      <c r="BH296" s="75"/>
      <c r="BI296" s="75"/>
      <c r="BJ296" s="75"/>
      <c r="BK296" s="75"/>
      <c r="BL296" s="75"/>
      <c r="BM296" s="75"/>
      <c r="BN296" s="75"/>
      <c r="BO296" s="75"/>
      <c r="BP296" s="75"/>
      <c r="BQ296" s="75"/>
      <c r="BR296" s="75"/>
      <c r="BS296" s="75"/>
      <c r="BT296" s="75"/>
      <c r="BU296" s="75"/>
      <c r="BV296" s="75"/>
      <c r="BW296" s="75"/>
      <c r="BX296" s="75"/>
      <c r="BY296" s="75"/>
      <c r="BZ296" s="75"/>
      <c r="CA296" s="75"/>
      <c r="CB296" s="75"/>
      <c r="CC296" s="75"/>
      <c r="CD296" s="75"/>
      <c r="CE296" s="75"/>
      <c r="CF296" s="75"/>
      <c r="CG296" s="75"/>
      <c r="CH296" s="75"/>
      <c r="CI296" s="75"/>
      <c r="CJ296" s="75"/>
      <c r="CK296" s="75"/>
      <c r="CL296" s="75"/>
      <c r="CM296" s="75"/>
      <c r="CN296" s="75"/>
      <c r="CO296" s="75"/>
      <c r="CP296" s="75"/>
      <c r="CQ296" s="75"/>
      <c r="CR296" s="75"/>
      <c r="CS296" s="75"/>
      <c r="CT296" s="75"/>
      <c r="CU296" s="75"/>
      <c r="CV296" s="75"/>
      <c r="CW296" s="76"/>
      <c r="CX296" s="72"/>
      <c r="CY296" s="68"/>
      <c r="CZ296" s="68"/>
      <c r="DA296" s="69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 t="s">
        <v>8</v>
      </c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</row>
    <row r="297" spans="1:128" ht="18" customHeight="1" x14ac:dyDescent="0.2">
      <c r="A297" s="74" t="s">
        <v>8</v>
      </c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  <c r="AA297" s="75"/>
      <c r="AB297" s="75"/>
      <c r="AC297" s="75"/>
      <c r="AD297" s="75"/>
      <c r="AE297" s="75"/>
      <c r="AF297" s="75"/>
      <c r="AG297" s="75"/>
      <c r="AH297" s="75"/>
      <c r="AI297" s="75"/>
      <c r="AJ297" s="75"/>
      <c r="AK297" s="75"/>
      <c r="AL297" s="75"/>
      <c r="AM297" s="75"/>
      <c r="AN297" s="75"/>
      <c r="AO297" s="75"/>
      <c r="AP297" s="75"/>
      <c r="AQ297" s="75"/>
      <c r="AR297" s="75"/>
      <c r="AS297" s="75"/>
      <c r="AT297" s="75"/>
      <c r="AU297" s="75"/>
      <c r="AV297" s="75"/>
      <c r="AW297" s="75"/>
      <c r="AX297" s="75"/>
      <c r="AY297" s="75"/>
      <c r="AZ297" s="75"/>
      <c r="BA297" s="75"/>
      <c r="BB297" s="75"/>
      <c r="BC297" s="75"/>
      <c r="BD297" s="75"/>
      <c r="BE297" s="75"/>
      <c r="BF297" s="75"/>
      <c r="BG297" s="75"/>
      <c r="BH297" s="75"/>
      <c r="BI297" s="75"/>
      <c r="BJ297" s="75"/>
      <c r="BK297" s="75"/>
      <c r="BL297" s="75"/>
      <c r="BM297" s="75"/>
      <c r="BN297" s="75"/>
      <c r="BO297" s="75"/>
      <c r="BP297" s="75"/>
      <c r="BQ297" s="75"/>
      <c r="BR297" s="75"/>
      <c r="BS297" s="75"/>
      <c r="BT297" s="75"/>
      <c r="BU297" s="75"/>
      <c r="BV297" s="75"/>
      <c r="BW297" s="75"/>
      <c r="BX297" s="75"/>
      <c r="BY297" s="75"/>
      <c r="BZ297" s="75"/>
      <c r="CA297" s="75"/>
      <c r="CB297" s="75"/>
      <c r="CC297" s="75"/>
      <c r="CD297" s="75"/>
      <c r="CE297" s="75"/>
      <c r="CF297" s="75"/>
      <c r="CG297" s="75"/>
      <c r="CH297" s="75"/>
      <c r="CI297" s="75"/>
      <c r="CJ297" s="75"/>
      <c r="CK297" s="75"/>
      <c r="CL297" s="75"/>
      <c r="CM297" s="75"/>
      <c r="CN297" s="75"/>
      <c r="CO297" s="75"/>
      <c r="CP297" s="75"/>
      <c r="CQ297" s="75"/>
      <c r="CR297" s="75"/>
      <c r="CS297" s="75"/>
      <c r="CT297" s="75"/>
      <c r="CU297" s="75"/>
      <c r="CV297" s="75"/>
      <c r="CW297" s="76"/>
      <c r="CX297" s="72"/>
      <c r="CY297" s="68"/>
      <c r="CZ297" s="68"/>
      <c r="DA297" s="69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</row>
    <row r="298" spans="1:128" ht="18" customHeight="1" x14ac:dyDescent="0.2">
      <c r="A298" s="74"/>
      <c r="B298" s="75"/>
      <c r="C298" s="75"/>
      <c r="D298" s="75"/>
      <c r="E298" s="75" t="s">
        <v>136</v>
      </c>
      <c r="F298" s="75"/>
      <c r="G298" s="75"/>
      <c r="H298" s="75"/>
      <c r="I298" s="75"/>
      <c r="J298" s="75" t="str">
        <f>TEXT(TRUNC(건설기계!H19,0),"#,##0")</f>
        <v>6,631</v>
      </c>
      <c r="K298" s="75"/>
      <c r="L298" s="75"/>
      <c r="M298" s="75"/>
      <c r="N298" s="75"/>
      <c r="O298" s="75"/>
      <c r="P298" s="75" t="s">
        <v>181</v>
      </c>
      <c r="Q298" s="75"/>
      <c r="R298" s="75"/>
      <c r="S298" s="75" t="s">
        <v>534</v>
      </c>
      <c r="T298" s="75"/>
      <c r="U298" s="75" t="s">
        <v>536</v>
      </c>
      <c r="V298" s="75"/>
      <c r="W298" s="75" t="str">
        <f>TEXT(ROUNDDOWN(J298/AE296,1),"#,##0.0#######")</f>
        <v>514.4</v>
      </c>
      <c r="X298" s="75"/>
      <c r="Y298" s="75"/>
      <c r="Z298" s="75"/>
      <c r="AA298" s="75"/>
      <c r="AB298" s="75"/>
      <c r="AC298" s="75"/>
      <c r="AD298" s="75" t="s">
        <v>679</v>
      </c>
      <c r="AE298" s="75"/>
      <c r="AF298" s="75"/>
      <c r="AG298" s="75"/>
      <c r="AH298" s="75"/>
      <c r="AI298" s="75"/>
      <c r="AJ298" s="75"/>
      <c r="AK298" s="75"/>
      <c r="AL298" s="75"/>
      <c r="AM298" s="75"/>
      <c r="AN298" s="75"/>
      <c r="AO298" s="75"/>
      <c r="AP298" s="75"/>
      <c r="AQ298" s="75"/>
      <c r="AR298" s="75"/>
      <c r="AS298" s="75"/>
      <c r="AT298" s="75"/>
      <c r="AU298" s="75"/>
      <c r="AV298" s="75"/>
      <c r="AW298" s="75"/>
      <c r="AX298" s="75"/>
      <c r="AY298" s="75"/>
      <c r="AZ298" s="75"/>
      <c r="BA298" s="75"/>
      <c r="BB298" s="75"/>
      <c r="BC298" s="75"/>
      <c r="BD298" s="75"/>
      <c r="BE298" s="75"/>
      <c r="BF298" s="75"/>
      <c r="BG298" s="75"/>
      <c r="BH298" s="75"/>
      <c r="BI298" s="75"/>
      <c r="BJ298" s="75"/>
      <c r="BK298" s="75"/>
      <c r="BL298" s="75"/>
      <c r="BM298" s="75"/>
      <c r="BN298" s="75"/>
      <c r="BO298" s="75"/>
      <c r="BP298" s="75"/>
      <c r="BQ298" s="75"/>
      <c r="BR298" s="75"/>
      <c r="BS298" s="75"/>
      <c r="BT298" s="75"/>
      <c r="BU298" s="75"/>
      <c r="BV298" s="75"/>
      <c r="BW298" s="75"/>
      <c r="BX298" s="75"/>
      <c r="BY298" s="75"/>
      <c r="BZ298" s="75"/>
      <c r="CA298" s="75"/>
      <c r="CB298" s="75"/>
      <c r="CC298" s="75"/>
      <c r="CD298" s="75"/>
      <c r="CE298" s="75"/>
      <c r="CF298" s="75"/>
      <c r="CG298" s="75"/>
      <c r="CH298" s="75"/>
      <c r="CI298" s="75"/>
      <c r="CJ298" s="75"/>
      <c r="CK298" s="75"/>
      <c r="CL298" s="75"/>
      <c r="CM298" s="75"/>
      <c r="CN298" s="75"/>
      <c r="CO298" s="75"/>
      <c r="CP298" s="75"/>
      <c r="CQ298" s="75"/>
      <c r="CR298" s="75"/>
      <c r="CS298" s="75"/>
      <c r="CT298" s="75"/>
      <c r="CU298" s="75"/>
      <c r="CV298" s="75"/>
      <c r="CW298" s="76"/>
      <c r="CX298" s="72">
        <f>CY298+CZ298+DA298</f>
        <v>514.4</v>
      </c>
      <c r="CY298" s="68"/>
      <c r="CZ298" s="68"/>
      <c r="DA298" s="69" t="str">
        <f>TEXT(W298,"#,###.0")</f>
        <v>514.4</v>
      </c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 t="s">
        <v>100</v>
      </c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</row>
    <row r="299" spans="1:128" ht="18" customHeight="1" x14ac:dyDescent="0.2">
      <c r="A299" s="74" t="s">
        <v>8</v>
      </c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  <c r="AA299" s="75"/>
      <c r="AB299" s="75"/>
      <c r="AC299" s="75"/>
      <c r="AD299" s="75"/>
      <c r="AE299" s="75"/>
      <c r="AF299" s="75"/>
      <c r="AG299" s="75"/>
      <c r="AH299" s="75"/>
      <c r="AI299" s="75"/>
      <c r="AJ299" s="75"/>
      <c r="AK299" s="75"/>
      <c r="AL299" s="75"/>
      <c r="AM299" s="75"/>
      <c r="AN299" s="75"/>
      <c r="AO299" s="75"/>
      <c r="AP299" s="75"/>
      <c r="AQ299" s="75"/>
      <c r="AR299" s="75"/>
      <c r="AS299" s="75"/>
      <c r="AT299" s="75"/>
      <c r="AU299" s="75"/>
      <c r="AV299" s="75"/>
      <c r="AW299" s="75"/>
      <c r="AX299" s="75"/>
      <c r="AY299" s="75"/>
      <c r="AZ299" s="75"/>
      <c r="BA299" s="75"/>
      <c r="BB299" s="75"/>
      <c r="BC299" s="75"/>
      <c r="BD299" s="75"/>
      <c r="BE299" s="75"/>
      <c r="BF299" s="75"/>
      <c r="BG299" s="75"/>
      <c r="BH299" s="75"/>
      <c r="BI299" s="75"/>
      <c r="BJ299" s="75"/>
      <c r="BK299" s="75"/>
      <c r="BL299" s="75"/>
      <c r="BM299" s="75"/>
      <c r="BN299" s="75"/>
      <c r="BO299" s="75"/>
      <c r="BP299" s="75"/>
      <c r="BQ299" s="75"/>
      <c r="BR299" s="75"/>
      <c r="BS299" s="75"/>
      <c r="BT299" s="75"/>
      <c r="BU299" s="75"/>
      <c r="BV299" s="75"/>
      <c r="BW299" s="75"/>
      <c r="BX299" s="75"/>
      <c r="BY299" s="75"/>
      <c r="BZ299" s="75"/>
      <c r="CA299" s="75"/>
      <c r="CB299" s="75"/>
      <c r="CC299" s="75"/>
      <c r="CD299" s="75"/>
      <c r="CE299" s="75"/>
      <c r="CF299" s="75"/>
      <c r="CG299" s="75"/>
      <c r="CH299" s="75"/>
      <c r="CI299" s="75"/>
      <c r="CJ299" s="75"/>
      <c r="CK299" s="75"/>
      <c r="CL299" s="75"/>
      <c r="CM299" s="75"/>
      <c r="CN299" s="75"/>
      <c r="CO299" s="75"/>
      <c r="CP299" s="75"/>
      <c r="CQ299" s="75"/>
      <c r="CR299" s="75"/>
      <c r="CS299" s="75"/>
      <c r="CT299" s="75"/>
      <c r="CU299" s="75"/>
      <c r="CV299" s="75"/>
      <c r="CW299" s="76"/>
      <c r="CX299" s="72"/>
      <c r="CY299" s="68"/>
      <c r="CZ299" s="68"/>
      <c r="DA299" s="69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</row>
    <row r="300" spans="1:128" ht="18" customHeight="1" x14ac:dyDescent="0.2">
      <c r="A300" s="74"/>
      <c r="B300" s="75"/>
      <c r="C300" s="75"/>
      <c r="D300" s="75"/>
      <c r="E300" s="75" t="s">
        <v>687</v>
      </c>
      <c r="F300" s="75"/>
      <c r="G300" s="75"/>
      <c r="H300" s="75"/>
      <c r="I300" s="75"/>
      <c r="J300" s="75" t="str">
        <f>TEXT(TRUNC(건설기계!J19,0),"#,##0")</f>
        <v>49,778</v>
      </c>
      <c r="K300" s="75"/>
      <c r="L300" s="75"/>
      <c r="M300" s="75"/>
      <c r="N300" s="75"/>
      <c r="O300" s="75"/>
      <c r="P300" s="75"/>
      <c r="Q300" s="75" t="s">
        <v>181</v>
      </c>
      <c r="R300" s="75"/>
      <c r="S300" s="75"/>
      <c r="T300" s="75" t="s">
        <v>534</v>
      </c>
      <c r="U300" s="75"/>
      <c r="V300" s="75" t="s">
        <v>536</v>
      </c>
      <c r="W300" s="75"/>
      <c r="X300" s="75" t="str">
        <f>TEXT(ROUNDDOWN(J300/AE296,1),"#,##0.0#######")</f>
        <v>3,861.7</v>
      </c>
      <c r="Y300" s="75"/>
      <c r="Z300" s="75"/>
      <c r="AA300" s="75"/>
      <c r="AB300" s="75"/>
      <c r="AC300" s="75"/>
      <c r="AD300" s="75"/>
      <c r="AE300" s="75"/>
      <c r="AF300" s="75"/>
      <c r="AG300" s="75" t="s">
        <v>679</v>
      </c>
      <c r="AH300" s="75"/>
      <c r="AI300" s="75"/>
      <c r="AJ300" s="75"/>
      <c r="AK300" s="75"/>
      <c r="AL300" s="75"/>
      <c r="AM300" s="75"/>
      <c r="AN300" s="75"/>
      <c r="AO300" s="75"/>
      <c r="AP300" s="75"/>
      <c r="AQ300" s="75"/>
      <c r="AR300" s="75"/>
      <c r="AS300" s="75"/>
      <c r="AT300" s="75"/>
      <c r="AU300" s="75"/>
      <c r="AV300" s="75"/>
      <c r="AW300" s="75"/>
      <c r="AX300" s="75"/>
      <c r="AY300" s="75"/>
      <c r="AZ300" s="75"/>
      <c r="BA300" s="75"/>
      <c r="BB300" s="75"/>
      <c r="BC300" s="75"/>
      <c r="BD300" s="75"/>
      <c r="BE300" s="75"/>
      <c r="BF300" s="75"/>
      <c r="BG300" s="75"/>
      <c r="BH300" s="75"/>
      <c r="BI300" s="75"/>
      <c r="BJ300" s="75"/>
      <c r="BK300" s="75"/>
      <c r="BL300" s="75"/>
      <c r="BM300" s="75"/>
      <c r="BN300" s="75"/>
      <c r="BO300" s="75"/>
      <c r="BP300" s="75"/>
      <c r="BQ300" s="75"/>
      <c r="BR300" s="75"/>
      <c r="BS300" s="75"/>
      <c r="BT300" s="75"/>
      <c r="BU300" s="75"/>
      <c r="BV300" s="75"/>
      <c r="BW300" s="75"/>
      <c r="BX300" s="75"/>
      <c r="BY300" s="75"/>
      <c r="BZ300" s="75"/>
      <c r="CA300" s="75"/>
      <c r="CB300" s="75"/>
      <c r="CC300" s="75"/>
      <c r="CD300" s="75"/>
      <c r="CE300" s="75"/>
      <c r="CF300" s="75"/>
      <c r="CG300" s="75"/>
      <c r="CH300" s="75"/>
      <c r="CI300" s="75"/>
      <c r="CJ300" s="75"/>
      <c r="CK300" s="75"/>
      <c r="CL300" s="75"/>
      <c r="CM300" s="75"/>
      <c r="CN300" s="75"/>
      <c r="CO300" s="75"/>
      <c r="CP300" s="75"/>
      <c r="CQ300" s="75"/>
      <c r="CR300" s="75"/>
      <c r="CS300" s="75"/>
      <c r="CT300" s="75"/>
      <c r="CU300" s="75"/>
      <c r="CV300" s="75"/>
      <c r="CW300" s="76"/>
      <c r="CX300" s="72">
        <f>CY300+CZ300+DA300</f>
        <v>3861.7</v>
      </c>
      <c r="CY300" s="68"/>
      <c r="CZ300" s="68"/>
      <c r="DA300" s="69" t="str">
        <f>TEXT(X300,"#,###.0")</f>
        <v>3,861.7</v>
      </c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 t="s">
        <v>100</v>
      </c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</row>
    <row r="301" spans="1:128" ht="18" customHeight="1" x14ac:dyDescent="0.2">
      <c r="A301" s="74" t="s">
        <v>8</v>
      </c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  <c r="AA301" s="75"/>
      <c r="AB301" s="75"/>
      <c r="AC301" s="75"/>
      <c r="AD301" s="75"/>
      <c r="AE301" s="75"/>
      <c r="AF301" s="75"/>
      <c r="AG301" s="75"/>
      <c r="AH301" s="75"/>
      <c r="AI301" s="75"/>
      <c r="AJ301" s="75"/>
      <c r="AK301" s="75"/>
      <c r="AL301" s="75"/>
      <c r="AM301" s="75"/>
      <c r="AN301" s="75"/>
      <c r="AO301" s="75"/>
      <c r="AP301" s="75"/>
      <c r="AQ301" s="75"/>
      <c r="AR301" s="75"/>
      <c r="AS301" s="75"/>
      <c r="AT301" s="75"/>
      <c r="AU301" s="75"/>
      <c r="AV301" s="75"/>
      <c r="AW301" s="75"/>
      <c r="AX301" s="75"/>
      <c r="AY301" s="75"/>
      <c r="AZ301" s="75"/>
      <c r="BA301" s="75"/>
      <c r="BB301" s="75"/>
      <c r="BC301" s="75"/>
      <c r="BD301" s="75"/>
      <c r="BE301" s="75"/>
      <c r="BF301" s="75"/>
      <c r="BG301" s="75"/>
      <c r="BH301" s="75"/>
      <c r="BI301" s="75"/>
      <c r="BJ301" s="75"/>
      <c r="BK301" s="75"/>
      <c r="BL301" s="75"/>
      <c r="BM301" s="75"/>
      <c r="BN301" s="75"/>
      <c r="BO301" s="75"/>
      <c r="BP301" s="75"/>
      <c r="BQ301" s="75"/>
      <c r="BR301" s="75"/>
      <c r="BS301" s="75"/>
      <c r="BT301" s="75"/>
      <c r="BU301" s="75"/>
      <c r="BV301" s="75"/>
      <c r="BW301" s="75"/>
      <c r="BX301" s="75"/>
      <c r="BY301" s="75"/>
      <c r="BZ301" s="75"/>
      <c r="CA301" s="75"/>
      <c r="CB301" s="75"/>
      <c r="CC301" s="75"/>
      <c r="CD301" s="75"/>
      <c r="CE301" s="75"/>
      <c r="CF301" s="75"/>
      <c r="CG301" s="75"/>
      <c r="CH301" s="75"/>
      <c r="CI301" s="75"/>
      <c r="CJ301" s="75"/>
      <c r="CK301" s="75"/>
      <c r="CL301" s="75"/>
      <c r="CM301" s="75"/>
      <c r="CN301" s="75"/>
      <c r="CO301" s="75"/>
      <c r="CP301" s="75"/>
      <c r="CQ301" s="75"/>
      <c r="CR301" s="75"/>
      <c r="CS301" s="75"/>
      <c r="CT301" s="75"/>
      <c r="CU301" s="75"/>
      <c r="CV301" s="75"/>
      <c r="CW301" s="76"/>
      <c r="CX301" s="72"/>
      <c r="CY301" s="68"/>
      <c r="CZ301" s="68"/>
      <c r="DA301" s="69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</row>
    <row r="302" spans="1:128" ht="18" customHeight="1" x14ac:dyDescent="0.2">
      <c r="A302" s="74"/>
      <c r="B302" s="75"/>
      <c r="C302" s="75"/>
      <c r="D302" s="75"/>
      <c r="E302" s="75" t="s">
        <v>313</v>
      </c>
      <c r="F302" s="75"/>
      <c r="G302" s="75"/>
      <c r="H302" s="75"/>
      <c r="I302" s="75"/>
      <c r="J302" s="75" t="str">
        <f>TEXT(TRUNC(건설기계!L19,0),"#,##0")</f>
        <v>6,522</v>
      </c>
      <c r="K302" s="75"/>
      <c r="L302" s="75"/>
      <c r="M302" s="75"/>
      <c r="N302" s="75"/>
      <c r="O302" s="75"/>
      <c r="P302" s="75" t="s">
        <v>181</v>
      </c>
      <c r="Q302" s="75"/>
      <c r="R302" s="75"/>
      <c r="S302" s="75" t="s">
        <v>534</v>
      </c>
      <c r="T302" s="75"/>
      <c r="U302" s="75" t="s">
        <v>536</v>
      </c>
      <c r="V302" s="75"/>
      <c r="W302" s="75" t="str">
        <f>TEXT(ROUNDDOWN(J302/AE296,1),"#,##0.0#######")</f>
        <v>505.9</v>
      </c>
      <c r="X302" s="75"/>
      <c r="Y302" s="75"/>
      <c r="Z302" s="75"/>
      <c r="AA302" s="75"/>
      <c r="AB302" s="75"/>
      <c r="AC302" s="75"/>
      <c r="AD302" s="75" t="s">
        <v>679</v>
      </c>
      <c r="AE302" s="75"/>
      <c r="AF302" s="75"/>
      <c r="AG302" s="75"/>
      <c r="AH302" s="75"/>
      <c r="AI302" s="75"/>
      <c r="AJ302" s="75"/>
      <c r="AK302" s="75"/>
      <c r="AL302" s="75"/>
      <c r="AM302" s="75"/>
      <c r="AN302" s="75"/>
      <c r="AO302" s="75"/>
      <c r="AP302" s="75"/>
      <c r="AQ302" s="75"/>
      <c r="AR302" s="75"/>
      <c r="AS302" s="75"/>
      <c r="AT302" s="75"/>
      <c r="AU302" s="75"/>
      <c r="AV302" s="75"/>
      <c r="AW302" s="75"/>
      <c r="AX302" s="75"/>
      <c r="AY302" s="75"/>
      <c r="AZ302" s="75"/>
      <c r="BA302" s="75"/>
      <c r="BB302" s="75"/>
      <c r="BC302" s="75"/>
      <c r="BD302" s="75"/>
      <c r="BE302" s="75"/>
      <c r="BF302" s="75"/>
      <c r="BG302" s="75"/>
      <c r="BH302" s="75"/>
      <c r="BI302" s="75"/>
      <c r="BJ302" s="75"/>
      <c r="BK302" s="75"/>
      <c r="BL302" s="75"/>
      <c r="BM302" s="75"/>
      <c r="BN302" s="75"/>
      <c r="BO302" s="75"/>
      <c r="BP302" s="75"/>
      <c r="BQ302" s="75"/>
      <c r="BR302" s="75"/>
      <c r="BS302" s="75"/>
      <c r="BT302" s="75"/>
      <c r="BU302" s="75"/>
      <c r="BV302" s="75"/>
      <c r="BW302" s="75"/>
      <c r="BX302" s="75"/>
      <c r="BY302" s="75"/>
      <c r="BZ302" s="75"/>
      <c r="CA302" s="75"/>
      <c r="CB302" s="75"/>
      <c r="CC302" s="75"/>
      <c r="CD302" s="75"/>
      <c r="CE302" s="75"/>
      <c r="CF302" s="75"/>
      <c r="CG302" s="75"/>
      <c r="CH302" s="75"/>
      <c r="CI302" s="75"/>
      <c r="CJ302" s="75"/>
      <c r="CK302" s="75"/>
      <c r="CL302" s="75"/>
      <c r="CM302" s="75"/>
      <c r="CN302" s="75"/>
      <c r="CO302" s="75"/>
      <c r="CP302" s="75"/>
      <c r="CQ302" s="75"/>
      <c r="CR302" s="75"/>
      <c r="CS302" s="75"/>
      <c r="CT302" s="75"/>
      <c r="CU302" s="75"/>
      <c r="CV302" s="75"/>
      <c r="CW302" s="76"/>
      <c r="CX302" s="72">
        <f>CY302+CZ302+DA302</f>
        <v>505.9</v>
      </c>
      <c r="CY302" s="68"/>
      <c r="CZ302" s="68"/>
      <c r="DA302" s="69" t="str">
        <f>TEXT(W302,"#,###.0")</f>
        <v>505.9</v>
      </c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 t="s">
        <v>100</v>
      </c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</row>
    <row r="303" spans="1:128" ht="18" customHeight="1" x14ac:dyDescent="0.2">
      <c r="A303" s="74" t="s">
        <v>8</v>
      </c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5"/>
      <c r="AD303" s="75"/>
      <c r="AE303" s="75"/>
      <c r="AF303" s="75"/>
      <c r="AG303" s="75"/>
      <c r="AH303" s="75"/>
      <c r="AI303" s="75"/>
      <c r="AJ303" s="75"/>
      <c r="AK303" s="75"/>
      <c r="AL303" s="75"/>
      <c r="AM303" s="75"/>
      <c r="AN303" s="75"/>
      <c r="AO303" s="75"/>
      <c r="AP303" s="75"/>
      <c r="AQ303" s="75"/>
      <c r="AR303" s="75"/>
      <c r="AS303" s="75"/>
      <c r="AT303" s="75"/>
      <c r="AU303" s="75"/>
      <c r="AV303" s="75"/>
      <c r="AW303" s="75"/>
      <c r="AX303" s="75"/>
      <c r="AY303" s="75"/>
      <c r="AZ303" s="75"/>
      <c r="BA303" s="75"/>
      <c r="BB303" s="75"/>
      <c r="BC303" s="75"/>
      <c r="BD303" s="75"/>
      <c r="BE303" s="75"/>
      <c r="BF303" s="75"/>
      <c r="BG303" s="75"/>
      <c r="BH303" s="75"/>
      <c r="BI303" s="75"/>
      <c r="BJ303" s="75"/>
      <c r="BK303" s="75"/>
      <c r="BL303" s="75"/>
      <c r="BM303" s="75"/>
      <c r="BN303" s="75"/>
      <c r="BO303" s="75"/>
      <c r="BP303" s="75"/>
      <c r="BQ303" s="75"/>
      <c r="BR303" s="75"/>
      <c r="BS303" s="75"/>
      <c r="BT303" s="75"/>
      <c r="BU303" s="75"/>
      <c r="BV303" s="75"/>
      <c r="BW303" s="75"/>
      <c r="BX303" s="75"/>
      <c r="BY303" s="75"/>
      <c r="BZ303" s="75"/>
      <c r="CA303" s="75"/>
      <c r="CB303" s="75"/>
      <c r="CC303" s="75"/>
      <c r="CD303" s="75"/>
      <c r="CE303" s="75"/>
      <c r="CF303" s="75"/>
      <c r="CG303" s="75"/>
      <c r="CH303" s="75"/>
      <c r="CI303" s="75"/>
      <c r="CJ303" s="75"/>
      <c r="CK303" s="75"/>
      <c r="CL303" s="75"/>
      <c r="CM303" s="75"/>
      <c r="CN303" s="75"/>
      <c r="CO303" s="75"/>
      <c r="CP303" s="75"/>
      <c r="CQ303" s="75"/>
      <c r="CR303" s="75"/>
      <c r="CS303" s="75"/>
      <c r="CT303" s="75"/>
      <c r="CU303" s="75"/>
      <c r="CV303" s="75"/>
      <c r="CW303" s="76"/>
      <c r="CX303" s="72"/>
      <c r="CY303" s="68"/>
      <c r="CZ303" s="68"/>
      <c r="DA303" s="69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</row>
    <row r="304" spans="1:128" ht="18" customHeight="1" x14ac:dyDescent="0.2">
      <c r="A304" s="74" t="s">
        <v>148</v>
      </c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  <c r="AD304" s="75"/>
      <c r="AE304" s="75"/>
      <c r="AF304" s="75"/>
      <c r="AG304" s="75"/>
      <c r="AH304" s="75"/>
      <c r="AI304" s="75"/>
      <c r="AJ304" s="75"/>
      <c r="AK304" s="75"/>
      <c r="AL304" s="75"/>
      <c r="AM304" s="75"/>
      <c r="AN304" s="75"/>
      <c r="AO304" s="75"/>
      <c r="AP304" s="75"/>
      <c r="AQ304" s="75"/>
      <c r="AR304" s="75"/>
      <c r="AS304" s="75"/>
      <c r="AT304" s="75"/>
      <c r="AU304" s="75"/>
      <c r="AV304" s="75"/>
      <c r="AW304" s="75"/>
      <c r="AX304" s="75"/>
      <c r="AY304" s="75"/>
      <c r="AZ304" s="75"/>
      <c r="BA304" s="75"/>
      <c r="BB304" s="75"/>
      <c r="BC304" s="75"/>
      <c r="BD304" s="75"/>
      <c r="BE304" s="75"/>
      <c r="BF304" s="75"/>
      <c r="BG304" s="75"/>
      <c r="BH304" s="75"/>
      <c r="BI304" s="75"/>
      <c r="BJ304" s="75"/>
      <c r="BK304" s="75"/>
      <c r="BL304" s="75"/>
      <c r="BM304" s="75"/>
      <c r="BN304" s="75"/>
      <c r="BO304" s="75"/>
      <c r="BP304" s="75"/>
      <c r="BQ304" s="75"/>
      <c r="BR304" s="75"/>
      <c r="BS304" s="75"/>
      <c r="BT304" s="75"/>
      <c r="BU304" s="75"/>
      <c r="BV304" s="75"/>
      <c r="BW304" s="75"/>
      <c r="BX304" s="75"/>
      <c r="BY304" s="75"/>
      <c r="BZ304" s="75"/>
      <c r="CA304" s="75"/>
      <c r="CB304" s="75"/>
      <c r="CC304" s="75"/>
      <c r="CD304" s="75"/>
      <c r="CE304" s="75"/>
      <c r="CF304" s="75"/>
      <c r="CG304" s="75"/>
      <c r="CH304" s="75"/>
      <c r="CI304" s="75"/>
      <c r="CJ304" s="75"/>
      <c r="CK304" s="75"/>
      <c r="CL304" s="75"/>
      <c r="CM304" s="75"/>
      <c r="CN304" s="75"/>
      <c r="CO304" s="75"/>
      <c r="CP304" s="75"/>
      <c r="CQ304" s="75"/>
      <c r="CR304" s="75"/>
      <c r="CS304" s="75"/>
      <c r="CT304" s="75"/>
      <c r="CU304" s="75"/>
      <c r="CV304" s="75"/>
      <c r="CW304" s="76"/>
      <c r="CX304" s="72"/>
      <c r="CY304" s="68"/>
      <c r="CZ304" s="68"/>
      <c r="DA304" s="69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 t="s">
        <v>8</v>
      </c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</row>
    <row r="305" spans="1:128" ht="18" customHeight="1" x14ac:dyDescent="0.2">
      <c r="A305" s="74" t="s">
        <v>8</v>
      </c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  <c r="AA305" s="75"/>
      <c r="AB305" s="75"/>
      <c r="AC305" s="75"/>
      <c r="AD305" s="75"/>
      <c r="AE305" s="75"/>
      <c r="AF305" s="75"/>
      <c r="AG305" s="75"/>
      <c r="AH305" s="75"/>
      <c r="AI305" s="75"/>
      <c r="AJ305" s="75"/>
      <c r="AK305" s="75"/>
      <c r="AL305" s="75"/>
      <c r="AM305" s="75"/>
      <c r="AN305" s="75"/>
      <c r="AO305" s="75"/>
      <c r="AP305" s="75"/>
      <c r="AQ305" s="75"/>
      <c r="AR305" s="75"/>
      <c r="AS305" s="75"/>
      <c r="AT305" s="75"/>
      <c r="AU305" s="75"/>
      <c r="AV305" s="75"/>
      <c r="AW305" s="75"/>
      <c r="AX305" s="75"/>
      <c r="AY305" s="75"/>
      <c r="AZ305" s="75"/>
      <c r="BA305" s="75"/>
      <c r="BB305" s="75"/>
      <c r="BC305" s="75"/>
      <c r="BD305" s="75"/>
      <c r="BE305" s="75"/>
      <c r="BF305" s="75"/>
      <c r="BG305" s="75"/>
      <c r="BH305" s="75"/>
      <c r="BI305" s="75"/>
      <c r="BJ305" s="75"/>
      <c r="BK305" s="75"/>
      <c r="BL305" s="75"/>
      <c r="BM305" s="75"/>
      <c r="BN305" s="75"/>
      <c r="BO305" s="75"/>
      <c r="BP305" s="75"/>
      <c r="BQ305" s="75"/>
      <c r="BR305" s="75"/>
      <c r="BS305" s="75"/>
      <c r="BT305" s="75"/>
      <c r="BU305" s="75"/>
      <c r="BV305" s="75"/>
      <c r="BW305" s="75"/>
      <c r="BX305" s="75"/>
      <c r="BY305" s="75"/>
      <c r="BZ305" s="75"/>
      <c r="CA305" s="75"/>
      <c r="CB305" s="75"/>
      <c r="CC305" s="75"/>
      <c r="CD305" s="75"/>
      <c r="CE305" s="75"/>
      <c r="CF305" s="75"/>
      <c r="CG305" s="75"/>
      <c r="CH305" s="75"/>
      <c r="CI305" s="75"/>
      <c r="CJ305" s="75"/>
      <c r="CK305" s="75"/>
      <c r="CL305" s="75"/>
      <c r="CM305" s="75"/>
      <c r="CN305" s="75"/>
      <c r="CO305" s="75"/>
      <c r="CP305" s="75"/>
      <c r="CQ305" s="75"/>
      <c r="CR305" s="75"/>
      <c r="CS305" s="75"/>
      <c r="CT305" s="75"/>
      <c r="CU305" s="75"/>
      <c r="CV305" s="75"/>
      <c r="CW305" s="76"/>
      <c r="CX305" s="72"/>
      <c r="CY305" s="68"/>
      <c r="CZ305" s="68"/>
      <c r="DA305" s="69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</row>
    <row r="306" spans="1:128" ht="18" customHeight="1" x14ac:dyDescent="0.2">
      <c r="A306" s="98"/>
      <c r="B306" s="99" t="s">
        <v>424</v>
      </c>
      <c r="C306" s="99"/>
      <c r="D306" s="99"/>
      <c r="E306" s="99"/>
      <c r="F306" s="99" t="s">
        <v>328</v>
      </c>
      <c r="G306" s="99"/>
      <c r="H306" s="99"/>
      <c r="I306" s="99"/>
      <c r="J306" s="99"/>
      <c r="K306" s="99"/>
      <c r="L306" s="99"/>
      <c r="M306" s="99"/>
      <c r="N306" s="99"/>
      <c r="O306" s="99"/>
      <c r="P306" s="99"/>
      <c r="Q306" s="99"/>
      <c r="R306" s="99"/>
      <c r="S306" s="99"/>
      <c r="T306" s="99"/>
      <c r="U306" s="99"/>
      <c r="V306" s="99"/>
      <c r="W306" s="99"/>
      <c r="X306" s="99"/>
      <c r="Y306" s="99"/>
      <c r="Z306" s="99"/>
      <c r="AA306" s="99"/>
      <c r="AB306" s="99"/>
      <c r="AC306" s="99"/>
      <c r="AD306" s="99"/>
      <c r="AE306" s="99"/>
      <c r="AF306" s="99"/>
      <c r="AG306" s="99"/>
      <c r="AH306" s="99"/>
      <c r="AI306" s="99"/>
      <c r="AJ306" s="99"/>
      <c r="AK306" s="99"/>
      <c r="AL306" s="99"/>
      <c r="AM306" s="99"/>
      <c r="AN306" s="99"/>
      <c r="AO306" s="99"/>
      <c r="AP306" s="99"/>
      <c r="AQ306" s="99"/>
      <c r="AR306" s="99"/>
      <c r="AS306" s="99"/>
      <c r="AT306" s="99"/>
      <c r="AU306" s="99"/>
      <c r="AV306" s="99"/>
      <c r="AW306" s="99"/>
      <c r="AX306" s="99"/>
      <c r="AY306" s="99"/>
      <c r="AZ306" s="99"/>
      <c r="BA306" s="99"/>
      <c r="BB306" s="99"/>
      <c r="BC306" s="99"/>
      <c r="BD306" s="99"/>
      <c r="BE306" s="99"/>
      <c r="BF306" s="99"/>
      <c r="BG306" s="99"/>
      <c r="BH306" s="99"/>
      <c r="BI306" s="99"/>
      <c r="BJ306" s="99"/>
      <c r="BK306" s="99"/>
      <c r="BL306" s="99"/>
      <c r="BM306" s="99"/>
      <c r="BN306" s="99"/>
      <c r="BO306" s="99"/>
      <c r="BP306" s="99"/>
      <c r="BQ306" s="99"/>
      <c r="BR306" s="99"/>
      <c r="BS306" s="99"/>
      <c r="BT306" s="99"/>
      <c r="BU306" s="99"/>
      <c r="BV306" s="99"/>
      <c r="BW306" s="99"/>
      <c r="BX306" s="99"/>
      <c r="BY306" s="99"/>
      <c r="BZ306" s="99"/>
      <c r="CA306" s="99"/>
      <c r="CB306" s="99"/>
      <c r="CC306" s="99"/>
      <c r="CD306" s="99"/>
      <c r="CE306" s="99"/>
      <c r="CF306" s="99"/>
      <c r="CG306" s="99"/>
      <c r="CH306" s="99"/>
      <c r="CI306" s="99"/>
      <c r="CJ306" s="99"/>
      <c r="CK306" s="99"/>
      <c r="CL306" s="99"/>
      <c r="CM306" s="99"/>
      <c r="CN306" s="99"/>
      <c r="CO306" s="99"/>
      <c r="CP306" s="99"/>
      <c r="CQ306" s="99"/>
      <c r="CR306" s="99"/>
      <c r="CS306" s="99"/>
      <c r="CT306" s="99"/>
      <c r="CU306" s="99"/>
      <c r="CV306" s="99"/>
      <c r="CW306" s="100"/>
      <c r="CX306" s="101">
        <f>CY306+CZ306+DA306</f>
        <v>4882</v>
      </c>
      <c r="CY306" s="102" t="str">
        <f>TEXT(TRUNC(CY298+CY300+CY302,1),"#,###.0")</f>
        <v>.0</v>
      </c>
      <c r="CZ306" s="102" t="str">
        <f>TEXT(TRUNC(CZ298+CZ300+CZ302,1),"#,###.0")</f>
        <v>.0</v>
      </c>
      <c r="DA306" s="103" t="str">
        <f>TEXT(TRUNC(DA298+DA300+DA302,1),"#,###.0")</f>
        <v>4,882.0</v>
      </c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 t="s">
        <v>8</v>
      </c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</row>
    <row r="307" spans="1:128" ht="18" customHeight="1" x14ac:dyDescent="0.2">
      <c r="A307" s="74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  <c r="AA307" s="75"/>
      <c r="AB307" s="75"/>
      <c r="AC307" s="75"/>
      <c r="AD307" s="75"/>
      <c r="AE307" s="75"/>
      <c r="AF307" s="75"/>
      <c r="AG307" s="75"/>
      <c r="AH307" s="75"/>
      <c r="AI307" s="75"/>
      <c r="AJ307" s="75"/>
      <c r="AK307" s="75"/>
      <c r="AL307" s="75"/>
      <c r="AM307" s="75"/>
      <c r="AN307" s="75"/>
      <c r="AO307" s="75"/>
      <c r="AP307" s="75"/>
      <c r="AQ307" s="75"/>
      <c r="AR307" s="75"/>
      <c r="AS307" s="75"/>
      <c r="AT307" s="75"/>
      <c r="AU307" s="75"/>
      <c r="AV307" s="75"/>
      <c r="AW307" s="75"/>
      <c r="AX307" s="75"/>
      <c r="AY307" s="75"/>
      <c r="AZ307" s="75"/>
      <c r="BA307" s="75"/>
      <c r="BB307" s="75"/>
      <c r="BC307" s="75"/>
      <c r="BD307" s="75"/>
      <c r="BE307" s="75"/>
      <c r="BF307" s="75"/>
      <c r="BG307" s="75"/>
      <c r="BH307" s="75"/>
      <c r="BI307" s="75"/>
      <c r="BJ307" s="75"/>
      <c r="BK307" s="75"/>
      <c r="BL307" s="75"/>
      <c r="BM307" s="75"/>
      <c r="BN307" s="75"/>
      <c r="BO307" s="75"/>
      <c r="BP307" s="75"/>
      <c r="BQ307" s="75"/>
      <c r="BR307" s="75"/>
      <c r="BS307" s="75"/>
      <c r="BT307" s="75"/>
      <c r="BU307" s="75"/>
      <c r="BV307" s="75"/>
      <c r="BW307" s="75"/>
      <c r="BX307" s="75"/>
      <c r="BY307" s="75"/>
      <c r="BZ307" s="75"/>
      <c r="CA307" s="75"/>
      <c r="CB307" s="75"/>
      <c r="CC307" s="75"/>
      <c r="CD307" s="75"/>
      <c r="CE307" s="75"/>
      <c r="CF307" s="75"/>
      <c r="CG307" s="75"/>
      <c r="CH307" s="75"/>
      <c r="CI307" s="75"/>
      <c r="CJ307" s="75"/>
      <c r="CK307" s="75"/>
      <c r="CL307" s="75"/>
      <c r="CM307" s="75"/>
      <c r="CN307" s="75"/>
      <c r="CO307" s="75"/>
      <c r="CP307" s="75"/>
      <c r="CQ307" s="75"/>
      <c r="CR307" s="75"/>
      <c r="CS307" s="75"/>
      <c r="CT307" s="75"/>
      <c r="CU307" s="75"/>
      <c r="CV307" s="75"/>
      <c r="CW307" s="76"/>
      <c r="CX307" s="72"/>
      <c r="CY307" s="68"/>
      <c r="CZ307" s="68"/>
      <c r="DA307" s="69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</row>
    <row r="308" spans="1:128" ht="18" customHeight="1" x14ac:dyDescent="0.2">
      <c r="A308" s="86" t="s">
        <v>389</v>
      </c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  <c r="AA308" s="87"/>
      <c r="AB308" s="87"/>
      <c r="AC308" s="87"/>
      <c r="AD308" s="87"/>
      <c r="AE308" s="87"/>
      <c r="AF308" s="87"/>
      <c r="AG308" s="87"/>
      <c r="AH308" s="87"/>
      <c r="AI308" s="87"/>
      <c r="AJ308" s="87"/>
      <c r="AK308" s="87"/>
      <c r="AL308" s="87"/>
      <c r="AM308" s="87"/>
      <c r="AN308" s="87"/>
      <c r="AO308" s="87"/>
      <c r="AP308" s="87"/>
      <c r="AQ308" s="87"/>
      <c r="AR308" s="87"/>
      <c r="AS308" s="87"/>
      <c r="AT308" s="87"/>
      <c r="AU308" s="87"/>
      <c r="AV308" s="87"/>
      <c r="AW308" s="87"/>
      <c r="AX308" s="87"/>
      <c r="AY308" s="87"/>
      <c r="AZ308" s="87"/>
      <c r="BA308" s="87"/>
      <c r="BB308" s="87"/>
      <c r="BC308" s="87"/>
      <c r="BD308" s="87"/>
      <c r="BE308" s="87"/>
      <c r="BF308" s="87"/>
      <c r="BG308" s="87"/>
      <c r="BH308" s="87"/>
      <c r="BI308" s="87"/>
      <c r="BJ308" s="87"/>
      <c r="BK308" s="87"/>
      <c r="BL308" s="87"/>
      <c r="BM308" s="87"/>
      <c r="BN308" s="87"/>
      <c r="BO308" s="87"/>
      <c r="BP308" s="87"/>
      <c r="BQ308" s="87"/>
      <c r="BR308" s="87"/>
      <c r="BS308" s="87"/>
      <c r="BT308" s="87"/>
      <c r="BU308" s="87"/>
      <c r="BV308" s="87"/>
      <c r="BW308" s="87"/>
      <c r="BX308" s="87"/>
      <c r="BY308" s="87"/>
      <c r="BZ308" s="87"/>
      <c r="CA308" s="87"/>
      <c r="CB308" s="87"/>
      <c r="CC308" s="87"/>
      <c r="CD308" s="87"/>
      <c r="CE308" s="87"/>
      <c r="CF308" s="87"/>
      <c r="CG308" s="87"/>
      <c r="CH308" s="87"/>
      <c r="CI308" s="87"/>
      <c r="CJ308" s="87"/>
      <c r="CK308" s="87"/>
      <c r="CL308" s="87"/>
      <c r="CM308" s="87"/>
      <c r="CN308" s="87"/>
      <c r="CO308" s="87"/>
      <c r="CP308" s="87"/>
      <c r="CQ308" s="87"/>
      <c r="CR308" s="87"/>
      <c r="CS308" s="87"/>
      <c r="CT308" s="87"/>
      <c r="CU308" s="87"/>
      <c r="CV308" s="87"/>
      <c r="CW308" s="88"/>
      <c r="CX308" s="89" t="str">
        <f>TEXT(CY308+CZ308+DA308,"#,##0")</f>
        <v>4,882</v>
      </c>
      <c r="CY308" s="90" t="str">
        <f>TEXT(TRUNC(CY306,0),"#,##0")</f>
        <v>0</v>
      </c>
      <c r="CZ308" s="90" t="str">
        <f>TEXT(TRUNC(CZ306,0),"#,##0")</f>
        <v>0</v>
      </c>
      <c r="DA308" s="91" t="str">
        <f>TEXT(TRUNC(DA306,0),"#,##0")</f>
        <v>4,882</v>
      </c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</row>
    <row r="309" spans="1:128" ht="18" customHeight="1" x14ac:dyDescent="0.2">
      <c r="A309" s="74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  <c r="AD309" s="75"/>
      <c r="AE309" s="75"/>
      <c r="AF309" s="75"/>
      <c r="AG309" s="75"/>
      <c r="AH309" s="75"/>
      <c r="AI309" s="75"/>
      <c r="AJ309" s="75"/>
      <c r="AK309" s="75"/>
      <c r="AL309" s="75"/>
      <c r="AM309" s="75"/>
      <c r="AN309" s="75"/>
      <c r="AO309" s="75"/>
      <c r="AP309" s="75"/>
      <c r="AQ309" s="75"/>
      <c r="AR309" s="75"/>
      <c r="AS309" s="75"/>
      <c r="AT309" s="75"/>
      <c r="AU309" s="75"/>
      <c r="AV309" s="75"/>
      <c r="AW309" s="75"/>
      <c r="AX309" s="75"/>
      <c r="AY309" s="75"/>
      <c r="AZ309" s="75"/>
      <c r="BA309" s="75"/>
      <c r="BB309" s="75"/>
      <c r="BC309" s="75"/>
      <c r="BD309" s="75"/>
      <c r="BE309" s="75"/>
      <c r="BF309" s="75"/>
      <c r="BG309" s="75"/>
      <c r="BH309" s="75"/>
      <c r="BI309" s="75"/>
      <c r="BJ309" s="75"/>
      <c r="BK309" s="75"/>
      <c r="BL309" s="75"/>
      <c r="BM309" s="75"/>
      <c r="BN309" s="75"/>
      <c r="BO309" s="75"/>
      <c r="BP309" s="75"/>
      <c r="BQ309" s="75"/>
      <c r="BR309" s="75"/>
      <c r="BS309" s="75"/>
      <c r="BT309" s="75"/>
      <c r="BU309" s="75"/>
      <c r="BV309" s="75"/>
      <c r="BW309" s="75"/>
      <c r="BX309" s="75"/>
      <c r="BY309" s="75"/>
      <c r="BZ309" s="75"/>
      <c r="CA309" s="75"/>
      <c r="CB309" s="75"/>
      <c r="CC309" s="75"/>
      <c r="CD309" s="75"/>
      <c r="CE309" s="75"/>
      <c r="CF309" s="75"/>
      <c r="CG309" s="75"/>
      <c r="CH309" s="75"/>
      <c r="CI309" s="75"/>
      <c r="CJ309" s="75"/>
      <c r="CK309" s="75"/>
      <c r="CL309" s="75"/>
      <c r="CM309" s="75"/>
      <c r="CN309" s="75"/>
      <c r="CO309" s="75"/>
      <c r="CP309" s="75"/>
      <c r="CQ309" s="75"/>
      <c r="CR309" s="75"/>
      <c r="CS309" s="75"/>
      <c r="CT309" s="75"/>
      <c r="CU309" s="75"/>
      <c r="CV309" s="75"/>
      <c r="CW309" s="76"/>
      <c r="CX309" s="72"/>
      <c r="CY309" s="68"/>
      <c r="CZ309" s="68"/>
      <c r="DA309" s="69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</row>
    <row r="310" spans="1:128" ht="18" customHeight="1" x14ac:dyDescent="0.2">
      <c r="A310" s="135" t="s">
        <v>274</v>
      </c>
      <c r="B310" s="135"/>
      <c r="C310" s="135"/>
      <c r="D310" s="135"/>
      <c r="E310" s="135"/>
      <c r="F310" s="135"/>
      <c r="G310" s="135"/>
      <c r="H310" s="135"/>
      <c r="I310" s="135"/>
      <c r="J310" s="135"/>
      <c r="K310" s="135"/>
      <c r="L310" s="135"/>
      <c r="M310" s="135"/>
      <c r="N310" s="135"/>
      <c r="O310" s="135"/>
      <c r="P310" s="135"/>
      <c r="Q310" s="135"/>
      <c r="R310" s="135"/>
      <c r="S310" s="135"/>
      <c r="T310" s="135"/>
      <c r="U310" s="135"/>
      <c r="V310" s="135"/>
      <c r="W310" s="135"/>
      <c r="X310" s="135"/>
      <c r="Y310" s="135"/>
      <c r="Z310" s="135"/>
      <c r="AA310" s="135"/>
      <c r="AB310" s="135"/>
      <c r="AC310" s="135"/>
      <c r="AD310" s="135"/>
      <c r="AE310" s="135"/>
      <c r="AF310" s="135"/>
      <c r="AG310" s="135"/>
      <c r="AH310" s="135"/>
      <c r="AI310" s="135"/>
      <c r="AJ310" s="135"/>
      <c r="AK310" s="135"/>
      <c r="AL310" s="135"/>
      <c r="AM310" s="135"/>
      <c r="AN310" s="135"/>
      <c r="AO310" s="135"/>
      <c r="AP310" s="135"/>
      <c r="AQ310" s="135"/>
      <c r="AR310" s="135"/>
      <c r="AS310" s="135"/>
      <c r="AT310" s="135"/>
      <c r="AU310" s="135"/>
      <c r="AV310" s="135"/>
      <c r="AW310" s="135"/>
      <c r="AX310" s="135"/>
      <c r="AY310" s="135"/>
      <c r="AZ310" s="135"/>
      <c r="BA310" s="135"/>
      <c r="BB310" s="135"/>
      <c r="BC310" s="135"/>
      <c r="BD310" s="135"/>
      <c r="BE310" s="135"/>
      <c r="BF310" s="135"/>
      <c r="BG310" s="135"/>
      <c r="BH310" s="135"/>
      <c r="BI310" s="135"/>
      <c r="BJ310" s="135"/>
      <c r="BK310" s="135"/>
      <c r="BL310" s="135"/>
      <c r="BM310" s="135"/>
      <c r="BN310" s="135"/>
      <c r="BO310" s="135"/>
      <c r="BP310" s="135"/>
      <c r="BQ310" s="135"/>
      <c r="BR310" s="135"/>
      <c r="BS310" s="135"/>
      <c r="BT310" s="135"/>
      <c r="BU310" s="135"/>
      <c r="BV310" s="135"/>
      <c r="BW310" s="135"/>
      <c r="BX310" s="135"/>
      <c r="BY310" s="135"/>
      <c r="BZ310" s="135"/>
      <c r="CA310" s="135"/>
      <c r="CB310" s="135"/>
      <c r="CC310" s="135"/>
      <c r="CD310" s="135"/>
      <c r="CE310" s="135"/>
      <c r="CF310" s="135"/>
      <c r="CG310" s="135"/>
      <c r="CH310" s="135"/>
      <c r="CI310" s="135"/>
      <c r="CJ310" s="135"/>
      <c r="CK310" s="135"/>
      <c r="CL310" s="135"/>
      <c r="CM310" s="135"/>
      <c r="CN310" s="135"/>
      <c r="CO310" s="135"/>
      <c r="CP310" s="135"/>
      <c r="CQ310" s="135"/>
      <c r="CR310" s="135"/>
      <c r="CS310" s="135"/>
      <c r="CT310" s="135"/>
      <c r="CU310" s="135"/>
      <c r="CV310" s="135"/>
      <c r="CW310" s="135"/>
      <c r="CX310" s="83"/>
      <c r="CY310" s="84"/>
      <c r="CZ310" s="84"/>
      <c r="DA310" s="85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 t="s">
        <v>217</v>
      </c>
      <c r="DN310" s="1" t="s">
        <v>629</v>
      </c>
      <c r="DO310" s="1"/>
      <c r="DP310" s="1"/>
      <c r="DQ310" s="1"/>
      <c r="DR310" s="1"/>
      <c r="DS310" s="1"/>
      <c r="DT310" s="1"/>
      <c r="DU310" s="1"/>
      <c r="DV310" s="1"/>
      <c r="DW310" s="1"/>
      <c r="DX310" s="1"/>
    </row>
    <row r="311" spans="1:128" ht="18" customHeight="1" x14ac:dyDescent="0.2">
      <c r="A311" s="74" t="s">
        <v>589</v>
      </c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  <c r="AA311" s="75"/>
      <c r="AB311" s="75"/>
      <c r="AC311" s="75"/>
      <c r="AD311" s="75"/>
      <c r="AE311" s="75"/>
      <c r="AF311" s="75"/>
      <c r="AG311" s="75"/>
      <c r="AH311" s="75"/>
      <c r="AI311" s="75"/>
      <c r="AJ311" s="75"/>
      <c r="AK311" s="75"/>
      <c r="AL311" s="75"/>
      <c r="AM311" s="75"/>
      <c r="AN311" s="75"/>
      <c r="AO311" s="75"/>
      <c r="AP311" s="75"/>
      <c r="AQ311" s="75"/>
      <c r="AR311" s="75"/>
      <c r="AS311" s="75"/>
      <c r="AT311" s="75"/>
      <c r="AU311" s="75"/>
      <c r="AV311" s="75"/>
      <c r="AW311" s="75"/>
      <c r="AX311" s="75"/>
      <c r="AY311" s="75"/>
      <c r="AZ311" s="75"/>
      <c r="BA311" s="75"/>
      <c r="BB311" s="75"/>
      <c r="BC311" s="75"/>
      <c r="BD311" s="75"/>
      <c r="BE311" s="75"/>
      <c r="BF311" s="75"/>
      <c r="BG311" s="75"/>
      <c r="BH311" s="75"/>
      <c r="BI311" s="75"/>
      <c r="BJ311" s="75"/>
      <c r="BK311" s="75"/>
      <c r="BL311" s="75"/>
      <c r="BM311" s="75"/>
      <c r="BN311" s="75"/>
      <c r="BO311" s="75"/>
      <c r="BP311" s="75"/>
      <c r="BQ311" s="75"/>
      <c r="BR311" s="75"/>
      <c r="BS311" s="75"/>
      <c r="BT311" s="75"/>
      <c r="BU311" s="75"/>
      <c r="BV311" s="75"/>
      <c r="BW311" s="75"/>
      <c r="BX311" s="75"/>
      <c r="BY311" s="75"/>
      <c r="BZ311" s="75"/>
      <c r="CA311" s="75"/>
      <c r="CB311" s="75"/>
      <c r="CC311" s="75"/>
      <c r="CD311" s="75"/>
      <c r="CE311" s="75"/>
      <c r="CF311" s="75"/>
      <c r="CG311" s="75"/>
      <c r="CH311" s="75"/>
      <c r="CI311" s="75"/>
      <c r="CJ311" s="75"/>
      <c r="CK311" s="75"/>
      <c r="CL311" s="75"/>
      <c r="CM311" s="75"/>
      <c r="CN311" s="75"/>
      <c r="CO311" s="75"/>
      <c r="CP311" s="75"/>
      <c r="CQ311" s="75"/>
      <c r="CR311" s="75"/>
      <c r="CS311" s="75"/>
      <c r="CT311" s="75"/>
      <c r="CU311" s="75"/>
      <c r="CV311" s="75"/>
      <c r="CW311" s="76"/>
      <c r="CX311" s="72">
        <f>CY311+CZ311+DA311</f>
        <v>0</v>
      </c>
      <c r="CY311" s="68"/>
      <c r="CZ311" s="68"/>
      <c r="DA311" s="69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 t="s">
        <v>8</v>
      </c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</row>
    <row r="312" spans="1:128" ht="18" customHeight="1" x14ac:dyDescent="0.2">
      <c r="A312" s="74" t="s">
        <v>8</v>
      </c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  <c r="AA312" s="75"/>
      <c r="AB312" s="75"/>
      <c r="AC312" s="75"/>
      <c r="AD312" s="75"/>
      <c r="AE312" s="75"/>
      <c r="AF312" s="75"/>
      <c r="AG312" s="75"/>
      <c r="AH312" s="75"/>
      <c r="AI312" s="75"/>
      <c r="AJ312" s="75"/>
      <c r="AK312" s="75"/>
      <c r="AL312" s="75"/>
      <c r="AM312" s="75"/>
      <c r="AN312" s="75"/>
      <c r="AO312" s="75"/>
      <c r="AP312" s="75"/>
      <c r="AQ312" s="75"/>
      <c r="AR312" s="75"/>
      <c r="AS312" s="75"/>
      <c r="AT312" s="75"/>
      <c r="AU312" s="75"/>
      <c r="AV312" s="75"/>
      <c r="AW312" s="75"/>
      <c r="AX312" s="75"/>
      <c r="AY312" s="75"/>
      <c r="AZ312" s="75"/>
      <c r="BA312" s="75"/>
      <c r="BB312" s="75"/>
      <c r="BC312" s="75"/>
      <c r="BD312" s="75"/>
      <c r="BE312" s="75"/>
      <c r="BF312" s="75"/>
      <c r="BG312" s="75"/>
      <c r="BH312" s="75"/>
      <c r="BI312" s="75"/>
      <c r="BJ312" s="75"/>
      <c r="BK312" s="75"/>
      <c r="BL312" s="75"/>
      <c r="BM312" s="75"/>
      <c r="BN312" s="75"/>
      <c r="BO312" s="75"/>
      <c r="BP312" s="75"/>
      <c r="BQ312" s="75"/>
      <c r="BR312" s="75"/>
      <c r="BS312" s="75"/>
      <c r="BT312" s="75"/>
      <c r="BU312" s="75"/>
      <c r="BV312" s="75"/>
      <c r="BW312" s="75"/>
      <c r="BX312" s="75"/>
      <c r="BY312" s="75"/>
      <c r="BZ312" s="75"/>
      <c r="CA312" s="75"/>
      <c r="CB312" s="75"/>
      <c r="CC312" s="75"/>
      <c r="CD312" s="75"/>
      <c r="CE312" s="75"/>
      <c r="CF312" s="75"/>
      <c r="CG312" s="75"/>
      <c r="CH312" s="75"/>
      <c r="CI312" s="75"/>
      <c r="CJ312" s="75"/>
      <c r="CK312" s="75"/>
      <c r="CL312" s="75"/>
      <c r="CM312" s="75"/>
      <c r="CN312" s="75"/>
      <c r="CO312" s="75"/>
      <c r="CP312" s="75"/>
      <c r="CQ312" s="75"/>
      <c r="CR312" s="75"/>
      <c r="CS312" s="75"/>
      <c r="CT312" s="75"/>
      <c r="CU312" s="75"/>
      <c r="CV312" s="75"/>
      <c r="CW312" s="76"/>
      <c r="CX312" s="72"/>
      <c r="CY312" s="68"/>
      <c r="CZ312" s="68"/>
      <c r="DA312" s="69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</row>
    <row r="313" spans="1:128" ht="18" customHeight="1" x14ac:dyDescent="0.2">
      <c r="A313" s="74" t="s">
        <v>606</v>
      </c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  <c r="AD313" s="75"/>
      <c r="AE313" s="75"/>
      <c r="AF313" s="75"/>
      <c r="AG313" s="75"/>
      <c r="AH313" s="75"/>
      <c r="AI313" s="75"/>
      <c r="AJ313" s="75"/>
      <c r="AK313" s="75"/>
      <c r="AL313" s="75"/>
      <c r="AM313" s="75"/>
      <c r="AN313" s="75"/>
      <c r="AO313" s="75"/>
      <c r="AP313" s="75"/>
      <c r="AQ313" s="75"/>
      <c r="AR313" s="75"/>
      <c r="AS313" s="75"/>
      <c r="AT313" s="75"/>
      <c r="AU313" s="75"/>
      <c r="AV313" s="75"/>
      <c r="AW313" s="75"/>
      <c r="AX313" s="75"/>
      <c r="AY313" s="75"/>
      <c r="AZ313" s="75"/>
      <c r="BA313" s="75"/>
      <c r="BB313" s="75"/>
      <c r="BC313" s="75"/>
      <c r="BD313" s="75"/>
      <c r="BE313" s="75"/>
      <c r="BF313" s="75"/>
      <c r="BG313" s="75"/>
      <c r="BH313" s="75"/>
      <c r="BI313" s="75"/>
      <c r="BJ313" s="75"/>
      <c r="BK313" s="75"/>
      <c r="BL313" s="75"/>
      <c r="BM313" s="75"/>
      <c r="BN313" s="75"/>
      <c r="BO313" s="75"/>
      <c r="BP313" s="75"/>
      <c r="BQ313" s="75"/>
      <c r="BR313" s="75"/>
      <c r="BS313" s="75"/>
      <c r="BT313" s="75"/>
      <c r="BU313" s="75"/>
      <c r="BV313" s="75"/>
      <c r="BW313" s="75"/>
      <c r="BX313" s="75"/>
      <c r="BY313" s="75"/>
      <c r="BZ313" s="75"/>
      <c r="CA313" s="75"/>
      <c r="CB313" s="75"/>
      <c r="CC313" s="75"/>
      <c r="CD313" s="75"/>
      <c r="CE313" s="75"/>
      <c r="CF313" s="75"/>
      <c r="CG313" s="75"/>
      <c r="CH313" s="75"/>
      <c r="CI313" s="75"/>
      <c r="CJ313" s="75"/>
      <c r="CK313" s="75"/>
      <c r="CL313" s="75"/>
      <c r="CM313" s="75"/>
      <c r="CN313" s="75"/>
      <c r="CO313" s="75"/>
      <c r="CP313" s="75"/>
      <c r="CQ313" s="75"/>
      <c r="CR313" s="75"/>
      <c r="CS313" s="75"/>
      <c r="CT313" s="75"/>
      <c r="CU313" s="75"/>
      <c r="CV313" s="75"/>
      <c r="CW313" s="76"/>
      <c r="CX313" s="72"/>
      <c r="CY313" s="68"/>
      <c r="CZ313" s="68"/>
      <c r="DA313" s="69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</row>
    <row r="314" spans="1:128" ht="18" customHeight="1" x14ac:dyDescent="0.2">
      <c r="A314" s="74" t="s">
        <v>8</v>
      </c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  <c r="AA314" s="75"/>
      <c r="AB314" s="75"/>
      <c r="AC314" s="75"/>
      <c r="AD314" s="75"/>
      <c r="AE314" s="75"/>
      <c r="AF314" s="75"/>
      <c r="AG314" s="75"/>
      <c r="AH314" s="75"/>
      <c r="AI314" s="75"/>
      <c r="AJ314" s="75"/>
      <c r="AK314" s="75"/>
      <c r="AL314" s="75"/>
      <c r="AM314" s="75"/>
      <c r="AN314" s="75"/>
      <c r="AO314" s="75"/>
      <c r="AP314" s="75"/>
      <c r="AQ314" s="75"/>
      <c r="AR314" s="75"/>
      <c r="AS314" s="75"/>
      <c r="AT314" s="75"/>
      <c r="AU314" s="75"/>
      <c r="AV314" s="75"/>
      <c r="AW314" s="75"/>
      <c r="AX314" s="75"/>
      <c r="AY314" s="75"/>
      <c r="AZ314" s="75"/>
      <c r="BA314" s="75"/>
      <c r="BB314" s="75"/>
      <c r="BC314" s="75"/>
      <c r="BD314" s="75"/>
      <c r="BE314" s="75"/>
      <c r="BF314" s="75"/>
      <c r="BG314" s="75"/>
      <c r="BH314" s="75"/>
      <c r="BI314" s="75"/>
      <c r="BJ314" s="75"/>
      <c r="BK314" s="75"/>
      <c r="BL314" s="75"/>
      <c r="BM314" s="75"/>
      <c r="BN314" s="75"/>
      <c r="BO314" s="75"/>
      <c r="BP314" s="75"/>
      <c r="BQ314" s="75"/>
      <c r="BR314" s="75"/>
      <c r="BS314" s="75"/>
      <c r="BT314" s="75"/>
      <c r="BU314" s="75"/>
      <c r="BV314" s="75"/>
      <c r="BW314" s="75"/>
      <c r="BX314" s="75"/>
      <c r="BY314" s="75"/>
      <c r="BZ314" s="75"/>
      <c r="CA314" s="75"/>
      <c r="CB314" s="75"/>
      <c r="CC314" s="75"/>
      <c r="CD314" s="75"/>
      <c r="CE314" s="75"/>
      <c r="CF314" s="75"/>
      <c r="CG314" s="75"/>
      <c r="CH314" s="75"/>
      <c r="CI314" s="75"/>
      <c r="CJ314" s="75"/>
      <c r="CK314" s="75"/>
      <c r="CL314" s="75"/>
      <c r="CM314" s="75"/>
      <c r="CN314" s="75"/>
      <c r="CO314" s="75"/>
      <c r="CP314" s="75"/>
      <c r="CQ314" s="75"/>
      <c r="CR314" s="75"/>
      <c r="CS314" s="75"/>
      <c r="CT314" s="75"/>
      <c r="CU314" s="75"/>
      <c r="CV314" s="75"/>
      <c r="CW314" s="76"/>
      <c r="CX314" s="72"/>
      <c r="CY314" s="68"/>
      <c r="CZ314" s="68"/>
      <c r="DA314" s="69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</row>
    <row r="315" spans="1:128" ht="18" customHeight="1" x14ac:dyDescent="0.2">
      <c r="A315" s="74"/>
      <c r="B315" s="75"/>
      <c r="C315" s="75"/>
      <c r="D315" s="75"/>
      <c r="E315" s="75"/>
      <c r="F315" s="75"/>
      <c r="G315" s="75" t="s">
        <v>72</v>
      </c>
      <c r="H315" s="75"/>
      <c r="I315" s="75"/>
      <c r="J315" s="75"/>
      <c r="K315" s="75"/>
      <c r="L315" s="75"/>
      <c r="M315" s="75"/>
      <c r="N315" s="75" t="s">
        <v>12</v>
      </c>
      <c r="O315" s="75"/>
      <c r="P315" s="75" t="s">
        <v>536</v>
      </c>
      <c r="Q315" s="75"/>
      <c r="R315" s="75" t="str">
        <f>TEXT(8,"#,##0.0#######")</f>
        <v>8.0</v>
      </c>
      <c r="S315" s="75"/>
      <c r="T315" s="75"/>
      <c r="U315" s="75"/>
      <c r="V315" s="75" t="s">
        <v>480</v>
      </c>
      <c r="W315" s="75"/>
      <c r="X315" s="75"/>
      <c r="Y315" s="75"/>
      <c r="Z315" s="75"/>
      <c r="AA315" s="75"/>
      <c r="AB315" s="75"/>
      <c r="AC315" s="75"/>
      <c r="AD315" s="75"/>
      <c r="AE315" s="75"/>
      <c r="AF315" s="75"/>
      <c r="AG315" s="75"/>
      <c r="AH315" s="75"/>
      <c r="AI315" s="75"/>
      <c r="AJ315" s="75"/>
      <c r="AK315" s="75"/>
      <c r="AL315" s="75"/>
      <c r="AM315" s="75"/>
      <c r="AN315" s="75"/>
      <c r="AO315" s="75"/>
      <c r="AP315" s="75"/>
      <c r="AQ315" s="75"/>
      <c r="AR315" s="75"/>
      <c r="AS315" s="75"/>
      <c r="AT315" s="75"/>
      <c r="AU315" s="75"/>
      <c r="AV315" s="75"/>
      <c r="AW315" s="75"/>
      <c r="AX315" s="75"/>
      <c r="AY315" s="75"/>
      <c r="AZ315" s="75"/>
      <c r="BA315" s="75"/>
      <c r="BB315" s="75"/>
      <c r="BC315" s="75"/>
      <c r="BD315" s="75"/>
      <c r="BE315" s="75"/>
      <c r="BF315" s="75"/>
      <c r="BG315" s="75"/>
      <c r="BH315" s="75"/>
      <c r="BI315" s="75"/>
      <c r="BJ315" s="75"/>
      <c r="BK315" s="75"/>
      <c r="BL315" s="75"/>
      <c r="BM315" s="75"/>
      <c r="BN315" s="75"/>
      <c r="BO315" s="75"/>
      <c r="BP315" s="75"/>
      <c r="BQ315" s="75"/>
      <c r="BR315" s="75"/>
      <c r="BS315" s="75"/>
      <c r="BT315" s="75"/>
      <c r="BU315" s="75"/>
      <c r="BV315" s="75"/>
      <c r="BW315" s="75"/>
      <c r="BX315" s="75"/>
      <c r="BY315" s="75"/>
      <c r="BZ315" s="75"/>
      <c r="CA315" s="75"/>
      <c r="CB315" s="75"/>
      <c r="CC315" s="75"/>
      <c r="CD315" s="75"/>
      <c r="CE315" s="75"/>
      <c r="CF315" s="75"/>
      <c r="CG315" s="75"/>
      <c r="CH315" s="75"/>
      <c r="CI315" s="75"/>
      <c r="CJ315" s="75"/>
      <c r="CK315" s="75"/>
      <c r="CL315" s="75"/>
      <c r="CM315" s="75"/>
      <c r="CN315" s="75"/>
      <c r="CO315" s="75"/>
      <c r="CP315" s="75"/>
      <c r="CQ315" s="75"/>
      <c r="CR315" s="75"/>
      <c r="CS315" s="75"/>
      <c r="CT315" s="75"/>
      <c r="CU315" s="75"/>
      <c r="CV315" s="75"/>
      <c r="CW315" s="76"/>
      <c r="CX315" s="72"/>
      <c r="CY315" s="68"/>
      <c r="CZ315" s="68"/>
      <c r="DA315" s="69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 t="s">
        <v>8</v>
      </c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</row>
    <row r="316" spans="1:128" ht="18" customHeight="1" x14ac:dyDescent="0.2">
      <c r="A316" s="74" t="s">
        <v>8</v>
      </c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  <c r="AA316" s="75"/>
      <c r="AB316" s="75"/>
      <c r="AC316" s="75"/>
      <c r="AD316" s="75"/>
      <c r="AE316" s="75"/>
      <c r="AF316" s="75"/>
      <c r="AG316" s="75"/>
      <c r="AH316" s="75"/>
      <c r="AI316" s="75"/>
      <c r="AJ316" s="75"/>
      <c r="AK316" s="75"/>
      <c r="AL316" s="75"/>
      <c r="AM316" s="75"/>
      <c r="AN316" s="75"/>
      <c r="AO316" s="75"/>
      <c r="AP316" s="75"/>
      <c r="AQ316" s="75"/>
      <c r="AR316" s="75"/>
      <c r="AS316" s="75"/>
      <c r="AT316" s="75"/>
      <c r="AU316" s="75"/>
      <c r="AV316" s="75"/>
      <c r="AW316" s="75"/>
      <c r="AX316" s="75"/>
      <c r="AY316" s="75"/>
      <c r="AZ316" s="75"/>
      <c r="BA316" s="75"/>
      <c r="BB316" s="75"/>
      <c r="BC316" s="75"/>
      <c r="BD316" s="75"/>
      <c r="BE316" s="75"/>
      <c r="BF316" s="75"/>
      <c r="BG316" s="75"/>
      <c r="BH316" s="75"/>
      <c r="BI316" s="75"/>
      <c r="BJ316" s="75"/>
      <c r="BK316" s="75"/>
      <c r="BL316" s="75"/>
      <c r="BM316" s="75"/>
      <c r="BN316" s="75"/>
      <c r="BO316" s="75"/>
      <c r="BP316" s="75"/>
      <c r="BQ316" s="75"/>
      <c r="BR316" s="75"/>
      <c r="BS316" s="75"/>
      <c r="BT316" s="75"/>
      <c r="BU316" s="75"/>
      <c r="BV316" s="75"/>
      <c r="BW316" s="75"/>
      <c r="BX316" s="75"/>
      <c r="BY316" s="75"/>
      <c r="BZ316" s="75"/>
      <c r="CA316" s="75"/>
      <c r="CB316" s="75"/>
      <c r="CC316" s="75"/>
      <c r="CD316" s="75"/>
      <c r="CE316" s="75"/>
      <c r="CF316" s="75"/>
      <c r="CG316" s="75"/>
      <c r="CH316" s="75"/>
      <c r="CI316" s="75"/>
      <c r="CJ316" s="75"/>
      <c r="CK316" s="75"/>
      <c r="CL316" s="75"/>
      <c r="CM316" s="75"/>
      <c r="CN316" s="75"/>
      <c r="CO316" s="75"/>
      <c r="CP316" s="75"/>
      <c r="CQ316" s="75"/>
      <c r="CR316" s="75"/>
      <c r="CS316" s="75"/>
      <c r="CT316" s="75"/>
      <c r="CU316" s="75"/>
      <c r="CV316" s="75"/>
      <c r="CW316" s="76"/>
      <c r="CX316" s="72"/>
      <c r="CY316" s="68"/>
      <c r="CZ316" s="68"/>
      <c r="DA316" s="69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</row>
    <row r="317" spans="1:128" ht="18" customHeight="1" x14ac:dyDescent="0.2">
      <c r="A317" s="74"/>
      <c r="B317" s="75"/>
      <c r="C317" s="75"/>
      <c r="D317" s="75"/>
      <c r="E317" s="75"/>
      <c r="F317" s="75"/>
      <c r="G317" s="75"/>
      <c r="H317" s="75" t="s">
        <v>354</v>
      </c>
      <c r="I317" s="75"/>
      <c r="J317" s="75"/>
      <c r="K317" s="75" t="s">
        <v>536</v>
      </c>
      <c r="L317" s="75"/>
      <c r="M317" s="75" t="str">
        <f>TEXT(10,"#,##0")</f>
        <v>10</v>
      </c>
      <c r="N317" s="75"/>
      <c r="O317" s="75"/>
      <c r="P317" s="75" t="s">
        <v>14</v>
      </c>
      <c r="Q317" s="75"/>
      <c r="R317" s="75"/>
      <c r="S317" s="75" t="s">
        <v>4</v>
      </c>
      <c r="T317" s="75"/>
      <c r="U317" s="75"/>
      <c r="V317" s="75" t="s">
        <v>536</v>
      </c>
      <c r="W317" s="75"/>
      <c r="X317" s="75" t="str">
        <f>TEXT(10,"#,##0")</f>
        <v>10</v>
      </c>
      <c r="Y317" s="75"/>
      <c r="Z317" s="75"/>
      <c r="AA317" s="75" t="s">
        <v>14</v>
      </c>
      <c r="AB317" s="75"/>
      <c r="AC317" s="75"/>
      <c r="AD317" s="75"/>
      <c r="AE317" s="75" t="s">
        <v>179</v>
      </c>
      <c r="AF317" s="75"/>
      <c r="AG317" s="75"/>
      <c r="AH317" s="75" t="s">
        <v>536</v>
      </c>
      <c r="AI317" s="75"/>
      <c r="AJ317" s="75" t="str">
        <f>TEXT(0.42,"#,##0.00#######")</f>
        <v>0.42</v>
      </c>
      <c r="AK317" s="75"/>
      <c r="AL317" s="75"/>
      <c r="AM317" s="75"/>
      <c r="AN317" s="75"/>
      <c r="AO317" s="75"/>
      <c r="AP317" s="75"/>
      <c r="AQ317" s="75"/>
      <c r="AR317" s="75"/>
      <c r="AS317" s="75"/>
      <c r="AT317" s="75"/>
      <c r="AU317" s="75"/>
      <c r="AV317" s="75"/>
      <c r="AW317" s="75"/>
      <c r="AX317" s="75"/>
      <c r="AY317" s="75"/>
      <c r="AZ317" s="75"/>
      <c r="BA317" s="75"/>
      <c r="BB317" s="75"/>
      <c r="BC317" s="75"/>
      <c r="BD317" s="75"/>
      <c r="BE317" s="75"/>
      <c r="BF317" s="75"/>
      <c r="BG317" s="75"/>
      <c r="BH317" s="75"/>
      <c r="BI317" s="75"/>
      <c r="BJ317" s="75"/>
      <c r="BK317" s="75"/>
      <c r="BL317" s="75"/>
      <c r="BM317" s="75"/>
      <c r="BN317" s="75"/>
      <c r="BO317" s="75"/>
      <c r="BP317" s="75"/>
      <c r="BQ317" s="75"/>
      <c r="BR317" s="75"/>
      <c r="BS317" s="75"/>
      <c r="BT317" s="75"/>
      <c r="BU317" s="75"/>
      <c r="BV317" s="75"/>
      <c r="BW317" s="75"/>
      <c r="BX317" s="75"/>
      <c r="BY317" s="75"/>
      <c r="BZ317" s="75"/>
      <c r="CA317" s="75"/>
      <c r="CB317" s="75"/>
      <c r="CC317" s="75"/>
      <c r="CD317" s="75"/>
      <c r="CE317" s="75"/>
      <c r="CF317" s="75"/>
      <c r="CG317" s="75"/>
      <c r="CH317" s="75"/>
      <c r="CI317" s="75"/>
      <c r="CJ317" s="75"/>
      <c r="CK317" s="75"/>
      <c r="CL317" s="75"/>
      <c r="CM317" s="75"/>
      <c r="CN317" s="75"/>
      <c r="CO317" s="75"/>
      <c r="CP317" s="75"/>
      <c r="CQ317" s="75"/>
      <c r="CR317" s="75"/>
      <c r="CS317" s="75"/>
      <c r="CT317" s="75"/>
      <c r="CU317" s="75"/>
      <c r="CV317" s="75"/>
      <c r="CW317" s="76"/>
      <c r="CX317" s="72"/>
      <c r="CY317" s="68"/>
      <c r="CZ317" s="68"/>
      <c r="DA317" s="69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 t="s">
        <v>8</v>
      </c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</row>
    <row r="318" spans="1:128" ht="18" customHeight="1" x14ac:dyDescent="0.2">
      <c r="A318" s="74" t="s">
        <v>8</v>
      </c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  <c r="AA318" s="75"/>
      <c r="AB318" s="75"/>
      <c r="AC318" s="75"/>
      <c r="AD318" s="75"/>
      <c r="AE318" s="75"/>
      <c r="AF318" s="75"/>
      <c r="AG318" s="75"/>
      <c r="AH318" s="75"/>
      <c r="AI318" s="75"/>
      <c r="AJ318" s="75"/>
      <c r="AK318" s="75"/>
      <c r="AL318" s="75"/>
      <c r="AM318" s="75"/>
      <c r="AN318" s="75"/>
      <c r="AO318" s="75"/>
      <c r="AP318" s="75"/>
      <c r="AQ318" s="75"/>
      <c r="AR318" s="75"/>
      <c r="AS318" s="75"/>
      <c r="AT318" s="75"/>
      <c r="AU318" s="75"/>
      <c r="AV318" s="75"/>
      <c r="AW318" s="75"/>
      <c r="AX318" s="75"/>
      <c r="AY318" s="75"/>
      <c r="AZ318" s="75"/>
      <c r="BA318" s="75"/>
      <c r="BB318" s="75"/>
      <c r="BC318" s="75"/>
      <c r="BD318" s="75"/>
      <c r="BE318" s="75"/>
      <c r="BF318" s="75"/>
      <c r="BG318" s="75"/>
      <c r="BH318" s="75"/>
      <c r="BI318" s="75"/>
      <c r="BJ318" s="75"/>
      <c r="BK318" s="75"/>
      <c r="BL318" s="75"/>
      <c r="BM318" s="75"/>
      <c r="BN318" s="75"/>
      <c r="BO318" s="75"/>
      <c r="BP318" s="75"/>
      <c r="BQ318" s="75"/>
      <c r="BR318" s="75"/>
      <c r="BS318" s="75"/>
      <c r="BT318" s="75"/>
      <c r="BU318" s="75"/>
      <c r="BV318" s="75"/>
      <c r="BW318" s="75"/>
      <c r="BX318" s="75"/>
      <c r="BY318" s="75"/>
      <c r="BZ318" s="75"/>
      <c r="CA318" s="75"/>
      <c r="CB318" s="75"/>
      <c r="CC318" s="75"/>
      <c r="CD318" s="75"/>
      <c r="CE318" s="75"/>
      <c r="CF318" s="75"/>
      <c r="CG318" s="75"/>
      <c r="CH318" s="75"/>
      <c r="CI318" s="75"/>
      <c r="CJ318" s="75"/>
      <c r="CK318" s="75"/>
      <c r="CL318" s="75"/>
      <c r="CM318" s="75"/>
      <c r="CN318" s="75"/>
      <c r="CO318" s="75"/>
      <c r="CP318" s="75"/>
      <c r="CQ318" s="75"/>
      <c r="CR318" s="75"/>
      <c r="CS318" s="75"/>
      <c r="CT318" s="75"/>
      <c r="CU318" s="75"/>
      <c r="CV318" s="75"/>
      <c r="CW318" s="76"/>
      <c r="CX318" s="72"/>
      <c r="CY318" s="68"/>
      <c r="CZ318" s="68"/>
      <c r="DA318" s="69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</row>
    <row r="319" spans="1:128" ht="18" customHeight="1" x14ac:dyDescent="0.2">
      <c r="A319" s="74"/>
      <c r="B319" s="75"/>
      <c r="C319" s="75"/>
      <c r="D319" s="75"/>
      <c r="E319" s="75"/>
      <c r="F319" s="75"/>
      <c r="G319" s="75"/>
      <c r="H319" s="75" t="s">
        <v>3</v>
      </c>
      <c r="I319" s="75"/>
      <c r="J319" s="75" t="s">
        <v>536</v>
      </c>
      <c r="K319" s="75"/>
      <c r="L319" s="75" t="s">
        <v>611</v>
      </c>
      <c r="M319" s="75"/>
      <c r="N319" s="75"/>
      <c r="O319" s="75"/>
      <c r="P319" s="75" t="s">
        <v>173</v>
      </c>
      <c r="Q319" s="75"/>
      <c r="R319" s="75" t="s">
        <v>4</v>
      </c>
      <c r="S319" s="75"/>
      <c r="T319" s="75"/>
      <c r="U319" s="75" t="s">
        <v>173</v>
      </c>
      <c r="V319" s="75"/>
      <c r="W319" s="75" t="s">
        <v>179</v>
      </c>
      <c r="X319" s="75"/>
      <c r="Y319" s="75"/>
      <c r="Z319" s="75" t="s">
        <v>532</v>
      </c>
      <c r="AA319" s="75"/>
      <c r="AB319" s="75" t="s">
        <v>357</v>
      </c>
      <c r="AC319" s="75"/>
      <c r="AD319" s="75" t="str">
        <f>TEXT(2,"#,##0")</f>
        <v>2</v>
      </c>
      <c r="AE319" s="75"/>
      <c r="AF319" s="75" t="s">
        <v>536</v>
      </c>
      <c r="AG319" s="75"/>
      <c r="AH319" s="75" t="str">
        <f>TEXT(ROUND((M317+X317+AJ317)*AD319,2),"#,##0.00#######")</f>
        <v>40.84</v>
      </c>
      <c r="AI319" s="75"/>
      <c r="AJ319" s="75"/>
      <c r="AK319" s="75"/>
      <c r="AL319" s="75"/>
      <c r="AM319" s="75"/>
      <c r="AN319" s="75"/>
      <c r="AO319" s="75"/>
      <c r="AP319" s="75"/>
      <c r="AQ319" s="75"/>
      <c r="AR319" s="75"/>
      <c r="AS319" s="75"/>
      <c r="AT319" s="75"/>
      <c r="AU319" s="75"/>
      <c r="AV319" s="75"/>
      <c r="AW319" s="75"/>
      <c r="AX319" s="75"/>
      <c r="AY319" s="75"/>
      <c r="AZ319" s="75"/>
      <c r="BA319" s="75"/>
      <c r="BB319" s="75"/>
      <c r="BC319" s="75"/>
      <c r="BD319" s="75"/>
      <c r="BE319" s="75"/>
      <c r="BF319" s="75"/>
      <c r="BG319" s="75"/>
      <c r="BH319" s="75"/>
      <c r="BI319" s="75"/>
      <c r="BJ319" s="75"/>
      <c r="BK319" s="75"/>
      <c r="BL319" s="75"/>
      <c r="BM319" s="75"/>
      <c r="BN319" s="75"/>
      <c r="BO319" s="75"/>
      <c r="BP319" s="75"/>
      <c r="BQ319" s="75"/>
      <c r="BR319" s="75"/>
      <c r="BS319" s="75"/>
      <c r="BT319" s="75"/>
      <c r="BU319" s="75"/>
      <c r="BV319" s="75"/>
      <c r="BW319" s="75"/>
      <c r="BX319" s="75"/>
      <c r="BY319" s="75"/>
      <c r="BZ319" s="75"/>
      <c r="CA319" s="75"/>
      <c r="CB319" s="75"/>
      <c r="CC319" s="75"/>
      <c r="CD319" s="75"/>
      <c r="CE319" s="75"/>
      <c r="CF319" s="75"/>
      <c r="CG319" s="75"/>
      <c r="CH319" s="75"/>
      <c r="CI319" s="75"/>
      <c r="CJ319" s="75"/>
      <c r="CK319" s="75"/>
      <c r="CL319" s="75"/>
      <c r="CM319" s="75"/>
      <c r="CN319" s="75"/>
      <c r="CO319" s="75"/>
      <c r="CP319" s="75"/>
      <c r="CQ319" s="75"/>
      <c r="CR319" s="75"/>
      <c r="CS319" s="75"/>
      <c r="CT319" s="75"/>
      <c r="CU319" s="75"/>
      <c r="CV319" s="75"/>
      <c r="CW319" s="76"/>
      <c r="CX319" s="72"/>
      <c r="CY319" s="68"/>
      <c r="CZ319" s="68"/>
      <c r="DA319" s="69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 t="s">
        <v>8</v>
      </c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</row>
    <row r="320" spans="1:128" ht="18" customHeight="1" x14ac:dyDescent="0.2">
      <c r="A320" s="74" t="s">
        <v>8</v>
      </c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  <c r="AA320" s="75"/>
      <c r="AB320" s="75"/>
      <c r="AC320" s="75"/>
      <c r="AD320" s="75"/>
      <c r="AE320" s="75"/>
      <c r="AF320" s="75"/>
      <c r="AG320" s="75"/>
      <c r="AH320" s="75"/>
      <c r="AI320" s="75"/>
      <c r="AJ320" s="75"/>
      <c r="AK320" s="75"/>
      <c r="AL320" s="75"/>
      <c r="AM320" s="75"/>
      <c r="AN320" s="75"/>
      <c r="AO320" s="75"/>
      <c r="AP320" s="75"/>
      <c r="AQ320" s="75"/>
      <c r="AR320" s="75"/>
      <c r="AS320" s="75"/>
      <c r="AT320" s="75"/>
      <c r="AU320" s="75"/>
      <c r="AV320" s="75"/>
      <c r="AW320" s="75"/>
      <c r="AX320" s="75"/>
      <c r="AY320" s="75"/>
      <c r="AZ320" s="75"/>
      <c r="BA320" s="75"/>
      <c r="BB320" s="75"/>
      <c r="BC320" s="75"/>
      <c r="BD320" s="75"/>
      <c r="BE320" s="75"/>
      <c r="BF320" s="75"/>
      <c r="BG320" s="75"/>
      <c r="BH320" s="75"/>
      <c r="BI320" s="75"/>
      <c r="BJ320" s="75"/>
      <c r="BK320" s="75"/>
      <c r="BL320" s="75"/>
      <c r="BM320" s="75"/>
      <c r="BN320" s="75"/>
      <c r="BO320" s="75"/>
      <c r="BP320" s="75"/>
      <c r="BQ320" s="75"/>
      <c r="BR320" s="75"/>
      <c r="BS320" s="75"/>
      <c r="BT320" s="75"/>
      <c r="BU320" s="75"/>
      <c r="BV320" s="75"/>
      <c r="BW320" s="75"/>
      <c r="BX320" s="75"/>
      <c r="BY320" s="75"/>
      <c r="BZ320" s="75"/>
      <c r="CA320" s="75"/>
      <c r="CB320" s="75"/>
      <c r="CC320" s="75"/>
      <c r="CD320" s="75"/>
      <c r="CE320" s="75"/>
      <c r="CF320" s="75"/>
      <c r="CG320" s="75"/>
      <c r="CH320" s="75"/>
      <c r="CI320" s="75"/>
      <c r="CJ320" s="75"/>
      <c r="CK320" s="75"/>
      <c r="CL320" s="75"/>
      <c r="CM320" s="75"/>
      <c r="CN320" s="75"/>
      <c r="CO320" s="75"/>
      <c r="CP320" s="75"/>
      <c r="CQ320" s="75"/>
      <c r="CR320" s="75"/>
      <c r="CS320" s="75"/>
      <c r="CT320" s="75"/>
      <c r="CU320" s="75"/>
      <c r="CV320" s="75"/>
      <c r="CW320" s="76"/>
      <c r="CX320" s="72"/>
      <c r="CY320" s="68"/>
      <c r="CZ320" s="68"/>
      <c r="DA320" s="69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</row>
    <row r="321" spans="1:128" ht="18" customHeight="1" x14ac:dyDescent="0.2">
      <c r="A321" s="74"/>
      <c r="B321" s="75"/>
      <c r="C321" s="75"/>
      <c r="D321" s="75"/>
      <c r="E321" s="75"/>
      <c r="F321" s="75"/>
      <c r="G321" s="75"/>
      <c r="H321" s="75" t="s">
        <v>533</v>
      </c>
      <c r="I321" s="75"/>
      <c r="J321" s="75"/>
      <c r="K321" s="75" t="s">
        <v>536</v>
      </c>
      <c r="L321" s="75"/>
      <c r="M321" s="75" t="s">
        <v>353</v>
      </c>
      <c r="N321" s="75"/>
      <c r="O321" s="75"/>
      <c r="P321" s="75" t="s">
        <v>181</v>
      </c>
      <c r="Q321" s="75"/>
      <c r="R321" s="75" t="str">
        <f>TEXT(40,"#,##0")</f>
        <v>40</v>
      </c>
      <c r="S321" s="75"/>
      <c r="T321" s="75"/>
      <c r="U321" s="75" t="s">
        <v>173</v>
      </c>
      <c r="V321" s="75"/>
      <c r="W321" s="75" t="s">
        <v>12</v>
      </c>
      <c r="X321" s="75"/>
      <c r="Y321" s="75" t="s">
        <v>181</v>
      </c>
      <c r="Z321" s="75"/>
      <c r="AA321" s="75" t="str">
        <f>TEXT(40,"#,##0")</f>
        <v>40</v>
      </c>
      <c r="AB321" s="75"/>
      <c r="AC321" s="75"/>
      <c r="AD321" s="75" t="s">
        <v>532</v>
      </c>
      <c r="AE321" s="75"/>
      <c r="AF321" s="75" t="s">
        <v>357</v>
      </c>
      <c r="AG321" s="75"/>
      <c r="AH321" s="75" t="str">
        <f>TEXT(60,"#,##0")</f>
        <v>60</v>
      </c>
      <c r="AI321" s="75"/>
      <c r="AJ321" s="75"/>
      <c r="AK321" s="75" t="s">
        <v>536</v>
      </c>
      <c r="AL321" s="75"/>
      <c r="AM321" s="75" t="str">
        <f>TEXT(ROUND((R315/R321+R315/AA321)*AH321,0),"#,##0")</f>
        <v>24</v>
      </c>
      <c r="AN321" s="75"/>
      <c r="AO321" s="75"/>
      <c r="AP321" s="75"/>
      <c r="AQ321" s="75"/>
      <c r="AR321" s="75"/>
      <c r="AS321" s="75"/>
      <c r="AT321" s="75"/>
      <c r="AU321" s="75"/>
      <c r="AV321" s="75"/>
      <c r="AW321" s="75"/>
      <c r="AX321" s="75"/>
      <c r="AY321" s="75"/>
      <c r="AZ321" s="75"/>
      <c r="BA321" s="75"/>
      <c r="BB321" s="75"/>
      <c r="BC321" s="75"/>
      <c r="BD321" s="75"/>
      <c r="BE321" s="75"/>
      <c r="BF321" s="75"/>
      <c r="BG321" s="75"/>
      <c r="BH321" s="75"/>
      <c r="BI321" s="75"/>
      <c r="BJ321" s="75"/>
      <c r="BK321" s="75"/>
      <c r="BL321" s="75"/>
      <c r="BM321" s="75"/>
      <c r="BN321" s="75"/>
      <c r="BO321" s="75"/>
      <c r="BP321" s="75"/>
      <c r="BQ321" s="75"/>
      <c r="BR321" s="75"/>
      <c r="BS321" s="75"/>
      <c r="BT321" s="75"/>
      <c r="BU321" s="75"/>
      <c r="BV321" s="75"/>
      <c r="BW321" s="75"/>
      <c r="BX321" s="75"/>
      <c r="BY321" s="75"/>
      <c r="BZ321" s="75"/>
      <c r="CA321" s="75"/>
      <c r="CB321" s="75"/>
      <c r="CC321" s="75"/>
      <c r="CD321" s="75"/>
      <c r="CE321" s="75"/>
      <c r="CF321" s="75"/>
      <c r="CG321" s="75"/>
      <c r="CH321" s="75"/>
      <c r="CI321" s="75"/>
      <c r="CJ321" s="75"/>
      <c r="CK321" s="75"/>
      <c r="CL321" s="75"/>
      <c r="CM321" s="75"/>
      <c r="CN321" s="75"/>
      <c r="CO321" s="75"/>
      <c r="CP321" s="75"/>
      <c r="CQ321" s="75"/>
      <c r="CR321" s="75"/>
      <c r="CS321" s="75"/>
      <c r="CT321" s="75"/>
      <c r="CU321" s="75"/>
      <c r="CV321" s="75"/>
      <c r="CW321" s="76"/>
      <c r="CX321" s="72"/>
      <c r="CY321" s="68"/>
      <c r="CZ321" s="68"/>
      <c r="DA321" s="69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 t="s">
        <v>8</v>
      </c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</row>
    <row r="322" spans="1:128" ht="18" customHeight="1" x14ac:dyDescent="0.2">
      <c r="A322" s="74" t="s">
        <v>8</v>
      </c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  <c r="AA322" s="75"/>
      <c r="AB322" s="75"/>
      <c r="AC322" s="75"/>
      <c r="AD322" s="75"/>
      <c r="AE322" s="75"/>
      <c r="AF322" s="75"/>
      <c r="AG322" s="75"/>
      <c r="AH322" s="75"/>
      <c r="AI322" s="75"/>
      <c r="AJ322" s="75"/>
      <c r="AK322" s="75"/>
      <c r="AL322" s="75"/>
      <c r="AM322" s="75"/>
      <c r="AN322" s="75"/>
      <c r="AO322" s="75"/>
      <c r="AP322" s="75"/>
      <c r="AQ322" s="75"/>
      <c r="AR322" s="75"/>
      <c r="AS322" s="75"/>
      <c r="AT322" s="75"/>
      <c r="AU322" s="75"/>
      <c r="AV322" s="75"/>
      <c r="AW322" s="75"/>
      <c r="AX322" s="75"/>
      <c r="AY322" s="75"/>
      <c r="AZ322" s="75"/>
      <c r="BA322" s="75"/>
      <c r="BB322" s="75"/>
      <c r="BC322" s="75"/>
      <c r="BD322" s="75"/>
      <c r="BE322" s="75"/>
      <c r="BF322" s="75"/>
      <c r="BG322" s="75"/>
      <c r="BH322" s="75"/>
      <c r="BI322" s="75"/>
      <c r="BJ322" s="75"/>
      <c r="BK322" s="75"/>
      <c r="BL322" s="75"/>
      <c r="BM322" s="75"/>
      <c r="BN322" s="75"/>
      <c r="BO322" s="75"/>
      <c r="BP322" s="75"/>
      <c r="BQ322" s="75"/>
      <c r="BR322" s="75"/>
      <c r="BS322" s="75"/>
      <c r="BT322" s="75"/>
      <c r="BU322" s="75"/>
      <c r="BV322" s="75"/>
      <c r="BW322" s="75"/>
      <c r="BX322" s="75"/>
      <c r="BY322" s="75"/>
      <c r="BZ322" s="75"/>
      <c r="CA322" s="75"/>
      <c r="CB322" s="75"/>
      <c r="CC322" s="75"/>
      <c r="CD322" s="75"/>
      <c r="CE322" s="75"/>
      <c r="CF322" s="75"/>
      <c r="CG322" s="75"/>
      <c r="CH322" s="75"/>
      <c r="CI322" s="75"/>
      <c r="CJ322" s="75"/>
      <c r="CK322" s="75"/>
      <c r="CL322" s="75"/>
      <c r="CM322" s="75"/>
      <c r="CN322" s="75"/>
      <c r="CO322" s="75"/>
      <c r="CP322" s="75"/>
      <c r="CQ322" s="75"/>
      <c r="CR322" s="75"/>
      <c r="CS322" s="75"/>
      <c r="CT322" s="75"/>
      <c r="CU322" s="75"/>
      <c r="CV322" s="75"/>
      <c r="CW322" s="76"/>
      <c r="CX322" s="72"/>
      <c r="CY322" s="68"/>
      <c r="CZ322" s="68"/>
      <c r="DA322" s="69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</row>
    <row r="323" spans="1:128" ht="18" customHeight="1" x14ac:dyDescent="0.2">
      <c r="A323" s="74"/>
      <c r="B323" s="75"/>
      <c r="C323" s="75"/>
      <c r="D323" s="75"/>
      <c r="E323" s="75"/>
      <c r="F323" s="75"/>
      <c r="G323" s="75"/>
      <c r="H323" s="75" t="s">
        <v>133</v>
      </c>
      <c r="I323" s="75"/>
      <c r="J323" s="75"/>
      <c r="K323" s="75" t="s">
        <v>536</v>
      </c>
      <c r="L323" s="75"/>
      <c r="M323" s="75" t="s">
        <v>3</v>
      </c>
      <c r="N323" s="75"/>
      <c r="O323" s="75" t="s">
        <v>173</v>
      </c>
      <c r="P323" s="75"/>
      <c r="Q323" s="75" t="s">
        <v>533</v>
      </c>
      <c r="R323" s="75"/>
      <c r="S323" s="75"/>
      <c r="T323" s="75" t="s">
        <v>536</v>
      </c>
      <c r="U323" s="75"/>
      <c r="V323" s="75"/>
      <c r="W323" s="75" t="str">
        <f>TEXT(ROUND(AH319+AM321,2),"#,##0.00#######")</f>
        <v>64.84</v>
      </c>
      <c r="X323" s="75"/>
      <c r="Y323" s="75"/>
      <c r="Z323" s="75"/>
      <c r="AA323" s="75"/>
      <c r="AB323" s="75"/>
      <c r="AC323" s="75"/>
      <c r="AD323" s="75"/>
      <c r="AE323" s="75" t="s">
        <v>689</v>
      </c>
      <c r="AF323" s="75"/>
      <c r="AG323" s="75"/>
      <c r="AH323" s="75"/>
      <c r="AI323" s="75"/>
      <c r="AJ323" s="75"/>
      <c r="AK323" s="75"/>
      <c r="AL323" s="75"/>
      <c r="AM323" s="75"/>
      <c r="AN323" s="75"/>
      <c r="AO323" s="75"/>
      <c r="AP323" s="75"/>
      <c r="AQ323" s="75"/>
      <c r="AR323" s="75"/>
      <c r="AS323" s="75"/>
      <c r="AT323" s="75"/>
      <c r="AU323" s="75"/>
      <c r="AV323" s="75"/>
      <c r="AW323" s="75"/>
      <c r="AX323" s="75"/>
      <c r="AY323" s="75"/>
      <c r="AZ323" s="75"/>
      <c r="BA323" s="75"/>
      <c r="BB323" s="75"/>
      <c r="BC323" s="75"/>
      <c r="BD323" s="75"/>
      <c r="BE323" s="75"/>
      <c r="BF323" s="75"/>
      <c r="BG323" s="75"/>
      <c r="BH323" s="75"/>
      <c r="BI323" s="75"/>
      <c r="BJ323" s="75"/>
      <c r="BK323" s="75"/>
      <c r="BL323" s="75"/>
      <c r="BM323" s="75"/>
      <c r="BN323" s="75"/>
      <c r="BO323" s="75"/>
      <c r="BP323" s="75"/>
      <c r="BQ323" s="75"/>
      <c r="BR323" s="75"/>
      <c r="BS323" s="75"/>
      <c r="BT323" s="75"/>
      <c r="BU323" s="75"/>
      <c r="BV323" s="75"/>
      <c r="BW323" s="75"/>
      <c r="BX323" s="75"/>
      <c r="BY323" s="75"/>
      <c r="BZ323" s="75"/>
      <c r="CA323" s="75"/>
      <c r="CB323" s="75"/>
      <c r="CC323" s="75"/>
      <c r="CD323" s="75"/>
      <c r="CE323" s="75"/>
      <c r="CF323" s="75"/>
      <c r="CG323" s="75"/>
      <c r="CH323" s="75"/>
      <c r="CI323" s="75"/>
      <c r="CJ323" s="75"/>
      <c r="CK323" s="75"/>
      <c r="CL323" s="75"/>
      <c r="CM323" s="75"/>
      <c r="CN323" s="75"/>
      <c r="CO323" s="75"/>
      <c r="CP323" s="75"/>
      <c r="CQ323" s="75"/>
      <c r="CR323" s="75"/>
      <c r="CS323" s="75"/>
      <c r="CT323" s="75"/>
      <c r="CU323" s="75"/>
      <c r="CV323" s="75"/>
      <c r="CW323" s="76"/>
      <c r="CX323" s="72"/>
      <c r="CY323" s="68"/>
      <c r="CZ323" s="68"/>
      <c r="DA323" s="69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 t="s">
        <v>8</v>
      </c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</row>
    <row r="324" spans="1:128" ht="18" customHeight="1" x14ac:dyDescent="0.2">
      <c r="A324" s="74" t="s">
        <v>8</v>
      </c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  <c r="AA324" s="75"/>
      <c r="AB324" s="75"/>
      <c r="AC324" s="75"/>
      <c r="AD324" s="75"/>
      <c r="AE324" s="75"/>
      <c r="AF324" s="75"/>
      <c r="AG324" s="75"/>
      <c r="AH324" s="75"/>
      <c r="AI324" s="75"/>
      <c r="AJ324" s="75"/>
      <c r="AK324" s="75"/>
      <c r="AL324" s="75"/>
      <c r="AM324" s="75"/>
      <c r="AN324" s="75"/>
      <c r="AO324" s="75"/>
      <c r="AP324" s="75"/>
      <c r="AQ324" s="75"/>
      <c r="AR324" s="75"/>
      <c r="AS324" s="75"/>
      <c r="AT324" s="75"/>
      <c r="AU324" s="75"/>
      <c r="AV324" s="75"/>
      <c r="AW324" s="75"/>
      <c r="AX324" s="75"/>
      <c r="AY324" s="75"/>
      <c r="AZ324" s="75"/>
      <c r="BA324" s="75"/>
      <c r="BB324" s="75"/>
      <c r="BC324" s="75"/>
      <c r="BD324" s="75"/>
      <c r="BE324" s="75"/>
      <c r="BF324" s="75"/>
      <c r="BG324" s="75"/>
      <c r="BH324" s="75"/>
      <c r="BI324" s="75"/>
      <c r="BJ324" s="75"/>
      <c r="BK324" s="75"/>
      <c r="BL324" s="75"/>
      <c r="BM324" s="75"/>
      <c r="BN324" s="75"/>
      <c r="BO324" s="75"/>
      <c r="BP324" s="75"/>
      <c r="BQ324" s="75"/>
      <c r="BR324" s="75"/>
      <c r="BS324" s="75"/>
      <c r="BT324" s="75"/>
      <c r="BU324" s="75"/>
      <c r="BV324" s="75"/>
      <c r="BW324" s="75"/>
      <c r="BX324" s="75"/>
      <c r="BY324" s="75"/>
      <c r="BZ324" s="75"/>
      <c r="CA324" s="75"/>
      <c r="CB324" s="75"/>
      <c r="CC324" s="75"/>
      <c r="CD324" s="75"/>
      <c r="CE324" s="75"/>
      <c r="CF324" s="75"/>
      <c r="CG324" s="75"/>
      <c r="CH324" s="75"/>
      <c r="CI324" s="75"/>
      <c r="CJ324" s="75"/>
      <c r="CK324" s="75"/>
      <c r="CL324" s="75"/>
      <c r="CM324" s="75"/>
      <c r="CN324" s="75"/>
      <c r="CO324" s="75"/>
      <c r="CP324" s="75"/>
      <c r="CQ324" s="75"/>
      <c r="CR324" s="75"/>
      <c r="CS324" s="75"/>
      <c r="CT324" s="75"/>
      <c r="CU324" s="75"/>
      <c r="CV324" s="75"/>
      <c r="CW324" s="76"/>
      <c r="CX324" s="72"/>
      <c r="CY324" s="68"/>
      <c r="CZ324" s="68"/>
      <c r="DA324" s="69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</row>
    <row r="325" spans="1:128" ht="18" customHeight="1" x14ac:dyDescent="0.2">
      <c r="A325" s="74"/>
      <c r="B325" s="75"/>
      <c r="C325" s="75"/>
      <c r="D325" s="75"/>
      <c r="E325" s="75"/>
      <c r="F325" s="75"/>
      <c r="G325" s="75"/>
      <c r="H325" s="75" t="s">
        <v>345</v>
      </c>
      <c r="I325" s="75"/>
      <c r="J325" s="75" t="s">
        <v>536</v>
      </c>
      <c r="K325" s="75"/>
      <c r="L325" s="75" t="str">
        <f>TEXT(60,"#,##0")</f>
        <v>60</v>
      </c>
      <c r="M325" s="75"/>
      <c r="N325" s="75"/>
      <c r="O325" s="75" t="s">
        <v>357</v>
      </c>
      <c r="P325" s="75"/>
      <c r="Q325" s="75" t="str">
        <f>TEXT(0.9,"#,##0.0#######")</f>
        <v>0.9</v>
      </c>
      <c r="R325" s="75"/>
      <c r="S325" s="75"/>
      <c r="T325" s="75"/>
      <c r="U325" s="75" t="s">
        <v>181</v>
      </c>
      <c r="V325" s="75"/>
      <c r="W325" s="75" t="s">
        <v>133</v>
      </c>
      <c r="X325" s="75"/>
      <c r="Y325" s="75"/>
      <c r="Z325" s="75" t="s">
        <v>536</v>
      </c>
      <c r="AA325" s="75"/>
      <c r="AB325" s="75" t="str">
        <f>TEXT(TRUNC(L325*Q325/W323,3),"#,##0.000#######")</f>
        <v>0.832</v>
      </c>
      <c r="AC325" s="75"/>
      <c r="AD325" s="75"/>
      <c r="AE325" s="75"/>
      <c r="AF325" s="75"/>
      <c r="AG325" s="75"/>
      <c r="AH325" s="75"/>
      <c r="AI325" s="75"/>
      <c r="AJ325" s="75" t="s">
        <v>63</v>
      </c>
      <c r="AK325" s="75"/>
      <c r="AL325" s="75"/>
      <c r="AM325" s="75"/>
      <c r="AN325" s="75"/>
      <c r="AO325" s="75"/>
      <c r="AP325" s="75"/>
      <c r="AQ325" s="75"/>
      <c r="AR325" s="75"/>
      <c r="AS325" s="75"/>
      <c r="AT325" s="75"/>
      <c r="AU325" s="75"/>
      <c r="AV325" s="75"/>
      <c r="AW325" s="75"/>
      <c r="AX325" s="75"/>
      <c r="AY325" s="75"/>
      <c r="AZ325" s="75"/>
      <c r="BA325" s="75"/>
      <c r="BB325" s="75"/>
      <c r="BC325" s="75"/>
      <c r="BD325" s="75"/>
      <c r="BE325" s="75"/>
      <c r="BF325" s="75"/>
      <c r="BG325" s="75"/>
      <c r="BH325" s="75"/>
      <c r="BI325" s="75"/>
      <c r="BJ325" s="75"/>
      <c r="BK325" s="75"/>
      <c r="BL325" s="75"/>
      <c r="BM325" s="75"/>
      <c r="BN325" s="75"/>
      <c r="BO325" s="75"/>
      <c r="BP325" s="75"/>
      <c r="BQ325" s="75"/>
      <c r="BR325" s="75"/>
      <c r="BS325" s="75"/>
      <c r="BT325" s="75"/>
      <c r="BU325" s="75"/>
      <c r="BV325" s="75"/>
      <c r="BW325" s="75"/>
      <c r="BX325" s="75"/>
      <c r="BY325" s="75"/>
      <c r="BZ325" s="75"/>
      <c r="CA325" s="75"/>
      <c r="CB325" s="75"/>
      <c r="CC325" s="75"/>
      <c r="CD325" s="75"/>
      <c r="CE325" s="75"/>
      <c r="CF325" s="75"/>
      <c r="CG325" s="75"/>
      <c r="CH325" s="75"/>
      <c r="CI325" s="75"/>
      <c r="CJ325" s="75"/>
      <c r="CK325" s="75"/>
      <c r="CL325" s="75"/>
      <c r="CM325" s="75"/>
      <c r="CN325" s="75"/>
      <c r="CO325" s="75"/>
      <c r="CP325" s="75"/>
      <c r="CQ325" s="75"/>
      <c r="CR325" s="75"/>
      <c r="CS325" s="75"/>
      <c r="CT325" s="75"/>
      <c r="CU325" s="75"/>
      <c r="CV325" s="75"/>
      <c r="CW325" s="76"/>
      <c r="CX325" s="72"/>
      <c r="CY325" s="68"/>
      <c r="CZ325" s="68"/>
      <c r="DA325" s="69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 t="s">
        <v>8</v>
      </c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</row>
    <row r="326" spans="1:128" ht="18" customHeight="1" x14ac:dyDescent="0.2">
      <c r="A326" s="74" t="s">
        <v>8</v>
      </c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  <c r="AA326" s="75"/>
      <c r="AB326" s="75"/>
      <c r="AC326" s="75"/>
      <c r="AD326" s="75"/>
      <c r="AE326" s="75"/>
      <c r="AF326" s="75"/>
      <c r="AG326" s="75"/>
      <c r="AH326" s="75"/>
      <c r="AI326" s="75"/>
      <c r="AJ326" s="75"/>
      <c r="AK326" s="75"/>
      <c r="AL326" s="75"/>
      <c r="AM326" s="75"/>
      <c r="AN326" s="75"/>
      <c r="AO326" s="75"/>
      <c r="AP326" s="75"/>
      <c r="AQ326" s="75"/>
      <c r="AR326" s="75"/>
      <c r="AS326" s="75"/>
      <c r="AT326" s="75"/>
      <c r="AU326" s="75"/>
      <c r="AV326" s="75"/>
      <c r="AW326" s="75"/>
      <c r="AX326" s="75"/>
      <c r="AY326" s="75"/>
      <c r="AZ326" s="75"/>
      <c r="BA326" s="75"/>
      <c r="BB326" s="75"/>
      <c r="BC326" s="75"/>
      <c r="BD326" s="75"/>
      <c r="BE326" s="75"/>
      <c r="BF326" s="75"/>
      <c r="BG326" s="75"/>
      <c r="BH326" s="75"/>
      <c r="BI326" s="75"/>
      <c r="BJ326" s="75"/>
      <c r="BK326" s="75"/>
      <c r="BL326" s="75"/>
      <c r="BM326" s="75"/>
      <c r="BN326" s="75"/>
      <c r="BO326" s="75"/>
      <c r="BP326" s="75"/>
      <c r="BQ326" s="75"/>
      <c r="BR326" s="75"/>
      <c r="BS326" s="75"/>
      <c r="BT326" s="75"/>
      <c r="BU326" s="75"/>
      <c r="BV326" s="75"/>
      <c r="BW326" s="75"/>
      <c r="BX326" s="75"/>
      <c r="BY326" s="75"/>
      <c r="BZ326" s="75"/>
      <c r="CA326" s="75"/>
      <c r="CB326" s="75"/>
      <c r="CC326" s="75"/>
      <c r="CD326" s="75"/>
      <c r="CE326" s="75"/>
      <c r="CF326" s="75"/>
      <c r="CG326" s="75"/>
      <c r="CH326" s="75"/>
      <c r="CI326" s="75"/>
      <c r="CJ326" s="75"/>
      <c r="CK326" s="75"/>
      <c r="CL326" s="75"/>
      <c r="CM326" s="75"/>
      <c r="CN326" s="75"/>
      <c r="CO326" s="75"/>
      <c r="CP326" s="75"/>
      <c r="CQ326" s="75"/>
      <c r="CR326" s="75"/>
      <c r="CS326" s="75"/>
      <c r="CT326" s="75"/>
      <c r="CU326" s="75"/>
      <c r="CV326" s="75"/>
      <c r="CW326" s="76"/>
      <c r="CX326" s="72"/>
      <c r="CY326" s="68"/>
      <c r="CZ326" s="68"/>
      <c r="DA326" s="69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</row>
    <row r="327" spans="1:128" ht="18" customHeight="1" x14ac:dyDescent="0.2">
      <c r="A327" s="74"/>
      <c r="B327" s="75"/>
      <c r="C327" s="75"/>
      <c r="D327" s="75"/>
      <c r="E327" s="75"/>
      <c r="F327" s="75"/>
      <c r="G327" s="75"/>
      <c r="H327" s="75"/>
      <c r="I327" s="75"/>
      <c r="J327" s="75" t="s">
        <v>329</v>
      </c>
      <c r="K327" s="75"/>
      <c r="L327" s="75"/>
      <c r="M327" s="75"/>
      <c r="N327" s="75"/>
      <c r="O327" s="75" t="str">
        <f>TEXT(TRUNC(건설기계!J11,0),"#,##0")</f>
        <v>59,020</v>
      </c>
      <c r="P327" s="75"/>
      <c r="Q327" s="75"/>
      <c r="R327" s="75"/>
      <c r="S327" s="75"/>
      <c r="T327" s="75"/>
      <c r="U327" s="75"/>
      <c r="V327" s="75" t="s">
        <v>181</v>
      </c>
      <c r="W327" s="75"/>
      <c r="X327" s="75" t="s">
        <v>345</v>
      </c>
      <c r="Y327" s="75"/>
      <c r="Z327" s="75" t="s">
        <v>536</v>
      </c>
      <c r="AA327" s="75"/>
      <c r="AB327" s="75" t="str">
        <f>TEXT(ROUNDDOWN(O327/AB325,1),"#,##0.0#######")</f>
        <v>70,937.5</v>
      </c>
      <c r="AC327" s="75"/>
      <c r="AD327" s="75"/>
      <c r="AE327" s="75"/>
      <c r="AF327" s="75"/>
      <c r="AG327" s="75"/>
      <c r="AH327" s="75"/>
      <c r="AI327" s="75"/>
      <c r="AJ327" s="75"/>
      <c r="AK327" s="75"/>
      <c r="AL327" s="75" t="s">
        <v>525</v>
      </c>
      <c r="AM327" s="75"/>
      <c r="AN327" s="75"/>
      <c r="AO327" s="75"/>
      <c r="AP327" s="75"/>
      <c r="AQ327" s="75"/>
      <c r="AR327" s="75"/>
      <c r="AS327" s="75"/>
      <c r="AT327" s="75"/>
      <c r="AU327" s="75"/>
      <c r="AV327" s="75"/>
      <c r="AW327" s="75"/>
      <c r="AX327" s="75"/>
      <c r="AY327" s="75"/>
      <c r="AZ327" s="75"/>
      <c r="BA327" s="75"/>
      <c r="BB327" s="75"/>
      <c r="BC327" s="75"/>
      <c r="BD327" s="75"/>
      <c r="BE327" s="75"/>
      <c r="BF327" s="75"/>
      <c r="BG327" s="75"/>
      <c r="BH327" s="75"/>
      <c r="BI327" s="75"/>
      <c r="BJ327" s="75"/>
      <c r="BK327" s="75"/>
      <c r="BL327" s="75"/>
      <c r="BM327" s="75"/>
      <c r="BN327" s="75"/>
      <c r="BO327" s="75"/>
      <c r="BP327" s="75"/>
      <c r="BQ327" s="75"/>
      <c r="BR327" s="75"/>
      <c r="BS327" s="75"/>
      <c r="BT327" s="75"/>
      <c r="BU327" s="75"/>
      <c r="BV327" s="75"/>
      <c r="BW327" s="75"/>
      <c r="BX327" s="75"/>
      <c r="BY327" s="75"/>
      <c r="BZ327" s="75"/>
      <c r="CA327" s="75"/>
      <c r="CB327" s="75"/>
      <c r="CC327" s="75"/>
      <c r="CD327" s="75"/>
      <c r="CE327" s="75"/>
      <c r="CF327" s="75"/>
      <c r="CG327" s="75"/>
      <c r="CH327" s="75"/>
      <c r="CI327" s="75"/>
      <c r="CJ327" s="75"/>
      <c r="CK327" s="75"/>
      <c r="CL327" s="75"/>
      <c r="CM327" s="75"/>
      <c r="CN327" s="75"/>
      <c r="CO327" s="75"/>
      <c r="CP327" s="75"/>
      <c r="CQ327" s="75"/>
      <c r="CR327" s="75"/>
      <c r="CS327" s="75"/>
      <c r="CT327" s="75"/>
      <c r="CU327" s="75"/>
      <c r="CV327" s="75"/>
      <c r="CW327" s="76"/>
      <c r="CX327" s="72">
        <f>CY327+CZ327+DA327</f>
        <v>70937.5</v>
      </c>
      <c r="CY327" s="68"/>
      <c r="CZ327" s="68"/>
      <c r="DA327" s="69" t="str">
        <f>TEXT(AB327,"#,###.0")</f>
        <v>70,937.5</v>
      </c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 t="s">
        <v>522</v>
      </c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</row>
    <row r="328" spans="1:128" ht="18" customHeight="1" x14ac:dyDescent="0.2">
      <c r="A328" s="74" t="s">
        <v>8</v>
      </c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5"/>
      <c r="AI328" s="75"/>
      <c r="AJ328" s="75"/>
      <c r="AK328" s="75"/>
      <c r="AL328" s="75"/>
      <c r="AM328" s="75"/>
      <c r="AN328" s="75"/>
      <c r="AO328" s="75"/>
      <c r="AP328" s="75"/>
      <c r="AQ328" s="75"/>
      <c r="AR328" s="75"/>
      <c r="AS328" s="75"/>
      <c r="AT328" s="75"/>
      <c r="AU328" s="75"/>
      <c r="AV328" s="75"/>
      <c r="AW328" s="75"/>
      <c r="AX328" s="75"/>
      <c r="AY328" s="75"/>
      <c r="AZ328" s="75"/>
      <c r="BA328" s="75"/>
      <c r="BB328" s="75"/>
      <c r="BC328" s="75"/>
      <c r="BD328" s="75"/>
      <c r="BE328" s="75"/>
      <c r="BF328" s="75"/>
      <c r="BG328" s="75"/>
      <c r="BH328" s="75"/>
      <c r="BI328" s="75"/>
      <c r="BJ328" s="75"/>
      <c r="BK328" s="75"/>
      <c r="BL328" s="75"/>
      <c r="BM328" s="75"/>
      <c r="BN328" s="75"/>
      <c r="BO328" s="75"/>
      <c r="BP328" s="75"/>
      <c r="BQ328" s="75"/>
      <c r="BR328" s="75"/>
      <c r="BS328" s="75"/>
      <c r="BT328" s="75"/>
      <c r="BU328" s="75"/>
      <c r="BV328" s="75"/>
      <c r="BW328" s="75"/>
      <c r="BX328" s="75"/>
      <c r="BY328" s="75"/>
      <c r="BZ328" s="75"/>
      <c r="CA328" s="75"/>
      <c r="CB328" s="75"/>
      <c r="CC328" s="75"/>
      <c r="CD328" s="75"/>
      <c r="CE328" s="75"/>
      <c r="CF328" s="75"/>
      <c r="CG328" s="75"/>
      <c r="CH328" s="75"/>
      <c r="CI328" s="75"/>
      <c r="CJ328" s="75"/>
      <c r="CK328" s="75"/>
      <c r="CL328" s="75"/>
      <c r="CM328" s="75"/>
      <c r="CN328" s="75"/>
      <c r="CO328" s="75"/>
      <c r="CP328" s="75"/>
      <c r="CQ328" s="75"/>
      <c r="CR328" s="75"/>
      <c r="CS328" s="75"/>
      <c r="CT328" s="75"/>
      <c r="CU328" s="75"/>
      <c r="CV328" s="75"/>
      <c r="CW328" s="76"/>
      <c r="CX328" s="72"/>
      <c r="CY328" s="68"/>
      <c r="CZ328" s="68"/>
      <c r="DA328" s="69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</row>
    <row r="329" spans="1:128" ht="18" customHeight="1" x14ac:dyDescent="0.2">
      <c r="A329" s="74"/>
      <c r="B329" s="75"/>
      <c r="C329" s="75"/>
      <c r="D329" s="75"/>
      <c r="E329" s="75"/>
      <c r="F329" s="75"/>
      <c r="G329" s="75"/>
      <c r="H329" s="75"/>
      <c r="I329" s="75"/>
      <c r="J329" s="75" t="s">
        <v>565</v>
      </c>
      <c r="K329" s="75"/>
      <c r="L329" s="75"/>
      <c r="M329" s="75"/>
      <c r="N329" s="75"/>
      <c r="O329" s="75" t="str">
        <f>TEXT(TRUNC(건설기계!H11,0),"#,##0")</f>
        <v>38,003</v>
      </c>
      <c r="P329" s="75"/>
      <c r="Q329" s="75"/>
      <c r="R329" s="75"/>
      <c r="S329" s="75"/>
      <c r="T329" s="75"/>
      <c r="U329" s="75"/>
      <c r="V329" s="75" t="s">
        <v>181</v>
      </c>
      <c r="W329" s="75"/>
      <c r="X329" s="75" t="s">
        <v>345</v>
      </c>
      <c r="Y329" s="75"/>
      <c r="Z329" s="75" t="s">
        <v>357</v>
      </c>
      <c r="AA329" s="75"/>
      <c r="AB329" s="75" t="s">
        <v>213</v>
      </c>
      <c r="AC329" s="75"/>
      <c r="AD329" s="75"/>
      <c r="AE329" s="75"/>
      <c r="AF329" s="75" t="s">
        <v>529</v>
      </c>
      <c r="AG329" s="75"/>
      <c r="AH329" s="75" t="s">
        <v>354</v>
      </c>
      <c r="AI329" s="75"/>
      <c r="AJ329" s="75"/>
      <c r="AK329" s="75" t="s">
        <v>357</v>
      </c>
      <c r="AL329" s="75"/>
      <c r="AM329" s="75" t="str">
        <f>TEXT(2,"#,##0")</f>
        <v>2</v>
      </c>
      <c r="AN329" s="75"/>
      <c r="AO329" s="75" t="s">
        <v>532</v>
      </c>
      <c r="AP329" s="75"/>
      <c r="AQ329" s="75" t="s">
        <v>181</v>
      </c>
      <c r="AR329" s="75"/>
      <c r="AS329" s="75" t="s">
        <v>133</v>
      </c>
      <c r="AT329" s="75"/>
      <c r="AU329" s="75"/>
      <c r="AV329" s="75" t="s">
        <v>536</v>
      </c>
      <c r="AW329" s="75"/>
      <c r="AX329" s="75" t="str">
        <f>TEXT(ROUNDDOWN(O329/AB325*(W323-M317*AM329)/W323,1),"#,##0.0#######")</f>
        <v>31,587.6</v>
      </c>
      <c r="AY329" s="75"/>
      <c r="AZ329" s="75"/>
      <c r="BA329" s="75"/>
      <c r="BB329" s="75"/>
      <c r="BC329" s="75"/>
      <c r="BD329" s="75"/>
      <c r="BE329" s="75"/>
      <c r="BF329" s="75"/>
      <c r="BG329" s="75" t="s">
        <v>525</v>
      </c>
      <c r="BH329" s="75"/>
      <c r="BI329" s="75"/>
      <c r="BJ329" s="75"/>
      <c r="BK329" s="75"/>
      <c r="BL329" s="75"/>
      <c r="BM329" s="75"/>
      <c r="BN329" s="75"/>
      <c r="BO329" s="75"/>
      <c r="BP329" s="75"/>
      <c r="BQ329" s="75"/>
      <c r="BR329" s="75"/>
      <c r="BS329" s="75"/>
      <c r="BT329" s="75"/>
      <c r="BU329" s="75"/>
      <c r="BV329" s="75"/>
      <c r="BW329" s="75"/>
      <c r="BX329" s="75"/>
      <c r="BY329" s="75"/>
      <c r="BZ329" s="75"/>
      <c r="CA329" s="75"/>
      <c r="CB329" s="75"/>
      <c r="CC329" s="75"/>
      <c r="CD329" s="75"/>
      <c r="CE329" s="75"/>
      <c r="CF329" s="75"/>
      <c r="CG329" s="75"/>
      <c r="CH329" s="75"/>
      <c r="CI329" s="75"/>
      <c r="CJ329" s="75"/>
      <c r="CK329" s="75"/>
      <c r="CL329" s="75"/>
      <c r="CM329" s="75"/>
      <c r="CN329" s="75"/>
      <c r="CO329" s="75"/>
      <c r="CP329" s="75"/>
      <c r="CQ329" s="75"/>
      <c r="CR329" s="75"/>
      <c r="CS329" s="75"/>
      <c r="CT329" s="75"/>
      <c r="CU329" s="75"/>
      <c r="CV329" s="75"/>
      <c r="CW329" s="76"/>
      <c r="CX329" s="72">
        <f>CY329+CZ329+DA329</f>
        <v>31587.599999999999</v>
      </c>
      <c r="CY329" s="68"/>
      <c r="CZ329" s="68"/>
      <c r="DA329" s="69" t="str">
        <f>TEXT(AX329,"#,###.0")</f>
        <v>31,587.6</v>
      </c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 t="s">
        <v>522</v>
      </c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</row>
    <row r="330" spans="1:128" ht="18" customHeight="1" x14ac:dyDescent="0.2">
      <c r="A330" s="74" t="s">
        <v>8</v>
      </c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  <c r="AA330" s="75"/>
      <c r="AB330" s="75"/>
      <c r="AC330" s="75"/>
      <c r="AD330" s="75"/>
      <c r="AE330" s="75"/>
      <c r="AF330" s="75"/>
      <c r="AG330" s="75"/>
      <c r="AH330" s="75"/>
      <c r="AI330" s="75"/>
      <c r="AJ330" s="75"/>
      <c r="AK330" s="75"/>
      <c r="AL330" s="75"/>
      <c r="AM330" s="75"/>
      <c r="AN330" s="75"/>
      <c r="AO330" s="75"/>
      <c r="AP330" s="75"/>
      <c r="AQ330" s="75"/>
      <c r="AR330" s="75"/>
      <c r="AS330" s="75"/>
      <c r="AT330" s="75"/>
      <c r="AU330" s="75"/>
      <c r="AV330" s="75"/>
      <c r="AW330" s="75"/>
      <c r="AX330" s="75"/>
      <c r="AY330" s="75"/>
      <c r="AZ330" s="75"/>
      <c r="BA330" s="75"/>
      <c r="BB330" s="75"/>
      <c r="BC330" s="75"/>
      <c r="BD330" s="75"/>
      <c r="BE330" s="75"/>
      <c r="BF330" s="75"/>
      <c r="BG330" s="75"/>
      <c r="BH330" s="75"/>
      <c r="BI330" s="75"/>
      <c r="BJ330" s="75"/>
      <c r="BK330" s="75"/>
      <c r="BL330" s="75"/>
      <c r="BM330" s="75"/>
      <c r="BN330" s="75"/>
      <c r="BO330" s="75"/>
      <c r="BP330" s="75"/>
      <c r="BQ330" s="75"/>
      <c r="BR330" s="75"/>
      <c r="BS330" s="75"/>
      <c r="BT330" s="75"/>
      <c r="BU330" s="75"/>
      <c r="BV330" s="75"/>
      <c r="BW330" s="75"/>
      <c r="BX330" s="75"/>
      <c r="BY330" s="75"/>
      <c r="BZ330" s="75"/>
      <c r="CA330" s="75"/>
      <c r="CB330" s="75"/>
      <c r="CC330" s="75"/>
      <c r="CD330" s="75"/>
      <c r="CE330" s="75"/>
      <c r="CF330" s="75"/>
      <c r="CG330" s="75"/>
      <c r="CH330" s="75"/>
      <c r="CI330" s="75"/>
      <c r="CJ330" s="75"/>
      <c r="CK330" s="75"/>
      <c r="CL330" s="75"/>
      <c r="CM330" s="75"/>
      <c r="CN330" s="75"/>
      <c r="CO330" s="75"/>
      <c r="CP330" s="75"/>
      <c r="CQ330" s="75"/>
      <c r="CR330" s="75"/>
      <c r="CS330" s="75"/>
      <c r="CT330" s="75"/>
      <c r="CU330" s="75"/>
      <c r="CV330" s="75"/>
      <c r="CW330" s="76"/>
      <c r="CX330" s="72"/>
      <c r="CY330" s="68"/>
      <c r="CZ330" s="68"/>
      <c r="DA330" s="69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</row>
    <row r="331" spans="1:128" ht="18" customHeight="1" x14ac:dyDescent="0.2">
      <c r="A331" s="74"/>
      <c r="B331" s="75"/>
      <c r="C331" s="75"/>
      <c r="D331" s="75"/>
      <c r="E331" s="75"/>
      <c r="F331" s="75"/>
      <c r="G331" s="75"/>
      <c r="H331" s="75"/>
      <c r="I331" s="75"/>
      <c r="J331" s="75" t="s">
        <v>655</v>
      </c>
      <c r="K331" s="75"/>
      <c r="L331" s="75"/>
      <c r="M331" s="75"/>
      <c r="N331" s="75"/>
      <c r="O331" s="75" t="str">
        <f>TEXT(TRUNC(건설기계!L11,0),"#,##0")</f>
        <v>17,314</v>
      </c>
      <c r="P331" s="75"/>
      <c r="Q331" s="75"/>
      <c r="R331" s="75"/>
      <c r="S331" s="75"/>
      <c r="T331" s="75"/>
      <c r="U331" s="75"/>
      <c r="V331" s="75" t="s">
        <v>181</v>
      </c>
      <c r="W331" s="75"/>
      <c r="X331" s="75" t="s">
        <v>345</v>
      </c>
      <c r="Y331" s="75"/>
      <c r="Z331" s="75" t="s">
        <v>536</v>
      </c>
      <c r="AA331" s="75"/>
      <c r="AB331" s="75" t="str">
        <f>TEXT(ROUNDDOWN(O331/AB325,1),"#,##0.0#######")</f>
        <v>20,810.0</v>
      </c>
      <c r="AC331" s="75"/>
      <c r="AD331" s="75"/>
      <c r="AE331" s="75"/>
      <c r="AF331" s="75"/>
      <c r="AG331" s="75"/>
      <c r="AH331" s="75"/>
      <c r="AI331" s="75"/>
      <c r="AJ331" s="75"/>
      <c r="AK331" s="75"/>
      <c r="AL331" s="75" t="s">
        <v>525</v>
      </c>
      <c r="AM331" s="75"/>
      <c r="AN331" s="75"/>
      <c r="AO331" s="75"/>
      <c r="AP331" s="75"/>
      <c r="AQ331" s="75"/>
      <c r="AR331" s="75"/>
      <c r="AS331" s="75"/>
      <c r="AT331" s="75"/>
      <c r="AU331" s="75"/>
      <c r="AV331" s="75"/>
      <c r="AW331" s="75"/>
      <c r="AX331" s="75"/>
      <c r="AY331" s="75"/>
      <c r="AZ331" s="75"/>
      <c r="BA331" s="75"/>
      <c r="BB331" s="75"/>
      <c r="BC331" s="75"/>
      <c r="BD331" s="75"/>
      <c r="BE331" s="75"/>
      <c r="BF331" s="75"/>
      <c r="BG331" s="75"/>
      <c r="BH331" s="75"/>
      <c r="BI331" s="75"/>
      <c r="BJ331" s="75"/>
      <c r="BK331" s="75"/>
      <c r="BL331" s="75"/>
      <c r="BM331" s="75"/>
      <c r="BN331" s="75"/>
      <c r="BO331" s="75"/>
      <c r="BP331" s="75"/>
      <c r="BQ331" s="75"/>
      <c r="BR331" s="75"/>
      <c r="BS331" s="75"/>
      <c r="BT331" s="75"/>
      <c r="BU331" s="75"/>
      <c r="BV331" s="75"/>
      <c r="BW331" s="75"/>
      <c r="BX331" s="75"/>
      <c r="BY331" s="75"/>
      <c r="BZ331" s="75"/>
      <c r="CA331" s="75"/>
      <c r="CB331" s="75"/>
      <c r="CC331" s="75"/>
      <c r="CD331" s="75"/>
      <c r="CE331" s="75"/>
      <c r="CF331" s="75"/>
      <c r="CG331" s="75"/>
      <c r="CH331" s="75"/>
      <c r="CI331" s="75"/>
      <c r="CJ331" s="75"/>
      <c r="CK331" s="75"/>
      <c r="CL331" s="75"/>
      <c r="CM331" s="75"/>
      <c r="CN331" s="75"/>
      <c r="CO331" s="75"/>
      <c r="CP331" s="75"/>
      <c r="CQ331" s="75"/>
      <c r="CR331" s="75"/>
      <c r="CS331" s="75"/>
      <c r="CT331" s="75"/>
      <c r="CU331" s="75"/>
      <c r="CV331" s="75"/>
      <c r="CW331" s="76"/>
      <c r="CX331" s="72">
        <f>CY331+CZ331+DA331</f>
        <v>20810</v>
      </c>
      <c r="CY331" s="68"/>
      <c r="CZ331" s="68"/>
      <c r="DA331" s="69" t="str">
        <f>TEXT(AB331,"#,###.0")</f>
        <v>20,810.0</v>
      </c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 t="s">
        <v>522</v>
      </c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</row>
    <row r="332" spans="1:128" ht="18" customHeight="1" x14ac:dyDescent="0.2">
      <c r="A332" s="74" t="s">
        <v>8</v>
      </c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  <c r="AA332" s="75"/>
      <c r="AB332" s="75"/>
      <c r="AC332" s="75"/>
      <c r="AD332" s="75"/>
      <c r="AE332" s="75"/>
      <c r="AF332" s="75"/>
      <c r="AG332" s="75"/>
      <c r="AH332" s="75"/>
      <c r="AI332" s="75"/>
      <c r="AJ332" s="75"/>
      <c r="AK332" s="75"/>
      <c r="AL332" s="75"/>
      <c r="AM332" s="75"/>
      <c r="AN332" s="75"/>
      <c r="AO332" s="75"/>
      <c r="AP332" s="75"/>
      <c r="AQ332" s="75"/>
      <c r="AR332" s="75"/>
      <c r="AS332" s="75"/>
      <c r="AT332" s="75"/>
      <c r="AU332" s="75"/>
      <c r="AV332" s="75"/>
      <c r="AW332" s="75"/>
      <c r="AX332" s="75"/>
      <c r="AY332" s="75"/>
      <c r="AZ332" s="75"/>
      <c r="BA332" s="75"/>
      <c r="BB332" s="75"/>
      <c r="BC332" s="75"/>
      <c r="BD332" s="75"/>
      <c r="BE332" s="75"/>
      <c r="BF332" s="75"/>
      <c r="BG332" s="75"/>
      <c r="BH332" s="75"/>
      <c r="BI332" s="75"/>
      <c r="BJ332" s="75"/>
      <c r="BK332" s="75"/>
      <c r="BL332" s="75"/>
      <c r="BM332" s="75"/>
      <c r="BN332" s="75"/>
      <c r="BO332" s="75"/>
      <c r="BP332" s="75"/>
      <c r="BQ332" s="75"/>
      <c r="BR332" s="75"/>
      <c r="BS332" s="75"/>
      <c r="BT332" s="75"/>
      <c r="BU332" s="75"/>
      <c r="BV332" s="75"/>
      <c r="BW332" s="75"/>
      <c r="BX332" s="75"/>
      <c r="BY332" s="75"/>
      <c r="BZ332" s="75"/>
      <c r="CA332" s="75"/>
      <c r="CB332" s="75"/>
      <c r="CC332" s="75"/>
      <c r="CD332" s="75"/>
      <c r="CE332" s="75"/>
      <c r="CF332" s="75"/>
      <c r="CG332" s="75"/>
      <c r="CH332" s="75"/>
      <c r="CI332" s="75"/>
      <c r="CJ332" s="75"/>
      <c r="CK332" s="75"/>
      <c r="CL332" s="75"/>
      <c r="CM332" s="75"/>
      <c r="CN332" s="75"/>
      <c r="CO332" s="75"/>
      <c r="CP332" s="75"/>
      <c r="CQ332" s="75"/>
      <c r="CR332" s="75"/>
      <c r="CS332" s="75"/>
      <c r="CT332" s="75"/>
      <c r="CU332" s="75"/>
      <c r="CV332" s="75"/>
      <c r="CW332" s="76"/>
      <c r="CX332" s="72"/>
      <c r="CY332" s="68"/>
      <c r="CZ332" s="68"/>
      <c r="DA332" s="69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</row>
    <row r="333" spans="1:128" ht="18" customHeight="1" x14ac:dyDescent="0.2">
      <c r="A333" s="74" t="s">
        <v>562</v>
      </c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  <c r="AA333" s="75"/>
      <c r="AB333" s="75"/>
      <c r="AC333" s="75"/>
      <c r="AD333" s="75"/>
      <c r="AE333" s="75"/>
      <c r="AF333" s="75"/>
      <c r="AG333" s="75"/>
      <c r="AH333" s="75"/>
      <c r="AI333" s="75"/>
      <c r="AJ333" s="75"/>
      <c r="AK333" s="75"/>
      <c r="AL333" s="75"/>
      <c r="AM333" s="75"/>
      <c r="AN333" s="75"/>
      <c r="AO333" s="75"/>
      <c r="AP333" s="75"/>
      <c r="AQ333" s="75"/>
      <c r="AR333" s="75"/>
      <c r="AS333" s="75"/>
      <c r="AT333" s="75"/>
      <c r="AU333" s="75"/>
      <c r="AV333" s="75"/>
      <c r="AW333" s="75"/>
      <c r="AX333" s="75"/>
      <c r="AY333" s="75"/>
      <c r="AZ333" s="75"/>
      <c r="BA333" s="75"/>
      <c r="BB333" s="75"/>
      <c r="BC333" s="75"/>
      <c r="BD333" s="75"/>
      <c r="BE333" s="75"/>
      <c r="BF333" s="75"/>
      <c r="BG333" s="75"/>
      <c r="BH333" s="75"/>
      <c r="BI333" s="75"/>
      <c r="BJ333" s="75"/>
      <c r="BK333" s="75"/>
      <c r="BL333" s="75"/>
      <c r="BM333" s="75"/>
      <c r="BN333" s="75"/>
      <c r="BO333" s="75"/>
      <c r="BP333" s="75"/>
      <c r="BQ333" s="75"/>
      <c r="BR333" s="75"/>
      <c r="BS333" s="75"/>
      <c r="BT333" s="75"/>
      <c r="BU333" s="75"/>
      <c r="BV333" s="75"/>
      <c r="BW333" s="75"/>
      <c r="BX333" s="75"/>
      <c r="BY333" s="75"/>
      <c r="BZ333" s="75"/>
      <c r="CA333" s="75"/>
      <c r="CB333" s="75"/>
      <c r="CC333" s="75"/>
      <c r="CD333" s="75"/>
      <c r="CE333" s="75"/>
      <c r="CF333" s="75"/>
      <c r="CG333" s="75"/>
      <c r="CH333" s="75"/>
      <c r="CI333" s="75"/>
      <c r="CJ333" s="75"/>
      <c r="CK333" s="75"/>
      <c r="CL333" s="75"/>
      <c r="CM333" s="75"/>
      <c r="CN333" s="75"/>
      <c r="CO333" s="75"/>
      <c r="CP333" s="75"/>
      <c r="CQ333" s="75"/>
      <c r="CR333" s="75"/>
      <c r="CS333" s="75"/>
      <c r="CT333" s="75"/>
      <c r="CU333" s="75"/>
      <c r="CV333" s="75"/>
      <c r="CW333" s="76"/>
      <c r="CX333" s="72"/>
      <c r="CY333" s="68"/>
      <c r="CZ333" s="68"/>
      <c r="DA333" s="69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 t="s">
        <v>8</v>
      </c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</row>
    <row r="334" spans="1:128" ht="18" customHeight="1" x14ac:dyDescent="0.2">
      <c r="A334" s="74" t="s">
        <v>8</v>
      </c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  <c r="AA334" s="75"/>
      <c r="AB334" s="75"/>
      <c r="AC334" s="75"/>
      <c r="AD334" s="75"/>
      <c r="AE334" s="75"/>
      <c r="AF334" s="75"/>
      <c r="AG334" s="75"/>
      <c r="AH334" s="75"/>
      <c r="AI334" s="75"/>
      <c r="AJ334" s="75"/>
      <c r="AK334" s="75"/>
      <c r="AL334" s="75"/>
      <c r="AM334" s="75"/>
      <c r="AN334" s="75"/>
      <c r="AO334" s="75"/>
      <c r="AP334" s="75"/>
      <c r="AQ334" s="75"/>
      <c r="AR334" s="75"/>
      <c r="AS334" s="75"/>
      <c r="AT334" s="75"/>
      <c r="AU334" s="75"/>
      <c r="AV334" s="75"/>
      <c r="AW334" s="75"/>
      <c r="AX334" s="75"/>
      <c r="AY334" s="75"/>
      <c r="AZ334" s="75"/>
      <c r="BA334" s="75"/>
      <c r="BB334" s="75"/>
      <c r="BC334" s="75"/>
      <c r="BD334" s="75"/>
      <c r="BE334" s="75"/>
      <c r="BF334" s="75"/>
      <c r="BG334" s="75"/>
      <c r="BH334" s="75"/>
      <c r="BI334" s="75"/>
      <c r="BJ334" s="75"/>
      <c r="BK334" s="75"/>
      <c r="BL334" s="75"/>
      <c r="BM334" s="75"/>
      <c r="BN334" s="75"/>
      <c r="BO334" s="75"/>
      <c r="BP334" s="75"/>
      <c r="BQ334" s="75"/>
      <c r="BR334" s="75"/>
      <c r="BS334" s="75"/>
      <c r="BT334" s="75"/>
      <c r="BU334" s="75"/>
      <c r="BV334" s="75"/>
      <c r="BW334" s="75"/>
      <c r="BX334" s="75"/>
      <c r="BY334" s="75"/>
      <c r="BZ334" s="75"/>
      <c r="CA334" s="75"/>
      <c r="CB334" s="75"/>
      <c r="CC334" s="75"/>
      <c r="CD334" s="75"/>
      <c r="CE334" s="75"/>
      <c r="CF334" s="75"/>
      <c r="CG334" s="75"/>
      <c r="CH334" s="75"/>
      <c r="CI334" s="75"/>
      <c r="CJ334" s="75"/>
      <c r="CK334" s="75"/>
      <c r="CL334" s="75"/>
      <c r="CM334" s="75"/>
      <c r="CN334" s="75"/>
      <c r="CO334" s="75"/>
      <c r="CP334" s="75"/>
      <c r="CQ334" s="75"/>
      <c r="CR334" s="75"/>
      <c r="CS334" s="75"/>
      <c r="CT334" s="75"/>
      <c r="CU334" s="75"/>
      <c r="CV334" s="75"/>
      <c r="CW334" s="76"/>
      <c r="CX334" s="72"/>
      <c r="CY334" s="68"/>
      <c r="CZ334" s="68"/>
      <c r="DA334" s="69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</row>
    <row r="335" spans="1:128" ht="18" customHeight="1" x14ac:dyDescent="0.2">
      <c r="A335" s="98"/>
      <c r="B335" s="99"/>
      <c r="C335" s="99"/>
      <c r="D335" s="99"/>
      <c r="E335" s="99"/>
      <c r="F335" s="99" t="s">
        <v>424</v>
      </c>
      <c r="G335" s="99"/>
      <c r="H335" s="99"/>
      <c r="I335" s="99"/>
      <c r="J335" s="99" t="s">
        <v>328</v>
      </c>
      <c r="K335" s="99"/>
      <c r="L335" s="99"/>
      <c r="M335" s="99"/>
      <c r="N335" s="99"/>
      <c r="O335" s="99"/>
      <c r="P335" s="99"/>
      <c r="Q335" s="99"/>
      <c r="R335" s="99"/>
      <c r="S335" s="99"/>
      <c r="T335" s="99"/>
      <c r="U335" s="99"/>
      <c r="V335" s="99"/>
      <c r="W335" s="99"/>
      <c r="X335" s="99"/>
      <c r="Y335" s="99"/>
      <c r="Z335" s="99"/>
      <c r="AA335" s="99"/>
      <c r="AB335" s="99"/>
      <c r="AC335" s="99"/>
      <c r="AD335" s="99"/>
      <c r="AE335" s="99"/>
      <c r="AF335" s="99"/>
      <c r="AG335" s="99"/>
      <c r="AH335" s="99"/>
      <c r="AI335" s="99"/>
      <c r="AJ335" s="99"/>
      <c r="AK335" s="99"/>
      <c r="AL335" s="99"/>
      <c r="AM335" s="99"/>
      <c r="AN335" s="99"/>
      <c r="AO335" s="99"/>
      <c r="AP335" s="99"/>
      <c r="AQ335" s="99"/>
      <c r="AR335" s="99"/>
      <c r="AS335" s="99"/>
      <c r="AT335" s="99"/>
      <c r="AU335" s="99"/>
      <c r="AV335" s="99"/>
      <c r="AW335" s="99"/>
      <c r="AX335" s="99"/>
      <c r="AY335" s="99"/>
      <c r="AZ335" s="99"/>
      <c r="BA335" s="99"/>
      <c r="BB335" s="99"/>
      <c r="BC335" s="99"/>
      <c r="BD335" s="99"/>
      <c r="BE335" s="99"/>
      <c r="BF335" s="99"/>
      <c r="BG335" s="99"/>
      <c r="BH335" s="99"/>
      <c r="BI335" s="99"/>
      <c r="BJ335" s="99"/>
      <c r="BK335" s="99"/>
      <c r="BL335" s="99"/>
      <c r="BM335" s="99"/>
      <c r="BN335" s="99"/>
      <c r="BO335" s="99"/>
      <c r="BP335" s="99"/>
      <c r="BQ335" s="99"/>
      <c r="BR335" s="99"/>
      <c r="BS335" s="99"/>
      <c r="BT335" s="99"/>
      <c r="BU335" s="99"/>
      <c r="BV335" s="99"/>
      <c r="BW335" s="99"/>
      <c r="BX335" s="99"/>
      <c r="BY335" s="99"/>
      <c r="BZ335" s="99"/>
      <c r="CA335" s="99"/>
      <c r="CB335" s="99"/>
      <c r="CC335" s="99"/>
      <c r="CD335" s="99"/>
      <c r="CE335" s="99"/>
      <c r="CF335" s="99"/>
      <c r="CG335" s="99"/>
      <c r="CH335" s="99"/>
      <c r="CI335" s="99"/>
      <c r="CJ335" s="99"/>
      <c r="CK335" s="99"/>
      <c r="CL335" s="99"/>
      <c r="CM335" s="99"/>
      <c r="CN335" s="99"/>
      <c r="CO335" s="99"/>
      <c r="CP335" s="99"/>
      <c r="CQ335" s="99"/>
      <c r="CR335" s="99"/>
      <c r="CS335" s="99"/>
      <c r="CT335" s="99"/>
      <c r="CU335" s="99"/>
      <c r="CV335" s="99"/>
      <c r="CW335" s="100"/>
      <c r="CX335" s="101">
        <f>CY335+CZ335+DA335</f>
        <v>123335.1</v>
      </c>
      <c r="CY335" s="102" t="str">
        <f>TEXT(TRUNC(CY327+CY329+CY331,1),"#,###.0")</f>
        <v>.0</v>
      </c>
      <c r="CZ335" s="102" t="str">
        <f>TEXT(TRUNC(CZ327+CZ329+CZ331,1),"#,###.0")</f>
        <v>.0</v>
      </c>
      <c r="DA335" s="103" t="str">
        <f>TEXT(TRUNC(DA327+DA329+DA331,1),"#,###.0")</f>
        <v>123,335.1</v>
      </c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 t="s">
        <v>8</v>
      </c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</row>
    <row r="336" spans="1:128" ht="18" customHeight="1" x14ac:dyDescent="0.2">
      <c r="A336" s="74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  <c r="AA336" s="75"/>
      <c r="AB336" s="75"/>
      <c r="AC336" s="75"/>
      <c r="AD336" s="75"/>
      <c r="AE336" s="75"/>
      <c r="AF336" s="75"/>
      <c r="AG336" s="75"/>
      <c r="AH336" s="75"/>
      <c r="AI336" s="75"/>
      <c r="AJ336" s="75"/>
      <c r="AK336" s="75"/>
      <c r="AL336" s="75"/>
      <c r="AM336" s="75"/>
      <c r="AN336" s="75"/>
      <c r="AO336" s="75"/>
      <c r="AP336" s="75"/>
      <c r="AQ336" s="75"/>
      <c r="AR336" s="75"/>
      <c r="AS336" s="75"/>
      <c r="AT336" s="75"/>
      <c r="AU336" s="75"/>
      <c r="AV336" s="75"/>
      <c r="AW336" s="75"/>
      <c r="AX336" s="75"/>
      <c r="AY336" s="75"/>
      <c r="AZ336" s="75"/>
      <c r="BA336" s="75"/>
      <c r="BB336" s="75"/>
      <c r="BC336" s="75"/>
      <c r="BD336" s="75"/>
      <c r="BE336" s="75"/>
      <c r="BF336" s="75"/>
      <c r="BG336" s="75"/>
      <c r="BH336" s="75"/>
      <c r="BI336" s="75"/>
      <c r="BJ336" s="75"/>
      <c r="BK336" s="75"/>
      <c r="BL336" s="75"/>
      <c r="BM336" s="75"/>
      <c r="BN336" s="75"/>
      <c r="BO336" s="75"/>
      <c r="BP336" s="75"/>
      <c r="BQ336" s="75"/>
      <c r="BR336" s="75"/>
      <c r="BS336" s="75"/>
      <c r="BT336" s="75"/>
      <c r="BU336" s="75"/>
      <c r="BV336" s="75"/>
      <c r="BW336" s="75"/>
      <c r="BX336" s="75"/>
      <c r="BY336" s="75"/>
      <c r="BZ336" s="75"/>
      <c r="CA336" s="75"/>
      <c r="CB336" s="75"/>
      <c r="CC336" s="75"/>
      <c r="CD336" s="75"/>
      <c r="CE336" s="75"/>
      <c r="CF336" s="75"/>
      <c r="CG336" s="75"/>
      <c r="CH336" s="75"/>
      <c r="CI336" s="75"/>
      <c r="CJ336" s="75"/>
      <c r="CK336" s="75"/>
      <c r="CL336" s="75"/>
      <c r="CM336" s="75"/>
      <c r="CN336" s="75"/>
      <c r="CO336" s="75"/>
      <c r="CP336" s="75"/>
      <c r="CQ336" s="75"/>
      <c r="CR336" s="75"/>
      <c r="CS336" s="75"/>
      <c r="CT336" s="75"/>
      <c r="CU336" s="75"/>
      <c r="CV336" s="75"/>
      <c r="CW336" s="76"/>
      <c r="CX336" s="72"/>
      <c r="CY336" s="68"/>
      <c r="CZ336" s="68"/>
      <c r="DA336" s="69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</row>
    <row r="337" spans="1:128" ht="18" customHeight="1" x14ac:dyDescent="0.2">
      <c r="A337" s="86" t="s">
        <v>389</v>
      </c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  <c r="AM337" s="87"/>
      <c r="AN337" s="87"/>
      <c r="AO337" s="87"/>
      <c r="AP337" s="87"/>
      <c r="AQ337" s="87"/>
      <c r="AR337" s="87"/>
      <c r="AS337" s="87"/>
      <c r="AT337" s="87"/>
      <c r="AU337" s="87"/>
      <c r="AV337" s="87"/>
      <c r="AW337" s="87"/>
      <c r="AX337" s="87"/>
      <c r="AY337" s="87"/>
      <c r="AZ337" s="87"/>
      <c r="BA337" s="87"/>
      <c r="BB337" s="87"/>
      <c r="BC337" s="87"/>
      <c r="BD337" s="87"/>
      <c r="BE337" s="87"/>
      <c r="BF337" s="87"/>
      <c r="BG337" s="87"/>
      <c r="BH337" s="87"/>
      <c r="BI337" s="87"/>
      <c r="BJ337" s="87"/>
      <c r="BK337" s="87"/>
      <c r="BL337" s="87"/>
      <c r="BM337" s="87"/>
      <c r="BN337" s="87"/>
      <c r="BO337" s="87"/>
      <c r="BP337" s="87"/>
      <c r="BQ337" s="87"/>
      <c r="BR337" s="87"/>
      <c r="BS337" s="87"/>
      <c r="BT337" s="87"/>
      <c r="BU337" s="87"/>
      <c r="BV337" s="87"/>
      <c r="BW337" s="87"/>
      <c r="BX337" s="87"/>
      <c r="BY337" s="87"/>
      <c r="BZ337" s="87"/>
      <c r="CA337" s="87"/>
      <c r="CB337" s="87"/>
      <c r="CC337" s="87"/>
      <c r="CD337" s="87"/>
      <c r="CE337" s="87"/>
      <c r="CF337" s="87"/>
      <c r="CG337" s="87"/>
      <c r="CH337" s="87"/>
      <c r="CI337" s="87"/>
      <c r="CJ337" s="87"/>
      <c r="CK337" s="87"/>
      <c r="CL337" s="87"/>
      <c r="CM337" s="87"/>
      <c r="CN337" s="87"/>
      <c r="CO337" s="87"/>
      <c r="CP337" s="87"/>
      <c r="CQ337" s="87"/>
      <c r="CR337" s="87"/>
      <c r="CS337" s="87"/>
      <c r="CT337" s="87"/>
      <c r="CU337" s="87"/>
      <c r="CV337" s="87"/>
      <c r="CW337" s="88"/>
      <c r="CX337" s="89" t="str">
        <f>TEXT(CY337+CZ337+DA337,"#,##0")</f>
        <v>123,335</v>
      </c>
      <c r="CY337" s="90" t="str">
        <f>TEXT(TRUNC(CY335,0),"#,##0")</f>
        <v>0</v>
      </c>
      <c r="CZ337" s="90" t="str">
        <f>TEXT(TRUNC(CZ335,0),"#,##0")</f>
        <v>0</v>
      </c>
      <c r="DA337" s="91" t="str">
        <f>TEXT(TRUNC(DA335,0),"#,##0")</f>
        <v>123,335</v>
      </c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</row>
    <row r="338" spans="1:128" ht="18" customHeight="1" x14ac:dyDescent="0.2">
      <c r="A338" s="74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  <c r="AA338" s="75"/>
      <c r="AB338" s="75"/>
      <c r="AC338" s="75"/>
      <c r="AD338" s="75"/>
      <c r="AE338" s="75"/>
      <c r="AF338" s="75"/>
      <c r="AG338" s="75"/>
      <c r="AH338" s="75"/>
      <c r="AI338" s="75"/>
      <c r="AJ338" s="75"/>
      <c r="AK338" s="75"/>
      <c r="AL338" s="75"/>
      <c r="AM338" s="75"/>
      <c r="AN338" s="75"/>
      <c r="AO338" s="75"/>
      <c r="AP338" s="75"/>
      <c r="AQ338" s="75"/>
      <c r="AR338" s="75"/>
      <c r="AS338" s="75"/>
      <c r="AT338" s="75"/>
      <c r="AU338" s="75"/>
      <c r="AV338" s="75"/>
      <c r="AW338" s="75"/>
      <c r="AX338" s="75"/>
      <c r="AY338" s="75"/>
      <c r="AZ338" s="75"/>
      <c r="BA338" s="75"/>
      <c r="BB338" s="75"/>
      <c r="BC338" s="75"/>
      <c r="BD338" s="75"/>
      <c r="BE338" s="75"/>
      <c r="BF338" s="75"/>
      <c r="BG338" s="75"/>
      <c r="BH338" s="75"/>
      <c r="BI338" s="75"/>
      <c r="BJ338" s="75"/>
      <c r="BK338" s="75"/>
      <c r="BL338" s="75"/>
      <c r="BM338" s="75"/>
      <c r="BN338" s="75"/>
      <c r="BO338" s="75"/>
      <c r="BP338" s="75"/>
      <c r="BQ338" s="75"/>
      <c r="BR338" s="75"/>
      <c r="BS338" s="75"/>
      <c r="BT338" s="75"/>
      <c r="BU338" s="75"/>
      <c r="BV338" s="75"/>
      <c r="BW338" s="75"/>
      <c r="BX338" s="75"/>
      <c r="BY338" s="75"/>
      <c r="BZ338" s="75"/>
      <c r="CA338" s="75"/>
      <c r="CB338" s="75"/>
      <c r="CC338" s="75"/>
      <c r="CD338" s="75"/>
      <c r="CE338" s="75"/>
      <c r="CF338" s="75"/>
      <c r="CG338" s="75"/>
      <c r="CH338" s="75"/>
      <c r="CI338" s="75"/>
      <c r="CJ338" s="75"/>
      <c r="CK338" s="75"/>
      <c r="CL338" s="75"/>
      <c r="CM338" s="75"/>
      <c r="CN338" s="75"/>
      <c r="CO338" s="75"/>
      <c r="CP338" s="75"/>
      <c r="CQ338" s="75"/>
      <c r="CR338" s="75"/>
      <c r="CS338" s="75"/>
      <c r="CT338" s="75"/>
      <c r="CU338" s="75"/>
      <c r="CV338" s="75"/>
      <c r="CW338" s="76"/>
      <c r="CX338" s="72"/>
      <c r="CY338" s="68"/>
      <c r="CZ338" s="68"/>
      <c r="DA338" s="69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</row>
    <row r="339" spans="1:128" ht="18" customHeight="1" x14ac:dyDescent="0.2">
      <c r="A339" s="135" t="s">
        <v>333</v>
      </c>
      <c r="B339" s="135"/>
      <c r="C339" s="135"/>
      <c r="D339" s="135"/>
      <c r="E339" s="135"/>
      <c r="F339" s="135"/>
      <c r="G339" s="135"/>
      <c r="H339" s="135"/>
      <c r="I339" s="135"/>
      <c r="J339" s="135"/>
      <c r="K339" s="135"/>
      <c r="L339" s="135"/>
      <c r="M339" s="135"/>
      <c r="N339" s="135"/>
      <c r="O339" s="135"/>
      <c r="P339" s="135"/>
      <c r="Q339" s="135"/>
      <c r="R339" s="135"/>
      <c r="S339" s="135"/>
      <c r="T339" s="135"/>
      <c r="U339" s="135"/>
      <c r="V339" s="135"/>
      <c r="W339" s="135"/>
      <c r="X339" s="135"/>
      <c r="Y339" s="135"/>
      <c r="Z339" s="135"/>
      <c r="AA339" s="135"/>
      <c r="AB339" s="135"/>
      <c r="AC339" s="135"/>
      <c r="AD339" s="135"/>
      <c r="AE339" s="135"/>
      <c r="AF339" s="135"/>
      <c r="AG339" s="135"/>
      <c r="AH339" s="135"/>
      <c r="AI339" s="135"/>
      <c r="AJ339" s="135"/>
      <c r="AK339" s="135"/>
      <c r="AL339" s="135"/>
      <c r="AM339" s="135"/>
      <c r="AN339" s="135"/>
      <c r="AO339" s="135"/>
      <c r="AP339" s="135"/>
      <c r="AQ339" s="135"/>
      <c r="AR339" s="135"/>
      <c r="AS339" s="135"/>
      <c r="AT339" s="135"/>
      <c r="AU339" s="135"/>
      <c r="AV339" s="135"/>
      <c r="AW339" s="135"/>
      <c r="AX339" s="135"/>
      <c r="AY339" s="135"/>
      <c r="AZ339" s="135"/>
      <c r="BA339" s="135"/>
      <c r="BB339" s="135"/>
      <c r="BC339" s="135"/>
      <c r="BD339" s="135"/>
      <c r="BE339" s="135"/>
      <c r="BF339" s="135"/>
      <c r="BG339" s="135"/>
      <c r="BH339" s="135"/>
      <c r="BI339" s="135"/>
      <c r="BJ339" s="135"/>
      <c r="BK339" s="135"/>
      <c r="BL339" s="135"/>
      <c r="BM339" s="135"/>
      <c r="BN339" s="135"/>
      <c r="BO339" s="135"/>
      <c r="BP339" s="135"/>
      <c r="BQ339" s="135"/>
      <c r="BR339" s="135"/>
      <c r="BS339" s="135"/>
      <c r="BT339" s="135"/>
      <c r="BU339" s="135"/>
      <c r="BV339" s="135"/>
      <c r="BW339" s="135"/>
      <c r="BX339" s="135"/>
      <c r="BY339" s="135"/>
      <c r="BZ339" s="135"/>
      <c r="CA339" s="135"/>
      <c r="CB339" s="135"/>
      <c r="CC339" s="135"/>
      <c r="CD339" s="135"/>
      <c r="CE339" s="135"/>
      <c r="CF339" s="135"/>
      <c r="CG339" s="135"/>
      <c r="CH339" s="135"/>
      <c r="CI339" s="135"/>
      <c r="CJ339" s="135"/>
      <c r="CK339" s="135"/>
      <c r="CL339" s="135"/>
      <c r="CM339" s="135"/>
      <c r="CN339" s="135"/>
      <c r="CO339" s="135"/>
      <c r="CP339" s="135"/>
      <c r="CQ339" s="135"/>
      <c r="CR339" s="135"/>
      <c r="CS339" s="135"/>
      <c r="CT339" s="135"/>
      <c r="CU339" s="135"/>
      <c r="CV339" s="135"/>
      <c r="CW339" s="135"/>
      <c r="CX339" s="83"/>
      <c r="CY339" s="84"/>
      <c r="CZ339" s="84"/>
      <c r="DA339" s="85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 t="s">
        <v>326</v>
      </c>
      <c r="DN339" s="1" t="s">
        <v>131</v>
      </c>
      <c r="DO339" s="1"/>
      <c r="DP339" s="1"/>
      <c r="DQ339" s="1"/>
      <c r="DR339" s="1"/>
      <c r="DS339" s="1"/>
      <c r="DT339" s="1"/>
      <c r="DU339" s="1"/>
      <c r="DV339" s="1"/>
      <c r="DW339" s="1"/>
      <c r="DX339" s="1"/>
    </row>
    <row r="340" spans="1:128" ht="18" customHeight="1" x14ac:dyDescent="0.2">
      <c r="A340" s="74" t="s">
        <v>589</v>
      </c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  <c r="AA340" s="75"/>
      <c r="AB340" s="75"/>
      <c r="AC340" s="75"/>
      <c r="AD340" s="75"/>
      <c r="AE340" s="75"/>
      <c r="AF340" s="75"/>
      <c r="AG340" s="75"/>
      <c r="AH340" s="75"/>
      <c r="AI340" s="75"/>
      <c r="AJ340" s="75"/>
      <c r="AK340" s="75"/>
      <c r="AL340" s="75"/>
      <c r="AM340" s="75"/>
      <c r="AN340" s="75"/>
      <c r="AO340" s="75"/>
      <c r="AP340" s="75"/>
      <c r="AQ340" s="75"/>
      <c r="AR340" s="75"/>
      <c r="AS340" s="75"/>
      <c r="AT340" s="75"/>
      <c r="AU340" s="75"/>
      <c r="AV340" s="75"/>
      <c r="AW340" s="75"/>
      <c r="AX340" s="75"/>
      <c r="AY340" s="75"/>
      <c r="AZ340" s="75"/>
      <c r="BA340" s="75"/>
      <c r="BB340" s="75"/>
      <c r="BC340" s="75"/>
      <c r="BD340" s="75"/>
      <c r="BE340" s="75"/>
      <c r="BF340" s="75"/>
      <c r="BG340" s="75"/>
      <c r="BH340" s="75"/>
      <c r="BI340" s="75"/>
      <c r="BJ340" s="75"/>
      <c r="BK340" s="75"/>
      <c r="BL340" s="75"/>
      <c r="BM340" s="75"/>
      <c r="BN340" s="75"/>
      <c r="BO340" s="75"/>
      <c r="BP340" s="75"/>
      <c r="BQ340" s="75"/>
      <c r="BR340" s="75"/>
      <c r="BS340" s="75"/>
      <c r="BT340" s="75"/>
      <c r="BU340" s="75"/>
      <c r="BV340" s="75"/>
      <c r="BW340" s="75"/>
      <c r="BX340" s="75"/>
      <c r="BY340" s="75"/>
      <c r="BZ340" s="75"/>
      <c r="CA340" s="75"/>
      <c r="CB340" s="75"/>
      <c r="CC340" s="75"/>
      <c r="CD340" s="75"/>
      <c r="CE340" s="75"/>
      <c r="CF340" s="75"/>
      <c r="CG340" s="75"/>
      <c r="CH340" s="75"/>
      <c r="CI340" s="75"/>
      <c r="CJ340" s="75"/>
      <c r="CK340" s="75"/>
      <c r="CL340" s="75"/>
      <c r="CM340" s="75"/>
      <c r="CN340" s="75"/>
      <c r="CO340" s="75"/>
      <c r="CP340" s="75"/>
      <c r="CQ340" s="75"/>
      <c r="CR340" s="75"/>
      <c r="CS340" s="75"/>
      <c r="CT340" s="75"/>
      <c r="CU340" s="75"/>
      <c r="CV340" s="75"/>
      <c r="CW340" s="76"/>
      <c r="CX340" s="72">
        <f>CY340+CZ340+DA340</f>
        <v>0</v>
      </c>
      <c r="CY340" s="68"/>
      <c r="CZ340" s="68"/>
      <c r="DA340" s="69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 t="s">
        <v>8</v>
      </c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</row>
    <row r="341" spans="1:128" ht="18" customHeight="1" x14ac:dyDescent="0.2">
      <c r="A341" s="74" t="s">
        <v>8</v>
      </c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  <c r="AA341" s="75"/>
      <c r="AB341" s="75"/>
      <c r="AC341" s="75"/>
      <c r="AD341" s="75"/>
      <c r="AE341" s="75"/>
      <c r="AF341" s="75"/>
      <c r="AG341" s="75"/>
      <c r="AH341" s="75"/>
      <c r="AI341" s="75"/>
      <c r="AJ341" s="75"/>
      <c r="AK341" s="75"/>
      <c r="AL341" s="75"/>
      <c r="AM341" s="75"/>
      <c r="AN341" s="75"/>
      <c r="AO341" s="75"/>
      <c r="AP341" s="75"/>
      <c r="AQ341" s="75"/>
      <c r="AR341" s="75"/>
      <c r="AS341" s="75"/>
      <c r="AT341" s="75"/>
      <c r="AU341" s="75"/>
      <c r="AV341" s="75"/>
      <c r="AW341" s="75"/>
      <c r="AX341" s="75"/>
      <c r="AY341" s="75"/>
      <c r="AZ341" s="75"/>
      <c r="BA341" s="75"/>
      <c r="BB341" s="75"/>
      <c r="BC341" s="75"/>
      <c r="BD341" s="75"/>
      <c r="BE341" s="75"/>
      <c r="BF341" s="75"/>
      <c r="BG341" s="75"/>
      <c r="BH341" s="75"/>
      <c r="BI341" s="75"/>
      <c r="BJ341" s="75"/>
      <c r="BK341" s="75"/>
      <c r="BL341" s="75"/>
      <c r="BM341" s="75"/>
      <c r="BN341" s="75"/>
      <c r="BO341" s="75"/>
      <c r="BP341" s="75"/>
      <c r="BQ341" s="75"/>
      <c r="BR341" s="75"/>
      <c r="BS341" s="75"/>
      <c r="BT341" s="75"/>
      <c r="BU341" s="75"/>
      <c r="BV341" s="75"/>
      <c r="BW341" s="75"/>
      <c r="BX341" s="75"/>
      <c r="BY341" s="75"/>
      <c r="BZ341" s="75"/>
      <c r="CA341" s="75"/>
      <c r="CB341" s="75"/>
      <c r="CC341" s="75"/>
      <c r="CD341" s="75"/>
      <c r="CE341" s="75"/>
      <c r="CF341" s="75"/>
      <c r="CG341" s="75"/>
      <c r="CH341" s="75"/>
      <c r="CI341" s="75"/>
      <c r="CJ341" s="75"/>
      <c r="CK341" s="75"/>
      <c r="CL341" s="75"/>
      <c r="CM341" s="75"/>
      <c r="CN341" s="75"/>
      <c r="CO341" s="75"/>
      <c r="CP341" s="75"/>
      <c r="CQ341" s="75"/>
      <c r="CR341" s="75"/>
      <c r="CS341" s="75"/>
      <c r="CT341" s="75"/>
      <c r="CU341" s="75"/>
      <c r="CV341" s="75"/>
      <c r="CW341" s="76"/>
      <c r="CX341" s="72"/>
      <c r="CY341" s="68"/>
      <c r="CZ341" s="68"/>
      <c r="DA341" s="69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</row>
    <row r="342" spans="1:128" ht="18" customHeight="1" x14ac:dyDescent="0.2">
      <c r="A342" s="74" t="s">
        <v>391</v>
      </c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  <c r="AA342" s="75"/>
      <c r="AB342" s="75"/>
      <c r="AC342" s="75"/>
      <c r="AD342" s="75"/>
      <c r="AE342" s="75"/>
      <c r="AF342" s="75"/>
      <c r="AG342" s="75"/>
      <c r="AH342" s="75"/>
      <c r="AI342" s="75"/>
      <c r="AJ342" s="75"/>
      <c r="AK342" s="75"/>
      <c r="AL342" s="75"/>
      <c r="AM342" s="75"/>
      <c r="AN342" s="75"/>
      <c r="AO342" s="75"/>
      <c r="AP342" s="75"/>
      <c r="AQ342" s="75"/>
      <c r="AR342" s="75"/>
      <c r="AS342" s="75"/>
      <c r="AT342" s="75"/>
      <c r="AU342" s="75"/>
      <c r="AV342" s="75"/>
      <c r="AW342" s="75"/>
      <c r="AX342" s="75"/>
      <c r="AY342" s="75"/>
      <c r="AZ342" s="75"/>
      <c r="BA342" s="75"/>
      <c r="BB342" s="75"/>
      <c r="BC342" s="75"/>
      <c r="BD342" s="75"/>
      <c r="BE342" s="75"/>
      <c r="BF342" s="75"/>
      <c r="BG342" s="75"/>
      <c r="BH342" s="75"/>
      <c r="BI342" s="75"/>
      <c r="BJ342" s="75"/>
      <c r="BK342" s="75"/>
      <c r="BL342" s="75"/>
      <c r="BM342" s="75"/>
      <c r="BN342" s="75"/>
      <c r="BO342" s="75"/>
      <c r="BP342" s="75"/>
      <c r="BQ342" s="75"/>
      <c r="BR342" s="75"/>
      <c r="BS342" s="75"/>
      <c r="BT342" s="75"/>
      <c r="BU342" s="75"/>
      <c r="BV342" s="75"/>
      <c r="BW342" s="75"/>
      <c r="BX342" s="75"/>
      <c r="BY342" s="75"/>
      <c r="BZ342" s="75"/>
      <c r="CA342" s="75"/>
      <c r="CB342" s="75"/>
      <c r="CC342" s="75"/>
      <c r="CD342" s="75"/>
      <c r="CE342" s="75"/>
      <c r="CF342" s="75"/>
      <c r="CG342" s="75"/>
      <c r="CH342" s="75"/>
      <c r="CI342" s="75"/>
      <c r="CJ342" s="75"/>
      <c r="CK342" s="75"/>
      <c r="CL342" s="75"/>
      <c r="CM342" s="75"/>
      <c r="CN342" s="75"/>
      <c r="CO342" s="75"/>
      <c r="CP342" s="75"/>
      <c r="CQ342" s="75"/>
      <c r="CR342" s="75"/>
      <c r="CS342" s="75"/>
      <c r="CT342" s="75"/>
      <c r="CU342" s="75"/>
      <c r="CV342" s="75"/>
      <c r="CW342" s="76"/>
      <c r="CX342" s="72"/>
      <c r="CY342" s="68"/>
      <c r="CZ342" s="68"/>
      <c r="DA342" s="69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</row>
    <row r="343" spans="1:128" ht="18" customHeight="1" x14ac:dyDescent="0.2">
      <c r="A343" s="74" t="s">
        <v>8</v>
      </c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  <c r="AD343" s="75"/>
      <c r="AE343" s="75"/>
      <c r="AF343" s="75"/>
      <c r="AG343" s="75"/>
      <c r="AH343" s="75"/>
      <c r="AI343" s="75"/>
      <c r="AJ343" s="75"/>
      <c r="AK343" s="75"/>
      <c r="AL343" s="75"/>
      <c r="AM343" s="75"/>
      <c r="AN343" s="75"/>
      <c r="AO343" s="75"/>
      <c r="AP343" s="75"/>
      <c r="AQ343" s="75"/>
      <c r="AR343" s="75"/>
      <c r="AS343" s="75"/>
      <c r="AT343" s="75"/>
      <c r="AU343" s="75"/>
      <c r="AV343" s="75"/>
      <c r="AW343" s="75"/>
      <c r="AX343" s="75"/>
      <c r="AY343" s="75"/>
      <c r="AZ343" s="75"/>
      <c r="BA343" s="75"/>
      <c r="BB343" s="75"/>
      <c r="BC343" s="75"/>
      <c r="BD343" s="75"/>
      <c r="BE343" s="75"/>
      <c r="BF343" s="75"/>
      <c r="BG343" s="75"/>
      <c r="BH343" s="75"/>
      <c r="BI343" s="75"/>
      <c r="BJ343" s="75"/>
      <c r="BK343" s="75"/>
      <c r="BL343" s="75"/>
      <c r="BM343" s="75"/>
      <c r="BN343" s="75"/>
      <c r="BO343" s="75"/>
      <c r="BP343" s="75"/>
      <c r="BQ343" s="75"/>
      <c r="BR343" s="75"/>
      <c r="BS343" s="75"/>
      <c r="BT343" s="75"/>
      <c r="BU343" s="75"/>
      <c r="BV343" s="75"/>
      <c r="BW343" s="75"/>
      <c r="BX343" s="75"/>
      <c r="BY343" s="75"/>
      <c r="BZ343" s="75"/>
      <c r="CA343" s="75"/>
      <c r="CB343" s="75"/>
      <c r="CC343" s="75"/>
      <c r="CD343" s="75"/>
      <c r="CE343" s="75"/>
      <c r="CF343" s="75"/>
      <c r="CG343" s="75"/>
      <c r="CH343" s="75"/>
      <c r="CI343" s="75"/>
      <c r="CJ343" s="75"/>
      <c r="CK343" s="75"/>
      <c r="CL343" s="75"/>
      <c r="CM343" s="75"/>
      <c r="CN343" s="75"/>
      <c r="CO343" s="75"/>
      <c r="CP343" s="75"/>
      <c r="CQ343" s="75"/>
      <c r="CR343" s="75"/>
      <c r="CS343" s="75"/>
      <c r="CT343" s="75"/>
      <c r="CU343" s="75"/>
      <c r="CV343" s="75"/>
      <c r="CW343" s="76"/>
      <c r="CX343" s="72"/>
      <c r="CY343" s="68"/>
      <c r="CZ343" s="68"/>
      <c r="DA343" s="69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</row>
    <row r="344" spans="1:128" ht="18" customHeight="1" x14ac:dyDescent="0.2">
      <c r="A344" s="74"/>
      <c r="B344" s="75"/>
      <c r="C344" s="75"/>
      <c r="D344" s="75"/>
      <c r="E344" s="75"/>
      <c r="F344" s="75"/>
      <c r="G344" s="75" t="s">
        <v>72</v>
      </c>
      <c r="H344" s="75"/>
      <c r="I344" s="75"/>
      <c r="J344" s="75"/>
      <c r="K344" s="75"/>
      <c r="L344" s="75"/>
      <c r="M344" s="75"/>
      <c r="N344" s="75" t="s">
        <v>12</v>
      </c>
      <c r="O344" s="75"/>
      <c r="P344" s="75" t="s">
        <v>536</v>
      </c>
      <c r="Q344" s="75"/>
      <c r="R344" s="75" t="str">
        <f>TEXT(8,"#,##0.0#######")</f>
        <v>8.0</v>
      </c>
      <c r="S344" s="75"/>
      <c r="T344" s="75"/>
      <c r="U344" s="75"/>
      <c r="V344" s="75" t="s">
        <v>480</v>
      </c>
      <c r="W344" s="75"/>
      <c r="X344" s="75"/>
      <c r="Y344" s="75"/>
      <c r="Z344" s="75"/>
      <c r="AA344" s="75"/>
      <c r="AB344" s="75"/>
      <c r="AC344" s="75"/>
      <c r="AD344" s="75"/>
      <c r="AE344" s="75"/>
      <c r="AF344" s="75"/>
      <c r="AG344" s="75"/>
      <c r="AH344" s="75"/>
      <c r="AI344" s="75"/>
      <c r="AJ344" s="75"/>
      <c r="AK344" s="75"/>
      <c r="AL344" s="75"/>
      <c r="AM344" s="75"/>
      <c r="AN344" s="75"/>
      <c r="AO344" s="75"/>
      <c r="AP344" s="75"/>
      <c r="AQ344" s="75"/>
      <c r="AR344" s="75"/>
      <c r="AS344" s="75"/>
      <c r="AT344" s="75"/>
      <c r="AU344" s="75"/>
      <c r="AV344" s="75"/>
      <c r="AW344" s="75"/>
      <c r="AX344" s="75"/>
      <c r="AY344" s="75"/>
      <c r="AZ344" s="75"/>
      <c r="BA344" s="75"/>
      <c r="BB344" s="75"/>
      <c r="BC344" s="75"/>
      <c r="BD344" s="75"/>
      <c r="BE344" s="75"/>
      <c r="BF344" s="75"/>
      <c r="BG344" s="75"/>
      <c r="BH344" s="75"/>
      <c r="BI344" s="75"/>
      <c r="BJ344" s="75"/>
      <c r="BK344" s="75"/>
      <c r="BL344" s="75"/>
      <c r="BM344" s="75"/>
      <c r="BN344" s="75"/>
      <c r="BO344" s="75"/>
      <c r="BP344" s="75"/>
      <c r="BQ344" s="75"/>
      <c r="BR344" s="75"/>
      <c r="BS344" s="75"/>
      <c r="BT344" s="75"/>
      <c r="BU344" s="75"/>
      <c r="BV344" s="75"/>
      <c r="BW344" s="75"/>
      <c r="BX344" s="75"/>
      <c r="BY344" s="75"/>
      <c r="BZ344" s="75"/>
      <c r="CA344" s="75"/>
      <c r="CB344" s="75"/>
      <c r="CC344" s="75"/>
      <c r="CD344" s="75"/>
      <c r="CE344" s="75"/>
      <c r="CF344" s="75"/>
      <c r="CG344" s="75"/>
      <c r="CH344" s="75"/>
      <c r="CI344" s="75"/>
      <c r="CJ344" s="75"/>
      <c r="CK344" s="75"/>
      <c r="CL344" s="75"/>
      <c r="CM344" s="75"/>
      <c r="CN344" s="75"/>
      <c r="CO344" s="75"/>
      <c r="CP344" s="75"/>
      <c r="CQ344" s="75"/>
      <c r="CR344" s="75"/>
      <c r="CS344" s="75"/>
      <c r="CT344" s="75"/>
      <c r="CU344" s="75"/>
      <c r="CV344" s="75"/>
      <c r="CW344" s="76"/>
      <c r="CX344" s="72"/>
      <c r="CY344" s="68"/>
      <c r="CZ344" s="68"/>
      <c r="DA344" s="69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 t="s">
        <v>8</v>
      </c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</row>
    <row r="345" spans="1:128" ht="18" customHeight="1" x14ac:dyDescent="0.2">
      <c r="A345" s="74" t="s">
        <v>8</v>
      </c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  <c r="AA345" s="75"/>
      <c r="AB345" s="75"/>
      <c r="AC345" s="75"/>
      <c r="AD345" s="75"/>
      <c r="AE345" s="75"/>
      <c r="AF345" s="75"/>
      <c r="AG345" s="75"/>
      <c r="AH345" s="75"/>
      <c r="AI345" s="75"/>
      <c r="AJ345" s="75"/>
      <c r="AK345" s="75"/>
      <c r="AL345" s="75"/>
      <c r="AM345" s="75"/>
      <c r="AN345" s="75"/>
      <c r="AO345" s="75"/>
      <c r="AP345" s="75"/>
      <c r="AQ345" s="75"/>
      <c r="AR345" s="75"/>
      <c r="AS345" s="75"/>
      <c r="AT345" s="75"/>
      <c r="AU345" s="75"/>
      <c r="AV345" s="75"/>
      <c r="AW345" s="75"/>
      <c r="AX345" s="75"/>
      <c r="AY345" s="75"/>
      <c r="AZ345" s="75"/>
      <c r="BA345" s="75"/>
      <c r="BB345" s="75"/>
      <c r="BC345" s="75"/>
      <c r="BD345" s="75"/>
      <c r="BE345" s="75"/>
      <c r="BF345" s="75"/>
      <c r="BG345" s="75"/>
      <c r="BH345" s="75"/>
      <c r="BI345" s="75"/>
      <c r="BJ345" s="75"/>
      <c r="BK345" s="75"/>
      <c r="BL345" s="75"/>
      <c r="BM345" s="75"/>
      <c r="BN345" s="75"/>
      <c r="BO345" s="75"/>
      <c r="BP345" s="75"/>
      <c r="BQ345" s="75"/>
      <c r="BR345" s="75"/>
      <c r="BS345" s="75"/>
      <c r="BT345" s="75"/>
      <c r="BU345" s="75"/>
      <c r="BV345" s="75"/>
      <c r="BW345" s="75"/>
      <c r="BX345" s="75"/>
      <c r="BY345" s="75"/>
      <c r="BZ345" s="75"/>
      <c r="CA345" s="75"/>
      <c r="CB345" s="75"/>
      <c r="CC345" s="75"/>
      <c r="CD345" s="75"/>
      <c r="CE345" s="75"/>
      <c r="CF345" s="75"/>
      <c r="CG345" s="75"/>
      <c r="CH345" s="75"/>
      <c r="CI345" s="75"/>
      <c r="CJ345" s="75"/>
      <c r="CK345" s="75"/>
      <c r="CL345" s="75"/>
      <c r="CM345" s="75"/>
      <c r="CN345" s="75"/>
      <c r="CO345" s="75"/>
      <c r="CP345" s="75"/>
      <c r="CQ345" s="75"/>
      <c r="CR345" s="75"/>
      <c r="CS345" s="75"/>
      <c r="CT345" s="75"/>
      <c r="CU345" s="75"/>
      <c r="CV345" s="75"/>
      <c r="CW345" s="76"/>
      <c r="CX345" s="72"/>
      <c r="CY345" s="68"/>
      <c r="CZ345" s="68"/>
      <c r="DA345" s="69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</row>
    <row r="346" spans="1:128" ht="18" customHeight="1" x14ac:dyDescent="0.2">
      <c r="A346" s="74"/>
      <c r="B346" s="75"/>
      <c r="C346" s="75"/>
      <c r="D346" s="75"/>
      <c r="E346" s="75"/>
      <c r="F346" s="75"/>
      <c r="G346" s="75"/>
      <c r="H346" s="75" t="s">
        <v>354</v>
      </c>
      <c r="I346" s="75"/>
      <c r="J346" s="75"/>
      <c r="K346" s="75" t="s">
        <v>536</v>
      </c>
      <c r="L346" s="75"/>
      <c r="M346" s="75" t="str">
        <f>TEXT(10,"#,##0")</f>
        <v>10</v>
      </c>
      <c r="N346" s="75"/>
      <c r="O346" s="75"/>
      <c r="P346" s="75" t="s">
        <v>14</v>
      </c>
      <c r="Q346" s="75"/>
      <c r="R346" s="75"/>
      <c r="S346" s="75" t="s">
        <v>4</v>
      </c>
      <c r="T346" s="75"/>
      <c r="U346" s="75"/>
      <c r="V346" s="75" t="s">
        <v>536</v>
      </c>
      <c r="W346" s="75"/>
      <c r="X346" s="75" t="str">
        <f>TEXT(10,"#,##0")</f>
        <v>10</v>
      </c>
      <c r="Y346" s="75"/>
      <c r="Z346" s="75"/>
      <c r="AA346" s="75" t="s">
        <v>14</v>
      </c>
      <c r="AB346" s="75"/>
      <c r="AC346" s="75"/>
      <c r="AD346" s="75"/>
      <c r="AE346" s="75" t="s">
        <v>179</v>
      </c>
      <c r="AF346" s="75"/>
      <c r="AG346" s="75"/>
      <c r="AH346" s="75" t="s">
        <v>536</v>
      </c>
      <c r="AI346" s="75"/>
      <c r="AJ346" s="75" t="str">
        <f>TEXT(0.42,"#,##0.00#######")</f>
        <v>0.42</v>
      </c>
      <c r="AK346" s="75"/>
      <c r="AL346" s="75"/>
      <c r="AM346" s="75"/>
      <c r="AN346" s="75"/>
      <c r="AO346" s="75"/>
      <c r="AP346" s="75"/>
      <c r="AQ346" s="75"/>
      <c r="AR346" s="75"/>
      <c r="AS346" s="75"/>
      <c r="AT346" s="75"/>
      <c r="AU346" s="75"/>
      <c r="AV346" s="75"/>
      <c r="AW346" s="75"/>
      <c r="AX346" s="75"/>
      <c r="AY346" s="75"/>
      <c r="AZ346" s="75"/>
      <c r="BA346" s="75"/>
      <c r="BB346" s="75"/>
      <c r="BC346" s="75"/>
      <c r="BD346" s="75"/>
      <c r="BE346" s="75"/>
      <c r="BF346" s="75"/>
      <c r="BG346" s="75"/>
      <c r="BH346" s="75"/>
      <c r="BI346" s="75"/>
      <c r="BJ346" s="75"/>
      <c r="BK346" s="75"/>
      <c r="BL346" s="75"/>
      <c r="BM346" s="75"/>
      <c r="BN346" s="75"/>
      <c r="BO346" s="75"/>
      <c r="BP346" s="75"/>
      <c r="BQ346" s="75"/>
      <c r="BR346" s="75"/>
      <c r="BS346" s="75"/>
      <c r="BT346" s="75"/>
      <c r="BU346" s="75"/>
      <c r="BV346" s="75"/>
      <c r="BW346" s="75"/>
      <c r="BX346" s="75"/>
      <c r="BY346" s="75"/>
      <c r="BZ346" s="75"/>
      <c r="CA346" s="75"/>
      <c r="CB346" s="75"/>
      <c r="CC346" s="75"/>
      <c r="CD346" s="75"/>
      <c r="CE346" s="75"/>
      <c r="CF346" s="75"/>
      <c r="CG346" s="75"/>
      <c r="CH346" s="75"/>
      <c r="CI346" s="75"/>
      <c r="CJ346" s="75"/>
      <c r="CK346" s="75"/>
      <c r="CL346" s="75"/>
      <c r="CM346" s="75"/>
      <c r="CN346" s="75"/>
      <c r="CO346" s="75"/>
      <c r="CP346" s="75"/>
      <c r="CQ346" s="75"/>
      <c r="CR346" s="75"/>
      <c r="CS346" s="75"/>
      <c r="CT346" s="75"/>
      <c r="CU346" s="75"/>
      <c r="CV346" s="75"/>
      <c r="CW346" s="76"/>
      <c r="CX346" s="72"/>
      <c r="CY346" s="68"/>
      <c r="CZ346" s="68"/>
      <c r="DA346" s="69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 t="s">
        <v>8</v>
      </c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</row>
    <row r="347" spans="1:128" ht="18" customHeight="1" x14ac:dyDescent="0.2">
      <c r="A347" s="74" t="s">
        <v>8</v>
      </c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  <c r="AA347" s="75"/>
      <c r="AB347" s="75"/>
      <c r="AC347" s="75"/>
      <c r="AD347" s="75"/>
      <c r="AE347" s="75"/>
      <c r="AF347" s="75"/>
      <c r="AG347" s="75"/>
      <c r="AH347" s="75"/>
      <c r="AI347" s="75"/>
      <c r="AJ347" s="75"/>
      <c r="AK347" s="75"/>
      <c r="AL347" s="75"/>
      <c r="AM347" s="75"/>
      <c r="AN347" s="75"/>
      <c r="AO347" s="75"/>
      <c r="AP347" s="75"/>
      <c r="AQ347" s="75"/>
      <c r="AR347" s="75"/>
      <c r="AS347" s="75"/>
      <c r="AT347" s="75"/>
      <c r="AU347" s="75"/>
      <c r="AV347" s="75"/>
      <c r="AW347" s="75"/>
      <c r="AX347" s="75"/>
      <c r="AY347" s="75"/>
      <c r="AZ347" s="75"/>
      <c r="BA347" s="75"/>
      <c r="BB347" s="75"/>
      <c r="BC347" s="75"/>
      <c r="BD347" s="75"/>
      <c r="BE347" s="75"/>
      <c r="BF347" s="75"/>
      <c r="BG347" s="75"/>
      <c r="BH347" s="75"/>
      <c r="BI347" s="75"/>
      <c r="BJ347" s="75"/>
      <c r="BK347" s="75"/>
      <c r="BL347" s="75"/>
      <c r="BM347" s="75"/>
      <c r="BN347" s="75"/>
      <c r="BO347" s="75"/>
      <c r="BP347" s="75"/>
      <c r="BQ347" s="75"/>
      <c r="BR347" s="75"/>
      <c r="BS347" s="75"/>
      <c r="BT347" s="75"/>
      <c r="BU347" s="75"/>
      <c r="BV347" s="75"/>
      <c r="BW347" s="75"/>
      <c r="BX347" s="75"/>
      <c r="BY347" s="75"/>
      <c r="BZ347" s="75"/>
      <c r="CA347" s="75"/>
      <c r="CB347" s="75"/>
      <c r="CC347" s="75"/>
      <c r="CD347" s="75"/>
      <c r="CE347" s="75"/>
      <c r="CF347" s="75"/>
      <c r="CG347" s="75"/>
      <c r="CH347" s="75"/>
      <c r="CI347" s="75"/>
      <c r="CJ347" s="75"/>
      <c r="CK347" s="75"/>
      <c r="CL347" s="75"/>
      <c r="CM347" s="75"/>
      <c r="CN347" s="75"/>
      <c r="CO347" s="75"/>
      <c r="CP347" s="75"/>
      <c r="CQ347" s="75"/>
      <c r="CR347" s="75"/>
      <c r="CS347" s="75"/>
      <c r="CT347" s="75"/>
      <c r="CU347" s="75"/>
      <c r="CV347" s="75"/>
      <c r="CW347" s="76"/>
      <c r="CX347" s="72"/>
      <c r="CY347" s="68"/>
      <c r="CZ347" s="68"/>
      <c r="DA347" s="69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</row>
    <row r="348" spans="1:128" ht="18" customHeight="1" x14ac:dyDescent="0.2">
      <c r="A348" s="74"/>
      <c r="B348" s="75"/>
      <c r="C348" s="75"/>
      <c r="D348" s="75"/>
      <c r="E348" s="75"/>
      <c r="F348" s="75"/>
      <c r="G348" s="75"/>
      <c r="H348" s="75" t="s">
        <v>3</v>
      </c>
      <c r="I348" s="75"/>
      <c r="J348" s="75" t="s">
        <v>536</v>
      </c>
      <c r="K348" s="75"/>
      <c r="L348" s="75" t="s">
        <v>611</v>
      </c>
      <c r="M348" s="75"/>
      <c r="N348" s="75"/>
      <c r="O348" s="75"/>
      <c r="P348" s="75" t="s">
        <v>173</v>
      </c>
      <c r="Q348" s="75"/>
      <c r="R348" s="75" t="s">
        <v>4</v>
      </c>
      <c r="S348" s="75"/>
      <c r="T348" s="75"/>
      <c r="U348" s="75" t="s">
        <v>173</v>
      </c>
      <c r="V348" s="75"/>
      <c r="W348" s="75" t="s">
        <v>179</v>
      </c>
      <c r="X348" s="75"/>
      <c r="Y348" s="75"/>
      <c r="Z348" s="75" t="s">
        <v>532</v>
      </c>
      <c r="AA348" s="75"/>
      <c r="AB348" s="75" t="s">
        <v>357</v>
      </c>
      <c r="AC348" s="75"/>
      <c r="AD348" s="75" t="str">
        <f>TEXT(2,"#,##0")</f>
        <v>2</v>
      </c>
      <c r="AE348" s="75"/>
      <c r="AF348" s="75" t="s">
        <v>536</v>
      </c>
      <c r="AG348" s="75"/>
      <c r="AH348" s="75" t="str">
        <f>TEXT(ROUND((M346+X346+AJ346)*AD348,2),"#,##0.00#######")</f>
        <v>40.84</v>
      </c>
      <c r="AI348" s="75"/>
      <c r="AJ348" s="75"/>
      <c r="AK348" s="75"/>
      <c r="AL348" s="75"/>
      <c r="AM348" s="75"/>
      <c r="AN348" s="75"/>
      <c r="AO348" s="75"/>
      <c r="AP348" s="75"/>
      <c r="AQ348" s="75"/>
      <c r="AR348" s="75"/>
      <c r="AS348" s="75"/>
      <c r="AT348" s="75"/>
      <c r="AU348" s="75"/>
      <c r="AV348" s="75"/>
      <c r="AW348" s="75"/>
      <c r="AX348" s="75"/>
      <c r="AY348" s="75"/>
      <c r="AZ348" s="75"/>
      <c r="BA348" s="75"/>
      <c r="BB348" s="75"/>
      <c r="BC348" s="75"/>
      <c r="BD348" s="75"/>
      <c r="BE348" s="75"/>
      <c r="BF348" s="75"/>
      <c r="BG348" s="75"/>
      <c r="BH348" s="75"/>
      <c r="BI348" s="75"/>
      <c r="BJ348" s="75"/>
      <c r="BK348" s="75"/>
      <c r="BL348" s="75"/>
      <c r="BM348" s="75"/>
      <c r="BN348" s="75"/>
      <c r="BO348" s="75"/>
      <c r="BP348" s="75"/>
      <c r="BQ348" s="75"/>
      <c r="BR348" s="75"/>
      <c r="BS348" s="75"/>
      <c r="BT348" s="75"/>
      <c r="BU348" s="75"/>
      <c r="BV348" s="75"/>
      <c r="BW348" s="75"/>
      <c r="BX348" s="75"/>
      <c r="BY348" s="75"/>
      <c r="BZ348" s="75"/>
      <c r="CA348" s="75"/>
      <c r="CB348" s="75"/>
      <c r="CC348" s="75"/>
      <c r="CD348" s="75"/>
      <c r="CE348" s="75"/>
      <c r="CF348" s="75"/>
      <c r="CG348" s="75"/>
      <c r="CH348" s="75"/>
      <c r="CI348" s="75"/>
      <c r="CJ348" s="75"/>
      <c r="CK348" s="75"/>
      <c r="CL348" s="75"/>
      <c r="CM348" s="75"/>
      <c r="CN348" s="75"/>
      <c r="CO348" s="75"/>
      <c r="CP348" s="75"/>
      <c r="CQ348" s="75"/>
      <c r="CR348" s="75"/>
      <c r="CS348" s="75"/>
      <c r="CT348" s="75"/>
      <c r="CU348" s="75"/>
      <c r="CV348" s="75"/>
      <c r="CW348" s="76"/>
      <c r="CX348" s="72"/>
      <c r="CY348" s="68"/>
      <c r="CZ348" s="68"/>
      <c r="DA348" s="69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 t="s">
        <v>8</v>
      </c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</row>
    <row r="349" spans="1:128" ht="18" customHeight="1" x14ac:dyDescent="0.2">
      <c r="A349" s="74" t="s">
        <v>8</v>
      </c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  <c r="AA349" s="75"/>
      <c r="AB349" s="75"/>
      <c r="AC349" s="75"/>
      <c r="AD349" s="75"/>
      <c r="AE349" s="75"/>
      <c r="AF349" s="75"/>
      <c r="AG349" s="75"/>
      <c r="AH349" s="75"/>
      <c r="AI349" s="75"/>
      <c r="AJ349" s="75"/>
      <c r="AK349" s="75"/>
      <c r="AL349" s="75"/>
      <c r="AM349" s="75"/>
      <c r="AN349" s="75"/>
      <c r="AO349" s="75"/>
      <c r="AP349" s="75"/>
      <c r="AQ349" s="75"/>
      <c r="AR349" s="75"/>
      <c r="AS349" s="75"/>
      <c r="AT349" s="75"/>
      <c r="AU349" s="75"/>
      <c r="AV349" s="75"/>
      <c r="AW349" s="75"/>
      <c r="AX349" s="75"/>
      <c r="AY349" s="75"/>
      <c r="AZ349" s="75"/>
      <c r="BA349" s="75"/>
      <c r="BB349" s="75"/>
      <c r="BC349" s="75"/>
      <c r="BD349" s="75"/>
      <c r="BE349" s="75"/>
      <c r="BF349" s="75"/>
      <c r="BG349" s="75"/>
      <c r="BH349" s="75"/>
      <c r="BI349" s="75"/>
      <c r="BJ349" s="75"/>
      <c r="BK349" s="75"/>
      <c r="BL349" s="75"/>
      <c r="BM349" s="75"/>
      <c r="BN349" s="75"/>
      <c r="BO349" s="75"/>
      <c r="BP349" s="75"/>
      <c r="BQ349" s="75"/>
      <c r="BR349" s="75"/>
      <c r="BS349" s="75"/>
      <c r="BT349" s="75"/>
      <c r="BU349" s="75"/>
      <c r="BV349" s="75"/>
      <c r="BW349" s="75"/>
      <c r="BX349" s="75"/>
      <c r="BY349" s="75"/>
      <c r="BZ349" s="75"/>
      <c r="CA349" s="75"/>
      <c r="CB349" s="75"/>
      <c r="CC349" s="75"/>
      <c r="CD349" s="75"/>
      <c r="CE349" s="75"/>
      <c r="CF349" s="75"/>
      <c r="CG349" s="75"/>
      <c r="CH349" s="75"/>
      <c r="CI349" s="75"/>
      <c r="CJ349" s="75"/>
      <c r="CK349" s="75"/>
      <c r="CL349" s="75"/>
      <c r="CM349" s="75"/>
      <c r="CN349" s="75"/>
      <c r="CO349" s="75"/>
      <c r="CP349" s="75"/>
      <c r="CQ349" s="75"/>
      <c r="CR349" s="75"/>
      <c r="CS349" s="75"/>
      <c r="CT349" s="75"/>
      <c r="CU349" s="75"/>
      <c r="CV349" s="75"/>
      <c r="CW349" s="76"/>
      <c r="CX349" s="72"/>
      <c r="CY349" s="68"/>
      <c r="CZ349" s="68"/>
      <c r="DA349" s="69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</row>
    <row r="350" spans="1:128" ht="18" customHeight="1" x14ac:dyDescent="0.2">
      <c r="A350" s="74"/>
      <c r="B350" s="75"/>
      <c r="C350" s="75"/>
      <c r="D350" s="75"/>
      <c r="E350" s="75"/>
      <c r="F350" s="75"/>
      <c r="G350" s="75"/>
      <c r="H350" s="75" t="s">
        <v>533</v>
      </c>
      <c r="I350" s="75"/>
      <c r="J350" s="75"/>
      <c r="K350" s="75" t="s">
        <v>536</v>
      </c>
      <c r="L350" s="75"/>
      <c r="M350" s="75" t="s">
        <v>353</v>
      </c>
      <c r="N350" s="75"/>
      <c r="O350" s="75"/>
      <c r="P350" s="75" t="s">
        <v>181</v>
      </c>
      <c r="Q350" s="75"/>
      <c r="R350" s="75" t="str">
        <f>TEXT(40,"#,##0")</f>
        <v>40</v>
      </c>
      <c r="S350" s="75"/>
      <c r="T350" s="75"/>
      <c r="U350" s="75" t="s">
        <v>173</v>
      </c>
      <c r="V350" s="75"/>
      <c r="W350" s="75" t="s">
        <v>12</v>
      </c>
      <c r="X350" s="75"/>
      <c r="Y350" s="75" t="s">
        <v>181</v>
      </c>
      <c r="Z350" s="75"/>
      <c r="AA350" s="75" t="str">
        <f>TEXT(40,"#,##0")</f>
        <v>40</v>
      </c>
      <c r="AB350" s="75"/>
      <c r="AC350" s="75"/>
      <c r="AD350" s="75" t="s">
        <v>532</v>
      </c>
      <c r="AE350" s="75"/>
      <c r="AF350" s="75" t="s">
        <v>357</v>
      </c>
      <c r="AG350" s="75"/>
      <c r="AH350" s="75" t="str">
        <f>TEXT(60,"#,##0")</f>
        <v>60</v>
      </c>
      <c r="AI350" s="75"/>
      <c r="AJ350" s="75"/>
      <c r="AK350" s="75" t="s">
        <v>536</v>
      </c>
      <c r="AL350" s="75"/>
      <c r="AM350" s="75" t="str">
        <f>TEXT(ROUND((R344/R350+R344/AA350)*AH350,0),"#,##0")</f>
        <v>24</v>
      </c>
      <c r="AN350" s="75"/>
      <c r="AO350" s="75"/>
      <c r="AP350" s="75"/>
      <c r="AQ350" s="75"/>
      <c r="AR350" s="75"/>
      <c r="AS350" s="75"/>
      <c r="AT350" s="75"/>
      <c r="AU350" s="75"/>
      <c r="AV350" s="75"/>
      <c r="AW350" s="75"/>
      <c r="AX350" s="75"/>
      <c r="AY350" s="75"/>
      <c r="AZ350" s="75"/>
      <c r="BA350" s="75"/>
      <c r="BB350" s="75"/>
      <c r="BC350" s="75"/>
      <c r="BD350" s="75"/>
      <c r="BE350" s="75"/>
      <c r="BF350" s="75"/>
      <c r="BG350" s="75"/>
      <c r="BH350" s="75"/>
      <c r="BI350" s="75"/>
      <c r="BJ350" s="75"/>
      <c r="BK350" s="75"/>
      <c r="BL350" s="75"/>
      <c r="BM350" s="75"/>
      <c r="BN350" s="75"/>
      <c r="BO350" s="75"/>
      <c r="BP350" s="75"/>
      <c r="BQ350" s="75"/>
      <c r="BR350" s="75"/>
      <c r="BS350" s="75"/>
      <c r="BT350" s="75"/>
      <c r="BU350" s="75"/>
      <c r="BV350" s="75"/>
      <c r="BW350" s="75"/>
      <c r="BX350" s="75"/>
      <c r="BY350" s="75"/>
      <c r="BZ350" s="75"/>
      <c r="CA350" s="75"/>
      <c r="CB350" s="75"/>
      <c r="CC350" s="75"/>
      <c r="CD350" s="75"/>
      <c r="CE350" s="75"/>
      <c r="CF350" s="75"/>
      <c r="CG350" s="75"/>
      <c r="CH350" s="75"/>
      <c r="CI350" s="75"/>
      <c r="CJ350" s="75"/>
      <c r="CK350" s="75"/>
      <c r="CL350" s="75"/>
      <c r="CM350" s="75"/>
      <c r="CN350" s="75"/>
      <c r="CO350" s="75"/>
      <c r="CP350" s="75"/>
      <c r="CQ350" s="75"/>
      <c r="CR350" s="75"/>
      <c r="CS350" s="75"/>
      <c r="CT350" s="75"/>
      <c r="CU350" s="75"/>
      <c r="CV350" s="75"/>
      <c r="CW350" s="76"/>
      <c r="CX350" s="72"/>
      <c r="CY350" s="68"/>
      <c r="CZ350" s="68"/>
      <c r="DA350" s="69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 t="s">
        <v>8</v>
      </c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</row>
    <row r="351" spans="1:128" ht="18" customHeight="1" x14ac:dyDescent="0.2">
      <c r="A351" s="74" t="s">
        <v>8</v>
      </c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  <c r="AA351" s="75"/>
      <c r="AB351" s="75"/>
      <c r="AC351" s="75"/>
      <c r="AD351" s="75"/>
      <c r="AE351" s="75"/>
      <c r="AF351" s="75"/>
      <c r="AG351" s="75"/>
      <c r="AH351" s="75"/>
      <c r="AI351" s="75"/>
      <c r="AJ351" s="75"/>
      <c r="AK351" s="75"/>
      <c r="AL351" s="75"/>
      <c r="AM351" s="75"/>
      <c r="AN351" s="75"/>
      <c r="AO351" s="75"/>
      <c r="AP351" s="75"/>
      <c r="AQ351" s="75"/>
      <c r="AR351" s="75"/>
      <c r="AS351" s="75"/>
      <c r="AT351" s="75"/>
      <c r="AU351" s="75"/>
      <c r="AV351" s="75"/>
      <c r="AW351" s="75"/>
      <c r="AX351" s="75"/>
      <c r="AY351" s="75"/>
      <c r="AZ351" s="75"/>
      <c r="BA351" s="75"/>
      <c r="BB351" s="75"/>
      <c r="BC351" s="75"/>
      <c r="BD351" s="75"/>
      <c r="BE351" s="75"/>
      <c r="BF351" s="75"/>
      <c r="BG351" s="75"/>
      <c r="BH351" s="75"/>
      <c r="BI351" s="75"/>
      <c r="BJ351" s="75"/>
      <c r="BK351" s="75"/>
      <c r="BL351" s="75"/>
      <c r="BM351" s="75"/>
      <c r="BN351" s="75"/>
      <c r="BO351" s="75"/>
      <c r="BP351" s="75"/>
      <c r="BQ351" s="75"/>
      <c r="BR351" s="75"/>
      <c r="BS351" s="75"/>
      <c r="BT351" s="75"/>
      <c r="BU351" s="75"/>
      <c r="BV351" s="75"/>
      <c r="BW351" s="75"/>
      <c r="BX351" s="75"/>
      <c r="BY351" s="75"/>
      <c r="BZ351" s="75"/>
      <c r="CA351" s="75"/>
      <c r="CB351" s="75"/>
      <c r="CC351" s="75"/>
      <c r="CD351" s="75"/>
      <c r="CE351" s="75"/>
      <c r="CF351" s="75"/>
      <c r="CG351" s="75"/>
      <c r="CH351" s="75"/>
      <c r="CI351" s="75"/>
      <c r="CJ351" s="75"/>
      <c r="CK351" s="75"/>
      <c r="CL351" s="75"/>
      <c r="CM351" s="75"/>
      <c r="CN351" s="75"/>
      <c r="CO351" s="75"/>
      <c r="CP351" s="75"/>
      <c r="CQ351" s="75"/>
      <c r="CR351" s="75"/>
      <c r="CS351" s="75"/>
      <c r="CT351" s="75"/>
      <c r="CU351" s="75"/>
      <c r="CV351" s="75"/>
      <c r="CW351" s="76"/>
      <c r="CX351" s="72"/>
      <c r="CY351" s="68"/>
      <c r="CZ351" s="68"/>
      <c r="DA351" s="69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</row>
    <row r="352" spans="1:128" ht="18" customHeight="1" x14ac:dyDescent="0.2">
      <c r="A352" s="74"/>
      <c r="B352" s="75"/>
      <c r="C352" s="75"/>
      <c r="D352" s="75"/>
      <c r="E352" s="75"/>
      <c r="F352" s="75"/>
      <c r="G352" s="75"/>
      <c r="H352" s="75" t="s">
        <v>133</v>
      </c>
      <c r="I352" s="75"/>
      <c r="J352" s="75"/>
      <c r="K352" s="75" t="s">
        <v>536</v>
      </c>
      <c r="L352" s="75"/>
      <c r="M352" s="75" t="s">
        <v>3</v>
      </c>
      <c r="N352" s="75"/>
      <c r="O352" s="75" t="s">
        <v>173</v>
      </c>
      <c r="P352" s="75"/>
      <c r="Q352" s="75" t="s">
        <v>533</v>
      </c>
      <c r="R352" s="75"/>
      <c r="S352" s="75"/>
      <c r="T352" s="75" t="s">
        <v>536</v>
      </c>
      <c r="U352" s="75"/>
      <c r="V352" s="75"/>
      <c r="W352" s="75" t="str">
        <f>TEXT(ROUND(AH348+AM350,2),"#,##0.00#######")</f>
        <v>64.84</v>
      </c>
      <c r="X352" s="75"/>
      <c r="Y352" s="75"/>
      <c r="Z352" s="75"/>
      <c r="AA352" s="75"/>
      <c r="AB352" s="75"/>
      <c r="AC352" s="75"/>
      <c r="AD352" s="75"/>
      <c r="AE352" s="75" t="s">
        <v>689</v>
      </c>
      <c r="AF352" s="75"/>
      <c r="AG352" s="75"/>
      <c r="AH352" s="75"/>
      <c r="AI352" s="75"/>
      <c r="AJ352" s="75"/>
      <c r="AK352" s="75"/>
      <c r="AL352" s="75"/>
      <c r="AM352" s="75"/>
      <c r="AN352" s="75"/>
      <c r="AO352" s="75"/>
      <c r="AP352" s="75"/>
      <c r="AQ352" s="75"/>
      <c r="AR352" s="75"/>
      <c r="AS352" s="75"/>
      <c r="AT352" s="75"/>
      <c r="AU352" s="75"/>
      <c r="AV352" s="75"/>
      <c r="AW352" s="75"/>
      <c r="AX352" s="75"/>
      <c r="AY352" s="75"/>
      <c r="AZ352" s="75"/>
      <c r="BA352" s="75"/>
      <c r="BB352" s="75"/>
      <c r="BC352" s="75"/>
      <c r="BD352" s="75"/>
      <c r="BE352" s="75"/>
      <c r="BF352" s="75"/>
      <c r="BG352" s="75"/>
      <c r="BH352" s="75"/>
      <c r="BI352" s="75"/>
      <c r="BJ352" s="75"/>
      <c r="BK352" s="75"/>
      <c r="BL352" s="75"/>
      <c r="BM352" s="75"/>
      <c r="BN352" s="75"/>
      <c r="BO352" s="75"/>
      <c r="BP352" s="75"/>
      <c r="BQ352" s="75"/>
      <c r="BR352" s="75"/>
      <c r="BS352" s="75"/>
      <c r="BT352" s="75"/>
      <c r="BU352" s="75"/>
      <c r="BV352" s="75"/>
      <c r="BW352" s="75"/>
      <c r="BX352" s="75"/>
      <c r="BY352" s="75"/>
      <c r="BZ352" s="75"/>
      <c r="CA352" s="75"/>
      <c r="CB352" s="75"/>
      <c r="CC352" s="75"/>
      <c r="CD352" s="75"/>
      <c r="CE352" s="75"/>
      <c r="CF352" s="75"/>
      <c r="CG352" s="75"/>
      <c r="CH352" s="75"/>
      <c r="CI352" s="75"/>
      <c r="CJ352" s="75"/>
      <c r="CK352" s="75"/>
      <c r="CL352" s="75"/>
      <c r="CM352" s="75"/>
      <c r="CN352" s="75"/>
      <c r="CO352" s="75"/>
      <c r="CP352" s="75"/>
      <c r="CQ352" s="75"/>
      <c r="CR352" s="75"/>
      <c r="CS352" s="75"/>
      <c r="CT352" s="75"/>
      <c r="CU352" s="75"/>
      <c r="CV352" s="75"/>
      <c r="CW352" s="76"/>
      <c r="CX352" s="72"/>
      <c r="CY352" s="68"/>
      <c r="CZ352" s="68"/>
      <c r="DA352" s="69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 t="s">
        <v>8</v>
      </c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</row>
    <row r="353" spans="1:128" ht="18" customHeight="1" x14ac:dyDescent="0.2">
      <c r="A353" s="74" t="s">
        <v>8</v>
      </c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  <c r="AA353" s="75"/>
      <c r="AB353" s="75"/>
      <c r="AC353" s="75"/>
      <c r="AD353" s="75"/>
      <c r="AE353" s="75"/>
      <c r="AF353" s="75"/>
      <c r="AG353" s="75"/>
      <c r="AH353" s="75"/>
      <c r="AI353" s="75"/>
      <c r="AJ353" s="75"/>
      <c r="AK353" s="75"/>
      <c r="AL353" s="75"/>
      <c r="AM353" s="75"/>
      <c r="AN353" s="75"/>
      <c r="AO353" s="75"/>
      <c r="AP353" s="75"/>
      <c r="AQ353" s="75"/>
      <c r="AR353" s="75"/>
      <c r="AS353" s="75"/>
      <c r="AT353" s="75"/>
      <c r="AU353" s="75"/>
      <c r="AV353" s="75"/>
      <c r="AW353" s="75"/>
      <c r="AX353" s="75"/>
      <c r="AY353" s="75"/>
      <c r="AZ353" s="75"/>
      <c r="BA353" s="75"/>
      <c r="BB353" s="75"/>
      <c r="BC353" s="75"/>
      <c r="BD353" s="75"/>
      <c r="BE353" s="75"/>
      <c r="BF353" s="75"/>
      <c r="BG353" s="75"/>
      <c r="BH353" s="75"/>
      <c r="BI353" s="75"/>
      <c r="BJ353" s="75"/>
      <c r="BK353" s="75"/>
      <c r="BL353" s="75"/>
      <c r="BM353" s="75"/>
      <c r="BN353" s="75"/>
      <c r="BO353" s="75"/>
      <c r="BP353" s="75"/>
      <c r="BQ353" s="75"/>
      <c r="BR353" s="75"/>
      <c r="BS353" s="75"/>
      <c r="BT353" s="75"/>
      <c r="BU353" s="75"/>
      <c r="BV353" s="75"/>
      <c r="BW353" s="75"/>
      <c r="BX353" s="75"/>
      <c r="BY353" s="75"/>
      <c r="BZ353" s="75"/>
      <c r="CA353" s="75"/>
      <c r="CB353" s="75"/>
      <c r="CC353" s="75"/>
      <c r="CD353" s="75"/>
      <c r="CE353" s="75"/>
      <c r="CF353" s="75"/>
      <c r="CG353" s="75"/>
      <c r="CH353" s="75"/>
      <c r="CI353" s="75"/>
      <c r="CJ353" s="75"/>
      <c r="CK353" s="75"/>
      <c r="CL353" s="75"/>
      <c r="CM353" s="75"/>
      <c r="CN353" s="75"/>
      <c r="CO353" s="75"/>
      <c r="CP353" s="75"/>
      <c r="CQ353" s="75"/>
      <c r="CR353" s="75"/>
      <c r="CS353" s="75"/>
      <c r="CT353" s="75"/>
      <c r="CU353" s="75"/>
      <c r="CV353" s="75"/>
      <c r="CW353" s="76"/>
      <c r="CX353" s="72"/>
      <c r="CY353" s="68"/>
      <c r="CZ353" s="68"/>
      <c r="DA353" s="69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</row>
    <row r="354" spans="1:128" ht="18" customHeight="1" x14ac:dyDescent="0.2">
      <c r="A354" s="74"/>
      <c r="B354" s="75"/>
      <c r="C354" s="75"/>
      <c r="D354" s="75"/>
      <c r="E354" s="75"/>
      <c r="F354" s="75"/>
      <c r="G354" s="75"/>
      <c r="H354" s="75" t="s">
        <v>345</v>
      </c>
      <c r="I354" s="75"/>
      <c r="J354" s="75" t="s">
        <v>536</v>
      </c>
      <c r="K354" s="75"/>
      <c r="L354" s="75" t="str">
        <f>TEXT(60,"#,##0")</f>
        <v>60</v>
      </c>
      <c r="M354" s="75"/>
      <c r="N354" s="75"/>
      <c r="O354" s="75" t="s">
        <v>357</v>
      </c>
      <c r="P354" s="75"/>
      <c r="Q354" s="75" t="str">
        <f>TEXT(0.9,"#,##0.0#######")</f>
        <v>0.9</v>
      </c>
      <c r="R354" s="75"/>
      <c r="S354" s="75"/>
      <c r="T354" s="75"/>
      <c r="U354" s="75" t="s">
        <v>181</v>
      </c>
      <c r="V354" s="75"/>
      <c r="W354" s="75" t="s">
        <v>133</v>
      </c>
      <c r="X354" s="75"/>
      <c r="Y354" s="75"/>
      <c r="Z354" s="75" t="s">
        <v>536</v>
      </c>
      <c r="AA354" s="75"/>
      <c r="AB354" s="75" t="str">
        <f>TEXT(TRUNC(L354*Q354/W352,3),"#,##0.000#######")</f>
        <v>0.832</v>
      </c>
      <c r="AC354" s="75"/>
      <c r="AD354" s="75"/>
      <c r="AE354" s="75"/>
      <c r="AF354" s="75"/>
      <c r="AG354" s="75"/>
      <c r="AH354" s="75"/>
      <c r="AI354" s="75"/>
      <c r="AJ354" s="75" t="s">
        <v>63</v>
      </c>
      <c r="AK354" s="75"/>
      <c r="AL354" s="75"/>
      <c r="AM354" s="75"/>
      <c r="AN354" s="75"/>
      <c r="AO354" s="75"/>
      <c r="AP354" s="75"/>
      <c r="AQ354" s="75"/>
      <c r="AR354" s="75"/>
      <c r="AS354" s="75"/>
      <c r="AT354" s="75"/>
      <c r="AU354" s="75"/>
      <c r="AV354" s="75"/>
      <c r="AW354" s="75"/>
      <c r="AX354" s="75"/>
      <c r="AY354" s="75"/>
      <c r="AZ354" s="75"/>
      <c r="BA354" s="75"/>
      <c r="BB354" s="75"/>
      <c r="BC354" s="75"/>
      <c r="BD354" s="75"/>
      <c r="BE354" s="75"/>
      <c r="BF354" s="75"/>
      <c r="BG354" s="75"/>
      <c r="BH354" s="75"/>
      <c r="BI354" s="75"/>
      <c r="BJ354" s="75"/>
      <c r="BK354" s="75"/>
      <c r="BL354" s="75"/>
      <c r="BM354" s="75"/>
      <c r="BN354" s="75"/>
      <c r="BO354" s="75"/>
      <c r="BP354" s="75"/>
      <c r="BQ354" s="75"/>
      <c r="BR354" s="75"/>
      <c r="BS354" s="75"/>
      <c r="BT354" s="75"/>
      <c r="BU354" s="75"/>
      <c r="BV354" s="75"/>
      <c r="BW354" s="75"/>
      <c r="BX354" s="75"/>
      <c r="BY354" s="75"/>
      <c r="BZ354" s="75"/>
      <c r="CA354" s="75"/>
      <c r="CB354" s="75"/>
      <c r="CC354" s="75"/>
      <c r="CD354" s="75"/>
      <c r="CE354" s="75"/>
      <c r="CF354" s="75"/>
      <c r="CG354" s="75"/>
      <c r="CH354" s="75"/>
      <c r="CI354" s="75"/>
      <c r="CJ354" s="75"/>
      <c r="CK354" s="75"/>
      <c r="CL354" s="75"/>
      <c r="CM354" s="75"/>
      <c r="CN354" s="75"/>
      <c r="CO354" s="75"/>
      <c r="CP354" s="75"/>
      <c r="CQ354" s="75"/>
      <c r="CR354" s="75"/>
      <c r="CS354" s="75"/>
      <c r="CT354" s="75"/>
      <c r="CU354" s="75"/>
      <c r="CV354" s="75"/>
      <c r="CW354" s="76"/>
      <c r="CX354" s="72"/>
      <c r="CY354" s="68"/>
      <c r="CZ354" s="68"/>
      <c r="DA354" s="69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 t="s">
        <v>8</v>
      </c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</row>
    <row r="355" spans="1:128" ht="18" customHeight="1" x14ac:dyDescent="0.2">
      <c r="A355" s="74" t="s">
        <v>8</v>
      </c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  <c r="AA355" s="75"/>
      <c r="AB355" s="75"/>
      <c r="AC355" s="75"/>
      <c r="AD355" s="75"/>
      <c r="AE355" s="75"/>
      <c r="AF355" s="75"/>
      <c r="AG355" s="75"/>
      <c r="AH355" s="75"/>
      <c r="AI355" s="75"/>
      <c r="AJ355" s="75"/>
      <c r="AK355" s="75"/>
      <c r="AL355" s="75"/>
      <c r="AM355" s="75"/>
      <c r="AN355" s="75"/>
      <c r="AO355" s="75"/>
      <c r="AP355" s="75"/>
      <c r="AQ355" s="75"/>
      <c r="AR355" s="75"/>
      <c r="AS355" s="75"/>
      <c r="AT355" s="75"/>
      <c r="AU355" s="75"/>
      <c r="AV355" s="75"/>
      <c r="AW355" s="75"/>
      <c r="AX355" s="75"/>
      <c r="AY355" s="75"/>
      <c r="AZ355" s="75"/>
      <c r="BA355" s="75"/>
      <c r="BB355" s="75"/>
      <c r="BC355" s="75"/>
      <c r="BD355" s="75"/>
      <c r="BE355" s="75"/>
      <c r="BF355" s="75"/>
      <c r="BG355" s="75"/>
      <c r="BH355" s="75"/>
      <c r="BI355" s="75"/>
      <c r="BJ355" s="75"/>
      <c r="BK355" s="75"/>
      <c r="BL355" s="75"/>
      <c r="BM355" s="75"/>
      <c r="BN355" s="75"/>
      <c r="BO355" s="75"/>
      <c r="BP355" s="75"/>
      <c r="BQ355" s="75"/>
      <c r="BR355" s="75"/>
      <c r="BS355" s="75"/>
      <c r="BT355" s="75"/>
      <c r="BU355" s="75"/>
      <c r="BV355" s="75"/>
      <c r="BW355" s="75"/>
      <c r="BX355" s="75"/>
      <c r="BY355" s="75"/>
      <c r="BZ355" s="75"/>
      <c r="CA355" s="75"/>
      <c r="CB355" s="75"/>
      <c r="CC355" s="75"/>
      <c r="CD355" s="75"/>
      <c r="CE355" s="75"/>
      <c r="CF355" s="75"/>
      <c r="CG355" s="75"/>
      <c r="CH355" s="75"/>
      <c r="CI355" s="75"/>
      <c r="CJ355" s="75"/>
      <c r="CK355" s="75"/>
      <c r="CL355" s="75"/>
      <c r="CM355" s="75"/>
      <c r="CN355" s="75"/>
      <c r="CO355" s="75"/>
      <c r="CP355" s="75"/>
      <c r="CQ355" s="75"/>
      <c r="CR355" s="75"/>
      <c r="CS355" s="75"/>
      <c r="CT355" s="75"/>
      <c r="CU355" s="75"/>
      <c r="CV355" s="75"/>
      <c r="CW355" s="76"/>
      <c r="CX355" s="72"/>
      <c r="CY355" s="68"/>
      <c r="CZ355" s="68"/>
      <c r="DA355" s="69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</row>
    <row r="356" spans="1:128" ht="18" customHeight="1" x14ac:dyDescent="0.2">
      <c r="A356" s="74"/>
      <c r="B356" s="75"/>
      <c r="C356" s="75"/>
      <c r="D356" s="75"/>
      <c r="E356" s="75"/>
      <c r="F356" s="75"/>
      <c r="G356" s="75"/>
      <c r="H356" s="75"/>
      <c r="I356" s="75"/>
      <c r="J356" s="75" t="s">
        <v>329</v>
      </c>
      <c r="K356" s="75"/>
      <c r="L356" s="75"/>
      <c r="M356" s="75"/>
      <c r="N356" s="75"/>
      <c r="O356" s="75" t="str">
        <f>TEXT(TRUNC(건설기계!J59,0),"#,##0")</f>
        <v>59,020</v>
      </c>
      <c r="P356" s="75"/>
      <c r="Q356" s="75"/>
      <c r="R356" s="75"/>
      <c r="S356" s="75"/>
      <c r="T356" s="75"/>
      <c r="U356" s="75"/>
      <c r="V356" s="75" t="s">
        <v>181</v>
      </c>
      <c r="W356" s="75"/>
      <c r="X356" s="75" t="s">
        <v>345</v>
      </c>
      <c r="Y356" s="75"/>
      <c r="Z356" s="75" t="s">
        <v>536</v>
      </c>
      <c r="AA356" s="75"/>
      <c r="AB356" s="75" t="str">
        <f>TEXT(ROUNDDOWN(O356/AB354,1),"#,##0.0#######")</f>
        <v>70,937.5</v>
      </c>
      <c r="AC356" s="75"/>
      <c r="AD356" s="75"/>
      <c r="AE356" s="75"/>
      <c r="AF356" s="75"/>
      <c r="AG356" s="75"/>
      <c r="AH356" s="75"/>
      <c r="AI356" s="75"/>
      <c r="AJ356" s="75"/>
      <c r="AK356" s="75"/>
      <c r="AL356" s="75" t="s">
        <v>525</v>
      </c>
      <c r="AM356" s="75"/>
      <c r="AN356" s="75"/>
      <c r="AO356" s="75"/>
      <c r="AP356" s="75"/>
      <c r="AQ356" s="75"/>
      <c r="AR356" s="75"/>
      <c r="AS356" s="75"/>
      <c r="AT356" s="75"/>
      <c r="AU356" s="75"/>
      <c r="AV356" s="75"/>
      <c r="AW356" s="75"/>
      <c r="AX356" s="75"/>
      <c r="AY356" s="75"/>
      <c r="AZ356" s="75"/>
      <c r="BA356" s="75"/>
      <c r="BB356" s="75"/>
      <c r="BC356" s="75"/>
      <c r="BD356" s="75"/>
      <c r="BE356" s="75"/>
      <c r="BF356" s="75"/>
      <c r="BG356" s="75"/>
      <c r="BH356" s="75"/>
      <c r="BI356" s="75"/>
      <c r="BJ356" s="75"/>
      <c r="BK356" s="75"/>
      <c r="BL356" s="75"/>
      <c r="BM356" s="75"/>
      <c r="BN356" s="75"/>
      <c r="BO356" s="75"/>
      <c r="BP356" s="75"/>
      <c r="BQ356" s="75"/>
      <c r="BR356" s="75"/>
      <c r="BS356" s="75"/>
      <c r="BT356" s="75"/>
      <c r="BU356" s="75"/>
      <c r="BV356" s="75"/>
      <c r="BW356" s="75"/>
      <c r="BX356" s="75"/>
      <c r="BY356" s="75"/>
      <c r="BZ356" s="75"/>
      <c r="CA356" s="75"/>
      <c r="CB356" s="75"/>
      <c r="CC356" s="75"/>
      <c r="CD356" s="75"/>
      <c r="CE356" s="75"/>
      <c r="CF356" s="75"/>
      <c r="CG356" s="75"/>
      <c r="CH356" s="75"/>
      <c r="CI356" s="75"/>
      <c r="CJ356" s="75"/>
      <c r="CK356" s="75"/>
      <c r="CL356" s="75"/>
      <c r="CM356" s="75"/>
      <c r="CN356" s="75"/>
      <c r="CO356" s="75"/>
      <c r="CP356" s="75"/>
      <c r="CQ356" s="75"/>
      <c r="CR356" s="75"/>
      <c r="CS356" s="75"/>
      <c r="CT356" s="75"/>
      <c r="CU356" s="75"/>
      <c r="CV356" s="75"/>
      <c r="CW356" s="76"/>
      <c r="CX356" s="72">
        <f>CY356+CZ356+DA356</f>
        <v>70937.5</v>
      </c>
      <c r="CY356" s="68"/>
      <c r="CZ356" s="68"/>
      <c r="DA356" s="69" t="str">
        <f>TEXT(AB356,"#,###.0")</f>
        <v>70,937.5</v>
      </c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 t="s">
        <v>294</v>
      </c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</row>
    <row r="357" spans="1:128" ht="18" customHeight="1" x14ac:dyDescent="0.2">
      <c r="A357" s="74" t="s">
        <v>8</v>
      </c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  <c r="AA357" s="75"/>
      <c r="AB357" s="75"/>
      <c r="AC357" s="75"/>
      <c r="AD357" s="75"/>
      <c r="AE357" s="75"/>
      <c r="AF357" s="75"/>
      <c r="AG357" s="75"/>
      <c r="AH357" s="75"/>
      <c r="AI357" s="75"/>
      <c r="AJ357" s="75"/>
      <c r="AK357" s="75"/>
      <c r="AL357" s="75"/>
      <c r="AM357" s="75"/>
      <c r="AN357" s="75"/>
      <c r="AO357" s="75"/>
      <c r="AP357" s="75"/>
      <c r="AQ357" s="75"/>
      <c r="AR357" s="75"/>
      <c r="AS357" s="75"/>
      <c r="AT357" s="75"/>
      <c r="AU357" s="75"/>
      <c r="AV357" s="75"/>
      <c r="AW357" s="75"/>
      <c r="AX357" s="75"/>
      <c r="AY357" s="75"/>
      <c r="AZ357" s="75"/>
      <c r="BA357" s="75"/>
      <c r="BB357" s="75"/>
      <c r="BC357" s="75"/>
      <c r="BD357" s="75"/>
      <c r="BE357" s="75"/>
      <c r="BF357" s="75"/>
      <c r="BG357" s="75"/>
      <c r="BH357" s="75"/>
      <c r="BI357" s="75"/>
      <c r="BJ357" s="75"/>
      <c r="BK357" s="75"/>
      <c r="BL357" s="75"/>
      <c r="BM357" s="75"/>
      <c r="BN357" s="75"/>
      <c r="BO357" s="75"/>
      <c r="BP357" s="75"/>
      <c r="BQ357" s="75"/>
      <c r="BR357" s="75"/>
      <c r="BS357" s="75"/>
      <c r="BT357" s="75"/>
      <c r="BU357" s="75"/>
      <c r="BV357" s="75"/>
      <c r="BW357" s="75"/>
      <c r="BX357" s="75"/>
      <c r="BY357" s="75"/>
      <c r="BZ357" s="75"/>
      <c r="CA357" s="75"/>
      <c r="CB357" s="75"/>
      <c r="CC357" s="75"/>
      <c r="CD357" s="75"/>
      <c r="CE357" s="75"/>
      <c r="CF357" s="75"/>
      <c r="CG357" s="75"/>
      <c r="CH357" s="75"/>
      <c r="CI357" s="75"/>
      <c r="CJ357" s="75"/>
      <c r="CK357" s="75"/>
      <c r="CL357" s="75"/>
      <c r="CM357" s="75"/>
      <c r="CN357" s="75"/>
      <c r="CO357" s="75"/>
      <c r="CP357" s="75"/>
      <c r="CQ357" s="75"/>
      <c r="CR357" s="75"/>
      <c r="CS357" s="75"/>
      <c r="CT357" s="75"/>
      <c r="CU357" s="75"/>
      <c r="CV357" s="75"/>
      <c r="CW357" s="76"/>
      <c r="CX357" s="72"/>
      <c r="CY357" s="68"/>
      <c r="CZ357" s="68"/>
      <c r="DA357" s="69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</row>
    <row r="358" spans="1:128" ht="18" customHeight="1" x14ac:dyDescent="0.2">
      <c r="A358" s="74"/>
      <c r="B358" s="75"/>
      <c r="C358" s="75"/>
      <c r="D358" s="75"/>
      <c r="E358" s="75"/>
      <c r="F358" s="75"/>
      <c r="G358" s="75"/>
      <c r="H358" s="75"/>
      <c r="I358" s="75"/>
      <c r="J358" s="75" t="s">
        <v>565</v>
      </c>
      <c r="K358" s="75"/>
      <c r="L358" s="75"/>
      <c r="M358" s="75"/>
      <c r="N358" s="75"/>
      <c r="O358" s="75" t="str">
        <f>TEXT(TRUNC(건설기계!H59,0),"#,##0")</f>
        <v>36,357</v>
      </c>
      <c r="P358" s="75"/>
      <c r="Q358" s="75"/>
      <c r="R358" s="75"/>
      <c r="S358" s="75"/>
      <c r="T358" s="75"/>
      <c r="U358" s="75"/>
      <c r="V358" s="75" t="s">
        <v>181</v>
      </c>
      <c r="W358" s="75"/>
      <c r="X358" s="75" t="s">
        <v>345</v>
      </c>
      <c r="Y358" s="75"/>
      <c r="Z358" s="75" t="s">
        <v>357</v>
      </c>
      <c r="AA358" s="75"/>
      <c r="AB358" s="75" t="s">
        <v>213</v>
      </c>
      <c r="AC358" s="75"/>
      <c r="AD358" s="75"/>
      <c r="AE358" s="75"/>
      <c r="AF358" s="75" t="s">
        <v>529</v>
      </c>
      <c r="AG358" s="75"/>
      <c r="AH358" s="75" t="s">
        <v>354</v>
      </c>
      <c r="AI358" s="75"/>
      <c r="AJ358" s="75"/>
      <c r="AK358" s="75" t="s">
        <v>357</v>
      </c>
      <c r="AL358" s="75"/>
      <c r="AM358" s="75" t="str">
        <f>TEXT(2,"#,##0")</f>
        <v>2</v>
      </c>
      <c r="AN358" s="75"/>
      <c r="AO358" s="75" t="s">
        <v>532</v>
      </c>
      <c r="AP358" s="75"/>
      <c r="AQ358" s="75" t="s">
        <v>181</v>
      </c>
      <c r="AR358" s="75"/>
      <c r="AS358" s="75" t="s">
        <v>133</v>
      </c>
      <c r="AT358" s="75"/>
      <c r="AU358" s="75"/>
      <c r="AV358" s="75" t="s">
        <v>536</v>
      </c>
      <c r="AW358" s="75"/>
      <c r="AX358" s="75" t="str">
        <f>TEXT(ROUNDDOWN(O358/AB354*(W352-M346*AM358)/W352,1),"#,##0.0#######")</f>
        <v>30,219.5</v>
      </c>
      <c r="AY358" s="75"/>
      <c r="AZ358" s="75"/>
      <c r="BA358" s="75"/>
      <c r="BB358" s="75"/>
      <c r="BC358" s="75"/>
      <c r="BD358" s="75"/>
      <c r="BE358" s="75"/>
      <c r="BF358" s="75"/>
      <c r="BG358" s="75" t="s">
        <v>525</v>
      </c>
      <c r="BH358" s="75"/>
      <c r="BI358" s="75"/>
      <c r="BJ358" s="75"/>
      <c r="BK358" s="75"/>
      <c r="BL358" s="75"/>
      <c r="BM358" s="75"/>
      <c r="BN358" s="75"/>
      <c r="BO358" s="75"/>
      <c r="BP358" s="75"/>
      <c r="BQ358" s="75"/>
      <c r="BR358" s="75"/>
      <c r="BS358" s="75"/>
      <c r="BT358" s="75"/>
      <c r="BU358" s="75"/>
      <c r="BV358" s="75"/>
      <c r="BW358" s="75"/>
      <c r="BX358" s="75"/>
      <c r="BY358" s="75"/>
      <c r="BZ358" s="75"/>
      <c r="CA358" s="75"/>
      <c r="CB358" s="75"/>
      <c r="CC358" s="75"/>
      <c r="CD358" s="75"/>
      <c r="CE358" s="75"/>
      <c r="CF358" s="75"/>
      <c r="CG358" s="75"/>
      <c r="CH358" s="75"/>
      <c r="CI358" s="75"/>
      <c r="CJ358" s="75"/>
      <c r="CK358" s="75"/>
      <c r="CL358" s="75"/>
      <c r="CM358" s="75"/>
      <c r="CN358" s="75"/>
      <c r="CO358" s="75"/>
      <c r="CP358" s="75"/>
      <c r="CQ358" s="75"/>
      <c r="CR358" s="75"/>
      <c r="CS358" s="75"/>
      <c r="CT358" s="75"/>
      <c r="CU358" s="75"/>
      <c r="CV358" s="75"/>
      <c r="CW358" s="76"/>
      <c r="CX358" s="72">
        <f>CY358+CZ358+DA358</f>
        <v>30219.5</v>
      </c>
      <c r="CY358" s="68"/>
      <c r="CZ358" s="68"/>
      <c r="DA358" s="69" t="str">
        <f>TEXT(AX358,"#,###.0")</f>
        <v>30,219.5</v>
      </c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 t="s">
        <v>294</v>
      </c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</row>
    <row r="359" spans="1:128" ht="18" customHeight="1" x14ac:dyDescent="0.2">
      <c r="A359" s="74" t="s">
        <v>8</v>
      </c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  <c r="AD359" s="75"/>
      <c r="AE359" s="75"/>
      <c r="AF359" s="75"/>
      <c r="AG359" s="75"/>
      <c r="AH359" s="75"/>
      <c r="AI359" s="75"/>
      <c r="AJ359" s="75"/>
      <c r="AK359" s="75"/>
      <c r="AL359" s="75"/>
      <c r="AM359" s="75"/>
      <c r="AN359" s="75"/>
      <c r="AO359" s="75"/>
      <c r="AP359" s="75"/>
      <c r="AQ359" s="75"/>
      <c r="AR359" s="75"/>
      <c r="AS359" s="75"/>
      <c r="AT359" s="75"/>
      <c r="AU359" s="75"/>
      <c r="AV359" s="75"/>
      <c r="AW359" s="75"/>
      <c r="AX359" s="75"/>
      <c r="AY359" s="75"/>
      <c r="AZ359" s="75"/>
      <c r="BA359" s="75"/>
      <c r="BB359" s="75"/>
      <c r="BC359" s="75"/>
      <c r="BD359" s="75"/>
      <c r="BE359" s="75"/>
      <c r="BF359" s="75"/>
      <c r="BG359" s="75"/>
      <c r="BH359" s="75"/>
      <c r="BI359" s="75"/>
      <c r="BJ359" s="75"/>
      <c r="BK359" s="75"/>
      <c r="BL359" s="75"/>
      <c r="BM359" s="75"/>
      <c r="BN359" s="75"/>
      <c r="BO359" s="75"/>
      <c r="BP359" s="75"/>
      <c r="BQ359" s="75"/>
      <c r="BR359" s="75"/>
      <c r="BS359" s="75"/>
      <c r="BT359" s="75"/>
      <c r="BU359" s="75"/>
      <c r="BV359" s="75"/>
      <c r="BW359" s="75"/>
      <c r="BX359" s="75"/>
      <c r="BY359" s="75"/>
      <c r="BZ359" s="75"/>
      <c r="CA359" s="75"/>
      <c r="CB359" s="75"/>
      <c r="CC359" s="75"/>
      <c r="CD359" s="75"/>
      <c r="CE359" s="75"/>
      <c r="CF359" s="75"/>
      <c r="CG359" s="75"/>
      <c r="CH359" s="75"/>
      <c r="CI359" s="75"/>
      <c r="CJ359" s="75"/>
      <c r="CK359" s="75"/>
      <c r="CL359" s="75"/>
      <c r="CM359" s="75"/>
      <c r="CN359" s="75"/>
      <c r="CO359" s="75"/>
      <c r="CP359" s="75"/>
      <c r="CQ359" s="75"/>
      <c r="CR359" s="75"/>
      <c r="CS359" s="75"/>
      <c r="CT359" s="75"/>
      <c r="CU359" s="75"/>
      <c r="CV359" s="75"/>
      <c r="CW359" s="76"/>
      <c r="CX359" s="72"/>
      <c r="CY359" s="68"/>
      <c r="CZ359" s="68"/>
      <c r="DA359" s="69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</row>
    <row r="360" spans="1:128" ht="18" customHeight="1" x14ac:dyDescent="0.2">
      <c r="A360" s="74"/>
      <c r="B360" s="75"/>
      <c r="C360" s="75"/>
      <c r="D360" s="75"/>
      <c r="E360" s="75"/>
      <c r="F360" s="75"/>
      <c r="G360" s="75"/>
      <c r="H360" s="75"/>
      <c r="I360" s="75"/>
      <c r="J360" s="75" t="s">
        <v>655</v>
      </c>
      <c r="K360" s="75"/>
      <c r="L360" s="75"/>
      <c r="M360" s="75"/>
      <c r="N360" s="75"/>
      <c r="O360" s="75" t="str">
        <f>TEXT(TRUNC(건설기계!L59,0),"#,##0")</f>
        <v>21,097</v>
      </c>
      <c r="P360" s="75"/>
      <c r="Q360" s="75"/>
      <c r="R360" s="75"/>
      <c r="S360" s="75"/>
      <c r="T360" s="75"/>
      <c r="U360" s="75"/>
      <c r="V360" s="75" t="s">
        <v>181</v>
      </c>
      <c r="W360" s="75"/>
      <c r="X360" s="75" t="s">
        <v>345</v>
      </c>
      <c r="Y360" s="75"/>
      <c r="Z360" s="75" t="s">
        <v>536</v>
      </c>
      <c r="AA360" s="75"/>
      <c r="AB360" s="75" t="str">
        <f>TEXT(ROUNDDOWN(O360/AB354,1),"#,##0.0#######")</f>
        <v>25,356.9</v>
      </c>
      <c r="AC360" s="75"/>
      <c r="AD360" s="75"/>
      <c r="AE360" s="75"/>
      <c r="AF360" s="75"/>
      <c r="AG360" s="75"/>
      <c r="AH360" s="75"/>
      <c r="AI360" s="75"/>
      <c r="AJ360" s="75"/>
      <c r="AK360" s="75"/>
      <c r="AL360" s="75" t="s">
        <v>525</v>
      </c>
      <c r="AM360" s="75"/>
      <c r="AN360" s="75"/>
      <c r="AO360" s="75"/>
      <c r="AP360" s="75"/>
      <c r="AQ360" s="75"/>
      <c r="AR360" s="75"/>
      <c r="AS360" s="75"/>
      <c r="AT360" s="75"/>
      <c r="AU360" s="75"/>
      <c r="AV360" s="75"/>
      <c r="AW360" s="75"/>
      <c r="AX360" s="75"/>
      <c r="AY360" s="75"/>
      <c r="AZ360" s="75"/>
      <c r="BA360" s="75"/>
      <c r="BB360" s="75"/>
      <c r="BC360" s="75"/>
      <c r="BD360" s="75"/>
      <c r="BE360" s="75"/>
      <c r="BF360" s="75"/>
      <c r="BG360" s="75"/>
      <c r="BH360" s="75"/>
      <c r="BI360" s="75"/>
      <c r="BJ360" s="75"/>
      <c r="BK360" s="75"/>
      <c r="BL360" s="75"/>
      <c r="BM360" s="75"/>
      <c r="BN360" s="75"/>
      <c r="BO360" s="75"/>
      <c r="BP360" s="75"/>
      <c r="BQ360" s="75"/>
      <c r="BR360" s="75"/>
      <c r="BS360" s="75"/>
      <c r="BT360" s="75"/>
      <c r="BU360" s="75"/>
      <c r="BV360" s="75"/>
      <c r="BW360" s="75"/>
      <c r="BX360" s="75"/>
      <c r="BY360" s="75"/>
      <c r="BZ360" s="75"/>
      <c r="CA360" s="75"/>
      <c r="CB360" s="75"/>
      <c r="CC360" s="75"/>
      <c r="CD360" s="75"/>
      <c r="CE360" s="75"/>
      <c r="CF360" s="75"/>
      <c r="CG360" s="75"/>
      <c r="CH360" s="75"/>
      <c r="CI360" s="75"/>
      <c r="CJ360" s="75"/>
      <c r="CK360" s="75"/>
      <c r="CL360" s="75"/>
      <c r="CM360" s="75"/>
      <c r="CN360" s="75"/>
      <c r="CO360" s="75"/>
      <c r="CP360" s="75"/>
      <c r="CQ360" s="75"/>
      <c r="CR360" s="75"/>
      <c r="CS360" s="75"/>
      <c r="CT360" s="75"/>
      <c r="CU360" s="75"/>
      <c r="CV360" s="75"/>
      <c r="CW360" s="76"/>
      <c r="CX360" s="72">
        <f>CY360+CZ360+DA360</f>
        <v>25356.9</v>
      </c>
      <c r="CY360" s="68"/>
      <c r="CZ360" s="68"/>
      <c r="DA360" s="69" t="str">
        <f>TEXT(AB360,"#,###.0")</f>
        <v>25,356.9</v>
      </c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 t="s">
        <v>294</v>
      </c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</row>
    <row r="361" spans="1:128" ht="18" customHeight="1" x14ac:dyDescent="0.2">
      <c r="A361" s="74" t="s">
        <v>8</v>
      </c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75"/>
      <c r="AB361" s="75"/>
      <c r="AC361" s="75"/>
      <c r="AD361" s="75"/>
      <c r="AE361" s="75"/>
      <c r="AF361" s="75"/>
      <c r="AG361" s="75"/>
      <c r="AH361" s="75"/>
      <c r="AI361" s="75"/>
      <c r="AJ361" s="75"/>
      <c r="AK361" s="75"/>
      <c r="AL361" s="75"/>
      <c r="AM361" s="75"/>
      <c r="AN361" s="75"/>
      <c r="AO361" s="75"/>
      <c r="AP361" s="75"/>
      <c r="AQ361" s="75"/>
      <c r="AR361" s="75"/>
      <c r="AS361" s="75"/>
      <c r="AT361" s="75"/>
      <c r="AU361" s="75"/>
      <c r="AV361" s="75"/>
      <c r="AW361" s="75"/>
      <c r="AX361" s="75"/>
      <c r="AY361" s="75"/>
      <c r="AZ361" s="75"/>
      <c r="BA361" s="75"/>
      <c r="BB361" s="75"/>
      <c r="BC361" s="75"/>
      <c r="BD361" s="75"/>
      <c r="BE361" s="75"/>
      <c r="BF361" s="75"/>
      <c r="BG361" s="75"/>
      <c r="BH361" s="75"/>
      <c r="BI361" s="75"/>
      <c r="BJ361" s="75"/>
      <c r="BK361" s="75"/>
      <c r="BL361" s="75"/>
      <c r="BM361" s="75"/>
      <c r="BN361" s="75"/>
      <c r="BO361" s="75"/>
      <c r="BP361" s="75"/>
      <c r="BQ361" s="75"/>
      <c r="BR361" s="75"/>
      <c r="BS361" s="75"/>
      <c r="BT361" s="75"/>
      <c r="BU361" s="75"/>
      <c r="BV361" s="75"/>
      <c r="BW361" s="75"/>
      <c r="BX361" s="75"/>
      <c r="BY361" s="75"/>
      <c r="BZ361" s="75"/>
      <c r="CA361" s="75"/>
      <c r="CB361" s="75"/>
      <c r="CC361" s="75"/>
      <c r="CD361" s="75"/>
      <c r="CE361" s="75"/>
      <c r="CF361" s="75"/>
      <c r="CG361" s="75"/>
      <c r="CH361" s="75"/>
      <c r="CI361" s="75"/>
      <c r="CJ361" s="75"/>
      <c r="CK361" s="75"/>
      <c r="CL361" s="75"/>
      <c r="CM361" s="75"/>
      <c r="CN361" s="75"/>
      <c r="CO361" s="75"/>
      <c r="CP361" s="75"/>
      <c r="CQ361" s="75"/>
      <c r="CR361" s="75"/>
      <c r="CS361" s="75"/>
      <c r="CT361" s="75"/>
      <c r="CU361" s="75"/>
      <c r="CV361" s="75"/>
      <c r="CW361" s="76"/>
      <c r="CX361" s="72"/>
      <c r="CY361" s="68"/>
      <c r="CZ361" s="68"/>
      <c r="DA361" s="69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</row>
    <row r="362" spans="1:128" ht="18" customHeight="1" x14ac:dyDescent="0.2">
      <c r="A362" s="74" t="s">
        <v>562</v>
      </c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  <c r="AA362" s="75"/>
      <c r="AB362" s="75"/>
      <c r="AC362" s="75"/>
      <c r="AD362" s="75"/>
      <c r="AE362" s="75"/>
      <c r="AF362" s="75"/>
      <c r="AG362" s="75"/>
      <c r="AH362" s="75"/>
      <c r="AI362" s="75"/>
      <c r="AJ362" s="75"/>
      <c r="AK362" s="75"/>
      <c r="AL362" s="75"/>
      <c r="AM362" s="75"/>
      <c r="AN362" s="75"/>
      <c r="AO362" s="75"/>
      <c r="AP362" s="75"/>
      <c r="AQ362" s="75"/>
      <c r="AR362" s="75"/>
      <c r="AS362" s="75"/>
      <c r="AT362" s="75"/>
      <c r="AU362" s="75"/>
      <c r="AV362" s="75"/>
      <c r="AW362" s="75"/>
      <c r="AX362" s="75"/>
      <c r="AY362" s="75"/>
      <c r="AZ362" s="75"/>
      <c r="BA362" s="75"/>
      <c r="BB362" s="75"/>
      <c r="BC362" s="75"/>
      <c r="BD362" s="75"/>
      <c r="BE362" s="75"/>
      <c r="BF362" s="75"/>
      <c r="BG362" s="75"/>
      <c r="BH362" s="75"/>
      <c r="BI362" s="75"/>
      <c r="BJ362" s="75"/>
      <c r="BK362" s="75"/>
      <c r="BL362" s="75"/>
      <c r="BM362" s="75"/>
      <c r="BN362" s="75"/>
      <c r="BO362" s="75"/>
      <c r="BP362" s="75"/>
      <c r="BQ362" s="75"/>
      <c r="BR362" s="75"/>
      <c r="BS362" s="75"/>
      <c r="BT362" s="75"/>
      <c r="BU362" s="75"/>
      <c r="BV362" s="75"/>
      <c r="BW362" s="75"/>
      <c r="BX362" s="75"/>
      <c r="BY362" s="75"/>
      <c r="BZ362" s="75"/>
      <c r="CA362" s="75"/>
      <c r="CB362" s="75"/>
      <c r="CC362" s="75"/>
      <c r="CD362" s="75"/>
      <c r="CE362" s="75"/>
      <c r="CF362" s="75"/>
      <c r="CG362" s="75"/>
      <c r="CH362" s="75"/>
      <c r="CI362" s="75"/>
      <c r="CJ362" s="75"/>
      <c r="CK362" s="75"/>
      <c r="CL362" s="75"/>
      <c r="CM362" s="75"/>
      <c r="CN362" s="75"/>
      <c r="CO362" s="75"/>
      <c r="CP362" s="75"/>
      <c r="CQ362" s="75"/>
      <c r="CR362" s="75"/>
      <c r="CS362" s="75"/>
      <c r="CT362" s="75"/>
      <c r="CU362" s="75"/>
      <c r="CV362" s="75"/>
      <c r="CW362" s="76"/>
      <c r="CX362" s="72"/>
      <c r="CY362" s="68"/>
      <c r="CZ362" s="68"/>
      <c r="DA362" s="69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 t="s">
        <v>8</v>
      </c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</row>
    <row r="363" spans="1:128" ht="18" customHeight="1" x14ac:dyDescent="0.2">
      <c r="A363" s="74" t="s">
        <v>8</v>
      </c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  <c r="AA363" s="75"/>
      <c r="AB363" s="75"/>
      <c r="AC363" s="75"/>
      <c r="AD363" s="75"/>
      <c r="AE363" s="75"/>
      <c r="AF363" s="75"/>
      <c r="AG363" s="75"/>
      <c r="AH363" s="75"/>
      <c r="AI363" s="75"/>
      <c r="AJ363" s="75"/>
      <c r="AK363" s="75"/>
      <c r="AL363" s="75"/>
      <c r="AM363" s="75"/>
      <c r="AN363" s="75"/>
      <c r="AO363" s="75"/>
      <c r="AP363" s="75"/>
      <c r="AQ363" s="75"/>
      <c r="AR363" s="75"/>
      <c r="AS363" s="75"/>
      <c r="AT363" s="75"/>
      <c r="AU363" s="75"/>
      <c r="AV363" s="75"/>
      <c r="AW363" s="75"/>
      <c r="AX363" s="75"/>
      <c r="AY363" s="75"/>
      <c r="AZ363" s="75"/>
      <c r="BA363" s="75"/>
      <c r="BB363" s="75"/>
      <c r="BC363" s="75"/>
      <c r="BD363" s="75"/>
      <c r="BE363" s="75"/>
      <c r="BF363" s="75"/>
      <c r="BG363" s="75"/>
      <c r="BH363" s="75"/>
      <c r="BI363" s="75"/>
      <c r="BJ363" s="75"/>
      <c r="BK363" s="75"/>
      <c r="BL363" s="75"/>
      <c r="BM363" s="75"/>
      <c r="BN363" s="75"/>
      <c r="BO363" s="75"/>
      <c r="BP363" s="75"/>
      <c r="BQ363" s="75"/>
      <c r="BR363" s="75"/>
      <c r="BS363" s="75"/>
      <c r="BT363" s="75"/>
      <c r="BU363" s="75"/>
      <c r="BV363" s="75"/>
      <c r="BW363" s="75"/>
      <c r="BX363" s="75"/>
      <c r="BY363" s="75"/>
      <c r="BZ363" s="75"/>
      <c r="CA363" s="75"/>
      <c r="CB363" s="75"/>
      <c r="CC363" s="75"/>
      <c r="CD363" s="75"/>
      <c r="CE363" s="75"/>
      <c r="CF363" s="75"/>
      <c r="CG363" s="75"/>
      <c r="CH363" s="75"/>
      <c r="CI363" s="75"/>
      <c r="CJ363" s="75"/>
      <c r="CK363" s="75"/>
      <c r="CL363" s="75"/>
      <c r="CM363" s="75"/>
      <c r="CN363" s="75"/>
      <c r="CO363" s="75"/>
      <c r="CP363" s="75"/>
      <c r="CQ363" s="75"/>
      <c r="CR363" s="75"/>
      <c r="CS363" s="75"/>
      <c r="CT363" s="75"/>
      <c r="CU363" s="75"/>
      <c r="CV363" s="75"/>
      <c r="CW363" s="76"/>
      <c r="CX363" s="72"/>
      <c r="CY363" s="68"/>
      <c r="CZ363" s="68"/>
      <c r="DA363" s="69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</row>
    <row r="364" spans="1:128" ht="18" customHeight="1" x14ac:dyDescent="0.2">
      <c r="A364" s="98"/>
      <c r="B364" s="99"/>
      <c r="C364" s="99"/>
      <c r="D364" s="99"/>
      <c r="E364" s="99"/>
      <c r="F364" s="99" t="s">
        <v>424</v>
      </c>
      <c r="G364" s="99"/>
      <c r="H364" s="99"/>
      <c r="I364" s="99"/>
      <c r="J364" s="99" t="s">
        <v>328</v>
      </c>
      <c r="K364" s="99"/>
      <c r="L364" s="99"/>
      <c r="M364" s="99"/>
      <c r="N364" s="99"/>
      <c r="O364" s="99"/>
      <c r="P364" s="99"/>
      <c r="Q364" s="99"/>
      <c r="R364" s="99"/>
      <c r="S364" s="99"/>
      <c r="T364" s="99"/>
      <c r="U364" s="99"/>
      <c r="V364" s="99"/>
      <c r="W364" s="99"/>
      <c r="X364" s="99"/>
      <c r="Y364" s="99"/>
      <c r="Z364" s="99"/>
      <c r="AA364" s="99"/>
      <c r="AB364" s="99"/>
      <c r="AC364" s="99"/>
      <c r="AD364" s="99"/>
      <c r="AE364" s="99"/>
      <c r="AF364" s="99"/>
      <c r="AG364" s="99"/>
      <c r="AH364" s="99"/>
      <c r="AI364" s="99"/>
      <c r="AJ364" s="99"/>
      <c r="AK364" s="99"/>
      <c r="AL364" s="99"/>
      <c r="AM364" s="99"/>
      <c r="AN364" s="99"/>
      <c r="AO364" s="99"/>
      <c r="AP364" s="99"/>
      <c r="AQ364" s="99"/>
      <c r="AR364" s="99"/>
      <c r="AS364" s="99"/>
      <c r="AT364" s="99"/>
      <c r="AU364" s="99"/>
      <c r="AV364" s="99"/>
      <c r="AW364" s="99"/>
      <c r="AX364" s="99"/>
      <c r="AY364" s="99"/>
      <c r="AZ364" s="99"/>
      <c r="BA364" s="99"/>
      <c r="BB364" s="99"/>
      <c r="BC364" s="99"/>
      <c r="BD364" s="99"/>
      <c r="BE364" s="99"/>
      <c r="BF364" s="99"/>
      <c r="BG364" s="99"/>
      <c r="BH364" s="99"/>
      <c r="BI364" s="99"/>
      <c r="BJ364" s="99"/>
      <c r="BK364" s="99"/>
      <c r="BL364" s="99"/>
      <c r="BM364" s="99"/>
      <c r="BN364" s="99"/>
      <c r="BO364" s="99"/>
      <c r="BP364" s="99"/>
      <c r="BQ364" s="99"/>
      <c r="BR364" s="99"/>
      <c r="BS364" s="99"/>
      <c r="BT364" s="99"/>
      <c r="BU364" s="99"/>
      <c r="BV364" s="99"/>
      <c r="BW364" s="99"/>
      <c r="BX364" s="99"/>
      <c r="BY364" s="99"/>
      <c r="BZ364" s="99"/>
      <c r="CA364" s="99"/>
      <c r="CB364" s="99"/>
      <c r="CC364" s="99"/>
      <c r="CD364" s="99"/>
      <c r="CE364" s="99"/>
      <c r="CF364" s="99"/>
      <c r="CG364" s="99"/>
      <c r="CH364" s="99"/>
      <c r="CI364" s="99"/>
      <c r="CJ364" s="99"/>
      <c r="CK364" s="99"/>
      <c r="CL364" s="99"/>
      <c r="CM364" s="99"/>
      <c r="CN364" s="99"/>
      <c r="CO364" s="99"/>
      <c r="CP364" s="99"/>
      <c r="CQ364" s="99"/>
      <c r="CR364" s="99"/>
      <c r="CS364" s="99"/>
      <c r="CT364" s="99"/>
      <c r="CU364" s="99"/>
      <c r="CV364" s="99"/>
      <c r="CW364" s="100"/>
      <c r="CX364" s="101">
        <f>CY364+CZ364+DA364</f>
        <v>126513.9</v>
      </c>
      <c r="CY364" s="102" t="str">
        <f>TEXT(TRUNC(CY356+CY358+CY360,1),"#,###.0")</f>
        <v>.0</v>
      </c>
      <c r="CZ364" s="102" t="str">
        <f>TEXT(TRUNC(CZ356+CZ358+CZ360,1),"#,###.0")</f>
        <v>.0</v>
      </c>
      <c r="DA364" s="103" t="str">
        <f>TEXT(TRUNC(DA356+DA358+DA360,1),"#,###.0")</f>
        <v>126,513.9</v>
      </c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 t="s">
        <v>8</v>
      </c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</row>
    <row r="365" spans="1:128" ht="18" customHeight="1" x14ac:dyDescent="0.2">
      <c r="A365" s="74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  <c r="AA365" s="75"/>
      <c r="AB365" s="75"/>
      <c r="AC365" s="75"/>
      <c r="AD365" s="75"/>
      <c r="AE365" s="75"/>
      <c r="AF365" s="75"/>
      <c r="AG365" s="75"/>
      <c r="AH365" s="75"/>
      <c r="AI365" s="75"/>
      <c r="AJ365" s="75"/>
      <c r="AK365" s="75"/>
      <c r="AL365" s="75"/>
      <c r="AM365" s="75"/>
      <c r="AN365" s="75"/>
      <c r="AO365" s="75"/>
      <c r="AP365" s="75"/>
      <c r="AQ365" s="75"/>
      <c r="AR365" s="75"/>
      <c r="AS365" s="75"/>
      <c r="AT365" s="75"/>
      <c r="AU365" s="75"/>
      <c r="AV365" s="75"/>
      <c r="AW365" s="75"/>
      <c r="AX365" s="75"/>
      <c r="AY365" s="75"/>
      <c r="AZ365" s="75"/>
      <c r="BA365" s="75"/>
      <c r="BB365" s="75"/>
      <c r="BC365" s="75"/>
      <c r="BD365" s="75"/>
      <c r="BE365" s="75"/>
      <c r="BF365" s="75"/>
      <c r="BG365" s="75"/>
      <c r="BH365" s="75"/>
      <c r="BI365" s="75"/>
      <c r="BJ365" s="75"/>
      <c r="BK365" s="75"/>
      <c r="BL365" s="75"/>
      <c r="BM365" s="75"/>
      <c r="BN365" s="75"/>
      <c r="BO365" s="75"/>
      <c r="BP365" s="75"/>
      <c r="BQ365" s="75"/>
      <c r="BR365" s="75"/>
      <c r="BS365" s="75"/>
      <c r="BT365" s="75"/>
      <c r="BU365" s="75"/>
      <c r="BV365" s="75"/>
      <c r="BW365" s="75"/>
      <c r="BX365" s="75"/>
      <c r="BY365" s="75"/>
      <c r="BZ365" s="75"/>
      <c r="CA365" s="75"/>
      <c r="CB365" s="75"/>
      <c r="CC365" s="75"/>
      <c r="CD365" s="75"/>
      <c r="CE365" s="75"/>
      <c r="CF365" s="75"/>
      <c r="CG365" s="75"/>
      <c r="CH365" s="75"/>
      <c r="CI365" s="75"/>
      <c r="CJ365" s="75"/>
      <c r="CK365" s="75"/>
      <c r="CL365" s="75"/>
      <c r="CM365" s="75"/>
      <c r="CN365" s="75"/>
      <c r="CO365" s="75"/>
      <c r="CP365" s="75"/>
      <c r="CQ365" s="75"/>
      <c r="CR365" s="75"/>
      <c r="CS365" s="75"/>
      <c r="CT365" s="75"/>
      <c r="CU365" s="75"/>
      <c r="CV365" s="75"/>
      <c r="CW365" s="76"/>
      <c r="CX365" s="72"/>
      <c r="CY365" s="68"/>
      <c r="CZ365" s="68"/>
      <c r="DA365" s="69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</row>
    <row r="366" spans="1:128" ht="18" customHeight="1" x14ac:dyDescent="0.2">
      <c r="A366" s="86" t="s">
        <v>389</v>
      </c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  <c r="AA366" s="87"/>
      <c r="AB366" s="87"/>
      <c r="AC366" s="87"/>
      <c r="AD366" s="87"/>
      <c r="AE366" s="87"/>
      <c r="AF366" s="87"/>
      <c r="AG366" s="87"/>
      <c r="AH366" s="87"/>
      <c r="AI366" s="87"/>
      <c r="AJ366" s="87"/>
      <c r="AK366" s="87"/>
      <c r="AL366" s="87"/>
      <c r="AM366" s="87"/>
      <c r="AN366" s="87"/>
      <c r="AO366" s="87"/>
      <c r="AP366" s="87"/>
      <c r="AQ366" s="87"/>
      <c r="AR366" s="87"/>
      <c r="AS366" s="87"/>
      <c r="AT366" s="87"/>
      <c r="AU366" s="87"/>
      <c r="AV366" s="87"/>
      <c r="AW366" s="87"/>
      <c r="AX366" s="87"/>
      <c r="AY366" s="87"/>
      <c r="AZ366" s="87"/>
      <c r="BA366" s="87"/>
      <c r="BB366" s="87"/>
      <c r="BC366" s="87"/>
      <c r="BD366" s="87"/>
      <c r="BE366" s="87"/>
      <c r="BF366" s="87"/>
      <c r="BG366" s="87"/>
      <c r="BH366" s="87"/>
      <c r="BI366" s="87"/>
      <c r="BJ366" s="87"/>
      <c r="BK366" s="87"/>
      <c r="BL366" s="87"/>
      <c r="BM366" s="87"/>
      <c r="BN366" s="87"/>
      <c r="BO366" s="87"/>
      <c r="BP366" s="87"/>
      <c r="BQ366" s="87"/>
      <c r="BR366" s="87"/>
      <c r="BS366" s="87"/>
      <c r="BT366" s="87"/>
      <c r="BU366" s="87"/>
      <c r="BV366" s="87"/>
      <c r="BW366" s="87"/>
      <c r="BX366" s="87"/>
      <c r="BY366" s="87"/>
      <c r="BZ366" s="87"/>
      <c r="CA366" s="87"/>
      <c r="CB366" s="87"/>
      <c r="CC366" s="87"/>
      <c r="CD366" s="87"/>
      <c r="CE366" s="87"/>
      <c r="CF366" s="87"/>
      <c r="CG366" s="87"/>
      <c r="CH366" s="87"/>
      <c r="CI366" s="87"/>
      <c r="CJ366" s="87"/>
      <c r="CK366" s="87"/>
      <c r="CL366" s="87"/>
      <c r="CM366" s="87"/>
      <c r="CN366" s="87"/>
      <c r="CO366" s="87"/>
      <c r="CP366" s="87"/>
      <c r="CQ366" s="87"/>
      <c r="CR366" s="87"/>
      <c r="CS366" s="87"/>
      <c r="CT366" s="87"/>
      <c r="CU366" s="87"/>
      <c r="CV366" s="87"/>
      <c r="CW366" s="88"/>
      <c r="CX366" s="89" t="str">
        <f>TEXT(CY366+CZ366+DA366,"#,##0")</f>
        <v>126,513</v>
      </c>
      <c r="CY366" s="90" t="str">
        <f>TEXT(TRUNC(CY364,0),"#,##0")</f>
        <v>0</v>
      </c>
      <c r="CZ366" s="90" t="str">
        <f>TEXT(TRUNC(CZ364,0),"#,##0")</f>
        <v>0</v>
      </c>
      <c r="DA366" s="91" t="str">
        <f>TEXT(TRUNC(DA364,0),"#,##0")</f>
        <v>126,513</v>
      </c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</row>
    <row r="367" spans="1:128" ht="18" customHeight="1" x14ac:dyDescent="0.2">
      <c r="A367" s="74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  <c r="AA367" s="75"/>
      <c r="AB367" s="75"/>
      <c r="AC367" s="75"/>
      <c r="AD367" s="75"/>
      <c r="AE367" s="75"/>
      <c r="AF367" s="75"/>
      <c r="AG367" s="75"/>
      <c r="AH367" s="75"/>
      <c r="AI367" s="75"/>
      <c r="AJ367" s="75"/>
      <c r="AK367" s="75"/>
      <c r="AL367" s="75"/>
      <c r="AM367" s="75"/>
      <c r="AN367" s="75"/>
      <c r="AO367" s="75"/>
      <c r="AP367" s="75"/>
      <c r="AQ367" s="75"/>
      <c r="AR367" s="75"/>
      <c r="AS367" s="75"/>
      <c r="AT367" s="75"/>
      <c r="AU367" s="75"/>
      <c r="AV367" s="75"/>
      <c r="AW367" s="75"/>
      <c r="AX367" s="75"/>
      <c r="AY367" s="75"/>
      <c r="AZ367" s="75"/>
      <c r="BA367" s="75"/>
      <c r="BB367" s="75"/>
      <c r="BC367" s="75"/>
      <c r="BD367" s="75"/>
      <c r="BE367" s="75"/>
      <c r="BF367" s="75"/>
      <c r="BG367" s="75"/>
      <c r="BH367" s="75"/>
      <c r="BI367" s="75"/>
      <c r="BJ367" s="75"/>
      <c r="BK367" s="75"/>
      <c r="BL367" s="75"/>
      <c r="BM367" s="75"/>
      <c r="BN367" s="75"/>
      <c r="BO367" s="75"/>
      <c r="BP367" s="75"/>
      <c r="BQ367" s="75"/>
      <c r="BR367" s="75"/>
      <c r="BS367" s="75"/>
      <c r="BT367" s="75"/>
      <c r="BU367" s="75"/>
      <c r="BV367" s="75"/>
      <c r="BW367" s="75"/>
      <c r="BX367" s="75"/>
      <c r="BY367" s="75"/>
      <c r="BZ367" s="75"/>
      <c r="CA367" s="75"/>
      <c r="CB367" s="75"/>
      <c r="CC367" s="75"/>
      <c r="CD367" s="75"/>
      <c r="CE367" s="75"/>
      <c r="CF367" s="75"/>
      <c r="CG367" s="75"/>
      <c r="CH367" s="75"/>
      <c r="CI367" s="75"/>
      <c r="CJ367" s="75"/>
      <c r="CK367" s="75"/>
      <c r="CL367" s="75"/>
      <c r="CM367" s="75"/>
      <c r="CN367" s="75"/>
      <c r="CO367" s="75"/>
      <c r="CP367" s="75"/>
      <c r="CQ367" s="75"/>
      <c r="CR367" s="75"/>
      <c r="CS367" s="75"/>
      <c r="CT367" s="75"/>
      <c r="CU367" s="75"/>
      <c r="CV367" s="75"/>
      <c r="CW367" s="76"/>
      <c r="CX367" s="72"/>
      <c r="CY367" s="68"/>
      <c r="CZ367" s="68"/>
      <c r="DA367" s="69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</row>
    <row r="368" spans="1:128" ht="18" customHeight="1" x14ac:dyDescent="0.2">
      <c r="A368" s="135" t="s">
        <v>319</v>
      </c>
      <c r="B368" s="135"/>
      <c r="C368" s="135"/>
      <c r="D368" s="135"/>
      <c r="E368" s="135"/>
      <c r="F368" s="135"/>
      <c r="G368" s="135"/>
      <c r="H368" s="135"/>
      <c r="I368" s="135"/>
      <c r="J368" s="135"/>
      <c r="K368" s="135"/>
      <c r="L368" s="135"/>
      <c r="M368" s="135"/>
      <c r="N368" s="135"/>
      <c r="O368" s="135"/>
      <c r="P368" s="135"/>
      <c r="Q368" s="135"/>
      <c r="R368" s="135"/>
      <c r="S368" s="135"/>
      <c r="T368" s="135"/>
      <c r="U368" s="135"/>
      <c r="V368" s="135"/>
      <c r="W368" s="135"/>
      <c r="X368" s="135"/>
      <c r="Y368" s="135"/>
      <c r="Z368" s="135"/>
      <c r="AA368" s="135"/>
      <c r="AB368" s="135"/>
      <c r="AC368" s="135"/>
      <c r="AD368" s="135"/>
      <c r="AE368" s="135"/>
      <c r="AF368" s="135"/>
      <c r="AG368" s="135"/>
      <c r="AH368" s="135"/>
      <c r="AI368" s="135"/>
      <c r="AJ368" s="135"/>
      <c r="AK368" s="135"/>
      <c r="AL368" s="135"/>
      <c r="AM368" s="135"/>
      <c r="AN368" s="135"/>
      <c r="AO368" s="135"/>
      <c r="AP368" s="135"/>
      <c r="AQ368" s="135"/>
      <c r="AR368" s="135"/>
      <c r="AS368" s="135"/>
      <c r="AT368" s="135"/>
      <c r="AU368" s="135"/>
      <c r="AV368" s="135"/>
      <c r="AW368" s="135"/>
      <c r="AX368" s="135"/>
      <c r="AY368" s="135"/>
      <c r="AZ368" s="135"/>
      <c r="BA368" s="135"/>
      <c r="BB368" s="135"/>
      <c r="BC368" s="135"/>
      <c r="BD368" s="135"/>
      <c r="BE368" s="135"/>
      <c r="BF368" s="135"/>
      <c r="BG368" s="135"/>
      <c r="BH368" s="135"/>
      <c r="BI368" s="135"/>
      <c r="BJ368" s="135"/>
      <c r="BK368" s="135"/>
      <c r="BL368" s="135"/>
      <c r="BM368" s="135"/>
      <c r="BN368" s="135"/>
      <c r="BO368" s="135"/>
      <c r="BP368" s="135"/>
      <c r="BQ368" s="135"/>
      <c r="BR368" s="135"/>
      <c r="BS368" s="135"/>
      <c r="BT368" s="135"/>
      <c r="BU368" s="135"/>
      <c r="BV368" s="135"/>
      <c r="BW368" s="135"/>
      <c r="BX368" s="135"/>
      <c r="BY368" s="135"/>
      <c r="BZ368" s="135"/>
      <c r="CA368" s="135"/>
      <c r="CB368" s="135"/>
      <c r="CC368" s="135"/>
      <c r="CD368" s="135"/>
      <c r="CE368" s="135"/>
      <c r="CF368" s="135"/>
      <c r="CG368" s="135"/>
      <c r="CH368" s="135"/>
      <c r="CI368" s="135"/>
      <c r="CJ368" s="135"/>
      <c r="CK368" s="135"/>
      <c r="CL368" s="135"/>
      <c r="CM368" s="135"/>
      <c r="CN368" s="135"/>
      <c r="CO368" s="135"/>
      <c r="CP368" s="135"/>
      <c r="CQ368" s="135"/>
      <c r="CR368" s="135"/>
      <c r="CS368" s="135"/>
      <c r="CT368" s="135"/>
      <c r="CU368" s="135"/>
      <c r="CV368" s="135"/>
      <c r="CW368" s="135"/>
      <c r="CX368" s="83"/>
      <c r="CY368" s="84"/>
      <c r="CZ368" s="84"/>
      <c r="DA368" s="85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 t="s">
        <v>666</v>
      </c>
      <c r="DN368" s="1" t="s">
        <v>282</v>
      </c>
      <c r="DO368" s="1"/>
      <c r="DP368" s="1"/>
      <c r="DQ368" s="1"/>
      <c r="DR368" s="1"/>
      <c r="DS368" s="1"/>
      <c r="DT368" s="1"/>
      <c r="DU368" s="1"/>
      <c r="DV368" s="1"/>
      <c r="DW368" s="1"/>
      <c r="DX368" s="1"/>
    </row>
    <row r="369" spans="1:128" ht="18" customHeight="1" x14ac:dyDescent="0.2">
      <c r="A369" s="74" t="s">
        <v>264</v>
      </c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  <c r="AA369" s="75"/>
      <c r="AB369" s="75"/>
      <c r="AC369" s="75"/>
      <c r="AD369" s="75"/>
      <c r="AE369" s="75"/>
      <c r="AF369" s="75"/>
      <c r="AG369" s="75"/>
      <c r="AH369" s="75"/>
      <c r="AI369" s="75"/>
      <c r="AJ369" s="75"/>
      <c r="AK369" s="75"/>
      <c r="AL369" s="75"/>
      <c r="AM369" s="75"/>
      <c r="AN369" s="75"/>
      <c r="AO369" s="75"/>
      <c r="AP369" s="75"/>
      <c r="AQ369" s="75"/>
      <c r="AR369" s="75"/>
      <c r="AS369" s="75"/>
      <c r="AT369" s="75"/>
      <c r="AU369" s="75"/>
      <c r="AV369" s="75"/>
      <c r="AW369" s="75"/>
      <c r="AX369" s="75"/>
      <c r="AY369" s="75"/>
      <c r="AZ369" s="75"/>
      <c r="BA369" s="75"/>
      <c r="BB369" s="75"/>
      <c r="BC369" s="75"/>
      <c r="BD369" s="75"/>
      <c r="BE369" s="75"/>
      <c r="BF369" s="75"/>
      <c r="BG369" s="75"/>
      <c r="BH369" s="75"/>
      <c r="BI369" s="75"/>
      <c r="BJ369" s="75"/>
      <c r="BK369" s="75"/>
      <c r="BL369" s="75"/>
      <c r="BM369" s="75"/>
      <c r="BN369" s="75"/>
      <c r="BO369" s="75"/>
      <c r="BP369" s="75"/>
      <c r="BQ369" s="75"/>
      <c r="BR369" s="75"/>
      <c r="BS369" s="75"/>
      <c r="BT369" s="75"/>
      <c r="BU369" s="75"/>
      <c r="BV369" s="75"/>
      <c r="BW369" s="75"/>
      <c r="BX369" s="75"/>
      <c r="BY369" s="75"/>
      <c r="BZ369" s="75"/>
      <c r="CA369" s="75"/>
      <c r="CB369" s="75"/>
      <c r="CC369" s="75"/>
      <c r="CD369" s="75"/>
      <c r="CE369" s="75"/>
      <c r="CF369" s="75"/>
      <c r="CG369" s="75"/>
      <c r="CH369" s="75"/>
      <c r="CI369" s="75"/>
      <c r="CJ369" s="75"/>
      <c r="CK369" s="75"/>
      <c r="CL369" s="75"/>
      <c r="CM369" s="75"/>
      <c r="CN369" s="75"/>
      <c r="CO369" s="75"/>
      <c r="CP369" s="75"/>
      <c r="CQ369" s="75"/>
      <c r="CR369" s="75"/>
      <c r="CS369" s="75"/>
      <c r="CT369" s="75"/>
      <c r="CU369" s="75"/>
      <c r="CV369" s="75"/>
      <c r="CW369" s="76"/>
      <c r="CX369" s="72">
        <f>CY369+CZ369+DA369</f>
        <v>0</v>
      </c>
      <c r="CY369" s="68"/>
      <c r="CZ369" s="68"/>
      <c r="DA369" s="69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 t="s">
        <v>8</v>
      </c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</row>
    <row r="370" spans="1:128" ht="18" customHeight="1" x14ac:dyDescent="0.2">
      <c r="A370" s="74" t="s">
        <v>8</v>
      </c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  <c r="AA370" s="75"/>
      <c r="AB370" s="75"/>
      <c r="AC370" s="75"/>
      <c r="AD370" s="75"/>
      <c r="AE370" s="75"/>
      <c r="AF370" s="75"/>
      <c r="AG370" s="75"/>
      <c r="AH370" s="75"/>
      <c r="AI370" s="75"/>
      <c r="AJ370" s="75"/>
      <c r="AK370" s="75"/>
      <c r="AL370" s="75"/>
      <c r="AM370" s="75"/>
      <c r="AN370" s="75"/>
      <c r="AO370" s="75"/>
      <c r="AP370" s="75"/>
      <c r="AQ370" s="75"/>
      <c r="AR370" s="75"/>
      <c r="AS370" s="75"/>
      <c r="AT370" s="75"/>
      <c r="AU370" s="75"/>
      <c r="AV370" s="75"/>
      <c r="AW370" s="75"/>
      <c r="AX370" s="75"/>
      <c r="AY370" s="75"/>
      <c r="AZ370" s="75"/>
      <c r="BA370" s="75"/>
      <c r="BB370" s="75"/>
      <c r="BC370" s="75"/>
      <c r="BD370" s="75"/>
      <c r="BE370" s="75"/>
      <c r="BF370" s="75"/>
      <c r="BG370" s="75"/>
      <c r="BH370" s="75"/>
      <c r="BI370" s="75"/>
      <c r="BJ370" s="75"/>
      <c r="BK370" s="75"/>
      <c r="BL370" s="75"/>
      <c r="BM370" s="75"/>
      <c r="BN370" s="75"/>
      <c r="BO370" s="75"/>
      <c r="BP370" s="75"/>
      <c r="BQ370" s="75"/>
      <c r="BR370" s="75"/>
      <c r="BS370" s="75"/>
      <c r="BT370" s="75"/>
      <c r="BU370" s="75"/>
      <c r="BV370" s="75"/>
      <c r="BW370" s="75"/>
      <c r="BX370" s="75"/>
      <c r="BY370" s="75"/>
      <c r="BZ370" s="75"/>
      <c r="CA370" s="75"/>
      <c r="CB370" s="75"/>
      <c r="CC370" s="75"/>
      <c r="CD370" s="75"/>
      <c r="CE370" s="75"/>
      <c r="CF370" s="75"/>
      <c r="CG370" s="75"/>
      <c r="CH370" s="75"/>
      <c r="CI370" s="75"/>
      <c r="CJ370" s="75"/>
      <c r="CK370" s="75"/>
      <c r="CL370" s="75"/>
      <c r="CM370" s="75"/>
      <c r="CN370" s="75"/>
      <c r="CO370" s="75"/>
      <c r="CP370" s="75"/>
      <c r="CQ370" s="75"/>
      <c r="CR370" s="75"/>
      <c r="CS370" s="75"/>
      <c r="CT370" s="75"/>
      <c r="CU370" s="75"/>
      <c r="CV370" s="75"/>
      <c r="CW370" s="76"/>
      <c r="CX370" s="72"/>
      <c r="CY370" s="68"/>
      <c r="CZ370" s="68"/>
      <c r="DA370" s="69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</row>
    <row r="371" spans="1:128" ht="18" customHeight="1" x14ac:dyDescent="0.2">
      <c r="A371" s="74" t="s">
        <v>156</v>
      </c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  <c r="AA371" s="75"/>
      <c r="AB371" s="75"/>
      <c r="AC371" s="75"/>
      <c r="AD371" s="75"/>
      <c r="AE371" s="75"/>
      <c r="AF371" s="75"/>
      <c r="AG371" s="75"/>
      <c r="AH371" s="75"/>
      <c r="AI371" s="75"/>
      <c r="AJ371" s="75"/>
      <c r="AK371" s="75"/>
      <c r="AL371" s="75"/>
      <c r="AM371" s="75"/>
      <c r="AN371" s="75"/>
      <c r="AO371" s="75"/>
      <c r="AP371" s="75"/>
      <c r="AQ371" s="75"/>
      <c r="AR371" s="75"/>
      <c r="AS371" s="75"/>
      <c r="AT371" s="75"/>
      <c r="AU371" s="75"/>
      <c r="AV371" s="75"/>
      <c r="AW371" s="75"/>
      <c r="AX371" s="75"/>
      <c r="AY371" s="75"/>
      <c r="AZ371" s="75"/>
      <c r="BA371" s="75"/>
      <c r="BB371" s="75"/>
      <c r="BC371" s="75"/>
      <c r="BD371" s="75"/>
      <c r="BE371" s="75"/>
      <c r="BF371" s="75"/>
      <c r="BG371" s="75"/>
      <c r="BH371" s="75"/>
      <c r="BI371" s="75"/>
      <c r="BJ371" s="75"/>
      <c r="BK371" s="75"/>
      <c r="BL371" s="75"/>
      <c r="BM371" s="75"/>
      <c r="BN371" s="75"/>
      <c r="BO371" s="75"/>
      <c r="BP371" s="75"/>
      <c r="BQ371" s="75"/>
      <c r="BR371" s="75"/>
      <c r="BS371" s="75"/>
      <c r="BT371" s="75"/>
      <c r="BU371" s="75"/>
      <c r="BV371" s="75"/>
      <c r="BW371" s="75"/>
      <c r="BX371" s="75"/>
      <c r="BY371" s="75"/>
      <c r="BZ371" s="75"/>
      <c r="CA371" s="75"/>
      <c r="CB371" s="75"/>
      <c r="CC371" s="75"/>
      <c r="CD371" s="75"/>
      <c r="CE371" s="75"/>
      <c r="CF371" s="75"/>
      <c r="CG371" s="75"/>
      <c r="CH371" s="75"/>
      <c r="CI371" s="75"/>
      <c r="CJ371" s="75"/>
      <c r="CK371" s="75"/>
      <c r="CL371" s="75"/>
      <c r="CM371" s="75"/>
      <c r="CN371" s="75"/>
      <c r="CO371" s="75"/>
      <c r="CP371" s="75"/>
      <c r="CQ371" s="75"/>
      <c r="CR371" s="75"/>
      <c r="CS371" s="75"/>
      <c r="CT371" s="75"/>
      <c r="CU371" s="75"/>
      <c r="CV371" s="75"/>
      <c r="CW371" s="76"/>
      <c r="CX371" s="72"/>
      <c r="CY371" s="68"/>
      <c r="CZ371" s="68"/>
      <c r="DA371" s="69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</row>
    <row r="372" spans="1:128" ht="18" customHeight="1" x14ac:dyDescent="0.2">
      <c r="A372" s="74" t="s">
        <v>8</v>
      </c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  <c r="AA372" s="75"/>
      <c r="AB372" s="75"/>
      <c r="AC372" s="75"/>
      <c r="AD372" s="75"/>
      <c r="AE372" s="75"/>
      <c r="AF372" s="75"/>
      <c r="AG372" s="75"/>
      <c r="AH372" s="75"/>
      <c r="AI372" s="75"/>
      <c r="AJ372" s="75"/>
      <c r="AK372" s="75"/>
      <c r="AL372" s="75"/>
      <c r="AM372" s="75"/>
      <c r="AN372" s="75"/>
      <c r="AO372" s="75"/>
      <c r="AP372" s="75"/>
      <c r="AQ372" s="75"/>
      <c r="AR372" s="75"/>
      <c r="AS372" s="75"/>
      <c r="AT372" s="75"/>
      <c r="AU372" s="75"/>
      <c r="AV372" s="75"/>
      <c r="AW372" s="75"/>
      <c r="AX372" s="75"/>
      <c r="AY372" s="75"/>
      <c r="AZ372" s="75"/>
      <c r="BA372" s="75"/>
      <c r="BB372" s="75"/>
      <c r="BC372" s="75"/>
      <c r="BD372" s="75"/>
      <c r="BE372" s="75"/>
      <c r="BF372" s="75"/>
      <c r="BG372" s="75"/>
      <c r="BH372" s="75"/>
      <c r="BI372" s="75"/>
      <c r="BJ372" s="75"/>
      <c r="BK372" s="75"/>
      <c r="BL372" s="75"/>
      <c r="BM372" s="75"/>
      <c r="BN372" s="75"/>
      <c r="BO372" s="75"/>
      <c r="BP372" s="75"/>
      <c r="BQ372" s="75"/>
      <c r="BR372" s="75"/>
      <c r="BS372" s="75"/>
      <c r="BT372" s="75"/>
      <c r="BU372" s="75"/>
      <c r="BV372" s="75"/>
      <c r="BW372" s="75"/>
      <c r="BX372" s="75"/>
      <c r="BY372" s="75"/>
      <c r="BZ372" s="75"/>
      <c r="CA372" s="75"/>
      <c r="CB372" s="75"/>
      <c r="CC372" s="75"/>
      <c r="CD372" s="75"/>
      <c r="CE372" s="75"/>
      <c r="CF372" s="75"/>
      <c r="CG372" s="75"/>
      <c r="CH372" s="75"/>
      <c r="CI372" s="75"/>
      <c r="CJ372" s="75"/>
      <c r="CK372" s="75"/>
      <c r="CL372" s="75"/>
      <c r="CM372" s="75"/>
      <c r="CN372" s="75"/>
      <c r="CO372" s="75"/>
      <c r="CP372" s="75"/>
      <c r="CQ372" s="75"/>
      <c r="CR372" s="75"/>
      <c r="CS372" s="75"/>
      <c r="CT372" s="75"/>
      <c r="CU372" s="75"/>
      <c r="CV372" s="75"/>
      <c r="CW372" s="76"/>
      <c r="CX372" s="72"/>
      <c r="CY372" s="68"/>
      <c r="CZ372" s="68"/>
      <c r="DA372" s="69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</row>
    <row r="373" spans="1:128" ht="18" customHeight="1" x14ac:dyDescent="0.2">
      <c r="A373" s="74" t="s">
        <v>446</v>
      </c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  <c r="AA373" s="75"/>
      <c r="AB373" s="75"/>
      <c r="AC373" s="75"/>
      <c r="AD373" s="75"/>
      <c r="AE373" s="75"/>
      <c r="AF373" s="75"/>
      <c r="AG373" s="75"/>
      <c r="AH373" s="75"/>
      <c r="AI373" s="75"/>
      <c r="AJ373" s="75"/>
      <c r="AK373" s="75"/>
      <c r="AL373" s="75"/>
      <c r="AM373" s="75"/>
      <c r="AN373" s="75"/>
      <c r="AO373" s="75"/>
      <c r="AP373" s="75"/>
      <c r="AQ373" s="75"/>
      <c r="AR373" s="75"/>
      <c r="AS373" s="75"/>
      <c r="AT373" s="75"/>
      <c r="AU373" s="75"/>
      <c r="AV373" s="75"/>
      <c r="AW373" s="75"/>
      <c r="AX373" s="75"/>
      <c r="AY373" s="75"/>
      <c r="AZ373" s="75"/>
      <c r="BA373" s="75"/>
      <c r="BB373" s="75"/>
      <c r="BC373" s="75"/>
      <c r="BD373" s="75"/>
      <c r="BE373" s="75"/>
      <c r="BF373" s="75"/>
      <c r="BG373" s="75"/>
      <c r="BH373" s="75"/>
      <c r="BI373" s="75"/>
      <c r="BJ373" s="75"/>
      <c r="BK373" s="75"/>
      <c r="BL373" s="75"/>
      <c r="BM373" s="75"/>
      <c r="BN373" s="75"/>
      <c r="BO373" s="75"/>
      <c r="BP373" s="75"/>
      <c r="BQ373" s="75"/>
      <c r="BR373" s="75"/>
      <c r="BS373" s="75"/>
      <c r="BT373" s="75"/>
      <c r="BU373" s="75"/>
      <c r="BV373" s="75"/>
      <c r="BW373" s="75"/>
      <c r="BX373" s="75"/>
      <c r="BY373" s="75"/>
      <c r="BZ373" s="75"/>
      <c r="CA373" s="75"/>
      <c r="CB373" s="75"/>
      <c r="CC373" s="75"/>
      <c r="CD373" s="75"/>
      <c r="CE373" s="75"/>
      <c r="CF373" s="75"/>
      <c r="CG373" s="75"/>
      <c r="CH373" s="75"/>
      <c r="CI373" s="75"/>
      <c r="CJ373" s="75"/>
      <c r="CK373" s="75"/>
      <c r="CL373" s="75"/>
      <c r="CM373" s="75"/>
      <c r="CN373" s="75"/>
      <c r="CO373" s="75"/>
      <c r="CP373" s="75"/>
      <c r="CQ373" s="75"/>
      <c r="CR373" s="75"/>
      <c r="CS373" s="75"/>
      <c r="CT373" s="75"/>
      <c r="CU373" s="75"/>
      <c r="CV373" s="75"/>
      <c r="CW373" s="76"/>
      <c r="CX373" s="72"/>
      <c r="CY373" s="68"/>
      <c r="CZ373" s="68"/>
      <c r="DA373" s="69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</row>
    <row r="374" spans="1:128" ht="18" customHeight="1" x14ac:dyDescent="0.2">
      <c r="A374" s="74" t="s">
        <v>8</v>
      </c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  <c r="AA374" s="75"/>
      <c r="AB374" s="75"/>
      <c r="AC374" s="75"/>
      <c r="AD374" s="75"/>
      <c r="AE374" s="75"/>
      <c r="AF374" s="75"/>
      <c r="AG374" s="75"/>
      <c r="AH374" s="75"/>
      <c r="AI374" s="75"/>
      <c r="AJ374" s="75"/>
      <c r="AK374" s="75"/>
      <c r="AL374" s="75"/>
      <c r="AM374" s="75"/>
      <c r="AN374" s="75"/>
      <c r="AO374" s="75"/>
      <c r="AP374" s="75"/>
      <c r="AQ374" s="75"/>
      <c r="AR374" s="75"/>
      <c r="AS374" s="75"/>
      <c r="AT374" s="75"/>
      <c r="AU374" s="75"/>
      <c r="AV374" s="75"/>
      <c r="AW374" s="75"/>
      <c r="AX374" s="75"/>
      <c r="AY374" s="75"/>
      <c r="AZ374" s="75"/>
      <c r="BA374" s="75"/>
      <c r="BB374" s="75"/>
      <c r="BC374" s="75"/>
      <c r="BD374" s="75"/>
      <c r="BE374" s="75"/>
      <c r="BF374" s="75"/>
      <c r="BG374" s="75"/>
      <c r="BH374" s="75"/>
      <c r="BI374" s="75"/>
      <c r="BJ374" s="75"/>
      <c r="BK374" s="75"/>
      <c r="BL374" s="75"/>
      <c r="BM374" s="75"/>
      <c r="BN374" s="75"/>
      <c r="BO374" s="75"/>
      <c r="BP374" s="75"/>
      <c r="BQ374" s="75"/>
      <c r="BR374" s="75"/>
      <c r="BS374" s="75"/>
      <c r="BT374" s="75"/>
      <c r="BU374" s="75"/>
      <c r="BV374" s="75"/>
      <c r="BW374" s="75"/>
      <c r="BX374" s="75"/>
      <c r="BY374" s="75"/>
      <c r="BZ374" s="75"/>
      <c r="CA374" s="75"/>
      <c r="CB374" s="75"/>
      <c r="CC374" s="75"/>
      <c r="CD374" s="75"/>
      <c r="CE374" s="75"/>
      <c r="CF374" s="75"/>
      <c r="CG374" s="75"/>
      <c r="CH374" s="75"/>
      <c r="CI374" s="75"/>
      <c r="CJ374" s="75"/>
      <c r="CK374" s="75"/>
      <c r="CL374" s="75"/>
      <c r="CM374" s="75"/>
      <c r="CN374" s="75"/>
      <c r="CO374" s="75"/>
      <c r="CP374" s="75"/>
      <c r="CQ374" s="75"/>
      <c r="CR374" s="75"/>
      <c r="CS374" s="75"/>
      <c r="CT374" s="75"/>
      <c r="CU374" s="75"/>
      <c r="CV374" s="75"/>
      <c r="CW374" s="76"/>
      <c r="CX374" s="72"/>
      <c r="CY374" s="68"/>
      <c r="CZ374" s="68"/>
      <c r="DA374" s="69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</row>
    <row r="375" spans="1:128" ht="18" customHeight="1" x14ac:dyDescent="0.2">
      <c r="A375" s="74" t="s">
        <v>212</v>
      </c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  <c r="AA375" s="75"/>
      <c r="AB375" s="75"/>
      <c r="AC375" s="75"/>
      <c r="AD375" s="75"/>
      <c r="AE375" s="75"/>
      <c r="AF375" s="75"/>
      <c r="AG375" s="75"/>
      <c r="AH375" s="75"/>
      <c r="AI375" s="75"/>
      <c r="AJ375" s="75"/>
      <c r="AK375" s="75"/>
      <c r="AL375" s="75"/>
      <c r="AM375" s="75"/>
      <c r="AN375" s="75"/>
      <c r="AO375" s="75"/>
      <c r="AP375" s="75"/>
      <c r="AQ375" s="75"/>
      <c r="AR375" s="75"/>
      <c r="AS375" s="75"/>
      <c r="AT375" s="75"/>
      <c r="AU375" s="75"/>
      <c r="AV375" s="75"/>
      <c r="AW375" s="75"/>
      <c r="AX375" s="75"/>
      <c r="AY375" s="75"/>
      <c r="AZ375" s="75"/>
      <c r="BA375" s="75"/>
      <c r="BB375" s="75"/>
      <c r="BC375" s="75"/>
      <c r="BD375" s="75"/>
      <c r="BE375" s="75"/>
      <c r="BF375" s="75"/>
      <c r="BG375" s="75"/>
      <c r="BH375" s="75"/>
      <c r="BI375" s="75"/>
      <c r="BJ375" s="75"/>
      <c r="BK375" s="75"/>
      <c r="BL375" s="75"/>
      <c r="BM375" s="75"/>
      <c r="BN375" s="75"/>
      <c r="BO375" s="75"/>
      <c r="BP375" s="75"/>
      <c r="BQ375" s="75"/>
      <c r="BR375" s="75"/>
      <c r="BS375" s="75"/>
      <c r="BT375" s="75"/>
      <c r="BU375" s="75"/>
      <c r="BV375" s="75"/>
      <c r="BW375" s="75"/>
      <c r="BX375" s="75"/>
      <c r="BY375" s="75"/>
      <c r="BZ375" s="75"/>
      <c r="CA375" s="75"/>
      <c r="CB375" s="75"/>
      <c r="CC375" s="75"/>
      <c r="CD375" s="75"/>
      <c r="CE375" s="75"/>
      <c r="CF375" s="75"/>
      <c r="CG375" s="75"/>
      <c r="CH375" s="75"/>
      <c r="CI375" s="75"/>
      <c r="CJ375" s="75"/>
      <c r="CK375" s="75"/>
      <c r="CL375" s="75"/>
      <c r="CM375" s="75"/>
      <c r="CN375" s="75"/>
      <c r="CO375" s="75"/>
      <c r="CP375" s="75"/>
      <c r="CQ375" s="75"/>
      <c r="CR375" s="75"/>
      <c r="CS375" s="75"/>
      <c r="CT375" s="75"/>
      <c r="CU375" s="75"/>
      <c r="CV375" s="75"/>
      <c r="CW375" s="76"/>
      <c r="CX375" s="72"/>
      <c r="CY375" s="68"/>
      <c r="CZ375" s="68"/>
      <c r="DA375" s="69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</row>
    <row r="376" spans="1:128" ht="18" customHeight="1" x14ac:dyDescent="0.2">
      <c r="A376" s="74" t="s">
        <v>8</v>
      </c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  <c r="AA376" s="75"/>
      <c r="AB376" s="75"/>
      <c r="AC376" s="75"/>
      <c r="AD376" s="75"/>
      <c r="AE376" s="75"/>
      <c r="AF376" s="75"/>
      <c r="AG376" s="75"/>
      <c r="AH376" s="75"/>
      <c r="AI376" s="75"/>
      <c r="AJ376" s="75"/>
      <c r="AK376" s="75"/>
      <c r="AL376" s="75"/>
      <c r="AM376" s="75"/>
      <c r="AN376" s="75"/>
      <c r="AO376" s="75"/>
      <c r="AP376" s="75"/>
      <c r="AQ376" s="75"/>
      <c r="AR376" s="75"/>
      <c r="AS376" s="75"/>
      <c r="AT376" s="75"/>
      <c r="AU376" s="75"/>
      <c r="AV376" s="75"/>
      <c r="AW376" s="75"/>
      <c r="AX376" s="75"/>
      <c r="AY376" s="75"/>
      <c r="AZ376" s="75"/>
      <c r="BA376" s="75"/>
      <c r="BB376" s="75"/>
      <c r="BC376" s="75"/>
      <c r="BD376" s="75"/>
      <c r="BE376" s="75"/>
      <c r="BF376" s="75"/>
      <c r="BG376" s="75"/>
      <c r="BH376" s="75"/>
      <c r="BI376" s="75"/>
      <c r="BJ376" s="75"/>
      <c r="BK376" s="75"/>
      <c r="BL376" s="75"/>
      <c r="BM376" s="75"/>
      <c r="BN376" s="75"/>
      <c r="BO376" s="75"/>
      <c r="BP376" s="75"/>
      <c r="BQ376" s="75"/>
      <c r="BR376" s="75"/>
      <c r="BS376" s="75"/>
      <c r="BT376" s="75"/>
      <c r="BU376" s="75"/>
      <c r="BV376" s="75"/>
      <c r="BW376" s="75"/>
      <c r="BX376" s="75"/>
      <c r="BY376" s="75"/>
      <c r="BZ376" s="75"/>
      <c r="CA376" s="75"/>
      <c r="CB376" s="75"/>
      <c r="CC376" s="75"/>
      <c r="CD376" s="75"/>
      <c r="CE376" s="75"/>
      <c r="CF376" s="75"/>
      <c r="CG376" s="75"/>
      <c r="CH376" s="75"/>
      <c r="CI376" s="75"/>
      <c r="CJ376" s="75"/>
      <c r="CK376" s="75"/>
      <c r="CL376" s="75"/>
      <c r="CM376" s="75"/>
      <c r="CN376" s="75"/>
      <c r="CO376" s="75"/>
      <c r="CP376" s="75"/>
      <c r="CQ376" s="75"/>
      <c r="CR376" s="75"/>
      <c r="CS376" s="75"/>
      <c r="CT376" s="75"/>
      <c r="CU376" s="75"/>
      <c r="CV376" s="75"/>
      <c r="CW376" s="76"/>
      <c r="CX376" s="72"/>
      <c r="CY376" s="68"/>
      <c r="CZ376" s="68"/>
      <c r="DA376" s="69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</row>
    <row r="377" spans="1:128" ht="18" customHeight="1" x14ac:dyDescent="0.2">
      <c r="A377" s="74" t="s">
        <v>352</v>
      </c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  <c r="AA377" s="75"/>
      <c r="AB377" s="75"/>
      <c r="AC377" s="75"/>
      <c r="AD377" s="75"/>
      <c r="AE377" s="75"/>
      <c r="AF377" s="75"/>
      <c r="AG377" s="75"/>
      <c r="AH377" s="75"/>
      <c r="AI377" s="75"/>
      <c r="AJ377" s="75"/>
      <c r="AK377" s="75"/>
      <c r="AL377" s="75"/>
      <c r="AM377" s="75"/>
      <c r="AN377" s="75"/>
      <c r="AO377" s="75"/>
      <c r="AP377" s="75"/>
      <c r="AQ377" s="75"/>
      <c r="AR377" s="75"/>
      <c r="AS377" s="75"/>
      <c r="AT377" s="75"/>
      <c r="AU377" s="75"/>
      <c r="AV377" s="75"/>
      <c r="AW377" s="75"/>
      <c r="AX377" s="75"/>
      <c r="AY377" s="75"/>
      <c r="AZ377" s="75"/>
      <c r="BA377" s="75"/>
      <c r="BB377" s="75"/>
      <c r="BC377" s="75"/>
      <c r="BD377" s="75"/>
      <c r="BE377" s="75"/>
      <c r="BF377" s="75"/>
      <c r="BG377" s="75"/>
      <c r="BH377" s="75"/>
      <c r="BI377" s="75"/>
      <c r="BJ377" s="75"/>
      <c r="BK377" s="75"/>
      <c r="BL377" s="75"/>
      <c r="BM377" s="75"/>
      <c r="BN377" s="75"/>
      <c r="BO377" s="75"/>
      <c r="BP377" s="75"/>
      <c r="BQ377" s="75"/>
      <c r="BR377" s="75"/>
      <c r="BS377" s="75"/>
      <c r="BT377" s="75"/>
      <c r="BU377" s="75"/>
      <c r="BV377" s="75"/>
      <c r="BW377" s="75"/>
      <c r="BX377" s="75"/>
      <c r="BY377" s="75"/>
      <c r="BZ377" s="75"/>
      <c r="CA377" s="75"/>
      <c r="CB377" s="75"/>
      <c r="CC377" s="75"/>
      <c r="CD377" s="75"/>
      <c r="CE377" s="75"/>
      <c r="CF377" s="75"/>
      <c r="CG377" s="75"/>
      <c r="CH377" s="75"/>
      <c r="CI377" s="75"/>
      <c r="CJ377" s="75"/>
      <c r="CK377" s="75"/>
      <c r="CL377" s="75"/>
      <c r="CM377" s="75"/>
      <c r="CN377" s="75"/>
      <c r="CO377" s="75"/>
      <c r="CP377" s="75"/>
      <c r="CQ377" s="75"/>
      <c r="CR377" s="75"/>
      <c r="CS377" s="75"/>
      <c r="CT377" s="75"/>
      <c r="CU377" s="75"/>
      <c r="CV377" s="75"/>
      <c r="CW377" s="76"/>
      <c r="CX377" s="72"/>
      <c r="CY377" s="68"/>
      <c r="CZ377" s="68"/>
      <c r="DA377" s="69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</row>
    <row r="378" spans="1:128" ht="18" customHeight="1" x14ac:dyDescent="0.2">
      <c r="A378" s="74" t="s">
        <v>8</v>
      </c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  <c r="AA378" s="75"/>
      <c r="AB378" s="75"/>
      <c r="AC378" s="75"/>
      <c r="AD378" s="75"/>
      <c r="AE378" s="75"/>
      <c r="AF378" s="75"/>
      <c r="AG378" s="75"/>
      <c r="AH378" s="75"/>
      <c r="AI378" s="75"/>
      <c r="AJ378" s="75"/>
      <c r="AK378" s="75"/>
      <c r="AL378" s="75"/>
      <c r="AM378" s="75"/>
      <c r="AN378" s="75"/>
      <c r="AO378" s="75"/>
      <c r="AP378" s="75"/>
      <c r="AQ378" s="75"/>
      <c r="AR378" s="75"/>
      <c r="AS378" s="75"/>
      <c r="AT378" s="75"/>
      <c r="AU378" s="75"/>
      <c r="AV378" s="75"/>
      <c r="AW378" s="75"/>
      <c r="AX378" s="75"/>
      <c r="AY378" s="75"/>
      <c r="AZ378" s="75"/>
      <c r="BA378" s="75"/>
      <c r="BB378" s="75"/>
      <c r="BC378" s="75"/>
      <c r="BD378" s="75"/>
      <c r="BE378" s="75"/>
      <c r="BF378" s="75"/>
      <c r="BG378" s="75"/>
      <c r="BH378" s="75"/>
      <c r="BI378" s="75"/>
      <c r="BJ378" s="75"/>
      <c r="BK378" s="75"/>
      <c r="BL378" s="75"/>
      <c r="BM378" s="75"/>
      <c r="BN378" s="75"/>
      <c r="BO378" s="75"/>
      <c r="BP378" s="75"/>
      <c r="BQ378" s="75"/>
      <c r="BR378" s="75"/>
      <c r="BS378" s="75"/>
      <c r="BT378" s="75"/>
      <c r="BU378" s="75"/>
      <c r="BV378" s="75"/>
      <c r="BW378" s="75"/>
      <c r="BX378" s="75"/>
      <c r="BY378" s="75"/>
      <c r="BZ378" s="75"/>
      <c r="CA378" s="75"/>
      <c r="CB378" s="75"/>
      <c r="CC378" s="75"/>
      <c r="CD378" s="75"/>
      <c r="CE378" s="75"/>
      <c r="CF378" s="75"/>
      <c r="CG378" s="75"/>
      <c r="CH378" s="75"/>
      <c r="CI378" s="75"/>
      <c r="CJ378" s="75"/>
      <c r="CK378" s="75"/>
      <c r="CL378" s="75"/>
      <c r="CM378" s="75"/>
      <c r="CN378" s="75"/>
      <c r="CO378" s="75"/>
      <c r="CP378" s="75"/>
      <c r="CQ378" s="75"/>
      <c r="CR378" s="75"/>
      <c r="CS378" s="75"/>
      <c r="CT378" s="75"/>
      <c r="CU378" s="75"/>
      <c r="CV378" s="75"/>
      <c r="CW378" s="76"/>
      <c r="CX378" s="72"/>
      <c r="CY378" s="68"/>
      <c r="CZ378" s="68"/>
      <c r="DA378" s="69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</row>
    <row r="379" spans="1:128" ht="18" customHeight="1" x14ac:dyDescent="0.2">
      <c r="A379" s="74"/>
      <c r="B379" s="75"/>
      <c r="C379" s="75"/>
      <c r="D379" s="75"/>
      <c r="E379" s="75" t="str">
        <f>TEXT(TRUNC((단가산출!CY337+단가산출!CZ337+단가산출!DA337),0),"#,##0")</f>
        <v>123,335</v>
      </c>
      <c r="F379" s="75"/>
      <c r="G379" s="75"/>
      <c r="H379" s="75"/>
      <c r="I379" s="75"/>
      <c r="J379" s="75"/>
      <c r="K379" s="75"/>
      <c r="L379" s="75"/>
      <c r="M379" s="75" t="s">
        <v>357</v>
      </c>
      <c r="N379" s="75"/>
      <c r="O379" s="75" t="str">
        <f>TEXT(1,"#,##0")</f>
        <v>1</v>
      </c>
      <c r="P379" s="75"/>
      <c r="Q379" s="75" t="s">
        <v>536</v>
      </c>
      <c r="R379" s="75"/>
      <c r="S379" s="75" t="str">
        <f>TEXT(ROUNDDOWN(E379*O379,1),"#,##0.0#######")</f>
        <v>123,335.0</v>
      </c>
      <c r="T379" s="75"/>
      <c r="U379" s="75"/>
      <c r="V379" s="75"/>
      <c r="W379" s="75"/>
      <c r="X379" s="75"/>
      <c r="Y379" s="75"/>
      <c r="Z379" s="75"/>
      <c r="AA379" s="75"/>
      <c r="AB379" s="75"/>
      <c r="AC379" s="75"/>
      <c r="AD379" s="75"/>
      <c r="AE379" s="75"/>
      <c r="AF379" s="75"/>
      <c r="AG379" s="75"/>
      <c r="AH379" s="75"/>
      <c r="AI379" s="75"/>
      <c r="AJ379" s="75"/>
      <c r="AK379" s="75"/>
      <c r="AL379" s="75"/>
      <c r="AM379" s="75"/>
      <c r="AN379" s="75"/>
      <c r="AO379" s="75"/>
      <c r="AP379" s="75"/>
      <c r="AQ379" s="75"/>
      <c r="AR379" s="75"/>
      <c r="AS379" s="75"/>
      <c r="AT379" s="75"/>
      <c r="AU379" s="75"/>
      <c r="AV379" s="75"/>
      <c r="AW379" s="75"/>
      <c r="AX379" s="75"/>
      <c r="AY379" s="75"/>
      <c r="AZ379" s="75"/>
      <c r="BA379" s="75"/>
      <c r="BB379" s="75"/>
      <c r="BC379" s="75"/>
      <c r="BD379" s="75"/>
      <c r="BE379" s="75"/>
      <c r="BF379" s="75"/>
      <c r="BG379" s="75"/>
      <c r="BH379" s="75"/>
      <c r="BI379" s="75"/>
      <c r="BJ379" s="75"/>
      <c r="BK379" s="75"/>
      <c r="BL379" s="75"/>
      <c r="BM379" s="75"/>
      <c r="BN379" s="75"/>
      <c r="BO379" s="75"/>
      <c r="BP379" s="75"/>
      <c r="BQ379" s="75"/>
      <c r="BR379" s="75"/>
      <c r="BS379" s="75"/>
      <c r="BT379" s="75"/>
      <c r="BU379" s="75"/>
      <c r="BV379" s="75"/>
      <c r="BW379" s="75"/>
      <c r="BX379" s="75"/>
      <c r="BY379" s="75"/>
      <c r="BZ379" s="75"/>
      <c r="CA379" s="75"/>
      <c r="CB379" s="75"/>
      <c r="CC379" s="75"/>
      <c r="CD379" s="75"/>
      <c r="CE379" s="75"/>
      <c r="CF379" s="75"/>
      <c r="CG379" s="75"/>
      <c r="CH379" s="75"/>
      <c r="CI379" s="75"/>
      <c r="CJ379" s="75"/>
      <c r="CK379" s="75"/>
      <c r="CL379" s="75"/>
      <c r="CM379" s="75"/>
      <c r="CN379" s="75"/>
      <c r="CO379" s="75"/>
      <c r="CP379" s="75"/>
      <c r="CQ379" s="75"/>
      <c r="CR379" s="75"/>
      <c r="CS379" s="75"/>
      <c r="CT379" s="75"/>
      <c r="CU379" s="75"/>
      <c r="CV379" s="75"/>
      <c r="CW379" s="76"/>
      <c r="CX379" s="72">
        <f>CY379+CZ379+DA379</f>
        <v>123335</v>
      </c>
      <c r="CY379" s="68"/>
      <c r="CZ379" s="68"/>
      <c r="DA379" s="69" t="str">
        <f>TEXT(ROUNDDOWN(단가산출!DA337*O379,1),"#,##0.0#######")</f>
        <v>123,335.0</v>
      </c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 t="s">
        <v>474</v>
      </c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</row>
    <row r="380" spans="1:128" ht="18" customHeight="1" x14ac:dyDescent="0.2">
      <c r="A380" s="74" t="s">
        <v>8</v>
      </c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  <c r="AA380" s="75"/>
      <c r="AB380" s="75"/>
      <c r="AC380" s="75"/>
      <c r="AD380" s="75"/>
      <c r="AE380" s="75"/>
      <c r="AF380" s="75"/>
      <c r="AG380" s="75"/>
      <c r="AH380" s="75"/>
      <c r="AI380" s="75"/>
      <c r="AJ380" s="75"/>
      <c r="AK380" s="75"/>
      <c r="AL380" s="75"/>
      <c r="AM380" s="75"/>
      <c r="AN380" s="75"/>
      <c r="AO380" s="75"/>
      <c r="AP380" s="75"/>
      <c r="AQ380" s="75"/>
      <c r="AR380" s="75"/>
      <c r="AS380" s="75"/>
      <c r="AT380" s="75"/>
      <c r="AU380" s="75"/>
      <c r="AV380" s="75"/>
      <c r="AW380" s="75"/>
      <c r="AX380" s="75"/>
      <c r="AY380" s="75"/>
      <c r="AZ380" s="75"/>
      <c r="BA380" s="75"/>
      <c r="BB380" s="75"/>
      <c r="BC380" s="75"/>
      <c r="BD380" s="75"/>
      <c r="BE380" s="75"/>
      <c r="BF380" s="75"/>
      <c r="BG380" s="75"/>
      <c r="BH380" s="75"/>
      <c r="BI380" s="75"/>
      <c r="BJ380" s="75"/>
      <c r="BK380" s="75"/>
      <c r="BL380" s="75"/>
      <c r="BM380" s="75"/>
      <c r="BN380" s="75"/>
      <c r="BO380" s="75"/>
      <c r="BP380" s="75"/>
      <c r="BQ380" s="75"/>
      <c r="BR380" s="75"/>
      <c r="BS380" s="75"/>
      <c r="BT380" s="75"/>
      <c r="BU380" s="75"/>
      <c r="BV380" s="75"/>
      <c r="BW380" s="75"/>
      <c r="BX380" s="75"/>
      <c r="BY380" s="75"/>
      <c r="BZ380" s="75"/>
      <c r="CA380" s="75"/>
      <c r="CB380" s="75"/>
      <c r="CC380" s="75"/>
      <c r="CD380" s="75"/>
      <c r="CE380" s="75"/>
      <c r="CF380" s="75"/>
      <c r="CG380" s="75"/>
      <c r="CH380" s="75"/>
      <c r="CI380" s="75"/>
      <c r="CJ380" s="75"/>
      <c r="CK380" s="75"/>
      <c r="CL380" s="75"/>
      <c r="CM380" s="75"/>
      <c r="CN380" s="75"/>
      <c r="CO380" s="75"/>
      <c r="CP380" s="75"/>
      <c r="CQ380" s="75"/>
      <c r="CR380" s="75"/>
      <c r="CS380" s="75"/>
      <c r="CT380" s="75"/>
      <c r="CU380" s="75"/>
      <c r="CV380" s="75"/>
      <c r="CW380" s="76"/>
      <c r="CX380" s="72"/>
      <c r="CY380" s="68"/>
      <c r="CZ380" s="68"/>
      <c r="DA380" s="69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</row>
    <row r="381" spans="1:128" ht="18" customHeight="1" x14ac:dyDescent="0.2">
      <c r="A381" s="74" t="s">
        <v>360</v>
      </c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  <c r="AA381" s="75"/>
      <c r="AB381" s="75"/>
      <c r="AC381" s="75"/>
      <c r="AD381" s="75"/>
      <c r="AE381" s="75"/>
      <c r="AF381" s="75"/>
      <c r="AG381" s="75"/>
      <c r="AH381" s="75"/>
      <c r="AI381" s="75"/>
      <c r="AJ381" s="75"/>
      <c r="AK381" s="75"/>
      <c r="AL381" s="75"/>
      <c r="AM381" s="75"/>
      <c r="AN381" s="75"/>
      <c r="AO381" s="75"/>
      <c r="AP381" s="75"/>
      <c r="AQ381" s="75"/>
      <c r="AR381" s="75"/>
      <c r="AS381" s="75"/>
      <c r="AT381" s="75"/>
      <c r="AU381" s="75"/>
      <c r="AV381" s="75"/>
      <c r="AW381" s="75"/>
      <c r="AX381" s="75"/>
      <c r="AY381" s="75"/>
      <c r="AZ381" s="75"/>
      <c r="BA381" s="75"/>
      <c r="BB381" s="75"/>
      <c r="BC381" s="75"/>
      <c r="BD381" s="75"/>
      <c r="BE381" s="75"/>
      <c r="BF381" s="75"/>
      <c r="BG381" s="75"/>
      <c r="BH381" s="75"/>
      <c r="BI381" s="75"/>
      <c r="BJ381" s="75"/>
      <c r="BK381" s="75"/>
      <c r="BL381" s="75"/>
      <c r="BM381" s="75"/>
      <c r="BN381" s="75"/>
      <c r="BO381" s="75"/>
      <c r="BP381" s="75"/>
      <c r="BQ381" s="75"/>
      <c r="BR381" s="75"/>
      <c r="BS381" s="75"/>
      <c r="BT381" s="75"/>
      <c r="BU381" s="75"/>
      <c r="BV381" s="75"/>
      <c r="BW381" s="75"/>
      <c r="BX381" s="75"/>
      <c r="BY381" s="75"/>
      <c r="BZ381" s="75"/>
      <c r="CA381" s="75"/>
      <c r="CB381" s="75"/>
      <c r="CC381" s="75"/>
      <c r="CD381" s="75"/>
      <c r="CE381" s="75"/>
      <c r="CF381" s="75"/>
      <c r="CG381" s="75"/>
      <c r="CH381" s="75"/>
      <c r="CI381" s="75"/>
      <c r="CJ381" s="75"/>
      <c r="CK381" s="75"/>
      <c r="CL381" s="75"/>
      <c r="CM381" s="75"/>
      <c r="CN381" s="75"/>
      <c r="CO381" s="75"/>
      <c r="CP381" s="75"/>
      <c r="CQ381" s="75"/>
      <c r="CR381" s="75"/>
      <c r="CS381" s="75"/>
      <c r="CT381" s="75"/>
      <c r="CU381" s="75"/>
      <c r="CV381" s="75"/>
      <c r="CW381" s="76"/>
      <c r="CX381" s="72"/>
      <c r="CY381" s="68"/>
      <c r="CZ381" s="68"/>
      <c r="DA381" s="69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</row>
    <row r="382" spans="1:128" ht="18" customHeight="1" x14ac:dyDescent="0.2">
      <c r="A382" s="74" t="s">
        <v>8</v>
      </c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  <c r="AA382" s="75"/>
      <c r="AB382" s="75"/>
      <c r="AC382" s="75"/>
      <c r="AD382" s="75"/>
      <c r="AE382" s="75"/>
      <c r="AF382" s="75"/>
      <c r="AG382" s="75"/>
      <c r="AH382" s="75"/>
      <c r="AI382" s="75"/>
      <c r="AJ382" s="75"/>
      <c r="AK382" s="75"/>
      <c r="AL382" s="75"/>
      <c r="AM382" s="75"/>
      <c r="AN382" s="75"/>
      <c r="AO382" s="75"/>
      <c r="AP382" s="75"/>
      <c r="AQ382" s="75"/>
      <c r="AR382" s="75"/>
      <c r="AS382" s="75"/>
      <c r="AT382" s="75"/>
      <c r="AU382" s="75"/>
      <c r="AV382" s="75"/>
      <c r="AW382" s="75"/>
      <c r="AX382" s="75"/>
      <c r="AY382" s="75"/>
      <c r="AZ382" s="75"/>
      <c r="BA382" s="75"/>
      <c r="BB382" s="75"/>
      <c r="BC382" s="75"/>
      <c r="BD382" s="75"/>
      <c r="BE382" s="75"/>
      <c r="BF382" s="75"/>
      <c r="BG382" s="75"/>
      <c r="BH382" s="75"/>
      <c r="BI382" s="75"/>
      <c r="BJ382" s="75"/>
      <c r="BK382" s="75"/>
      <c r="BL382" s="75"/>
      <c r="BM382" s="75"/>
      <c r="BN382" s="75"/>
      <c r="BO382" s="75"/>
      <c r="BP382" s="75"/>
      <c r="BQ382" s="75"/>
      <c r="BR382" s="75"/>
      <c r="BS382" s="75"/>
      <c r="BT382" s="75"/>
      <c r="BU382" s="75"/>
      <c r="BV382" s="75"/>
      <c r="BW382" s="75"/>
      <c r="BX382" s="75"/>
      <c r="BY382" s="75"/>
      <c r="BZ382" s="75"/>
      <c r="CA382" s="75"/>
      <c r="CB382" s="75"/>
      <c r="CC382" s="75"/>
      <c r="CD382" s="75"/>
      <c r="CE382" s="75"/>
      <c r="CF382" s="75"/>
      <c r="CG382" s="75"/>
      <c r="CH382" s="75"/>
      <c r="CI382" s="75"/>
      <c r="CJ382" s="75"/>
      <c r="CK382" s="75"/>
      <c r="CL382" s="75"/>
      <c r="CM382" s="75"/>
      <c r="CN382" s="75"/>
      <c r="CO382" s="75"/>
      <c r="CP382" s="75"/>
      <c r="CQ382" s="75"/>
      <c r="CR382" s="75"/>
      <c r="CS382" s="75"/>
      <c r="CT382" s="75"/>
      <c r="CU382" s="75"/>
      <c r="CV382" s="75"/>
      <c r="CW382" s="76"/>
      <c r="CX382" s="72"/>
      <c r="CY382" s="68"/>
      <c r="CZ382" s="68"/>
      <c r="DA382" s="69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</row>
    <row r="383" spans="1:128" ht="18" customHeight="1" x14ac:dyDescent="0.2">
      <c r="A383" s="74"/>
      <c r="B383" s="75"/>
      <c r="C383" s="75"/>
      <c r="D383" s="75"/>
      <c r="E383" s="75" t="str">
        <f>TEXT(TRUNC((단가산출!CY366+단가산출!CZ366+단가산출!DA366),0),"#,##0")</f>
        <v>126,513</v>
      </c>
      <c r="F383" s="75"/>
      <c r="G383" s="75"/>
      <c r="H383" s="75"/>
      <c r="I383" s="75"/>
      <c r="J383" s="75"/>
      <c r="K383" s="75"/>
      <c r="L383" s="75"/>
      <c r="M383" s="75" t="s">
        <v>357</v>
      </c>
      <c r="N383" s="75"/>
      <c r="O383" s="75" t="str">
        <f>TEXT(1,"#,##0")</f>
        <v>1</v>
      </c>
      <c r="P383" s="75"/>
      <c r="Q383" s="75" t="s">
        <v>536</v>
      </c>
      <c r="R383" s="75"/>
      <c r="S383" s="75" t="str">
        <f>TEXT(ROUNDDOWN(E383*O383,1),"#,##0.0#######")</f>
        <v>126,513.0</v>
      </c>
      <c r="T383" s="75"/>
      <c r="U383" s="75"/>
      <c r="V383" s="75"/>
      <c r="W383" s="75"/>
      <c r="X383" s="75"/>
      <c r="Y383" s="75"/>
      <c r="Z383" s="75"/>
      <c r="AA383" s="75"/>
      <c r="AB383" s="75"/>
      <c r="AC383" s="75"/>
      <c r="AD383" s="75"/>
      <c r="AE383" s="75"/>
      <c r="AF383" s="75"/>
      <c r="AG383" s="75"/>
      <c r="AH383" s="75"/>
      <c r="AI383" s="75"/>
      <c r="AJ383" s="75"/>
      <c r="AK383" s="75"/>
      <c r="AL383" s="75"/>
      <c r="AM383" s="75"/>
      <c r="AN383" s="75"/>
      <c r="AO383" s="75"/>
      <c r="AP383" s="75"/>
      <c r="AQ383" s="75"/>
      <c r="AR383" s="75"/>
      <c r="AS383" s="75"/>
      <c r="AT383" s="75"/>
      <c r="AU383" s="75"/>
      <c r="AV383" s="75"/>
      <c r="AW383" s="75"/>
      <c r="AX383" s="75"/>
      <c r="AY383" s="75"/>
      <c r="AZ383" s="75"/>
      <c r="BA383" s="75"/>
      <c r="BB383" s="75"/>
      <c r="BC383" s="75"/>
      <c r="BD383" s="75"/>
      <c r="BE383" s="75"/>
      <c r="BF383" s="75"/>
      <c r="BG383" s="75"/>
      <c r="BH383" s="75"/>
      <c r="BI383" s="75"/>
      <c r="BJ383" s="75"/>
      <c r="BK383" s="75"/>
      <c r="BL383" s="75"/>
      <c r="BM383" s="75"/>
      <c r="BN383" s="75"/>
      <c r="BO383" s="75"/>
      <c r="BP383" s="75"/>
      <c r="BQ383" s="75"/>
      <c r="BR383" s="75"/>
      <c r="BS383" s="75"/>
      <c r="BT383" s="75"/>
      <c r="BU383" s="75"/>
      <c r="BV383" s="75"/>
      <c r="BW383" s="75"/>
      <c r="BX383" s="75"/>
      <c r="BY383" s="75"/>
      <c r="BZ383" s="75"/>
      <c r="CA383" s="75"/>
      <c r="CB383" s="75"/>
      <c r="CC383" s="75"/>
      <c r="CD383" s="75"/>
      <c r="CE383" s="75"/>
      <c r="CF383" s="75"/>
      <c r="CG383" s="75"/>
      <c r="CH383" s="75"/>
      <c r="CI383" s="75"/>
      <c r="CJ383" s="75"/>
      <c r="CK383" s="75"/>
      <c r="CL383" s="75"/>
      <c r="CM383" s="75"/>
      <c r="CN383" s="75"/>
      <c r="CO383" s="75"/>
      <c r="CP383" s="75"/>
      <c r="CQ383" s="75"/>
      <c r="CR383" s="75"/>
      <c r="CS383" s="75"/>
      <c r="CT383" s="75"/>
      <c r="CU383" s="75"/>
      <c r="CV383" s="75"/>
      <c r="CW383" s="76"/>
      <c r="CX383" s="72">
        <f>CY383+CZ383+DA383</f>
        <v>126513</v>
      </c>
      <c r="CY383" s="68"/>
      <c r="CZ383" s="68"/>
      <c r="DA383" s="69" t="str">
        <f>TEXT(ROUNDDOWN(단가산출!DA366*O383,1),"#,##0.0#######")</f>
        <v>126,513.0</v>
      </c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 t="s">
        <v>332</v>
      </c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</row>
    <row r="384" spans="1:128" ht="18" customHeight="1" x14ac:dyDescent="0.2">
      <c r="A384" s="74" t="s">
        <v>8</v>
      </c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  <c r="AA384" s="75"/>
      <c r="AB384" s="75"/>
      <c r="AC384" s="75"/>
      <c r="AD384" s="75"/>
      <c r="AE384" s="75"/>
      <c r="AF384" s="75"/>
      <c r="AG384" s="75"/>
      <c r="AH384" s="75"/>
      <c r="AI384" s="75"/>
      <c r="AJ384" s="75"/>
      <c r="AK384" s="75"/>
      <c r="AL384" s="75"/>
      <c r="AM384" s="75"/>
      <c r="AN384" s="75"/>
      <c r="AO384" s="75"/>
      <c r="AP384" s="75"/>
      <c r="AQ384" s="75"/>
      <c r="AR384" s="75"/>
      <c r="AS384" s="75"/>
      <c r="AT384" s="75"/>
      <c r="AU384" s="75"/>
      <c r="AV384" s="75"/>
      <c r="AW384" s="75"/>
      <c r="AX384" s="75"/>
      <c r="AY384" s="75"/>
      <c r="AZ384" s="75"/>
      <c r="BA384" s="75"/>
      <c r="BB384" s="75"/>
      <c r="BC384" s="75"/>
      <c r="BD384" s="75"/>
      <c r="BE384" s="75"/>
      <c r="BF384" s="75"/>
      <c r="BG384" s="75"/>
      <c r="BH384" s="75"/>
      <c r="BI384" s="75"/>
      <c r="BJ384" s="75"/>
      <c r="BK384" s="75"/>
      <c r="BL384" s="75"/>
      <c r="BM384" s="75"/>
      <c r="BN384" s="75"/>
      <c r="BO384" s="75"/>
      <c r="BP384" s="75"/>
      <c r="BQ384" s="75"/>
      <c r="BR384" s="75"/>
      <c r="BS384" s="75"/>
      <c r="BT384" s="75"/>
      <c r="BU384" s="75"/>
      <c r="BV384" s="75"/>
      <c r="BW384" s="75"/>
      <c r="BX384" s="75"/>
      <c r="BY384" s="75"/>
      <c r="BZ384" s="75"/>
      <c r="CA384" s="75"/>
      <c r="CB384" s="75"/>
      <c r="CC384" s="75"/>
      <c r="CD384" s="75"/>
      <c r="CE384" s="75"/>
      <c r="CF384" s="75"/>
      <c r="CG384" s="75"/>
      <c r="CH384" s="75"/>
      <c r="CI384" s="75"/>
      <c r="CJ384" s="75"/>
      <c r="CK384" s="75"/>
      <c r="CL384" s="75"/>
      <c r="CM384" s="75"/>
      <c r="CN384" s="75"/>
      <c r="CO384" s="75"/>
      <c r="CP384" s="75"/>
      <c r="CQ384" s="75"/>
      <c r="CR384" s="75"/>
      <c r="CS384" s="75"/>
      <c r="CT384" s="75"/>
      <c r="CU384" s="75"/>
      <c r="CV384" s="75"/>
      <c r="CW384" s="76"/>
      <c r="CX384" s="72"/>
      <c r="CY384" s="68"/>
      <c r="CZ384" s="68"/>
      <c r="DA384" s="69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</row>
    <row r="385" spans="1:128" ht="18" customHeight="1" x14ac:dyDescent="0.2">
      <c r="A385" s="74" t="s">
        <v>562</v>
      </c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  <c r="AA385" s="75"/>
      <c r="AB385" s="75"/>
      <c r="AC385" s="75"/>
      <c r="AD385" s="75"/>
      <c r="AE385" s="75"/>
      <c r="AF385" s="75"/>
      <c r="AG385" s="75"/>
      <c r="AH385" s="75"/>
      <c r="AI385" s="75"/>
      <c r="AJ385" s="75"/>
      <c r="AK385" s="75"/>
      <c r="AL385" s="75"/>
      <c r="AM385" s="75"/>
      <c r="AN385" s="75"/>
      <c r="AO385" s="75"/>
      <c r="AP385" s="75"/>
      <c r="AQ385" s="75"/>
      <c r="AR385" s="75"/>
      <c r="AS385" s="75"/>
      <c r="AT385" s="75"/>
      <c r="AU385" s="75"/>
      <c r="AV385" s="75"/>
      <c r="AW385" s="75"/>
      <c r="AX385" s="75"/>
      <c r="AY385" s="75"/>
      <c r="AZ385" s="75"/>
      <c r="BA385" s="75"/>
      <c r="BB385" s="75"/>
      <c r="BC385" s="75"/>
      <c r="BD385" s="75"/>
      <c r="BE385" s="75"/>
      <c r="BF385" s="75"/>
      <c r="BG385" s="75"/>
      <c r="BH385" s="75"/>
      <c r="BI385" s="75"/>
      <c r="BJ385" s="75"/>
      <c r="BK385" s="75"/>
      <c r="BL385" s="75"/>
      <c r="BM385" s="75"/>
      <c r="BN385" s="75"/>
      <c r="BO385" s="75"/>
      <c r="BP385" s="75"/>
      <c r="BQ385" s="75"/>
      <c r="BR385" s="75"/>
      <c r="BS385" s="75"/>
      <c r="BT385" s="75"/>
      <c r="BU385" s="75"/>
      <c r="BV385" s="75"/>
      <c r="BW385" s="75"/>
      <c r="BX385" s="75"/>
      <c r="BY385" s="75"/>
      <c r="BZ385" s="75"/>
      <c r="CA385" s="75"/>
      <c r="CB385" s="75"/>
      <c r="CC385" s="75"/>
      <c r="CD385" s="75"/>
      <c r="CE385" s="75"/>
      <c r="CF385" s="75"/>
      <c r="CG385" s="75"/>
      <c r="CH385" s="75"/>
      <c r="CI385" s="75"/>
      <c r="CJ385" s="75"/>
      <c r="CK385" s="75"/>
      <c r="CL385" s="75"/>
      <c r="CM385" s="75"/>
      <c r="CN385" s="75"/>
      <c r="CO385" s="75"/>
      <c r="CP385" s="75"/>
      <c r="CQ385" s="75"/>
      <c r="CR385" s="75"/>
      <c r="CS385" s="75"/>
      <c r="CT385" s="75"/>
      <c r="CU385" s="75"/>
      <c r="CV385" s="75"/>
      <c r="CW385" s="76"/>
      <c r="CX385" s="72"/>
      <c r="CY385" s="68"/>
      <c r="CZ385" s="68"/>
      <c r="DA385" s="69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 t="s">
        <v>8</v>
      </c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</row>
    <row r="386" spans="1:128" ht="18" customHeight="1" x14ac:dyDescent="0.2">
      <c r="A386" s="74" t="s">
        <v>8</v>
      </c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  <c r="AA386" s="75"/>
      <c r="AB386" s="75"/>
      <c r="AC386" s="75"/>
      <c r="AD386" s="75"/>
      <c r="AE386" s="75"/>
      <c r="AF386" s="75"/>
      <c r="AG386" s="75"/>
      <c r="AH386" s="75"/>
      <c r="AI386" s="75"/>
      <c r="AJ386" s="75"/>
      <c r="AK386" s="75"/>
      <c r="AL386" s="75"/>
      <c r="AM386" s="75"/>
      <c r="AN386" s="75"/>
      <c r="AO386" s="75"/>
      <c r="AP386" s="75"/>
      <c r="AQ386" s="75"/>
      <c r="AR386" s="75"/>
      <c r="AS386" s="75"/>
      <c r="AT386" s="75"/>
      <c r="AU386" s="75"/>
      <c r="AV386" s="75"/>
      <c r="AW386" s="75"/>
      <c r="AX386" s="75"/>
      <c r="AY386" s="75"/>
      <c r="AZ386" s="75"/>
      <c r="BA386" s="75"/>
      <c r="BB386" s="75"/>
      <c r="BC386" s="75"/>
      <c r="BD386" s="75"/>
      <c r="BE386" s="75"/>
      <c r="BF386" s="75"/>
      <c r="BG386" s="75"/>
      <c r="BH386" s="75"/>
      <c r="BI386" s="75"/>
      <c r="BJ386" s="75"/>
      <c r="BK386" s="75"/>
      <c r="BL386" s="75"/>
      <c r="BM386" s="75"/>
      <c r="BN386" s="75"/>
      <c r="BO386" s="75"/>
      <c r="BP386" s="75"/>
      <c r="BQ386" s="75"/>
      <c r="BR386" s="75"/>
      <c r="BS386" s="75"/>
      <c r="BT386" s="75"/>
      <c r="BU386" s="75"/>
      <c r="BV386" s="75"/>
      <c r="BW386" s="75"/>
      <c r="BX386" s="75"/>
      <c r="BY386" s="75"/>
      <c r="BZ386" s="75"/>
      <c r="CA386" s="75"/>
      <c r="CB386" s="75"/>
      <c r="CC386" s="75"/>
      <c r="CD386" s="75"/>
      <c r="CE386" s="75"/>
      <c r="CF386" s="75"/>
      <c r="CG386" s="75"/>
      <c r="CH386" s="75"/>
      <c r="CI386" s="75"/>
      <c r="CJ386" s="75"/>
      <c r="CK386" s="75"/>
      <c r="CL386" s="75"/>
      <c r="CM386" s="75"/>
      <c r="CN386" s="75"/>
      <c r="CO386" s="75"/>
      <c r="CP386" s="75"/>
      <c r="CQ386" s="75"/>
      <c r="CR386" s="75"/>
      <c r="CS386" s="75"/>
      <c r="CT386" s="75"/>
      <c r="CU386" s="75"/>
      <c r="CV386" s="75"/>
      <c r="CW386" s="76"/>
      <c r="CX386" s="72"/>
      <c r="CY386" s="68"/>
      <c r="CZ386" s="68"/>
      <c r="DA386" s="69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</row>
    <row r="387" spans="1:128" ht="18" customHeight="1" x14ac:dyDescent="0.2">
      <c r="A387" s="98"/>
      <c r="B387" s="99"/>
      <c r="C387" s="99"/>
      <c r="D387" s="99"/>
      <c r="E387" s="99"/>
      <c r="F387" s="99" t="s">
        <v>424</v>
      </c>
      <c r="G387" s="99"/>
      <c r="H387" s="99"/>
      <c r="I387" s="99"/>
      <c r="J387" s="99" t="s">
        <v>328</v>
      </c>
      <c r="K387" s="99"/>
      <c r="L387" s="99"/>
      <c r="M387" s="99"/>
      <c r="N387" s="99"/>
      <c r="O387" s="99"/>
      <c r="P387" s="99"/>
      <c r="Q387" s="99"/>
      <c r="R387" s="99"/>
      <c r="S387" s="99"/>
      <c r="T387" s="99"/>
      <c r="U387" s="99"/>
      <c r="V387" s="99"/>
      <c r="W387" s="99"/>
      <c r="X387" s="99"/>
      <c r="Y387" s="99"/>
      <c r="Z387" s="99"/>
      <c r="AA387" s="99"/>
      <c r="AB387" s="99"/>
      <c r="AC387" s="99"/>
      <c r="AD387" s="99"/>
      <c r="AE387" s="99"/>
      <c r="AF387" s="99"/>
      <c r="AG387" s="99"/>
      <c r="AH387" s="99"/>
      <c r="AI387" s="99"/>
      <c r="AJ387" s="99"/>
      <c r="AK387" s="99"/>
      <c r="AL387" s="99"/>
      <c r="AM387" s="99"/>
      <c r="AN387" s="99"/>
      <c r="AO387" s="99"/>
      <c r="AP387" s="99"/>
      <c r="AQ387" s="99"/>
      <c r="AR387" s="99"/>
      <c r="AS387" s="99"/>
      <c r="AT387" s="99"/>
      <c r="AU387" s="99"/>
      <c r="AV387" s="99"/>
      <c r="AW387" s="99"/>
      <c r="AX387" s="99"/>
      <c r="AY387" s="99"/>
      <c r="AZ387" s="99"/>
      <c r="BA387" s="99"/>
      <c r="BB387" s="99"/>
      <c r="BC387" s="99"/>
      <c r="BD387" s="99"/>
      <c r="BE387" s="99"/>
      <c r="BF387" s="99"/>
      <c r="BG387" s="99"/>
      <c r="BH387" s="99"/>
      <c r="BI387" s="99"/>
      <c r="BJ387" s="99"/>
      <c r="BK387" s="99"/>
      <c r="BL387" s="99"/>
      <c r="BM387" s="99"/>
      <c r="BN387" s="99"/>
      <c r="BO387" s="99"/>
      <c r="BP387" s="99"/>
      <c r="BQ387" s="99"/>
      <c r="BR387" s="99"/>
      <c r="BS387" s="99"/>
      <c r="BT387" s="99"/>
      <c r="BU387" s="99"/>
      <c r="BV387" s="99"/>
      <c r="BW387" s="99"/>
      <c r="BX387" s="99"/>
      <c r="BY387" s="99"/>
      <c r="BZ387" s="99"/>
      <c r="CA387" s="99"/>
      <c r="CB387" s="99"/>
      <c r="CC387" s="99"/>
      <c r="CD387" s="99"/>
      <c r="CE387" s="99"/>
      <c r="CF387" s="99"/>
      <c r="CG387" s="99"/>
      <c r="CH387" s="99"/>
      <c r="CI387" s="99"/>
      <c r="CJ387" s="99"/>
      <c r="CK387" s="99"/>
      <c r="CL387" s="99"/>
      <c r="CM387" s="99"/>
      <c r="CN387" s="99"/>
      <c r="CO387" s="99"/>
      <c r="CP387" s="99"/>
      <c r="CQ387" s="99"/>
      <c r="CR387" s="99"/>
      <c r="CS387" s="99"/>
      <c r="CT387" s="99"/>
      <c r="CU387" s="99"/>
      <c r="CV387" s="99"/>
      <c r="CW387" s="100"/>
      <c r="CX387" s="101">
        <f>CY387+CZ387+DA387</f>
        <v>249848</v>
      </c>
      <c r="CY387" s="102" t="str">
        <f>TEXT(TRUNC(CY379+CY383,1),"#,###.0")</f>
        <v>.0</v>
      </c>
      <c r="CZ387" s="102" t="str">
        <f>TEXT(TRUNC(CZ379+CZ383,1),"#,###.0")</f>
        <v>.0</v>
      </c>
      <c r="DA387" s="103" t="str">
        <f>TEXT(TRUNC(DA379+DA383,1),"#,###.0")</f>
        <v>249,848.0</v>
      </c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 t="s">
        <v>8</v>
      </c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</row>
    <row r="388" spans="1:128" ht="18" customHeight="1" x14ac:dyDescent="0.2">
      <c r="A388" s="74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  <c r="AA388" s="75"/>
      <c r="AB388" s="75"/>
      <c r="AC388" s="75"/>
      <c r="AD388" s="75"/>
      <c r="AE388" s="75"/>
      <c r="AF388" s="75"/>
      <c r="AG388" s="75"/>
      <c r="AH388" s="75"/>
      <c r="AI388" s="75"/>
      <c r="AJ388" s="75"/>
      <c r="AK388" s="75"/>
      <c r="AL388" s="75"/>
      <c r="AM388" s="75"/>
      <c r="AN388" s="75"/>
      <c r="AO388" s="75"/>
      <c r="AP388" s="75"/>
      <c r="AQ388" s="75"/>
      <c r="AR388" s="75"/>
      <c r="AS388" s="75"/>
      <c r="AT388" s="75"/>
      <c r="AU388" s="75"/>
      <c r="AV388" s="75"/>
      <c r="AW388" s="75"/>
      <c r="AX388" s="75"/>
      <c r="AY388" s="75"/>
      <c r="AZ388" s="75"/>
      <c r="BA388" s="75"/>
      <c r="BB388" s="75"/>
      <c r="BC388" s="75"/>
      <c r="BD388" s="75"/>
      <c r="BE388" s="75"/>
      <c r="BF388" s="75"/>
      <c r="BG388" s="75"/>
      <c r="BH388" s="75"/>
      <c r="BI388" s="75"/>
      <c r="BJ388" s="75"/>
      <c r="BK388" s="75"/>
      <c r="BL388" s="75"/>
      <c r="BM388" s="75"/>
      <c r="BN388" s="75"/>
      <c r="BO388" s="75"/>
      <c r="BP388" s="75"/>
      <c r="BQ388" s="75"/>
      <c r="BR388" s="75"/>
      <c r="BS388" s="75"/>
      <c r="BT388" s="75"/>
      <c r="BU388" s="75"/>
      <c r="BV388" s="75"/>
      <c r="BW388" s="75"/>
      <c r="BX388" s="75"/>
      <c r="BY388" s="75"/>
      <c r="BZ388" s="75"/>
      <c r="CA388" s="75"/>
      <c r="CB388" s="75"/>
      <c r="CC388" s="75"/>
      <c r="CD388" s="75"/>
      <c r="CE388" s="75"/>
      <c r="CF388" s="75"/>
      <c r="CG388" s="75"/>
      <c r="CH388" s="75"/>
      <c r="CI388" s="75"/>
      <c r="CJ388" s="75"/>
      <c r="CK388" s="75"/>
      <c r="CL388" s="75"/>
      <c r="CM388" s="75"/>
      <c r="CN388" s="75"/>
      <c r="CO388" s="75"/>
      <c r="CP388" s="75"/>
      <c r="CQ388" s="75"/>
      <c r="CR388" s="75"/>
      <c r="CS388" s="75"/>
      <c r="CT388" s="75"/>
      <c r="CU388" s="75"/>
      <c r="CV388" s="75"/>
      <c r="CW388" s="76"/>
      <c r="CX388" s="72"/>
      <c r="CY388" s="68"/>
      <c r="CZ388" s="68"/>
      <c r="DA388" s="69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</row>
    <row r="389" spans="1:128" ht="18" customHeight="1" x14ac:dyDescent="0.2">
      <c r="A389" s="86" t="s">
        <v>389</v>
      </c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  <c r="Z389" s="87"/>
      <c r="AA389" s="87"/>
      <c r="AB389" s="87"/>
      <c r="AC389" s="87"/>
      <c r="AD389" s="87"/>
      <c r="AE389" s="87"/>
      <c r="AF389" s="87"/>
      <c r="AG389" s="87"/>
      <c r="AH389" s="87"/>
      <c r="AI389" s="87"/>
      <c r="AJ389" s="87"/>
      <c r="AK389" s="87"/>
      <c r="AL389" s="87"/>
      <c r="AM389" s="87"/>
      <c r="AN389" s="87"/>
      <c r="AO389" s="87"/>
      <c r="AP389" s="87"/>
      <c r="AQ389" s="87"/>
      <c r="AR389" s="87"/>
      <c r="AS389" s="87"/>
      <c r="AT389" s="87"/>
      <c r="AU389" s="87"/>
      <c r="AV389" s="87"/>
      <c r="AW389" s="87"/>
      <c r="AX389" s="87"/>
      <c r="AY389" s="87"/>
      <c r="AZ389" s="87"/>
      <c r="BA389" s="87"/>
      <c r="BB389" s="87"/>
      <c r="BC389" s="87"/>
      <c r="BD389" s="87"/>
      <c r="BE389" s="87"/>
      <c r="BF389" s="87"/>
      <c r="BG389" s="87"/>
      <c r="BH389" s="87"/>
      <c r="BI389" s="87"/>
      <c r="BJ389" s="87"/>
      <c r="BK389" s="87"/>
      <c r="BL389" s="87"/>
      <c r="BM389" s="87"/>
      <c r="BN389" s="87"/>
      <c r="BO389" s="87"/>
      <c r="BP389" s="87"/>
      <c r="BQ389" s="87"/>
      <c r="BR389" s="87"/>
      <c r="BS389" s="87"/>
      <c r="BT389" s="87"/>
      <c r="BU389" s="87"/>
      <c r="BV389" s="87"/>
      <c r="BW389" s="87"/>
      <c r="BX389" s="87"/>
      <c r="BY389" s="87"/>
      <c r="BZ389" s="87"/>
      <c r="CA389" s="87"/>
      <c r="CB389" s="87"/>
      <c r="CC389" s="87"/>
      <c r="CD389" s="87"/>
      <c r="CE389" s="87"/>
      <c r="CF389" s="87"/>
      <c r="CG389" s="87"/>
      <c r="CH389" s="87"/>
      <c r="CI389" s="87"/>
      <c r="CJ389" s="87"/>
      <c r="CK389" s="87"/>
      <c r="CL389" s="87"/>
      <c r="CM389" s="87"/>
      <c r="CN389" s="87"/>
      <c r="CO389" s="87"/>
      <c r="CP389" s="87"/>
      <c r="CQ389" s="87"/>
      <c r="CR389" s="87"/>
      <c r="CS389" s="87"/>
      <c r="CT389" s="87"/>
      <c r="CU389" s="87"/>
      <c r="CV389" s="87"/>
      <c r="CW389" s="88"/>
      <c r="CX389" s="89" t="str">
        <f>TEXT(CY389+CZ389+DA389,"#,##0")</f>
        <v>249,848</v>
      </c>
      <c r="CY389" s="90" t="str">
        <f>TEXT(TRUNC(CY387,0),"#,##0")</f>
        <v>0</v>
      </c>
      <c r="CZ389" s="90" t="str">
        <f>TEXT(TRUNC(CZ387,0),"#,##0")</f>
        <v>0</v>
      </c>
      <c r="DA389" s="91" t="str">
        <f>TEXT(TRUNC(DA387,0),"#,##0")</f>
        <v>249,848</v>
      </c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</row>
    <row r="390" spans="1:128" ht="18" customHeight="1" x14ac:dyDescent="0.2">
      <c r="A390" s="77"/>
      <c r="B390" s="78"/>
      <c r="C390" s="78"/>
      <c r="D390" s="78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X390" s="78"/>
      <c r="Y390" s="78"/>
      <c r="Z390" s="78"/>
      <c r="AA390" s="78"/>
      <c r="AB390" s="78"/>
      <c r="AC390" s="78"/>
      <c r="AD390" s="78"/>
      <c r="AE390" s="78"/>
      <c r="AF390" s="78"/>
      <c r="AG390" s="78"/>
      <c r="AH390" s="78"/>
      <c r="AI390" s="78"/>
      <c r="AJ390" s="78"/>
      <c r="AK390" s="78"/>
      <c r="AL390" s="78"/>
      <c r="AM390" s="78"/>
      <c r="AN390" s="78"/>
      <c r="AO390" s="78"/>
      <c r="AP390" s="78"/>
      <c r="AQ390" s="78"/>
      <c r="AR390" s="78"/>
      <c r="AS390" s="78"/>
      <c r="AT390" s="78"/>
      <c r="AU390" s="78"/>
      <c r="AV390" s="78"/>
      <c r="AW390" s="78"/>
      <c r="AX390" s="78"/>
      <c r="AY390" s="78"/>
      <c r="AZ390" s="78"/>
      <c r="BA390" s="78"/>
      <c r="BB390" s="78"/>
      <c r="BC390" s="78"/>
      <c r="BD390" s="78"/>
      <c r="BE390" s="78"/>
      <c r="BF390" s="78"/>
      <c r="BG390" s="78"/>
      <c r="BH390" s="78"/>
      <c r="BI390" s="78"/>
      <c r="BJ390" s="78"/>
      <c r="BK390" s="78"/>
      <c r="BL390" s="78"/>
      <c r="BM390" s="78"/>
      <c r="BN390" s="78"/>
      <c r="BO390" s="78"/>
      <c r="BP390" s="78"/>
      <c r="BQ390" s="78"/>
      <c r="BR390" s="78"/>
      <c r="BS390" s="78"/>
      <c r="BT390" s="78"/>
      <c r="BU390" s="78"/>
      <c r="BV390" s="78"/>
      <c r="BW390" s="78"/>
      <c r="BX390" s="78"/>
      <c r="BY390" s="78"/>
      <c r="BZ390" s="78"/>
      <c r="CA390" s="78"/>
      <c r="CB390" s="78"/>
      <c r="CC390" s="78"/>
      <c r="CD390" s="78"/>
      <c r="CE390" s="78"/>
      <c r="CF390" s="78"/>
      <c r="CG390" s="78"/>
      <c r="CH390" s="78"/>
      <c r="CI390" s="78"/>
      <c r="CJ390" s="78"/>
      <c r="CK390" s="78"/>
      <c r="CL390" s="78"/>
      <c r="CM390" s="78"/>
      <c r="CN390" s="78"/>
      <c r="CO390" s="78"/>
      <c r="CP390" s="78"/>
      <c r="CQ390" s="78"/>
      <c r="CR390" s="78"/>
      <c r="CS390" s="78"/>
      <c r="CT390" s="78"/>
      <c r="CU390" s="78"/>
      <c r="CV390" s="78"/>
      <c r="CW390" s="79"/>
      <c r="CX390" s="73"/>
      <c r="CY390" s="70"/>
      <c r="CZ390" s="70"/>
      <c r="DA390" s="7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</row>
  </sheetData>
  <mergeCells count="16">
    <mergeCell ref="A281:CW281"/>
    <mergeCell ref="A310:CW310"/>
    <mergeCell ref="A339:CW339"/>
    <mergeCell ref="A368:CW368"/>
    <mergeCell ref="A5:CW5"/>
    <mergeCell ref="A50:CW50"/>
    <mergeCell ref="A77:CW77"/>
    <mergeCell ref="A134:CW134"/>
    <mergeCell ref="A191:CW191"/>
    <mergeCell ref="A214:CW214"/>
    <mergeCell ref="A1:DA1"/>
    <mergeCell ref="A3:CW4"/>
    <mergeCell ref="CX3:CX4"/>
    <mergeCell ref="CY3:CY4"/>
    <mergeCell ref="CZ3:CZ4"/>
    <mergeCell ref="DA3:DA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5"/>
  <sheetViews>
    <sheetView showGridLines="0" workbookViewId="0">
      <selection activeCell="A5" sqref="A5:CW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</cols>
  <sheetData>
    <row r="1" spans="1:127" ht="26.1" customHeight="1" x14ac:dyDescent="0.2">
      <c r="A1" s="127" t="s">
        <v>261</v>
      </c>
      <c r="B1" s="127"/>
      <c r="C1" s="127"/>
      <c r="D1" s="127"/>
      <c r="E1" s="127"/>
      <c r="F1" s="127"/>
      <c r="G1" s="127"/>
      <c r="H1" s="127"/>
      <c r="I1" s="12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8" t="s">
        <v>132</v>
      </c>
      <c r="B3" s="121" t="s">
        <v>642</v>
      </c>
      <c r="C3" s="121" t="s">
        <v>366</v>
      </c>
      <c r="D3" s="121" t="s">
        <v>668</v>
      </c>
      <c r="E3" s="121" t="s">
        <v>242</v>
      </c>
      <c r="F3" s="121" t="s">
        <v>190</v>
      </c>
      <c r="G3" s="121" t="s">
        <v>476</v>
      </c>
      <c r="H3" s="121" t="s">
        <v>496</v>
      </c>
      <c r="I3" s="123" t="s">
        <v>301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9"/>
      <c r="B4" s="122"/>
      <c r="C4" s="122"/>
      <c r="D4" s="122"/>
      <c r="E4" s="122"/>
      <c r="F4" s="122"/>
      <c r="G4" s="122"/>
      <c r="H4" s="122"/>
      <c r="I4" s="12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2" t="s">
        <v>284</v>
      </c>
      <c r="B5" s="13" t="s">
        <v>192</v>
      </c>
      <c r="C5" s="3">
        <v>1</v>
      </c>
      <c r="D5" s="13" t="s">
        <v>584</v>
      </c>
      <c r="E5" s="63">
        <f t="shared" ref="E5:E14" si="0">F5+G5+H5</f>
        <v>2727</v>
      </c>
      <c r="F5" s="63" t="str">
        <f>단가산출!CY48</f>
        <v>503</v>
      </c>
      <c r="G5" s="63" t="str">
        <f>단가산출!CZ48</f>
        <v>1,719</v>
      </c>
      <c r="H5" s="63" t="str">
        <f>단가산출!DA48</f>
        <v>505</v>
      </c>
      <c r="I5" s="4" t="s">
        <v>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335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6" t="s">
        <v>686</v>
      </c>
      <c r="B6" s="17" t="s">
        <v>192</v>
      </c>
      <c r="C6" s="25">
        <v>1</v>
      </c>
      <c r="D6" s="17" t="s">
        <v>584</v>
      </c>
      <c r="E6" s="65">
        <f t="shared" si="0"/>
        <v>3645</v>
      </c>
      <c r="F6" s="65" t="str">
        <f>단가산출!CY75</f>
        <v>440</v>
      </c>
      <c r="G6" s="65" t="str">
        <f>단가산출!CZ75</f>
        <v>2,595</v>
      </c>
      <c r="H6" s="65" t="str">
        <f>단가산출!DA75</f>
        <v>610</v>
      </c>
      <c r="I6" s="26" t="s">
        <v>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339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6" t="s">
        <v>564</v>
      </c>
      <c r="B7" s="17" t="s">
        <v>185</v>
      </c>
      <c r="C7" s="25">
        <v>1</v>
      </c>
      <c r="D7" s="17" t="s">
        <v>584</v>
      </c>
      <c r="E7" s="65">
        <f t="shared" si="0"/>
        <v>10993</v>
      </c>
      <c r="F7" s="65" t="str">
        <f>단가산출!CY132</f>
        <v>1,486</v>
      </c>
      <c r="G7" s="65" t="str">
        <f>단가산출!CZ132</f>
        <v>8,226</v>
      </c>
      <c r="H7" s="65" t="str">
        <f>단가산출!DA132</f>
        <v>1,281</v>
      </c>
      <c r="I7" s="26" t="s">
        <v>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524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6" t="s">
        <v>10</v>
      </c>
      <c r="B8" s="17" t="s">
        <v>696</v>
      </c>
      <c r="C8" s="25">
        <v>1</v>
      </c>
      <c r="D8" s="17" t="s">
        <v>584</v>
      </c>
      <c r="E8" s="65">
        <f t="shared" si="0"/>
        <v>13570</v>
      </c>
      <c r="F8" s="65" t="str">
        <f>단가산출!CY189</f>
        <v>2,119</v>
      </c>
      <c r="G8" s="65" t="str">
        <f>단가산출!CZ189</f>
        <v>9,760</v>
      </c>
      <c r="H8" s="65" t="str">
        <f>단가산출!DA189</f>
        <v>1,691</v>
      </c>
      <c r="I8" s="26" t="s">
        <v>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9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6" t="s">
        <v>603</v>
      </c>
      <c r="B9" s="17" t="s">
        <v>571</v>
      </c>
      <c r="C9" s="25">
        <v>1</v>
      </c>
      <c r="D9" s="17" t="s">
        <v>351</v>
      </c>
      <c r="E9" s="65">
        <f t="shared" si="0"/>
        <v>18699</v>
      </c>
      <c r="F9" s="65" t="str">
        <f>단가산출!CY212</f>
        <v>0</v>
      </c>
      <c r="G9" s="65" t="str">
        <f>단가산출!CZ212</f>
        <v>0</v>
      </c>
      <c r="H9" s="65" t="str">
        <f>단가산출!DA212</f>
        <v>18,699</v>
      </c>
      <c r="I9" s="26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436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6" t="s">
        <v>260</v>
      </c>
      <c r="B10" s="17" t="s">
        <v>252</v>
      </c>
      <c r="C10" s="25">
        <v>1</v>
      </c>
      <c r="D10" s="17" t="s">
        <v>351</v>
      </c>
      <c r="E10" s="65">
        <f t="shared" si="0"/>
        <v>17856</v>
      </c>
      <c r="F10" s="65" t="str">
        <f>단가산출!CY279</f>
        <v>1,906</v>
      </c>
      <c r="G10" s="65" t="str">
        <f>단가산출!CZ279</f>
        <v>8,679</v>
      </c>
      <c r="H10" s="65" t="str">
        <f>단가산출!DA279</f>
        <v>7,271</v>
      </c>
      <c r="I10" s="26" t="s">
        <v>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331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6" t="s">
        <v>462</v>
      </c>
      <c r="B11" s="17" t="s">
        <v>551</v>
      </c>
      <c r="C11" s="25">
        <v>1</v>
      </c>
      <c r="D11" s="17" t="s">
        <v>584</v>
      </c>
      <c r="E11" s="65">
        <f t="shared" si="0"/>
        <v>4882</v>
      </c>
      <c r="F11" s="65" t="str">
        <f>단가산출!CY308</f>
        <v>0</v>
      </c>
      <c r="G11" s="65" t="str">
        <f>단가산출!CZ308</f>
        <v>0</v>
      </c>
      <c r="H11" s="65" t="str">
        <f>단가산출!DA308</f>
        <v>4,882</v>
      </c>
      <c r="I11" s="26" t="s">
        <v>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697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6" t="s">
        <v>238</v>
      </c>
      <c r="B12" s="17" t="s">
        <v>245</v>
      </c>
      <c r="C12" s="25">
        <v>1</v>
      </c>
      <c r="D12" s="17" t="s">
        <v>257</v>
      </c>
      <c r="E12" s="65">
        <f t="shared" si="0"/>
        <v>123335</v>
      </c>
      <c r="F12" s="65" t="str">
        <f>단가산출!CY337</f>
        <v>0</v>
      </c>
      <c r="G12" s="65" t="str">
        <f>단가산출!CZ337</f>
        <v>0</v>
      </c>
      <c r="H12" s="65" t="str">
        <f>단가산출!DA337</f>
        <v>123,335</v>
      </c>
      <c r="I12" s="26" t="s">
        <v>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474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6" t="s">
        <v>238</v>
      </c>
      <c r="B13" s="17" t="s">
        <v>651</v>
      </c>
      <c r="C13" s="25">
        <v>1</v>
      </c>
      <c r="D13" s="17" t="s">
        <v>257</v>
      </c>
      <c r="E13" s="65">
        <f t="shared" si="0"/>
        <v>126513</v>
      </c>
      <c r="F13" s="65" t="str">
        <f>단가산출!CY366</f>
        <v>0</v>
      </c>
      <c r="G13" s="65" t="str">
        <f>단가산출!CZ366</f>
        <v>0</v>
      </c>
      <c r="H13" s="65" t="str">
        <f>단가산출!DA366</f>
        <v>126,513</v>
      </c>
      <c r="I13" s="26" t="s">
        <v>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332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5" t="s">
        <v>256</v>
      </c>
      <c r="B14" s="20" t="s">
        <v>8</v>
      </c>
      <c r="C14" s="6">
        <v>1</v>
      </c>
      <c r="D14" s="20" t="s">
        <v>257</v>
      </c>
      <c r="E14" s="67">
        <f t="shared" si="0"/>
        <v>249848</v>
      </c>
      <c r="F14" s="67" t="str">
        <f>단가산출!CY389</f>
        <v>0</v>
      </c>
      <c r="G14" s="67" t="str">
        <f>단가산출!CZ389</f>
        <v>0</v>
      </c>
      <c r="H14" s="67" t="str">
        <f>단가산출!DA389</f>
        <v>249,848</v>
      </c>
      <c r="I14" s="7" t="s">
        <v>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664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"/>
      <c r="B15" s="8"/>
      <c r="C15" s="1"/>
      <c r="D15" s="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03"/>
  <sheetViews>
    <sheetView showGridLines="0" workbookViewId="0">
      <selection activeCell="A5" sqref="A5:CW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1" customWidth="1"/>
    <col min="6" max="6" width="13.28515625" customWidth="1"/>
    <col min="7" max="7" width="11" customWidth="1"/>
    <col min="8" max="8" width="13.28515625" customWidth="1"/>
    <col min="9" max="9" width="11" customWidth="1"/>
    <col min="10" max="10" width="13.28515625" customWidth="1"/>
    <col min="11" max="11" width="11" customWidth="1"/>
    <col min="12" max="12" width="13.28515625" customWidth="1"/>
    <col min="13" max="13" width="14" customWidth="1"/>
    <col min="14" max="116" width="9.140625" customWidth="1"/>
    <col min="117" max="118" width="0" hidden="1" customWidth="1"/>
  </cols>
  <sheetData>
    <row r="1" spans="1:128" ht="26.1" customHeight="1" x14ac:dyDescent="0.2">
      <c r="A1" s="127" t="s">
        <v>542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8" t="s">
        <v>132</v>
      </c>
      <c r="B3" s="121" t="s">
        <v>642</v>
      </c>
      <c r="C3" s="121" t="s">
        <v>366</v>
      </c>
      <c r="D3" s="121" t="s">
        <v>668</v>
      </c>
      <c r="E3" s="125" t="s">
        <v>242</v>
      </c>
      <c r="F3" s="126"/>
      <c r="G3" s="125" t="s">
        <v>190</v>
      </c>
      <c r="H3" s="126"/>
      <c r="I3" s="125" t="s">
        <v>476</v>
      </c>
      <c r="J3" s="126"/>
      <c r="K3" s="125" t="s">
        <v>496</v>
      </c>
      <c r="L3" s="125"/>
      <c r="M3" s="132" t="s">
        <v>301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9"/>
      <c r="B4" s="122"/>
      <c r="C4" s="122"/>
      <c r="D4" s="130"/>
      <c r="E4" s="10" t="s">
        <v>86</v>
      </c>
      <c r="F4" s="11" t="s">
        <v>55</v>
      </c>
      <c r="G4" s="11" t="s">
        <v>86</v>
      </c>
      <c r="H4" s="11" t="s">
        <v>55</v>
      </c>
      <c r="I4" s="11" t="s">
        <v>86</v>
      </c>
      <c r="J4" s="11" t="s">
        <v>55</v>
      </c>
      <c r="K4" s="11" t="s">
        <v>86</v>
      </c>
      <c r="L4" s="12" t="s">
        <v>55</v>
      </c>
      <c r="M4" s="12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104" t="s">
        <v>382</v>
      </c>
      <c r="B5" s="105"/>
      <c r="C5" s="106"/>
      <c r="D5" s="105"/>
      <c r="E5" s="107"/>
      <c r="F5" s="108"/>
      <c r="G5" s="107"/>
      <c r="H5" s="108"/>
      <c r="I5" s="107"/>
      <c r="J5" s="108"/>
      <c r="K5" s="107"/>
      <c r="L5" s="108"/>
      <c r="M5" s="10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691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6" t="s">
        <v>342</v>
      </c>
      <c r="B6" s="17" t="s">
        <v>178</v>
      </c>
      <c r="C6" s="38">
        <v>0.13</v>
      </c>
      <c r="D6" s="17" t="s">
        <v>584</v>
      </c>
      <c r="E6" s="18">
        <f t="shared" ref="E6:F10" si="0">G6+I6+K6</f>
        <v>29158</v>
      </c>
      <c r="F6" s="39">
        <f t="shared" si="0"/>
        <v>3790.4</v>
      </c>
      <c r="G6" s="18">
        <f>H30</f>
        <v>2618</v>
      </c>
      <c r="H6" s="39">
        <f>TRUNC(C6*G6,1)</f>
        <v>340.3</v>
      </c>
      <c r="I6" s="18">
        <f>J30</f>
        <v>23251</v>
      </c>
      <c r="J6" s="39">
        <f>TRUNC(C6*I6,1)</f>
        <v>3022.6</v>
      </c>
      <c r="K6" s="18">
        <f>L30</f>
        <v>3289</v>
      </c>
      <c r="L6" s="39">
        <f>TRUNC(C6*K6,1)</f>
        <v>427.5</v>
      </c>
      <c r="M6" s="26" t="s">
        <v>278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307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6" t="s">
        <v>342</v>
      </c>
      <c r="B7" s="17" t="s">
        <v>445</v>
      </c>
      <c r="C7" s="38">
        <v>0.41</v>
      </c>
      <c r="D7" s="17" t="s">
        <v>584</v>
      </c>
      <c r="E7" s="18">
        <f t="shared" si="0"/>
        <v>33399</v>
      </c>
      <c r="F7" s="39">
        <f t="shared" si="0"/>
        <v>13693.4</v>
      </c>
      <c r="G7" s="18">
        <f>H41</f>
        <v>2999</v>
      </c>
      <c r="H7" s="39">
        <f>TRUNC(C7*G7,1)</f>
        <v>1229.5</v>
      </c>
      <c r="I7" s="18">
        <f>J41</f>
        <v>26633</v>
      </c>
      <c r="J7" s="39">
        <f>TRUNC(C7*I7,1)</f>
        <v>10919.5</v>
      </c>
      <c r="K7" s="18">
        <f>L41</f>
        <v>3767</v>
      </c>
      <c r="L7" s="39">
        <f>TRUNC(C7*K7,1)</f>
        <v>1544.4</v>
      </c>
      <c r="M7" s="26" t="s">
        <v>244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109</v>
      </c>
      <c r="DN7" s="1" t="s">
        <v>8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6" t="s">
        <v>66</v>
      </c>
      <c r="B8" s="17" t="s">
        <v>162</v>
      </c>
      <c r="C8" s="38">
        <v>0.2</v>
      </c>
      <c r="D8" s="17" t="s">
        <v>586</v>
      </c>
      <c r="E8" s="18">
        <f t="shared" si="0"/>
        <v>50800</v>
      </c>
      <c r="F8" s="39">
        <f t="shared" si="0"/>
        <v>10160</v>
      </c>
      <c r="G8" s="18">
        <f>H70</f>
        <v>15995</v>
      </c>
      <c r="H8" s="39">
        <f>TRUNC(C8*G8,1)</f>
        <v>3199</v>
      </c>
      <c r="I8" s="18">
        <f>J70</f>
        <v>34461</v>
      </c>
      <c r="J8" s="39">
        <f>TRUNC(C8*I8,1)</f>
        <v>6892.2</v>
      </c>
      <c r="K8" s="18">
        <f>L70</f>
        <v>344</v>
      </c>
      <c r="L8" s="39">
        <f>TRUNC(C8*K8,1)</f>
        <v>68.8</v>
      </c>
      <c r="M8" s="26" t="s">
        <v>311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511</v>
      </c>
      <c r="DN8" s="1" t="s">
        <v>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6" t="s">
        <v>171</v>
      </c>
      <c r="B9" s="17" t="s">
        <v>592</v>
      </c>
      <c r="C9" s="38">
        <v>3.5</v>
      </c>
      <c r="D9" s="17" t="s">
        <v>586</v>
      </c>
      <c r="E9" s="18">
        <f t="shared" si="0"/>
        <v>37113</v>
      </c>
      <c r="F9" s="39">
        <f t="shared" si="0"/>
        <v>129895.5</v>
      </c>
      <c r="G9" s="18">
        <f>H51</f>
        <v>4277</v>
      </c>
      <c r="H9" s="39">
        <f>TRUNC(C9*G9,1)</f>
        <v>14969.5</v>
      </c>
      <c r="I9" s="18">
        <f>J51</f>
        <v>31880</v>
      </c>
      <c r="J9" s="39">
        <f>TRUNC(C9*I9,1)</f>
        <v>111580</v>
      </c>
      <c r="K9" s="18">
        <f>L51</f>
        <v>956</v>
      </c>
      <c r="L9" s="39">
        <f>TRUNC(C9*K9,1)</f>
        <v>3346</v>
      </c>
      <c r="M9" s="26" t="s">
        <v>84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306</v>
      </c>
      <c r="DN9" s="1" t="s">
        <v>8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6" t="s">
        <v>553</v>
      </c>
      <c r="B10" s="17" t="s">
        <v>99</v>
      </c>
      <c r="C10" s="38">
        <v>2.7E-2</v>
      </c>
      <c r="D10" s="17" t="s">
        <v>351</v>
      </c>
      <c r="E10" s="18">
        <f t="shared" si="0"/>
        <v>704108</v>
      </c>
      <c r="F10" s="39">
        <f t="shared" si="0"/>
        <v>19010.7</v>
      </c>
      <c r="G10" s="18">
        <f>H82</f>
        <v>11180</v>
      </c>
      <c r="H10" s="39">
        <f>TRUNC(C10*G10,1)</f>
        <v>301.8</v>
      </c>
      <c r="I10" s="18">
        <f>J82</f>
        <v>641332</v>
      </c>
      <c r="J10" s="39">
        <f>TRUNC(C10*I10,1)</f>
        <v>17315.900000000001</v>
      </c>
      <c r="K10" s="18">
        <f>L82</f>
        <v>51596</v>
      </c>
      <c r="L10" s="39">
        <f>TRUNC(C10*K10,1)</f>
        <v>1393</v>
      </c>
      <c r="M10" s="26" t="s">
        <v>402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413</v>
      </c>
      <c r="DN10" s="1" t="s">
        <v>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55" t="s">
        <v>98</v>
      </c>
      <c r="B11" s="56"/>
      <c r="C11" s="57"/>
      <c r="D11" s="56"/>
      <c r="E11" s="58"/>
      <c r="F11" s="59">
        <f>H11+J11+L11</f>
        <v>176549</v>
      </c>
      <c r="G11" s="58"/>
      <c r="H11" s="59">
        <f>ROUNDDOWN(SUM(H6:H10),0)</f>
        <v>20040</v>
      </c>
      <c r="I11" s="58"/>
      <c r="J11" s="59">
        <f>ROUNDDOWN(SUM(J6:J10),0)</f>
        <v>149730</v>
      </c>
      <c r="K11" s="58"/>
      <c r="L11" s="59">
        <f>ROUNDDOWN(SUM(L6:L10),0)</f>
        <v>6779</v>
      </c>
      <c r="M11" s="6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6"/>
      <c r="B12" s="17"/>
      <c r="C12" s="25"/>
      <c r="D12" s="17"/>
      <c r="E12" s="18"/>
      <c r="F12" s="39"/>
      <c r="G12" s="18"/>
      <c r="H12" s="39"/>
      <c r="I12" s="18"/>
      <c r="J12" s="39"/>
      <c r="K12" s="18"/>
      <c r="L12" s="39"/>
      <c r="M12" s="2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0" t="s">
        <v>676</v>
      </c>
      <c r="B13" s="111"/>
      <c r="C13" s="112"/>
      <c r="D13" s="111"/>
      <c r="E13" s="113"/>
      <c r="F13" s="114"/>
      <c r="G13" s="113"/>
      <c r="H13" s="114"/>
      <c r="I13" s="113"/>
      <c r="J13" s="114"/>
      <c r="K13" s="113"/>
      <c r="L13" s="114"/>
      <c r="M13" s="11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510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6" t="s">
        <v>28</v>
      </c>
      <c r="B14" s="17" t="s">
        <v>8</v>
      </c>
      <c r="C14" s="38">
        <v>2.7</v>
      </c>
      <c r="D14" s="17" t="s">
        <v>531</v>
      </c>
      <c r="E14" s="18">
        <f>G14+I14+K14</f>
        <v>7644</v>
      </c>
      <c r="F14" s="39">
        <f>H14+J14+L14</f>
        <v>20638.8</v>
      </c>
      <c r="G14" s="18">
        <f>H95</f>
        <v>7280</v>
      </c>
      <c r="H14" s="39">
        <f>TRUNC(C14*G14,1)</f>
        <v>19656</v>
      </c>
      <c r="I14" s="18">
        <f>J95</f>
        <v>364</v>
      </c>
      <c r="J14" s="39">
        <f>TRUNC(C14*I14,1)</f>
        <v>982.8</v>
      </c>
      <c r="K14" s="18">
        <f>L95</f>
        <v>0</v>
      </c>
      <c r="L14" s="39">
        <f>TRUNC(C14*K14,1)</f>
        <v>0</v>
      </c>
      <c r="M14" s="26" t="s">
        <v>654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204</v>
      </c>
      <c r="DN14" s="1" t="s">
        <v>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55" t="s">
        <v>98</v>
      </c>
      <c r="B15" s="56"/>
      <c r="C15" s="57"/>
      <c r="D15" s="56"/>
      <c r="E15" s="58"/>
      <c r="F15" s="59">
        <f>H15+J15+L15</f>
        <v>20638</v>
      </c>
      <c r="G15" s="58"/>
      <c r="H15" s="59">
        <f>ROUNDDOWN(SUM(H14:H14),0)</f>
        <v>19656</v>
      </c>
      <c r="I15" s="58"/>
      <c r="J15" s="59">
        <f>ROUNDDOWN(SUM(J14:J14),0)</f>
        <v>982</v>
      </c>
      <c r="K15" s="58"/>
      <c r="L15" s="59">
        <f>ROUNDDOWN(SUM(L14:L14),0)</f>
        <v>0</v>
      </c>
      <c r="M15" s="60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6"/>
      <c r="B16" s="17"/>
      <c r="C16" s="25"/>
      <c r="D16" s="17"/>
      <c r="E16" s="18"/>
      <c r="F16" s="39"/>
      <c r="G16" s="18"/>
      <c r="H16" s="39"/>
      <c r="I16" s="18"/>
      <c r="J16" s="39"/>
      <c r="K16" s="18"/>
      <c r="L16" s="39"/>
      <c r="M16" s="26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10" t="s">
        <v>494</v>
      </c>
      <c r="B17" s="111"/>
      <c r="C17" s="112"/>
      <c r="D17" s="111"/>
      <c r="E17" s="113"/>
      <c r="F17" s="114"/>
      <c r="G17" s="113"/>
      <c r="H17" s="114"/>
      <c r="I17" s="113"/>
      <c r="J17" s="114"/>
      <c r="K17" s="113"/>
      <c r="L17" s="114"/>
      <c r="M17" s="11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607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6" t="s">
        <v>667</v>
      </c>
      <c r="B18" s="17" t="s">
        <v>8</v>
      </c>
      <c r="C18" s="38">
        <v>0.32</v>
      </c>
      <c r="D18" s="17" t="s">
        <v>586</v>
      </c>
      <c r="E18" s="18">
        <f>G18+I18+K18</f>
        <v>28974</v>
      </c>
      <c r="F18" s="39">
        <f>H18+J18+L18</f>
        <v>9271.6</v>
      </c>
      <c r="G18" s="18">
        <f>H102</f>
        <v>26692</v>
      </c>
      <c r="H18" s="39">
        <f>TRUNC(C18*G18,1)</f>
        <v>8541.4</v>
      </c>
      <c r="I18" s="18">
        <f>J102</f>
        <v>2282</v>
      </c>
      <c r="J18" s="39">
        <f>TRUNC(C18*I18,1)</f>
        <v>730.2</v>
      </c>
      <c r="K18" s="18">
        <f>L102</f>
        <v>0</v>
      </c>
      <c r="L18" s="39">
        <f>TRUNC(C18*K18,1)</f>
        <v>0</v>
      </c>
      <c r="M18" s="26" t="s">
        <v>574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106</v>
      </c>
      <c r="DN18" s="1" t="s">
        <v>8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55" t="s">
        <v>98</v>
      </c>
      <c r="B19" s="56"/>
      <c r="C19" s="57"/>
      <c r="D19" s="56"/>
      <c r="E19" s="58"/>
      <c r="F19" s="59">
        <f>H19+J19+L19</f>
        <v>9271</v>
      </c>
      <c r="G19" s="58"/>
      <c r="H19" s="59">
        <f>ROUNDDOWN(SUM(H18:H18),0)</f>
        <v>8541</v>
      </c>
      <c r="I19" s="58"/>
      <c r="J19" s="59">
        <f>ROUNDDOWN(SUM(J18:J18),0)</f>
        <v>730</v>
      </c>
      <c r="K19" s="58"/>
      <c r="L19" s="59">
        <f>ROUNDDOWN(SUM(L18:L18),0)</f>
        <v>0</v>
      </c>
      <c r="M19" s="6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6"/>
      <c r="B20" s="17"/>
      <c r="C20" s="25"/>
      <c r="D20" s="17"/>
      <c r="E20" s="18"/>
      <c r="F20" s="39"/>
      <c r="G20" s="18"/>
      <c r="H20" s="39"/>
      <c r="I20" s="18"/>
      <c r="J20" s="39"/>
      <c r="K20" s="18"/>
      <c r="L20" s="39"/>
      <c r="M20" s="26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0" t="s">
        <v>371</v>
      </c>
      <c r="B21" s="111"/>
      <c r="C21" s="112"/>
      <c r="D21" s="111"/>
      <c r="E21" s="113"/>
      <c r="F21" s="114"/>
      <c r="G21" s="113"/>
      <c r="H21" s="114"/>
      <c r="I21" s="113"/>
      <c r="J21" s="114"/>
      <c r="K21" s="113"/>
      <c r="L21" s="114"/>
      <c r="M21" s="11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457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6" t="s">
        <v>77</v>
      </c>
      <c r="B22" s="17" t="s">
        <v>8</v>
      </c>
      <c r="C22" s="41">
        <v>0</v>
      </c>
      <c r="D22" s="17" t="s">
        <v>8</v>
      </c>
      <c r="E22" s="18">
        <f t="shared" ref="E22:F29" si="1">G22+I22+K22</f>
        <v>0</v>
      </c>
      <c r="F22" s="39">
        <f t="shared" si="1"/>
        <v>0</v>
      </c>
      <c r="G22" s="18">
        <v>0</v>
      </c>
      <c r="H22" s="39">
        <f>TRUNC(C22*G22,1)</f>
        <v>0</v>
      </c>
      <c r="I22" s="18">
        <v>0</v>
      </c>
      <c r="J22" s="39">
        <f>TRUNC(C22*I22,1)</f>
        <v>0</v>
      </c>
      <c r="K22" s="18">
        <v>0</v>
      </c>
      <c r="L22" s="39">
        <f>TRUNC(C22*K22,1)</f>
        <v>0</v>
      </c>
      <c r="M22" s="26" t="s">
        <v>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</v>
      </c>
      <c r="DN22" s="1" t="s">
        <v>8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6" t="s">
        <v>397</v>
      </c>
      <c r="B23" s="17" t="s">
        <v>62</v>
      </c>
      <c r="C23" s="41">
        <v>0</v>
      </c>
      <c r="D23" s="17" t="s">
        <v>8</v>
      </c>
      <c r="E23" s="18">
        <f t="shared" si="1"/>
        <v>0</v>
      </c>
      <c r="F23" s="39">
        <f t="shared" si="1"/>
        <v>0</v>
      </c>
      <c r="G23" s="18">
        <v>0</v>
      </c>
      <c r="H23" s="39">
        <f>TRUNC(C23*G23,1)</f>
        <v>0</v>
      </c>
      <c r="I23" s="18">
        <v>0</v>
      </c>
      <c r="J23" s="39">
        <f>TRUNC(C23*I23,1)</f>
        <v>0</v>
      </c>
      <c r="K23" s="18">
        <v>0</v>
      </c>
      <c r="L23" s="39">
        <f>TRUNC(C23*K23,1)</f>
        <v>0</v>
      </c>
      <c r="M23" s="26" t="s">
        <v>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8</v>
      </c>
      <c r="DN23" s="1" t="s">
        <v>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6" t="s">
        <v>123</v>
      </c>
      <c r="B24" s="17" t="s">
        <v>8</v>
      </c>
      <c r="C24" s="40">
        <v>3</v>
      </c>
      <c r="D24" s="17" t="s">
        <v>221</v>
      </c>
      <c r="E24" s="18">
        <f t="shared" si="1"/>
        <v>273540</v>
      </c>
      <c r="F24" s="39">
        <f t="shared" si="1"/>
        <v>820620</v>
      </c>
      <c r="G24" s="18">
        <v>0</v>
      </c>
      <c r="H24" s="39">
        <f>TRUNC(C24*G24,1)</f>
        <v>0</v>
      </c>
      <c r="I24" s="18">
        <f>노임단가!K6</f>
        <v>273540</v>
      </c>
      <c r="J24" s="39">
        <f>TRUNC(C24*I24,1)</f>
        <v>820620</v>
      </c>
      <c r="K24" s="18">
        <v>0</v>
      </c>
      <c r="L24" s="39">
        <f>TRUNC(C24*K24,1)</f>
        <v>0</v>
      </c>
      <c r="M24" s="26" t="s">
        <v>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450</v>
      </c>
      <c r="DN24" s="1" t="s">
        <v>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6" t="s">
        <v>623</v>
      </c>
      <c r="B25" s="17" t="s">
        <v>8</v>
      </c>
      <c r="C25" s="40">
        <v>1</v>
      </c>
      <c r="D25" s="17" t="s">
        <v>221</v>
      </c>
      <c r="E25" s="18">
        <f t="shared" si="1"/>
        <v>172068</v>
      </c>
      <c r="F25" s="39">
        <f t="shared" si="1"/>
        <v>172068</v>
      </c>
      <c r="G25" s="18">
        <v>0</v>
      </c>
      <c r="H25" s="39">
        <f>TRUNC(C25*G25,1)</f>
        <v>0</v>
      </c>
      <c r="I25" s="18">
        <f>노임단가!K5</f>
        <v>172068</v>
      </c>
      <c r="J25" s="39">
        <f>TRUNC(C25*I25,1)</f>
        <v>172068</v>
      </c>
      <c r="K25" s="18">
        <v>0</v>
      </c>
      <c r="L25" s="39">
        <f>TRUNC(C25*K25,1)</f>
        <v>0</v>
      </c>
      <c r="M25" s="26" t="s">
        <v>8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25</v>
      </c>
      <c r="DN25" s="1" t="s">
        <v>8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6" t="s">
        <v>39</v>
      </c>
      <c r="B26" s="17" t="s">
        <v>368</v>
      </c>
      <c r="C26" s="40">
        <v>8</v>
      </c>
      <c r="D26" s="17" t="s">
        <v>349</v>
      </c>
      <c r="E26" s="18">
        <f t="shared" si="1"/>
        <v>103062</v>
      </c>
      <c r="F26" s="39">
        <f t="shared" si="1"/>
        <v>824496</v>
      </c>
      <c r="G26" s="18">
        <f>건설기계!H72</f>
        <v>20619</v>
      </c>
      <c r="H26" s="39">
        <f>TRUNC(C26*G26,1)</f>
        <v>164952</v>
      </c>
      <c r="I26" s="18">
        <f>건설기계!J72</f>
        <v>59020</v>
      </c>
      <c r="J26" s="39">
        <f>TRUNC(C26*I26,1)</f>
        <v>472160</v>
      </c>
      <c r="K26" s="18">
        <f>건설기계!L72</f>
        <v>23423</v>
      </c>
      <c r="L26" s="39">
        <f>TRUNC(C26*K26,1)</f>
        <v>187384</v>
      </c>
      <c r="M26" s="26" t="s">
        <v>8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526</v>
      </c>
      <c r="DN26" s="1" t="s">
        <v>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6" t="s">
        <v>330</v>
      </c>
      <c r="B27" s="17" t="s">
        <v>473</v>
      </c>
      <c r="C27" s="40">
        <v>2</v>
      </c>
      <c r="D27" s="17" t="s">
        <v>537</v>
      </c>
      <c r="E27" s="18">
        <f t="shared" si="1"/>
        <v>992688</v>
      </c>
      <c r="F27" s="39">
        <f t="shared" si="1"/>
        <v>19853.7</v>
      </c>
      <c r="G27" s="18">
        <v>0</v>
      </c>
      <c r="H27" s="39">
        <f>TRUNC(C27/100*G27,1)</f>
        <v>0</v>
      </c>
      <c r="I27" s="18">
        <v>0</v>
      </c>
      <c r="J27" s="39">
        <f>TRUNC(C27/100*I27,1)</f>
        <v>0</v>
      </c>
      <c r="K27" s="18">
        <f>SUM(J24:J25)</f>
        <v>992688</v>
      </c>
      <c r="L27" s="39">
        <f>TRUNC(C27/100*K27,1)</f>
        <v>19853.7</v>
      </c>
      <c r="M27" s="26" t="s">
        <v>8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663</v>
      </c>
      <c r="DN27" s="1" t="s">
        <v>377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6" t="s">
        <v>242</v>
      </c>
      <c r="B28" s="17" t="s">
        <v>8</v>
      </c>
      <c r="C28" s="41">
        <v>0</v>
      </c>
      <c r="D28" s="17" t="s">
        <v>8</v>
      </c>
      <c r="E28" s="18">
        <f t="shared" si="1"/>
        <v>0</v>
      </c>
      <c r="F28" s="39">
        <f t="shared" si="1"/>
        <v>1837037.7</v>
      </c>
      <c r="G28" s="18">
        <v>0</v>
      </c>
      <c r="H28" s="39">
        <f>SUM(H22:H27)</f>
        <v>164952</v>
      </c>
      <c r="I28" s="18">
        <v>0</v>
      </c>
      <c r="J28" s="39">
        <f>SUM(J22:J27)</f>
        <v>1464848</v>
      </c>
      <c r="K28" s="18">
        <v>0</v>
      </c>
      <c r="L28" s="39">
        <f>SUM(L22:L27)</f>
        <v>207237.7</v>
      </c>
      <c r="M28" s="26" t="s">
        <v>8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570</v>
      </c>
      <c r="DN28" s="1" t="s">
        <v>8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6" t="s">
        <v>191</v>
      </c>
      <c r="B29" s="17" t="s">
        <v>125</v>
      </c>
      <c r="C29" s="41">
        <v>0</v>
      </c>
      <c r="D29" s="17" t="s">
        <v>8</v>
      </c>
      <c r="E29" s="18">
        <f t="shared" si="1"/>
        <v>0</v>
      </c>
      <c r="F29" s="39">
        <f t="shared" si="1"/>
        <v>29159.32857142857</v>
      </c>
      <c r="G29" s="18">
        <v>0</v>
      </c>
      <c r="H29" s="39">
        <f>SUM(H28)/63</f>
        <v>2618.2857142857142</v>
      </c>
      <c r="I29" s="18">
        <v>0</v>
      </c>
      <c r="J29" s="39">
        <f>SUM(J28)/63</f>
        <v>23251.555555555555</v>
      </c>
      <c r="K29" s="18">
        <v>0</v>
      </c>
      <c r="L29" s="39">
        <f>SUM(L28)/63</f>
        <v>3289.4873015873018</v>
      </c>
      <c r="M29" s="26" t="s">
        <v>8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76</v>
      </c>
      <c r="DN29" s="1" t="s">
        <v>431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55" t="s">
        <v>98</v>
      </c>
      <c r="B30" s="56"/>
      <c r="C30" s="57"/>
      <c r="D30" s="56"/>
      <c r="E30" s="58"/>
      <c r="F30" s="59">
        <f>H30+J30+L30</f>
        <v>29158</v>
      </c>
      <c r="G30" s="58"/>
      <c r="H30" s="59">
        <f>ROUNDDOWN(SUM(H29),0)</f>
        <v>2618</v>
      </c>
      <c r="I30" s="58"/>
      <c r="J30" s="59">
        <f>ROUNDDOWN(SUM(J29),0)</f>
        <v>23251</v>
      </c>
      <c r="K30" s="58"/>
      <c r="L30" s="59">
        <f>ROUNDDOWN(SUM(L29),0)</f>
        <v>3289</v>
      </c>
      <c r="M30" s="6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6"/>
      <c r="B31" s="17"/>
      <c r="C31" s="25"/>
      <c r="D31" s="17"/>
      <c r="E31" s="18"/>
      <c r="F31" s="39"/>
      <c r="G31" s="18"/>
      <c r="H31" s="39"/>
      <c r="I31" s="18"/>
      <c r="J31" s="39"/>
      <c r="K31" s="18"/>
      <c r="L31" s="39"/>
      <c r="M31" s="26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10" t="s">
        <v>412</v>
      </c>
      <c r="B32" s="111"/>
      <c r="C32" s="112"/>
      <c r="D32" s="111"/>
      <c r="E32" s="113"/>
      <c r="F32" s="114"/>
      <c r="G32" s="113"/>
      <c r="H32" s="114"/>
      <c r="I32" s="113"/>
      <c r="J32" s="114"/>
      <c r="K32" s="113"/>
      <c r="L32" s="114"/>
      <c r="M32" s="11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338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6" t="s">
        <v>77</v>
      </c>
      <c r="B33" s="17" t="s">
        <v>8</v>
      </c>
      <c r="C33" s="41">
        <v>0</v>
      </c>
      <c r="D33" s="17" t="s">
        <v>8</v>
      </c>
      <c r="E33" s="18">
        <f t="shared" ref="E33:F40" si="2">G33+I33+K33</f>
        <v>0</v>
      </c>
      <c r="F33" s="39">
        <f t="shared" si="2"/>
        <v>0</v>
      </c>
      <c r="G33" s="18">
        <v>0</v>
      </c>
      <c r="H33" s="39">
        <f>TRUNC(C33*G33,1)</f>
        <v>0</v>
      </c>
      <c r="I33" s="18">
        <v>0</v>
      </c>
      <c r="J33" s="39">
        <f>TRUNC(C33*I33,1)</f>
        <v>0</v>
      </c>
      <c r="K33" s="18">
        <v>0</v>
      </c>
      <c r="L33" s="39">
        <f>TRUNC(C33*K33,1)</f>
        <v>0</v>
      </c>
      <c r="M33" s="26" t="s">
        <v>8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8</v>
      </c>
      <c r="DN33" s="1" t="s">
        <v>8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6" t="s">
        <v>397</v>
      </c>
      <c r="B34" s="17" t="s">
        <v>62</v>
      </c>
      <c r="C34" s="41">
        <v>0</v>
      </c>
      <c r="D34" s="17" t="s">
        <v>8</v>
      </c>
      <c r="E34" s="18">
        <f t="shared" si="2"/>
        <v>0</v>
      </c>
      <c r="F34" s="39">
        <f t="shared" si="2"/>
        <v>0</v>
      </c>
      <c r="G34" s="18">
        <v>0</v>
      </c>
      <c r="H34" s="39">
        <f>TRUNC(C34*G34,1)</f>
        <v>0</v>
      </c>
      <c r="I34" s="18">
        <v>0</v>
      </c>
      <c r="J34" s="39">
        <f>TRUNC(C34*I34,1)</f>
        <v>0</v>
      </c>
      <c r="K34" s="18">
        <v>0</v>
      </c>
      <c r="L34" s="39">
        <f>TRUNC(C34*K34,1)</f>
        <v>0</v>
      </c>
      <c r="M34" s="26" t="s">
        <v>8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8</v>
      </c>
      <c r="DN34" s="1" t="s">
        <v>8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6" t="s">
        <v>123</v>
      </c>
      <c r="B35" s="17" t="s">
        <v>8</v>
      </c>
      <c r="C35" s="40">
        <v>3</v>
      </c>
      <c r="D35" s="17" t="s">
        <v>221</v>
      </c>
      <c r="E35" s="18">
        <f t="shared" si="2"/>
        <v>273540</v>
      </c>
      <c r="F35" s="39">
        <f t="shared" si="2"/>
        <v>820620</v>
      </c>
      <c r="G35" s="18">
        <v>0</v>
      </c>
      <c r="H35" s="39">
        <f>TRUNC(C35*G35,1)</f>
        <v>0</v>
      </c>
      <c r="I35" s="18">
        <f>노임단가!K6</f>
        <v>273540</v>
      </c>
      <c r="J35" s="39">
        <f>TRUNC(C35*I35,1)</f>
        <v>820620</v>
      </c>
      <c r="K35" s="18">
        <v>0</v>
      </c>
      <c r="L35" s="39">
        <f>TRUNC(C35*K35,1)</f>
        <v>0</v>
      </c>
      <c r="M35" s="26" t="s">
        <v>8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450</v>
      </c>
      <c r="DN35" s="1" t="s">
        <v>8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6" t="s">
        <v>623</v>
      </c>
      <c r="B36" s="17" t="s">
        <v>8</v>
      </c>
      <c r="C36" s="40">
        <v>1</v>
      </c>
      <c r="D36" s="17" t="s">
        <v>221</v>
      </c>
      <c r="E36" s="18">
        <f t="shared" si="2"/>
        <v>172068</v>
      </c>
      <c r="F36" s="39">
        <f t="shared" si="2"/>
        <v>172068</v>
      </c>
      <c r="G36" s="18">
        <v>0</v>
      </c>
      <c r="H36" s="39">
        <f>TRUNC(C36*G36,1)</f>
        <v>0</v>
      </c>
      <c r="I36" s="18">
        <f>노임단가!K5</f>
        <v>172068</v>
      </c>
      <c r="J36" s="39">
        <f>TRUNC(C36*I36,1)</f>
        <v>172068</v>
      </c>
      <c r="K36" s="18">
        <v>0</v>
      </c>
      <c r="L36" s="39">
        <f>TRUNC(C36*K36,1)</f>
        <v>0</v>
      </c>
      <c r="M36" s="26" t="s">
        <v>8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25</v>
      </c>
      <c r="DN36" s="1" t="s">
        <v>8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6" t="s">
        <v>39</v>
      </c>
      <c r="B37" s="17" t="s">
        <v>368</v>
      </c>
      <c r="C37" s="40">
        <v>8</v>
      </c>
      <c r="D37" s="17" t="s">
        <v>349</v>
      </c>
      <c r="E37" s="18">
        <f t="shared" si="2"/>
        <v>103062</v>
      </c>
      <c r="F37" s="39">
        <f t="shared" si="2"/>
        <v>824496</v>
      </c>
      <c r="G37" s="18">
        <f>건설기계!H72</f>
        <v>20619</v>
      </c>
      <c r="H37" s="39">
        <f>TRUNC(C37*G37,1)</f>
        <v>164952</v>
      </c>
      <c r="I37" s="18">
        <f>건설기계!J72</f>
        <v>59020</v>
      </c>
      <c r="J37" s="39">
        <f>TRUNC(C37*I37,1)</f>
        <v>472160</v>
      </c>
      <c r="K37" s="18">
        <f>건설기계!L72</f>
        <v>23423</v>
      </c>
      <c r="L37" s="39">
        <f>TRUNC(C37*K37,1)</f>
        <v>187384</v>
      </c>
      <c r="M37" s="26" t="s">
        <v>8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526</v>
      </c>
      <c r="DN37" s="1" t="s">
        <v>8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6" t="s">
        <v>330</v>
      </c>
      <c r="B38" s="17" t="s">
        <v>473</v>
      </c>
      <c r="C38" s="40">
        <v>2</v>
      </c>
      <c r="D38" s="17" t="s">
        <v>537</v>
      </c>
      <c r="E38" s="18">
        <f t="shared" si="2"/>
        <v>992688</v>
      </c>
      <c r="F38" s="39">
        <f t="shared" si="2"/>
        <v>19853.7</v>
      </c>
      <c r="G38" s="18">
        <v>0</v>
      </c>
      <c r="H38" s="39">
        <f>TRUNC(C38/100*G38,1)</f>
        <v>0</v>
      </c>
      <c r="I38" s="18">
        <v>0</v>
      </c>
      <c r="J38" s="39">
        <f>TRUNC(C38/100*I38,1)</f>
        <v>0</v>
      </c>
      <c r="K38" s="18">
        <f>SUM(J35:J36)</f>
        <v>992688</v>
      </c>
      <c r="L38" s="39">
        <f>TRUNC(C38/100*K38,1)</f>
        <v>19853.7</v>
      </c>
      <c r="M38" s="26" t="s">
        <v>8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663</v>
      </c>
      <c r="DN38" s="1" t="s">
        <v>377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6" t="s">
        <v>242</v>
      </c>
      <c r="B39" s="17" t="s">
        <v>8</v>
      </c>
      <c r="C39" s="41">
        <v>0</v>
      </c>
      <c r="D39" s="17" t="s">
        <v>8</v>
      </c>
      <c r="E39" s="18">
        <f t="shared" si="2"/>
        <v>0</v>
      </c>
      <c r="F39" s="39">
        <f t="shared" si="2"/>
        <v>1837037.7</v>
      </c>
      <c r="G39" s="18">
        <v>0</v>
      </c>
      <c r="H39" s="39">
        <f>SUM(H33:H38)</f>
        <v>164952</v>
      </c>
      <c r="I39" s="18">
        <v>0</v>
      </c>
      <c r="J39" s="39">
        <f>SUM(J33:J38)</f>
        <v>1464848</v>
      </c>
      <c r="K39" s="18">
        <v>0</v>
      </c>
      <c r="L39" s="39">
        <f>SUM(L33:L38)</f>
        <v>207237.7</v>
      </c>
      <c r="M39" s="26" t="s">
        <v>8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570</v>
      </c>
      <c r="DN39" s="1" t="s">
        <v>8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6" t="s">
        <v>144</v>
      </c>
      <c r="B40" s="17" t="s">
        <v>253</v>
      </c>
      <c r="C40" s="41">
        <v>0</v>
      </c>
      <c r="D40" s="17" t="s">
        <v>8</v>
      </c>
      <c r="E40" s="18">
        <f t="shared" si="2"/>
        <v>0</v>
      </c>
      <c r="F40" s="39">
        <f t="shared" si="2"/>
        <v>33400.685454545455</v>
      </c>
      <c r="G40" s="18">
        <v>0</v>
      </c>
      <c r="H40" s="39">
        <f>SUM(H39)/55</f>
        <v>2999.1272727272726</v>
      </c>
      <c r="I40" s="18">
        <v>0</v>
      </c>
      <c r="J40" s="39">
        <f>SUM(J39)/55</f>
        <v>26633.599999999999</v>
      </c>
      <c r="K40" s="18">
        <v>0</v>
      </c>
      <c r="L40" s="39">
        <f>SUM(L39)/55</f>
        <v>3767.9581818181819</v>
      </c>
      <c r="M40" s="26" t="s">
        <v>8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76</v>
      </c>
      <c r="DN40" s="1" t="s">
        <v>569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55" t="s">
        <v>98</v>
      </c>
      <c r="B41" s="56"/>
      <c r="C41" s="57"/>
      <c r="D41" s="56"/>
      <c r="E41" s="58"/>
      <c r="F41" s="59">
        <f>H41+J41+L41</f>
        <v>33399</v>
      </c>
      <c r="G41" s="58"/>
      <c r="H41" s="59">
        <f>ROUNDDOWN(SUM(H40),0)</f>
        <v>2999</v>
      </c>
      <c r="I41" s="58"/>
      <c r="J41" s="59">
        <f>ROUNDDOWN(SUM(J40),0)</f>
        <v>26633</v>
      </c>
      <c r="K41" s="58"/>
      <c r="L41" s="59">
        <f>ROUNDDOWN(SUM(L40),0)</f>
        <v>3767</v>
      </c>
      <c r="M41" s="60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16"/>
      <c r="B42" s="17"/>
      <c r="C42" s="25"/>
      <c r="D42" s="17"/>
      <c r="E42" s="18"/>
      <c r="F42" s="39"/>
      <c r="G42" s="18"/>
      <c r="H42" s="39"/>
      <c r="I42" s="18"/>
      <c r="J42" s="39"/>
      <c r="K42" s="18"/>
      <c r="L42" s="39"/>
      <c r="M42" s="26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10" t="s">
        <v>184</v>
      </c>
      <c r="B43" s="111"/>
      <c r="C43" s="112"/>
      <c r="D43" s="111"/>
      <c r="E43" s="113"/>
      <c r="F43" s="114"/>
      <c r="G43" s="113"/>
      <c r="H43" s="114"/>
      <c r="I43" s="113"/>
      <c r="J43" s="114"/>
      <c r="K43" s="113"/>
      <c r="L43" s="114"/>
      <c r="M43" s="11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376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6" t="s">
        <v>615</v>
      </c>
      <c r="B44" s="17" t="s">
        <v>8</v>
      </c>
      <c r="C44" s="41">
        <v>0</v>
      </c>
      <c r="D44" s="17" t="s">
        <v>8</v>
      </c>
      <c r="E44" s="18">
        <f t="shared" ref="E44:F50" si="3">G44+I44+K44</f>
        <v>0</v>
      </c>
      <c r="F44" s="39">
        <f t="shared" si="3"/>
        <v>0</v>
      </c>
      <c r="G44" s="18">
        <v>0</v>
      </c>
      <c r="H44" s="39">
        <f>TRUNC(C44*G44,1)</f>
        <v>0</v>
      </c>
      <c r="I44" s="18">
        <v>0</v>
      </c>
      <c r="J44" s="39">
        <f>TRUNC(C44*I44,1)</f>
        <v>0</v>
      </c>
      <c r="K44" s="18">
        <v>0</v>
      </c>
      <c r="L44" s="39">
        <f>TRUNC(C44*K44,1)</f>
        <v>0</v>
      </c>
      <c r="M44" s="26" t="s">
        <v>8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</v>
      </c>
      <c r="DN44" s="1" t="s">
        <v>8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6" t="s">
        <v>523</v>
      </c>
      <c r="B45" s="17" t="s">
        <v>183</v>
      </c>
      <c r="C45" s="38">
        <v>9.5000000000000001E-2</v>
      </c>
      <c r="D45" s="17" t="s">
        <v>303</v>
      </c>
      <c r="E45" s="18">
        <f t="shared" si="3"/>
        <v>28500</v>
      </c>
      <c r="F45" s="39">
        <f t="shared" si="3"/>
        <v>2707.5</v>
      </c>
      <c r="G45" s="18">
        <f>자재단가!R8</f>
        <v>28500</v>
      </c>
      <c r="H45" s="39">
        <f>TRUNC(C45*G45,1)</f>
        <v>2707.5</v>
      </c>
      <c r="I45" s="18">
        <v>0</v>
      </c>
      <c r="J45" s="39">
        <f>TRUNC(C45*I45,1)</f>
        <v>0</v>
      </c>
      <c r="K45" s="18">
        <v>0</v>
      </c>
      <c r="L45" s="39">
        <f>TRUNC(C45*K45,1)</f>
        <v>0</v>
      </c>
      <c r="M45" s="26" t="s">
        <v>8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152</v>
      </c>
      <c r="DN45" s="1" t="s">
        <v>8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6" t="s">
        <v>222</v>
      </c>
      <c r="B46" s="17" t="s">
        <v>80</v>
      </c>
      <c r="C46" s="40">
        <v>55</v>
      </c>
      <c r="D46" s="17" t="s">
        <v>537</v>
      </c>
      <c r="E46" s="18">
        <f t="shared" si="3"/>
        <v>2707.5</v>
      </c>
      <c r="F46" s="39">
        <f t="shared" si="3"/>
        <v>1489.1</v>
      </c>
      <c r="G46" s="18">
        <f>H45</f>
        <v>2707.5</v>
      </c>
      <c r="H46" s="39">
        <f>TRUNC(C46/100*G46,1)</f>
        <v>1489.1</v>
      </c>
      <c r="I46" s="18">
        <v>0</v>
      </c>
      <c r="J46" s="39">
        <f>TRUNC(C46/100*I46,1)</f>
        <v>0</v>
      </c>
      <c r="K46" s="18">
        <v>0</v>
      </c>
      <c r="L46" s="39">
        <f>TRUNC(C46/100*K46,1)</f>
        <v>0</v>
      </c>
      <c r="M46" s="26" t="s">
        <v>8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438</v>
      </c>
      <c r="DN46" s="1" t="s">
        <v>74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6" t="s">
        <v>387</v>
      </c>
      <c r="B47" s="17" t="s">
        <v>80</v>
      </c>
      <c r="C47" s="40">
        <v>3</v>
      </c>
      <c r="D47" s="17" t="s">
        <v>537</v>
      </c>
      <c r="E47" s="18">
        <f t="shared" si="3"/>
        <v>2707.5</v>
      </c>
      <c r="F47" s="39">
        <f t="shared" si="3"/>
        <v>81.2</v>
      </c>
      <c r="G47" s="18">
        <f>H45</f>
        <v>2707.5</v>
      </c>
      <c r="H47" s="39">
        <f>TRUNC(C47/100*G47,1)</f>
        <v>81.2</v>
      </c>
      <c r="I47" s="18">
        <v>0</v>
      </c>
      <c r="J47" s="39">
        <f>TRUNC(C47/100*I47,1)</f>
        <v>0</v>
      </c>
      <c r="K47" s="18">
        <v>0</v>
      </c>
      <c r="L47" s="39">
        <f>TRUNC(C47/100*K47,1)</f>
        <v>0</v>
      </c>
      <c r="M47" s="26" t="s">
        <v>8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438</v>
      </c>
      <c r="DN47" s="1" t="s">
        <v>74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6" t="s">
        <v>21</v>
      </c>
      <c r="B48" s="17" t="s">
        <v>610</v>
      </c>
      <c r="C48" s="38">
        <v>0.1</v>
      </c>
      <c r="D48" s="17" t="s">
        <v>221</v>
      </c>
      <c r="E48" s="18">
        <f t="shared" si="3"/>
        <v>275790</v>
      </c>
      <c r="F48" s="39">
        <f t="shared" si="3"/>
        <v>27579</v>
      </c>
      <c r="G48" s="18">
        <v>0</v>
      </c>
      <c r="H48" s="39">
        <f>TRUNC(C48*G48,1)</f>
        <v>0</v>
      </c>
      <c r="I48" s="18">
        <f>노임단가!K7</f>
        <v>275790</v>
      </c>
      <c r="J48" s="39">
        <f>TRUNC(C48*I48,1)</f>
        <v>27579</v>
      </c>
      <c r="K48" s="18">
        <v>0</v>
      </c>
      <c r="L48" s="39">
        <f>TRUNC(C48*K48,1)</f>
        <v>0</v>
      </c>
      <c r="M48" s="26" t="s">
        <v>8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365</v>
      </c>
      <c r="DN48" s="1" t="s">
        <v>8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6" t="s">
        <v>623</v>
      </c>
      <c r="B49" s="17" t="s">
        <v>490</v>
      </c>
      <c r="C49" s="38">
        <v>2.5000000000000001E-2</v>
      </c>
      <c r="D49" s="17" t="s">
        <v>221</v>
      </c>
      <c r="E49" s="18">
        <f t="shared" si="3"/>
        <v>172068</v>
      </c>
      <c r="F49" s="39">
        <f t="shared" si="3"/>
        <v>4301.7</v>
      </c>
      <c r="G49" s="18">
        <v>0</v>
      </c>
      <c r="H49" s="39">
        <f>TRUNC(C49*G49,1)</f>
        <v>0</v>
      </c>
      <c r="I49" s="18">
        <f>노임단가!K5</f>
        <v>172068</v>
      </c>
      <c r="J49" s="39">
        <f>TRUNC(C49*I49,1)</f>
        <v>4301.7</v>
      </c>
      <c r="K49" s="18">
        <v>0</v>
      </c>
      <c r="L49" s="39">
        <f>TRUNC(C49*K49,1)</f>
        <v>0</v>
      </c>
      <c r="M49" s="26" t="s">
        <v>8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25</v>
      </c>
      <c r="DN49" s="1" t="s">
        <v>8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6" t="s">
        <v>108</v>
      </c>
      <c r="B50" s="17" t="s">
        <v>473</v>
      </c>
      <c r="C50" s="40">
        <v>3</v>
      </c>
      <c r="D50" s="17" t="s">
        <v>537</v>
      </c>
      <c r="E50" s="18">
        <f t="shared" si="3"/>
        <v>31880.7</v>
      </c>
      <c r="F50" s="39">
        <f t="shared" si="3"/>
        <v>956.4</v>
      </c>
      <c r="G50" s="18">
        <v>0</v>
      </c>
      <c r="H50" s="39">
        <f>TRUNC(C50/100*G50,1)</f>
        <v>0</v>
      </c>
      <c r="I50" s="18">
        <v>0</v>
      </c>
      <c r="J50" s="39">
        <f>TRUNC(C50/100*I50,1)</f>
        <v>0</v>
      </c>
      <c r="K50" s="18">
        <f>SUM(J48:J49)</f>
        <v>31880.7</v>
      </c>
      <c r="L50" s="39">
        <f>TRUNC(C50/100*K50,1)</f>
        <v>956.4</v>
      </c>
      <c r="M50" s="26" t="s">
        <v>8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663</v>
      </c>
      <c r="DN50" s="1" t="s">
        <v>291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55" t="s">
        <v>98</v>
      </c>
      <c r="B51" s="56"/>
      <c r="C51" s="57"/>
      <c r="D51" s="56"/>
      <c r="E51" s="58"/>
      <c r="F51" s="59">
        <f>H51+J51+L51</f>
        <v>37113</v>
      </c>
      <c r="G51" s="58"/>
      <c r="H51" s="59">
        <f>ROUNDDOWN(SUM(H44:H50),0)</f>
        <v>4277</v>
      </c>
      <c r="I51" s="58"/>
      <c r="J51" s="59">
        <f>ROUNDDOWN(SUM(J44:J50),0)</f>
        <v>31880</v>
      </c>
      <c r="K51" s="58"/>
      <c r="L51" s="59">
        <f>ROUNDDOWN(SUM(L44:L50),0)</f>
        <v>956</v>
      </c>
      <c r="M51" s="60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6"/>
      <c r="B52" s="17"/>
      <c r="C52" s="25"/>
      <c r="D52" s="17"/>
      <c r="E52" s="18"/>
      <c r="F52" s="39"/>
      <c r="G52" s="18"/>
      <c r="H52" s="39"/>
      <c r="I52" s="18"/>
      <c r="J52" s="39"/>
      <c r="K52" s="18"/>
      <c r="L52" s="39"/>
      <c r="M52" s="26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10" t="s">
        <v>177</v>
      </c>
      <c r="B53" s="111"/>
      <c r="C53" s="112"/>
      <c r="D53" s="111"/>
      <c r="E53" s="113"/>
      <c r="F53" s="114"/>
      <c r="G53" s="113"/>
      <c r="H53" s="114"/>
      <c r="I53" s="113"/>
      <c r="J53" s="114"/>
      <c r="K53" s="113"/>
      <c r="L53" s="114"/>
      <c r="M53" s="11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670</v>
      </c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6" t="s">
        <v>255</v>
      </c>
      <c r="B54" s="17" t="s">
        <v>8</v>
      </c>
      <c r="C54" s="41">
        <v>0</v>
      </c>
      <c r="D54" s="17" t="s">
        <v>8</v>
      </c>
      <c r="E54" s="18">
        <f t="shared" ref="E54:F60" si="4">G54+I54+K54</f>
        <v>0</v>
      </c>
      <c r="F54" s="39">
        <f t="shared" si="4"/>
        <v>0</v>
      </c>
      <c r="G54" s="18">
        <v>0</v>
      </c>
      <c r="H54" s="39">
        <f>TRUNC(C54*G54,1)</f>
        <v>0</v>
      </c>
      <c r="I54" s="18">
        <v>0</v>
      </c>
      <c r="J54" s="39">
        <f>TRUNC(C54*I54,1)</f>
        <v>0</v>
      </c>
      <c r="K54" s="18">
        <v>0</v>
      </c>
      <c r="L54" s="39">
        <f>TRUNC(C54*K54,1)</f>
        <v>0</v>
      </c>
      <c r="M54" s="26" t="s">
        <v>8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8</v>
      </c>
      <c r="DN54" s="1" t="s">
        <v>8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6" t="s">
        <v>203</v>
      </c>
      <c r="B55" s="17" t="s">
        <v>8</v>
      </c>
      <c r="C55" s="41">
        <v>0</v>
      </c>
      <c r="D55" s="17" t="s">
        <v>8</v>
      </c>
      <c r="E55" s="18">
        <f t="shared" si="4"/>
        <v>0</v>
      </c>
      <c r="F55" s="39">
        <f t="shared" si="4"/>
        <v>0</v>
      </c>
      <c r="G55" s="18">
        <v>0</v>
      </c>
      <c r="H55" s="39">
        <f>TRUNC(C55*G55,1)</f>
        <v>0</v>
      </c>
      <c r="I55" s="18">
        <v>0</v>
      </c>
      <c r="J55" s="39">
        <f>TRUNC(C55*I55,1)</f>
        <v>0</v>
      </c>
      <c r="K55" s="18">
        <v>0</v>
      </c>
      <c r="L55" s="39">
        <f>TRUNC(C55*K55,1)</f>
        <v>0</v>
      </c>
      <c r="M55" s="26" t="s">
        <v>8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8</v>
      </c>
      <c r="DN55" s="1" t="s">
        <v>8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6" t="s">
        <v>440</v>
      </c>
      <c r="B56" s="17" t="s">
        <v>8</v>
      </c>
      <c r="C56" s="40">
        <v>6</v>
      </c>
      <c r="D56" s="17" t="s">
        <v>221</v>
      </c>
      <c r="E56" s="18">
        <f t="shared" si="4"/>
        <v>268187</v>
      </c>
      <c r="F56" s="39">
        <f t="shared" si="4"/>
        <v>1609122</v>
      </c>
      <c r="G56" s="18">
        <v>0</v>
      </c>
      <c r="H56" s="39">
        <f>TRUNC(C56*G56,1)</f>
        <v>0</v>
      </c>
      <c r="I56" s="18">
        <f>노임단가!K8</f>
        <v>268187</v>
      </c>
      <c r="J56" s="39">
        <f>TRUNC(C56*I56,1)</f>
        <v>1609122</v>
      </c>
      <c r="K56" s="18">
        <v>0</v>
      </c>
      <c r="L56" s="39">
        <f>TRUNC(C56*K56,1)</f>
        <v>0</v>
      </c>
      <c r="M56" s="26" t="s">
        <v>8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364</v>
      </c>
      <c r="DN56" s="1" t="s">
        <v>8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6" t="s">
        <v>623</v>
      </c>
      <c r="B57" s="17" t="s">
        <v>8</v>
      </c>
      <c r="C57" s="40">
        <v>2</v>
      </c>
      <c r="D57" s="17" t="s">
        <v>221</v>
      </c>
      <c r="E57" s="18">
        <f t="shared" si="4"/>
        <v>172068</v>
      </c>
      <c r="F57" s="39">
        <f t="shared" si="4"/>
        <v>344136</v>
      </c>
      <c r="G57" s="18">
        <v>0</v>
      </c>
      <c r="H57" s="39">
        <f>TRUNC(C57*G57,1)</f>
        <v>0</v>
      </c>
      <c r="I57" s="18">
        <f>노임단가!K5</f>
        <v>172068</v>
      </c>
      <c r="J57" s="39">
        <f>TRUNC(C57*I57,1)</f>
        <v>344136</v>
      </c>
      <c r="K57" s="18">
        <v>0</v>
      </c>
      <c r="L57" s="39">
        <f>TRUNC(C57*K57,1)</f>
        <v>0</v>
      </c>
      <c r="M57" s="26" t="s">
        <v>8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25</v>
      </c>
      <c r="DN57" s="1" t="s">
        <v>8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6" t="s">
        <v>330</v>
      </c>
      <c r="B58" s="17" t="s">
        <v>473</v>
      </c>
      <c r="C58" s="40">
        <v>2</v>
      </c>
      <c r="D58" s="17" t="s">
        <v>537</v>
      </c>
      <c r="E58" s="18">
        <f t="shared" si="4"/>
        <v>1953258</v>
      </c>
      <c r="F58" s="39">
        <f t="shared" si="4"/>
        <v>39065.1</v>
      </c>
      <c r="G58" s="18">
        <v>0</v>
      </c>
      <c r="H58" s="39">
        <f>TRUNC(C58/100*G58,1)</f>
        <v>0</v>
      </c>
      <c r="I58" s="18">
        <v>0</v>
      </c>
      <c r="J58" s="39">
        <f>TRUNC(C58/100*I58,1)</f>
        <v>0</v>
      </c>
      <c r="K58" s="18">
        <f>SUM(J56:J57)</f>
        <v>1953258</v>
      </c>
      <c r="L58" s="39">
        <f>TRUNC(C58/100*K58,1)</f>
        <v>39065.1</v>
      </c>
      <c r="M58" s="26" t="s">
        <v>8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663</v>
      </c>
      <c r="DN58" s="1" t="s">
        <v>377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6" t="s">
        <v>26</v>
      </c>
      <c r="B59" s="17" t="s">
        <v>315</v>
      </c>
      <c r="C59" s="38">
        <v>22.1</v>
      </c>
      <c r="D59" s="17" t="s">
        <v>225</v>
      </c>
      <c r="E59" s="18">
        <f t="shared" si="4"/>
        <v>1720</v>
      </c>
      <c r="F59" s="39">
        <f t="shared" si="4"/>
        <v>38012</v>
      </c>
      <c r="G59" s="18">
        <f>자재단가!R9</f>
        <v>1720</v>
      </c>
      <c r="H59" s="39">
        <f>TRUNC(C59*G59,1)</f>
        <v>38012</v>
      </c>
      <c r="I59" s="18">
        <v>0</v>
      </c>
      <c r="J59" s="39">
        <f>TRUNC(C59*I59,1)</f>
        <v>0</v>
      </c>
      <c r="K59" s="18">
        <v>0</v>
      </c>
      <c r="L59" s="39">
        <f>TRUNC(C59*K59,1)</f>
        <v>0</v>
      </c>
      <c r="M59" s="26" t="s">
        <v>8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207</v>
      </c>
      <c r="DN59" s="1" t="s">
        <v>8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6" t="s">
        <v>292</v>
      </c>
      <c r="B60" s="17" t="s">
        <v>8</v>
      </c>
      <c r="C60" s="41">
        <v>0</v>
      </c>
      <c r="D60" s="17" t="s">
        <v>8</v>
      </c>
      <c r="E60" s="18">
        <f t="shared" si="4"/>
        <v>0</v>
      </c>
      <c r="F60" s="39">
        <f t="shared" si="4"/>
        <v>597157.38235294109</v>
      </c>
      <c r="G60" s="18">
        <v>0</v>
      </c>
      <c r="H60" s="39">
        <f>SUM(H54:H59)/3.4</f>
        <v>11180</v>
      </c>
      <c r="I60" s="18">
        <v>0</v>
      </c>
      <c r="J60" s="39">
        <f>SUM(J54:J59)/3.4</f>
        <v>574487.6470588235</v>
      </c>
      <c r="K60" s="18">
        <v>0</v>
      </c>
      <c r="L60" s="39">
        <f>SUM(L54:L59)/3.4</f>
        <v>11489.735294117647</v>
      </c>
      <c r="M60" s="26" t="s">
        <v>8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76</v>
      </c>
      <c r="DN60" s="1" t="s">
        <v>275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55" t="s">
        <v>98</v>
      </c>
      <c r="B61" s="56"/>
      <c r="C61" s="57"/>
      <c r="D61" s="56"/>
      <c r="E61" s="58"/>
      <c r="F61" s="59">
        <f>H61+J61+L61</f>
        <v>597156</v>
      </c>
      <c r="G61" s="58"/>
      <c r="H61" s="59">
        <f>ROUNDDOWN(SUM(H60),0)</f>
        <v>11180</v>
      </c>
      <c r="I61" s="58"/>
      <c r="J61" s="59">
        <f>ROUNDDOWN(SUM(J60),0)</f>
        <v>574487</v>
      </c>
      <c r="K61" s="58"/>
      <c r="L61" s="59">
        <f>ROUNDDOWN(SUM(L60),0)</f>
        <v>11489</v>
      </c>
      <c r="M61" s="60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6"/>
      <c r="B62" s="17"/>
      <c r="C62" s="25"/>
      <c r="D62" s="17"/>
      <c r="E62" s="18"/>
      <c r="F62" s="39"/>
      <c r="G62" s="18"/>
      <c r="H62" s="39"/>
      <c r="I62" s="18"/>
      <c r="J62" s="39"/>
      <c r="K62" s="18"/>
      <c r="L62" s="39"/>
      <c r="M62" s="26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10" t="s">
        <v>52</v>
      </c>
      <c r="B63" s="111"/>
      <c r="C63" s="112"/>
      <c r="D63" s="111"/>
      <c r="E63" s="113"/>
      <c r="F63" s="114"/>
      <c r="G63" s="113"/>
      <c r="H63" s="114"/>
      <c r="I63" s="113"/>
      <c r="J63" s="114"/>
      <c r="K63" s="113"/>
      <c r="L63" s="114"/>
      <c r="M63" s="11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58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6" t="s">
        <v>267</v>
      </c>
      <c r="B64" s="17" t="s">
        <v>8</v>
      </c>
      <c r="C64" s="41">
        <v>0</v>
      </c>
      <c r="D64" s="17" t="s">
        <v>8</v>
      </c>
      <c r="E64" s="18">
        <f t="shared" ref="E64:F69" si="5">G64+I64+K64</f>
        <v>0</v>
      </c>
      <c r="F64" s="39">
        <f t="shared" si="5"/>
        <v>0</v>
      </c>
      <c r="G64" s="18">
        <v>0</v>
      </c>
      <c r="H64" s="39">
        <f>TRUNC(C64*G64,1)</f>
        <v>0</v>
      </c>
      <c r="I64" s="18">
        <v>0</v>
      </c>
      <c r="J64" s="39">
        <f>TRUNC(C64*I64,1)</f>
        <v>0</v>
      </c>
      <c r="K64" s="18">
        <v>0</v>
      </c>
      <c r="L64" s="39">
        <f>TRUNC(C64*K64,1)</f>
        <v>0</v>
      </c>
      <c r="M64" s="26" t="s">
        <v>8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8</v>
      </c>
      <c r="DN64" s="1" t="s">
        <v>8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6" t="s">
        <v>66</v>
      </c>
      <c r="B65" s="17" t="s">
        <v>190</v>
      </c>
      <c r="C65" s="38">
        <v>0.32700000000000001</v>
      </c>
      <c r="D65" s="17" t="s">
        <v>586</v>
      </c>
      <c r="E65" s="18">
        <f t="shared" si="5"/>
        <v>44069</v>
      </c>
      <c r="F65" s="39">
        <f t="shared" si="5"/>
        <v>14410.5</v>
      </c>
      <c r="G65" s="18">
        <f>H76</f>
        <v>44069</v>
      </c>
      <c r="H65" s="39">
        <f>TRUNC(C65*G65,1)</f>
        <v>14410.5</v>
      </c>
      <c r="I65" s="18">
        <f>J76</f>
        <v>0</v>
      </c>
      <c r="J65" s="39">
        <f>TRUNC(C65*I65,1)</f>
        <v>0</v>
      </c>
      <c r="K65" s="18">
        <f>L76</f>
        <v>0</v>
      </c>
      <c r="L65" s="39">
        <f>TRUNC(C65*K65,1)</f>
        <v>0</v>
      </c>
      <c r="M65" s="26" t="s">
        <v>202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38</v>
      </c>
      <c r="DN65" s="1" t="s">
        <v>8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6" t="s">
        <v>21</v>
      </c>
      <c r="B66" s="17" t="s">
        <v>430</v>
      </c>
      <c r="C66" s="38">
        <v>0.1</v>
      </c>
      <c r="D66" s="17" t="s">
        <v>221</v>
      </c>
      <c r="E66" s="18">
        <f t="shared" si="5"/>
        <v>275790</v>
      </c>
      <c r="F66" s="39">
        <f t="shared" si="5"/>
        <v>27579</v>
      </c>
      <c r="G66" s="18">
        <v>0</v>
      </c>
      <c r="H66" s="39">
        <f>TRUNC(C66*G66,1)</f>
        <v>0</v>
      </c>
      <c r="I66" s="18">
        <f>노임단가!K7</f>
        <v>275790</v>
      </c>
      <c r="J66" s="39">
        <f>TRUNC(C66*I66,1)</f>
        <v>27579</v>
      </c>
      <c r="K66" s="18">
        <v>0</v>
      </c>
      <c r="L66" s="39">
        <f>TRUNC(C66*K66,1)</f>
        <v>0</v>
      </c>
      <c r="M66" s="26" t="s">
        <v>8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365</v>
      </c>
      <c r="DN66" s="1" t="s">
        <v>8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6" t="s">
        <v>623</v>
      </c>
      <c r="B67" s="17" t="s">
        <v>588</v>
      </c>
      <c r="C67" s="38">
        <v>0.04</v>
      </c>
      <c r="D67" s="17" t="s">
        <v>221</v>
      </c>
      <c r="E67" s="18">
        <f t="shared" si="5"/>
        <v>172068</v>
      </c>
      <c r="F67" s="39">
        <f t="shared" si="5"/>
        <v>6882.7</v>
      </c>
      <c r="G67" s="18">
        <v>0</v>
      </c>
      <c r="H67" s="39">
        <f>TRUNC(C67*G67,1)</f>
        <v>0</v>
      </c>
      <c r="I67" s="18">
        <f>노임단가!K5</f>
        <v>172068</v>
      </c>
      <c r="J67" s="39">
        <f>TRUNC(C67*I67,1)</f>
        <v>6882.7</v>
      </c>
      <c r="K67" s="18">
        <v>0</v>
      </c>
      <c r="L67" s="39">
        <f>TRUNC(C67*K67,1)</f>
        <v>0</v>
      </c>
      <c r="M67" s="26" t="s">
        <v>8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25</v>
      </c>
      <c r="DN67" s="1" t="s">
        <v>8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6" t="s">
        <v>153</v>
      </c>
      <c r="B68" s="17" t="s">
        <v>208</v>
      </c>
      <c r="C68" s="40">
        <v>11</v>
      </c>
      <c r="D68" s="17" t="s">
        <v>537</v>
      </c>
      <c r="E68" s="18">
        <f t="shared" si="5"/>
        <v>14410.5</v>
      </c>
      <c r="F68" s="39">
        <f t="shared" si="5"/>
        <v>1585.1</v>
      </c>
      <c r="G68" s="18">
        <f>H65</f>
        <v>14410.5</v>
      </c>
      <c r="H68" s="39">
        <f>TRUNC(C68/100*G68,1)</f>
        <v>1585.1</v>
      </c>
      <c r="I68" s="18">
        <v>0</v>
      </c>
      <c r="J68" s="39">
        <f>TRUNC(C68/100*I68,1)</f>
        <v>0</v>
      </c>
      <c r="K68" s="18">
        <v>0</v>
      </c>
      <c r="L68" s="39">
        <f>TRUNC(C68/100*K68,1)</f>
        <v>0</v>
      </c>
      <c r="M68" s="26" t="s">
        <v>8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438</v>
      </c>
      <c r="DN68" s="1" t="s">
        <v>358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6" t="s">
        <v>472</v>
      </c>
      <c r="B69" s="17" t="s">
        <v>473</v>
      </c>
      <c r="C69" s="40">
        <v>1</v>
      </c>
      <c r="D69" s="17" t="s">
        <v>537</v>
      </c>
      <c r="E69" s="18">
        <f t="shared" si="5"/>
        <v>34461.699999999997</v>
      </c>
      <c r="F69" s="39">
        <f t="shared" si="5"/>
        <v>344.6</v>
      </c>
      <c r="G69" s="18">
        <v>0</v>
      </c>
      <c r="H69" s="39">
        <f>TRUNC(C69/100*G69,1)</f>
        <v>0</v>
      </c>
      <c r="I69" s="18">
        <v>0</v>
      </c>
      <c r="J69" s="39">
        <f>TRUNC(C69/100*I69,1)</f>
        <v>0</v>
      </c>
      <c r="K69" s="18">
        <f>SUM(J66:J67)</f>
        <v>34461.699999999997</v>
      </c>
      <c r="L69" s="39">
        <f>TRUNC(C69/100*K69,1)</f>
        <v>344.6</v>
      </c>
      <c r="M69" s="26" t="s">
        <v>8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663</v>
      </c>
      <c r="DN69" s="1" t="s">
        <v>377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55" t="s">
        <v>98</v>
      </c>
      <c r="B70" s="56"/>
      <c r="C70" s="57"/>
      <c r="D70" s="56"/>
      <c r="E70" s="58"/>
      <c r="F70" s="59">
        <f>H70+J70+L70</f>
        <v>50800</v>
      </c>
      <c r="G70" s="58"/>
      <c r="H70" s="59">
        <f>ROUNDDOWN(SUM(H64:H69),0)</f>
        <v>15995</v>
      </c>
      <c r="I70" s="58"/>
      <c r="J70" s="59">
        <f>ROUNDDOWN(SUM(J64:J69),0)</f>
        <v>34461</v>
      </c>
      <c r="K70" s="58"/>
      <c r="L70" s="59">
        <f>ROUNDDOWN(SUM(L64:L69),0)</f>
        <v>344</v>
      </c>
      <c r="M70" s="6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6"/>
      <c r="B71" s="17"/>
      <c r="C71" s="25"/>
      <c r="D71" s="17"/>
      <c r="E71" s="18"/>
      <c r="F71" s="39"/>
      <c r="G71" s="18"/>
      <c r="H71" s="39"/>
      <c r="I71" s="18"/>
      <c r="J71" s="39"/>
      <c r="K71" s="18"/>
      <c r="L71" s="39"/>
      <c r="M71" s="26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10" t="s">
        <v>139</v>
      </c>
      <c r="B72" s="111"/>
      <c r="C72" s="112"/>
      <c r="D72" s="111"/>
      <c r="E72" s="113"/>
      <c r="F72" s="114"/>
      <c r="G72" s="113"/>
      <c r="H72" s="114"/>
      <c r="I72" s="113"/>
      <c r="J72" s="114"/>
      <c r="K72" s="113"/>
      <c r="L72" s="114"/>
      <c r="M72" s="11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444</v>
      </c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6" t="s">
        <v>267</v>
      </c>
      <c r="B73" s="17" t="s">
        <v>8</v>
      </c>
      <c r="C73" s="41">
        <v>0</v>
      </c>
      <c r="D73" s="17" t="s">
        <v>8</v>
      </c>
      <c r="E73" s="18">
        <f t="shared" ref="E73:F75" si="6">G73+I73+K73</f>
        <v>0</v>
      </c>
      <c r="F73" s="39">
        <f t="shared" si="6"/>
        <v>0</v>
      </c>
      <c r="G73" s="18">
        <v>0</v>
      </c>
      <c r="H73" s="39">
        <f>TRUNC(C73*G73,1)</f>
        <v>0</v>
      </c>
      <c r="I73" s="18">
        <v>0</v>
      </c>
      <c r="J73" s="39">
        <f>TRUNC(C73*I73,1)</f>
        <v>0</v>
      </c>
      <c r="K73" s="18">
        <v>0</v>
      </c>
      <c r="L73" s="39">
        <f>TRUNC(C73*K73,1)</f>
        <v>0</v>
      </c>
      <c r="M73" s="26" t="s">
        <v>8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8</v>
      </c>
      <c r="DN73" s="1" t="s">
        <v>8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6" t="s">
        <v>405</v>
      </c>
      <c r="B74" s="17" t="s">
        <v>47</v>
      </c>
      <c r="C74" s="38">
        <v>1.03</v>
      </c>
      <c r="D74" s="17" t="s">
        <v>586</v>
      </c>
      <c r="E74" s="18">
        <f t="shared" si="6"/>
        <v>11858</v>
      </c>
      <c r="F74" s="39">
        <f t="shared" si="6"/>
        <v>12213.7</v>
      </c>
      <c r="G74" s="18">
        <f>자재단가!R12</f>
        <v>11858</v>
      </c>
      <c r="H74" s="39">
        <f>TRUNC(C74*G74,1)</f>
        <v>12213.7</v>
      </c>
      <c r="I74" s="18">
        <v>0</v>
      </c>
      <c r="J74" s="39">
        <f>TRUNC(C74*I74,1)</f>
        <v>0</v>
      </c>
      <c r="K74" s="18">
        <v>0</v>
      </c>
      <c r="L74" s="39">
        <f>TRUNC(C74*K74,1)</f>
        <v>0</v>
      </c>
      <c r="M74" s="26" t="s">
        <v>8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324</v>
      </c>
      <c r="DN74" s="1" t="s">
        <v>8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6" t="s">
        <v>384</v>
      </c>
      <c r="B75" s="17" t="s">
        <v>277</v>
      </c>
      <c r="C75" s="38">
        <v>3.7999999999999999E-2</v>
      </c>
      <c r="D75" s="17" t="s">
        <v>584</v>
      </c>
      <c r="E75" s="18">
        <f t="shared" si="6"/>
        <v>838323</v>
      </c>
      <c r="F75" s="39">
        <f t="shared" si="6"/>
        <v>31856.2</v>
      </c>
      <c r="G75" s="18">
        <f>자재단가!R13</f>
        <v>838323</v>
      </c>
      <c r="H75" s="39">
        <f>TRUNC(C75*G75,1)</f>
        <v>31856.2</v>
      </c>
      <c r="I75" s="18">
        <v>0</v>
      </c>
      <c r="J75" s="39">
        <f>TRUNC(C75*I75,1)</f>
        <v>0</v>
      </c>
      <c r="K75" s="18">
        <v>0</v>
      </c>
      <c r="L75" s="39">
        <f>TRUNC(C75*K75,1)</f>
        <v>0</v>
      </c>
      <c r="M75" s="26" t="s">
        <v>8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572</v>
      </c>
      <c r="DN75" s="1" t="s">
        <v>8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55" t="s">
        <v>98</v>
      </c>
      <c r="B76" s="56"/>
      <c r="C76" s="57"/>
      <c r="D76" s="56"/>
      <c r="E76" s="58"/>
      <c r="F76" s="59">
        <f>H76+J76+L76</f>
        <v>44069</v>
      </c>
      <c r="G76" s="58"/>
      <c r="H76" s="59">
        <f>ROUNDDOWN(SUM(H73:H75),0)</f>
        <v>44069</v>
      </c>
      <c r="I76" s="58"/>
      <c r="J76" s="59">
        <f>ROUNDDOWN(SUM(J73:J75),0)</f>
        <v>0</v>
      </c>
      <c r="K76" s="58"/>
      <c r="L76" s="59">
        <f>ROUNDDOWN(SUM(L73:L75),0)</f>
        <v>0</v>
      </c>
      <c r="M76" s="60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6"/>
      <c r="B77" s="17"/>
      <c r="C77" s="25"/>
      <c r="D77" s="17"/>
      <c r="E77" s="18"/>
      <c r="F77" s="39"/>
      <c r="G77" s="18"/>
      <c r="H77" s="39"/>
      <c r="I77" s="18"/>
      <c r="J77" s="39"/>
      <c r="K77" s="18"/>
      <c r="L77" s="39"/>
      <c r="M77" s="26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10" t="s">
        <v>509</v>
      </c>
      <c r="B78" s="111"/>
      <c r="C78" s="112"/>
      <c r="D78" s="111"/>
      <c r="E78" s="113"/>
      <c r="F78" s="114"/>
      <c r="G78" s="113"/>
      <c r="H78" s="114"/>
      <c r="I78" s="113"/>
      <c r="J78" s="114"/>
      <c r="K78" s="113"/>
      <c r="L78" s="114"/>
      <c r="M78" s="11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27</v>
      </c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6" t="s">
        <v>426</v>
      </c>
      <c r="B79" s="17" t="s">
        <v>8</v>
      </c>
      <c r="C79" s="41">
        <v>0</v>
      </c>
      <c r="D79" s="17" t="s">
        <v>8</v>
      </c>
      <c r="E79" s="18">
        <f t="shared" ref="E79:F81" si="7">G79+I79+K79</f>
        <v>0</v>
      </c>
      <c r="F79" s="39">
        <f t="shared" si="7"/>
        <v>0</v>
      </c>
      <c r="G79" s="18">
        <v>0</v>
      </c>
      <c r="H79" s="39">
        <f>TRUNC(C79*G79,1)</f>
        <v>0</v>
      </c>
      <c r="I79" s="18">
        <v>0</v>
      </c>
      <c r="J79" s="39">
        <f>TRUNC(C79*I79,1)</f>
        <v>0</v>
      </c>
      <c r="K79" s="18">
        <v>0</v>
      </c>
      <c r="L79" s="39">
        <f>TRUNC(C79*K79,1)</f>
        <v>0</v>
      </c>
      <c r="M79" s="26" t="s">
        <v>8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8</v>
      </c>
      <c r="DN79" s="1" t="s">
        <v>8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6" t="s">
        <v>266</v>
      </c>
      <c r="B80" s="17" t="s">
        <v>116</v>
      </c>
      <c r="C80" s="40">
        <v>1</v>
      </c>
      <c r="D80" s="17" t="s">
        <v>351</v>
      </c>
      <c r="E80" s="18">
        <f t="shared" si="7"/>
        <v>106952</v>
      </c>
      <c r="F80" s="39">
        <f t="shared" si="7"/>
        <v>106952</v>
      </c>
      <c r="G80" s="18">
        <f>H90</f>
        <v>0</v>
      </c>
      <c r="H80" s="39">
        <f>TRUNC(C80*G80,1)</f>
        <v>0</v>
      </c>
      <c r="I80" s="18">
        <f>J90</f>
        <v>66845</v>
      </c>
      <c r="J80" s="39">
        <f>TRUNC(C80*I80,1)</f>
        <v>66845</v>
      </c>
      <c r="K80" s="18">
        <f>L90</f>
        <v>40107</v>
      </c>
      <c r="L80" s="39">
        <f>TRUNC(C80*K80,1)</f>
        <v>40107</v>
      </c>
      <c r="M80" s="26" t="s">
        <v>461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429</v>
      </c>
      <c r="DN80" s="1" t="s">
        <v>8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6" t="s">
        <v>73</v>
      </c>
      <c r="B81" s="17" t="s">
        <v>254</v>
      </c>
      <c r="C81" s="40">
        <v>1</v>
      </c>
      <c r="D81" s="17" t="s">
        <v>351</v>
      </c>
      <c r="E81" s="18">
        <f t="shared" si="7"/>
        <v>597156</v>
      </c>
      <c r="F81" s="39">
        <f t="shared" si="7"/>
        <v>597156</v>
      </c>
      <c r="G81" s="18">
        <f>H61</f>
        <v>11180</v>
      </c>
      <c r="H81" s="39">
        <f>TRUNC(C81*G81,1)</f>
        <v>11180</v>
      </c>
      <c r="I81" s="18">
        <f>J61</f>
        <v>574487</v>
      </c>
      <c r="J81" s="39">
        <f>TRUNC(C81*I81,1)</f>
        <v>574487</v>
      </c>
      <c r="K81" s="18">
        <f>L61</f>
        <v>11489</v>
      </c>
      <c r="L81" s="39">
        <f>TRUNC(C81*K81,1)</f>
        <v>11489</v>
      </c>
      <c r="M81" s="26" t="s">
        <v>94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92</v>
      </c>
      <c r="DN81" s="1" t="s">
        <v>8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55" t="s">
        <v>98</v>
      </c>
      <c r="B82" s="56"/>
      <c r="C82" s="57"/>
      <c r="D82" s="56"/>
      <c r="E82" s="58"/>
      <c r="F82" s="59">
        <f>H82+J82+L82</f>
        <v>704108</v>
      </c>
      <c r="G82" s="58"/>
      <c r="H82" s="59">
        <f>ROUNDDOWN(SUM(H79:H81),0)</f>
        <v>11180</v>
      </c>
      <c r="I82" s="58"/>
      <c r="J82" s="59">
        <f>ROUNDDOWN(SUM(J79:J81),0)</f>
        <v>641332</v>
      </c>
      <c r="K82" s="58"/>
      <c r="L82" s="59">
        <f>ROUNDDOWN(SUM(L79:L81),0)</f>
        <v>51596</v>
      </c>
      <c r="M82" s="60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16"/>
      <c r="B83" s="17"/>
      <c r="C83" s="25"/>
      <c r="D83" s="17"/>
      <c r="E83" s="18"/>
      <c r="F83" s="39"/>
      <c r="G83" s="18"/>
      <c r="H83" s="39"/>
      <c r="I83" s="18"/>
      <c r="J83" s="39"/>
      <c r="K83" s="18"/>
      <c r="L83" s="39"/>
      <c r="M83" s="26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10" t="s">
        <v>341</v>
      </c>
      <c r="B84" s="111"/>
      <c r="C84" s="112"/>
      <c r="D84" s="111"/>
      <c r="E84" s="113"/>
      <c r="F84" s="114"/>
      <c r="G84" s="113"/>
      <c r="H84" s="114"/>
      <c r="I84" s="113"/>
      <c r="J84" s="114"/>
      <c r="K84" s="113"/>
      <c r="L84" s="114"/>
      <c r="M84" s="11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305</v>
      </c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6" t="s">
        <v>426</v>
      </c>
      <c r="B85" s="17" t="s">
        <v>8</v>
      </c>
      <c r="C85" s="41">
        <v>0</v>
      </c>
      <c r="D85" s="17" t="s">
        <v>8</v>
      </c>
      <c r="E85" s="18">
        <f t="shared" ref="E85:F89" si="8">G85+I85+K85</f>
        <v>0</v>
      </c>
      <c r="F85" s="39">
        <f t="shared" si="8"/>
        <v>0</v>
      </c>
      <c r="G85" s="18">
        <v>0</v>
      </c>
      <c r="H85" s="39">
        <f>TRUNC(C85*G85,1)</f>
        <v>0</v>
      </c>
      <c r="I85" s="18">
        <v>0</v>
      </c>
      <c r="J85" s="39">
        <f>TRUNC(C85*I85,1)</f>
        <v>0</v>
      </c>
      <c r="K85" s="18">
        <v>0</v>
      </c>
      <c r="L85" s="39">
        <f>TRUNC(C85*K85,1)</f>
        <v>0</v>
      </c>
      <c r="M85" s="26" t="s">
        <v>8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8</v>
      </c>
      <c r="DN85" s="1" t="s">
        <v>8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6" t="s">
        <v>434</v>
      </c>
      <c r="B86" s="17" t="s">
        <v>8</v>
      </c>
      <c r="C86" s="41">
        <v>0</v>
      </c>
      <c r="D86" s="17" t="s">
        <v>8</v>
      </c>
      <c r="E86" s="18">
        <f t="shared" si="8"/>
        <v>0</v>
      </c>
      <c r="F86" s="39">
        <f t="shared" si="8"/>
        <v>0</v>
      </c>
      <c r="G86" s="18">
        <v>0</v>
      </c>
      <c r="H86" s="39">
        <f>TRUNC(C86*G86,1)</f>
        <v>0</v>
      </c>
      <c r="I86" s="18">
        <v>0</v>
      </c>
      <c r="J86" s="39">
        <f>TRUNC(C86*I86,1)</f>
        <v>0</v>
      </c>
      <c r="K86" s="18">
        <v>0</v>
      </c>
      <c r="L86" s="39">
        <f>TRUNC(C86*K86,1)</f>
        <v>0</v>
      </c>
      <c r="M86" s="26" t="s">
        <v>8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8</v>
      </c>
      <c r="DN86" s="1" t="s">
        <v>8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6" t="s">
        <v>440</v>
      </c>
      <c r="B87" s="17" t="s">
        <v>489</v>
      </c>
      <c r="C87" s="38">
        <v>0.23</v>
      </c>
      <c r="D87" s="17" t="s">
        <v>221</v>
      </c>
      <c r="E87" s="18">
        <f t="shared" si="8"/>
        <v>268187</v>
      </c>
      <c r="F87" s="39">
        <f t="shared" si="8"/>
        <v>61683</v>
      </c>
      <c r="G87" s="18">
        <v>0</v>
      </c>
      <c r="H87" s="39">
        <f>TRUNC(C87*G87,1)</f>
        <v>0</v>
      </c>
      <c r="I87" s="18">
        <f>노임단가!K8</f>
        <v>268187</v>
      </c>
      <c r="J87" s="39">
        <f>TRUNC(C87*I87,1)</f>
        <v>61683</v>
      </c>
      <c r="K87" s="18">
        <v>0</v>
      </c>
      <c r="L87" s="39">
        <f>TRUNC(C87*K87,1)</f>
        <v>0</v>
      </c>
      <c r="M87" s="26" t="s">
        <v>8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364</v>
      </c>
      <c r="DN87" s="1" t="s">
        <v>8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16" t="s">
        <v>623</v>
      </c>
      <c r="B88" s="17" t="s">
        <v>486</v>
      </c>
      <c r="C88" s="38">
        <v>0.03</v>
      </c>
      <c r="D88" s="17" t="s">
        <v>221</v>
      </c>
      <c r="E88" s="18">
        <f t="shared" si="8"/>
        <v>172068</v>
      </c>
      <c r="F88" s="39">
        <f t="shared" si="8"/>
        <v>5162</v>
      </c>
      <c r="G88" s="18">
        <v>0</v>
      </c>
      <c r="H88" s="39">
        <f>TRUNC(C88*G88,1)</f>
        <v>0</v>
      </c>
      <c r="I88" s="18">
        <f>노임단가!K5</f>
        <v>172068</v>
      </c>
      <c r="J88" s="39">
        <f>TRUNC(C88*I88,1)</f>
        <v>5162</v>
      </c>
      <c r="K88" s="18">
        <v>0</v>
      </c>
      <c r="L88" s="39">
        <f>TRUNC(C88*K88,1)</f>
        <v>0</v>
      </c>
      <c r="M88" s="26" t="s">
        <v>8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25</v>
      </c>
      <c r="DN88" s="1" t="s">
        <v>8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6" t="s">
        <v>164</v>
      </c>
      <c r="B89" s="17" t="s">
        <v>473</v>
      </c>
      <c r="C89" s="40">
        <v>60</v>
      </c>
      <c r="D89" s="17" t="s">
        <v>537</v>
      </c>
      <c r="E89" s="18">
        <f t="shared" si="8"/>
        <v>66845</v>
      </c>
      <c r="F89" s="39">
        <f t="shared" si="8"/>
        <v>40107</v>
      </c>
      <c r="G89" s="18">
        <v>0</v>
      </c>
      <c r="H89" s="39">
        <f>TRUNC(C89/100*G89,1)</f>
        <v>0</v>
      </c>
      <c r="I89" s="18">
        <v>0</v>
      </c>
      <c r="J89" s="39">
        <f>TRUNC(C89/100*I89,1)</f>
        <v>0</v>
      </c>
      <c r="K89" s="18">
        <f>SUM(J87:J88)</f>
        <v>66845</v>
      </c>
      <c r="L89" s="39">
        <f>TRUNC(C89/100*K89,1)</f>
        <v>40107</v>
      </c>
      <c r="M89" s="26" t="s">
        <v>8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663</v>
      </c>
      <c r="DN89" s="1" t="s">
        <v>377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55" t="s">
        <v>98</v>
      </c>
      <c r="B90" s="56"/>
      <c r="C90" s="57"/>
      <c r="D90" s="56"/>
      <c r="E90" s="58"/>
      <c r="F90" s="59">
        <f>H90+J90+L90</f>
        <v>106952</v>
      </c>
      <c r="G90" s="58"/>
      <c r="H90" s="59">
        <f>ROUNDDOWN(SUM(H85:H89),0)</f>
        <v>0</v>
      </c>
      <c r="I90" s="58"/>
      <c r="J90" s="59">
        <f>ROUNDDOWN(SUM(J85:J89),0)</f>
        <v>66845</v>
      </c>
      <c r="K90" s="58"/>
      <c r="L90" s="59">
        <f>ROUNDDOWN(SUM(L85:L89),0)</f>
        <v>40107</v>
      </c>
      <c r="M90" s="60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6"/>
      <c r="B91" s="17"/>
      <c r="C91" s="25"/>
      <c r="D91" s="17"/>
      <c r="E91" s="18"/>
      <c r="F91" s="39"/>
      <c r="G91" s="18"/>
      <c r="H91" s="39"/>
      <c r="I91" s="18"/>
      <c r="J91" s="39"/>
      <c r="K91" s="18"/>
      <c r="L91" s="39"/>
      <c r="M91" s="26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110" t="s">
        <v>423</v>
      </c>
      <c r="B92" s="111"/>
      <c r="C92" s="112"/>
      <c r="D92" s="111"/>
      <c r="E92" s="113"/>
      <c r="F92" s="114"/>
      <c r="G92" s="113"/>
      <c r="H92" s="114"/>
      <c r="I92" s="113"/>
      <c r="J92" s="114"/>
      <c r="K92" s="113"/>
      <c r="L92" s="114"/>
      <c r="M92" s="11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318</v>
      </c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6" t="s">
        <v>497</v>
      </c>
      <c r="B93" s="17" t="s">
        <v>251</v>
      </c>
      <c r="C93" s="38">
        <v>1.04</v>
      </c>
      <c r="D93" s="17" t="s">
        <v>531</v>
      </c>
      <c r="E93" s="18">
        <f>G93+I93+K93</f>
        <v>7000</v>
      </c>
      <c r="F93" s="39">
        <f>H93+J93+L93</f>
        <v>7280</v>
      </c>
      <c r="G93" s="18">
        <f>자재단가!R14</f>
        <v>7000</v>
      </c>
      <c r="H93" s="39">
        <f>TRUNC(C93*G93,1)</f>
        <v>7280</v>
      </c>
      <c r="I93" s="18">
        <v>0</v>
      </c>
      <c r="J93" s="39">
        <f>TRUNC(C93*I93,1)</f>
        <v>0</v>
      </c>
      <c r="K93" s="18">
        <v>0</v>
      </c>
      <c r="L93" s="39">
        <f>TRUNC(C93*K93,1)</f>
        <v>0</v>
      </c>
      <c r="M93" s="26" t="s">
        <v>8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91</v>
      </c>
      <c r="DN93" s="1" t="s">
        <v>8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16" t="s">
        <v>646</v>
      </c>
      <c r="B94" s="17" t="s">
        <v>80</v>
      </c>
      <c r="C94" s="40">
        <v>5</v>
      </c>
      <c r="D94" s="17" t="s">
        <v>537</v>
      </c>
      <c r="E94" s="18">
        <f>G94+I94+K94</f>
        <v>7280</v>
      </c>
      <c r="F94" s="39">
        <f>H94+J94+L94</f>
        <v>364</v>
      </c>
      <c r="G94" s="18">
        <v>0</v>
      </c>
      <c r="H94" s="39">
        <f>TRUNC(C94/100*G94,1)</f>
        <v>0</v>
      </c>
      <c r="I94" s="18">
        <f>H93</f>
        <v>7280</v>
      </c>
      <c r="J94" s="39">
        <f>TRUNC(C94/100*I94,1)</f>
        <v>364</v>
      </c>
      <c r="K94" s="18">
        <v>0</v>
      </c>
      <c r="L94" s="39">
        <f>TRUNC(C94/100*K94,1)</f>
        <v>0</v>
      </c>
      <c r="M94" s="26" t="s">
        <v>8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273</v>
      </c>
      <c r="DN94" s="1" t="s">
        <v>538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55" t="s">
        <v>98</v>
      </c>
      <c r="B95" s="56"/>
      <c r="C95" s="57"/>
      <c r="D95" s="56"/>
      <c r="E95" s="58"/>
      <c r="F95" s="59">
        <f>H95+J95+L95</f>
        <v>7644</v>
      </c>
      <c r="G95" s="58"/>
      <c r="H95" s="59">
        <f>ROUNDDOWN(SUM(H93:H94),0)</f>
        <v>7280</v>
      </c>
      <c r="I95" s="58"/>
      <c r="J95" s="59">
        <f>ROUNDDOWN(SUM(J93:J94),0)</f>
        <v>364</v>
      </c>
      <c r="K95" s="58"/>
      <c r="L95" s="59">
        <f>ROUNDDOWN(SUM(L93:L94),0)</f>
        <v>0</v>
      </c>
      <c r="M95" s="60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16"/>
      <c r="B96" s="17"/>
      <c r="C96" s="25"/>
      <c r="D96" s="17"/>
      <c r="E96" s="18"/>
      <c r="F96" s="39"/>
      <c r="G96" s="18"/>
      <c r="H96" s="39"/>
      <c r="I96" s="18"/>
      <c r="J96" s="39"/>
      <c r="K96" s="18"/>
      <c r="L96" s="39"/>
      <c r="M96" s="26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110" t="s">
        <v>37</v>
      </c>
      <c r="B97" s="111"/>
      <c r="C97" s="112"/>
      <c r="D97" s="111"/>
      <c r="E97" s="113"/>
      <c r="F97" s="114"/>
      <c r="G97" s="113"/>
      <c r="H97" s="114"/>
      <c r="I97" s="113"/>
      <c r="J97" s="114"/>
      <c r="K97" s="113"/>
      <c r="L97" s="114"/>
      <c r="M97" s="11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425</v>
      </c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6" t="s">
        <v>662</v>
      </c>
      <c r="B98" s="17" t="s">
        <v>639</v>
      </c>
      <c r="C98" s="38">
        <v>1.1000000000000001</v>
      </c>
      <c r="D98" s="17" t="s">
        <v>586</v>
      </c>
      <c r="E98" s="18">
        <f t="shared" ref="E98:F101" si="9">G98+I98+K98</f>
        <v>24000</v>
      </c>
      <c r="F98" s="39">
        <f t="shared" si="9"/>
        <v>26400</v>
      </c>
      <c r="G98" s="18">
        <f>자재단가!R15</f>
        <v>24000</v>
      </c>
      <c r="H98" s="39">
        <f>TRUNC(C98*G98,1)</f>
        <v>26400</v>
      </c>
      <c r="I98" s="18">
        <v>0</v>
      </c>
      <c r="J98" s="39">
        <f>TRUNC(C98*I98,1)</f>
        <v>0</v>
      </c>
      <c r="K98" s="18">
        <v>0</v>
      </c>
      <c r="L98" s="39">
        <f>TRUNC(C98*K98,1)</f>
        <v>0</v>
      </c>
      <c r="M98" s="26" t="s">
        <v>8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694</v>
      </c>
      <c r="DN98" s="1" t="s">
        <v>8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16" t="s">
        <v>678</v>
      </c>
      <c r="B99" s="17" t="s">
        <v>8</v>
      </c>
      <c r="C99" s="38">
        <v>4.0000000000000002E-4</v>
      </c>
      <c r="D99" s="17" t="s">
        <v>584</v>
      </c>
      <c r="E99" s="18">
        <f t="shared" si="9"/>
        <v>48000</v>
      </c>
      <c r="F99" s="39">
        <f t="shared" si="9"/>
        <v>19.2</v>
      </c>
      <c r="G99" s="18">
        <f>자재단가!R10</f>
        <v>48000</v>
      </c>
      <c r="H99" s="39">
        <f>TRUNC(C99*G99,1)</f>
        <v>19.2</v>
      </c>
      <c r="I99" s="18">
        <v>0</v>
      </c>
      <c r="J99" s="39">
        <f>TRUNC(C99*I99,1)</f>
        <v>0</v>
      </c>
      <c r="K99" s="18">
        <v>0</v>
      </c>
      <c r="L99" s="39">
        <f>TRUNC(C99*K99,1)</f>
        <v>0</v>
      </c>
      <c r="M99" s="26" t="s">
        <v>8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82</v>
      </c>
      <c r="DN99" s="1" t="s">
        <v>8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16" t="s">
        <v>508</v>
      </c>
      <c r="B100" s="17" t="s">
        <v>206</v>
      </c>
      <c r="C100" s="38">
        <v>0.124</v>
      </c>
      <c r="D100" s="17" t="s">
        <v>239</v>
      </c>
      <c r="E100" s="18">
        <f t="shared" si="9"/>
        <v>2200</v>
      </c>
      <c r="F100" s="39">
        <f t="shared" si="9"/>
        <v>272.8</v>
      </c>
      <c r="G100" s="18">
        <f>자재단가!R16</f>
        <v>2200</v>
      </c>
      <c r="H100" s="39">
        <f>TRUNC(C100*G100,1)</f>
        <v>272.8</v>
      </c>
      <c r="I100" s="18">
        <v>0</v>
      </c>
      <c r="J100" s="39">
        <f>TRUNC(C100*I100,1)</f>
        <v>0</v>
      </c>
      <c r="K100" s="18">
        <v>0</v>
      </c>
      <c r="L100" s="39">
        <f>TRUNC(C100*K100,1)</f>
        <v>0</v>
      </c>
      <c r="M100" s="26" t="s">
        <v>8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124</v>
      </c>
      <c r="DN100" s="1" t="s">
        <v>8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16" t="s">
        <v>23</v>
      </c>
      <c r="B101" s="17" t="s">
        <v>8</v>
      </c>
      <c r="C101" s="38">
        <v>0.01</v>
      </c>
      <c r="D101" s="17" t="s">
        <v>221</v>
      </c>
      <c r="E101" s="18">
        <f t="shared" si="9"/>
        <v>228286</v>
      </c>
      <c r="F101" s="39">
        <f t="shared" si="9"/>
        <v>2282.8000000000002</v>
      </c>
      <c r="G101" s="18">
        <v>0</v>
      </c>
      <c r="H101" s="39">
        <f>TRUNC(C101*G101,1)</f>
        <v>0</v>
      </c>
      <c r="I101" s="18">
        <f>노임단가!K13</f>
        <v>228286</v>
      </c>
      <c r="J101" s="39">
        <f>TRUNC(C101*I101,1)</f>
        <v>2282.8000000000002</v>
      </c>
      <c r="K101" s="18">
        <v>0</v>
      </c>
      <c r="L101" s="39">
        <f>TRUNC(C101*K101,1)</f>
        <v>0</v>
      </c>
      <c r="M101" s="26" t="s">
        <v>8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419</v>
      </c>
      <c r="DN101" s="1" t="s">
        <v>8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55" t="s">
        <v>98</v>
      </c>
      <c r="B102" s="56"/>
      <c r="C102" s="57"/>
      <c r="D102" s="56"/>
      <c r="E102" s="58"/>
      <c r="F102" s="59">
        <f>H102+J102+L102</f>
        <v>28974</v>
      </c>
      <c r="G102" s="58"/>
      <c r="H102" s="59">
        <f>ROUNDDOWN(SUM(H98:H101),0)</f>
        <v>26692</v>
      </c>
      <c r="I102" s="58"/>
      <c r="J102" s="59">
        <f>ROUNDDOWN(SUM(J98:J101),0)</f>
        <v>2282</v>
      </c>
      <c r="K102" s="58"/>
      <c r="L102" s="59">
        <f>ROUNDDOWN(SUM(L98:L101),0)</f>
        <v>0</v>
      </c>
      <c r="M102" s="60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5"/>
      <c r="B103" s="20"/>
      <c r="C103" s="6"/>
      <c r="D103" s="20"/>
      <c r="E103" s="21"/>
      <c r="F103" s="42"/>
      <c r="G103" s="21"/>
      <c r="H103" s="42"/>
      <c r="I103" s="21"/>
      <c r="J103" s="42"/>
      <c r="K103" s="21"/>
      <c r="L103" s="42"/>
      <c r="M103" s="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"/>
  <sheetViews>
    <sheetView showGridLines="0" workbookViewId="0">
      <selection activeCell="A5" sqref="A5:CW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</cols>
  <sheetData>
    <row r="1" spans="1:127" ht="26.1" customHeight="1" x14ac:dyDescent="0.2">
      <c r="A1" s="127" t="s">
        <v>600</v>
      </c>
      <c r="B1" s="127"/>
      <c r="C1" s="127"/>
      <c r="D1" s="127"/>
      <c r="E1" s="127"/>
      <c r="F1" s="127"/>
      <c r="G1" s="127"/>
      <c r="H1" s="127"/>
      <c r="I1" s="12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8" t="s">
        <v>132</v>
      </c>
      <c r="B3" s="121" t="s">
        <v>642</v>
      </c>
      <c r="C3" s="121" t="s">
        <v>366</v>
      </c>
      <c r="D3" s="121" t="s">
        <v>668</v>
      </c>
      <c r="E3" s="121" t="s">
        <v>242</v>
      </c>
      <c r="F3" s="121" t="s">
        <v>190</v>
      </c>
      <c r="G3" s="121" t="s">
        <v>476</v>
      </c>
      <c r="H3" s="121" t="s">
        <v>496</v>
      </c>
      <c r="I3" s="123" t="s">
        <v>301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9"/>
      <c r="B4" s="122"/>
      <c r="C4" s="122"/>
      <c r="D4" s="122"/>
      <c r="E4" s="122"/>
      <c r="F4" s="122"/>
      <c r="G4" s="122"/>
      <c r="H4" s="122"/>
      <c r="I4" s="12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2" t="s">
        <v>363</v>
      </c>
      <c r="B5" s="13" t="s">
        <v>32</v>
      </c>
      <c r="C5" s="62">
        <v>1</v>
      </c>
      <c r="D5" s="13" t="s">
        <v>531</v>
      </c>
      <c r="E5" s="63">
        <f t="shared" ref="E5:E17" si="0">F5+G5+H5</f>
        <v>176549</v>
      </c>
      <c r="F5" s="63">
        <f>일위대가!H11</f>
        <v>20040</v>
      </c>
      <c r="G5" s="63">
        <f>일위대가!J11</f>
        <v>149730</v>
      </c>
      <c r="H5" s="63">
        <f>일위대가!L11</f>
        <v>6779</v>
      </c>
      <c r="I5" s="4" t="s">
        <v>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119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6" t="s">
        <v>498</v>
      </c>
      <c r="B6" s="17" t="s">
        <v>682</v>
      </c>
      <c r="C6" s="64">
        <v>1</v>
      </c>
      <c r="D6" s="17" t="s">
        <v>478</v>
      </c>
      <c r="E6" s="65">
        <f t="shared" si="0"/>
        <v>20638</v>
      </c>
      <c r="F6" s="65">
        <f>일위대가!H15</f>
        <v>19656</v>
      </c>
      <c r="G6" s="65">
        <f>일위대가!J15</f>
        <v>982</v>
      </c>
      <c r="H6" s="65">
        <f>일위대가!L15</f>
        <v>0</v>
      </c>
      <c r="I6" s="26" t="s">
        <v>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374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6" t="s">
        <v>580</v>
      </c>
      <c r="B7" s="17" t="s">
        <v>682</v>
      </c>
      <c r="C7" s="64">
        <v>1</v>
      </c>
      <c r="D7" s="17" t="s">
        <v>478</v>
      </c>
      <c r="E7" s="65">
        <f t="shared" si="0"/>
        <v>9271</v>
      </c>
      <c r="F7" s="65">
        <f>일위대가!H19</f>
        <v>8541</v>
      </c>
      <c r="G7" s="65">
        <f>일위대가!J19</f>
        <v>730</v>
      </c>
      <c r="H7" s="65">
        <f>일위대가!L19</f>
        <v>0</v>
      </c>
      <c r="I7" s="26" t="s">
        <v>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43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6" t="s">
        <v>342</v>
      </c>
      <c r="B8" s="17" t="s">
        <v>178</v>
      </c>
      <c r="C8" s="64">
        <v>1</v>
      </c>
      <c r="D8" s="17" t="s">
        <v>584</v>
      </c>
      <c r="E8" s="65">
        <f t="shared" si="0"/>
        <v>29158</v>
      </c>
      <c r="F8" s="65">
        <f>일위대가!H30</f>
        <v>2618</v>
      </c>
      <c r="G8" s="65">
        <f>일위대가!J30</f>
        <v>23251</v>
      </c>
      <c r="H8" s="65">
        <f>일위대가!L30</f>
        <v>3289</v>
      </c>
      <c r="I8" s="26" t="s">
        <v>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307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6" t="s">
        <v>342</v>
      </c>
      <c r="B9" s="17" t="s">
        <v>445</v>
      </c>
      <c r="C9" s="64">
        <v>1</v>
      </c>
      <c r="D9" s="17" t="s">
        <v>584</v>
      </c>
      <c r="E9" s="65">
        <f t="shared" si="0"/>
        <v>33399</v>
      </c>
      <c r="F9" s="65">
        <f>일위대가!H41</f>
        <v>2999</v>
      </c>
      <c r="G9" s="65">
        <f>일위대가!J41</f>
        <v>26633</v>
      </c>
      <c r="H9" s="65">
        <f>일위대가!L41</f>
        <v>3767</v>
      </c>
      <c r="I9" s="26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109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6" t="s">
        <v>171</v>
      </c>
      <c r="B10" s="17" t="s">
        <v>592</v>
      </c>
      <c r="C10" s="64">
        <v>1</v>
      </c>
      <c r="D10" s="17" t="s">
        <v>586</v>
      </c>
      <c r="E10" s="65">
        <f t="shared" si="0"/>
        <v>37113</v>
      </c>
      <c r="F10" s="65">
        <f>일위대가!H51</f>
        <v>4277</v>
      </c>
      <c r="G10" s="65">
        <f>일위대가!J51</f>
        <v>31880</v>
      </c>
      <c r="H10" s="65">
        <f>일위대가!L51</f>
        <v>956</v>
      </c>
      <c r="I10" s="26" t="s">
        <v>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306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6" t="s">
        <v>73</v>
      </c>
      <c r="B11" s="17" t="s">
        <v>254</v>
      </c>
      <c r="C11" s="64">
        <v>1</v>
      </c>
      <c r="D11" s="17" t="s">
        <v>351</v>
      </c>
      <c r="E11" s="65">
        <f t="shared" si="0"/>
        <v>597156</v>
      </c>
      <c r="F11" s="65">
        <f>일위대가!H61</f>
        <v>11180</v>
      </c>
      <c r="G11" s="65">
        <f>일위대가!J61</f>
        <v>574487</v>
      </c>
      <c r="H11" s="65">
        <f>일위대가!L61</f>
        <v>11489</v>
      </c>
      <c r="I11" s="26" t="s">
        <v>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92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6" t="s">
        <v>66</v>
      </c>
      <c r="B12" s="17" t="s">
        <v>162</v>
      </c>
      <c r="C12" s="64">
        <v>1</v>
      </c>
      <c r="D12" s="17" t="s">
        <v>586</v>
      </c>
      <c r="E12" s="65">
        <f t="shared" si="0"/>
        <v>50800</v>
      </c>
      <c r="F12" s="65">
        <f>일위대가!H70</f>
        <v>15995</v>
      </c>
      <c r="G12" s="65">
        <f>일위대가!J70</f>
        <v>34461</v>
      </c>
      <c r="H12" s="65">
        <f>일위대가!L70</f>
        <v>344</v>
      </c>
      <c r="I12" s="26" t="s">
        <v>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511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6" t="s">
        <v>90</v>
      </c>
      <c r="B13" s="17" t="s">
        <v>8</v>
      </c>
      <c r="C13" s="64">
        <v>1</v>
      </c>
      <c r="D13" s="17" t="s">
        <v>586</v>
      </c>
      <c r="E13" s="65">
        <f t="shared" si="0"/>
        <v>44069</v>
      </c>
      <c r="F13" s="65">
        <f>일위대가!H76</f>
        <v>44069</v>
      </c>
      <c r="G13" s="65">
        <f>일위대가!J76</f>
        <v>0</v>
      </c>
      <c r="H13" s="65">
        <f>일위대가!L76</f>
        <v>0</v>
      </c>
      <c r="I13" s="26" t="s">
        <v>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38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6" t="s">
        <v>553</v>
      </c>
      <c r="B14" s="17" t="s">
        <v>99</v>
      </c>
      <c r="C14" s="64">
        <v>1</v>
      </c>
      <c r="D14" s="17" t="s">
        <v>351</v>
      </c>
      <c r="E14" s="65">
        <f t="shared" si="0"/>
        <v>704108</v>
      </c>
      <c r="F14" s="65">
        <f>일위대가!H82</f>
        <v>11180</v>
      </c>
      <c r="G14" s="65">
        <f>일위대가!J82</f>
        <v>641332</v>
      </c>
      <c r="H14" s="65">
        <f>일위대가!L82</f>
        <v>51596</v>
      </c>
      <c r="I14" s="26" t="s">
        <v>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413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6" t="s">
        <v>266</v>
      </c>
      <c r="B15" s="17" t="s">
        <v>116</v>
      </c>
      <c r="C15" s="64">
        <v>1</v>
      </c>
      <c r="D15" s="17" t="s">
        <v>351</v>
      </c>
      <c r="E15" s="65">
        <f t="shared" si="0"/>
        <v>106952</v>
      </c>
      <c r="F15" s="65">
        <f>일위대가!H90</f>
        <v>0</v>
      </c>
      <c r="G15" s="65">
        <f>일위대가!J90</f>
        <v>66845</v>
      </c>
      <c r="H15" s="65">
        <f>일위대가!L90</f>
        <v>40107</v>
      </c>
      <c r="I15" s="26" t="s">
        <v>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429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6" t="s">
        <v>650</v>
      </c>
      <c r="B16" s="17" t="s">
        <v>8</v>
      </c>
      <c r="C16" s="64">
        <v>1</v>
      </c>
      <c r="D16" s="17" t="s">
        <v>531</v>
      </c>
      <c r="E16" s="65">
        <f t="shared" si="0"/>
        <v>7644</v>
      </c>
      <c r="F16" s="65">
        <f>일위대가!H95</f>
        <v>7280</v>
      </c>
      <c r="G16" s="65">
        <f>일위대가!J95</f>
        <v>364</v>
      </c>
      <c r="H16" s="65">
        <f>일위대가!L95</f>
        <v>0</v>
      </c>
      <c r="I16" s="26" t="s">
        <v>8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204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5" t="s">
        <v>337</v>
      </c>
      <c r="B17" s="20" t="s">
        <v>8</v>
      </c>
      <c r="C17" s="66">
        <v>1</v>
      </c>
      <c r="D17" s="20" t="s">
        <v>586</v>
      </c>
      <c r="E17" s="67">
        <f t="shared" si="0"/>
        <v>28974</v>
      </c>
      <c r="F17" s="67">
        <f>일위대가!H102</f>
        <v>26692</v>
      </c>
      <c r="G17" s="67">
        <f>일위대가!J102</f>
        <v>2282</v>
      </c>
      <c r="H17" s="67">
        <f>일위대가!L102</f>
        <v>0</v>
      </c>
      <c r="I17" s="7" t="s">
        <v>8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106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"/>
      <c r="B18" s="8"/>
      <c r="C18" s="61"/>
      <c r="D18" s="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7"/>
  <sheetViews>
    <sheetView showGridLines="0" tabSelected="1" workbookViewId="0">
      <selection activeCell="B30" sqref="B30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12.42578125" customWidth="1"/>
    <col min="14" max="14" width="15.5703125" customWidth="1"/>
    <col min="15" max="116" width="9.140625" customWidth="1"/>
    <col min="117" max="118" width="0" hidden="1" customWidth="1"/>
  </cols>
  <sheetData>
    <row r="1" spans="1:128" ht="26.1" customHeight="1" x14ac:dyDescent="0.2">
      <c r="A1" s="127" t="s">
        <v>435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37" t="s">
        <v>685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8" t="s">
        <v>132</v>
      </c>
      <c r="B3" s="121" t="s">
        <v>642</v>
      </c>
      <c r="C3" s="121" t="s">
        <v>366</v>
      </c>
      <c r="D3" s="121" t="s">
        <v>668</v>
      </c>
      <c r="E3" s="125" t="s">
        <v>242</v>
      </c>
      <c r="F3" s="126"/>
      <c r="G3" s="125" t="s">
        <v>190</v>
      </c>
      <c r="H3" s="126"/>
      <c r="I3" s="125" t="s">
        <v>476</v>
      </c>
      <c r="J3" s="126"/>
      <c r="K3" s="125" t="s">
        <v>496</v>
      </c>
      <c r="L3" s="125"/>
      <c r="M3" s="131" t="s">
        <v>226</v>
      </c>
      <c r="N3" s="123" t="s">
        <v>301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9"/>
      <c r="B4" s="122"/>
      <c r="C4" s="122"/>
      <c r="D4" s="130"/>
      <c r="E4" s="10" t="s">
        <v>86</v>
      </c>
      <c r="F4" s="11" t="s">
        <v>55</v>
      </c>
      <c r="G4" s="11" t="s">
        <v>86</v>
      </c>
      <c r="H4" s="11" t="s">
        <v>55</v>
      </c>
      <c r="I4" s="11" t="s">
        <v>86</v>
      </c>
      <c r="J4" s="11" t="s">
        <v>55</v>
      </c>
      <c r="K4" s="11" t="s">
        <v>86</v>
      </c>
      <c r="L4" s="12" t="s">
        <v>55</v>
      </c>
      <c r="M4" s="122"/>
      <c r="N4" s="12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2" t="s">
        <v>112</v>
      </c>
      <c r="B5" s="13" t="s">
        <v>8</v>
      </c>
      <c r="C5" s="116">
        <v>0</v>
      </c>
      <c r="D5" s="13" t="s">
        <v>8</v>
      </c>
      <c r="E5" s="14"/>
      <c r="F5" s="63">
        <f t="shared" ref="F5:F36" si="0">H5+J5+L5</f>
        <v>0</v>
      </c>
      <c r="G5" s="14"/>
      <c r="H5" s="63">
        <f>H6+H13+H19</f>
        <v>0</v>
      </c>
      <c r="I5" s="14"/>
      <c r="J5" s="63">
        <f>J6+J13+J19</f>
        <v>0</v>
      </c>
      <c r="K5" s="14"/>
      <c r="L5" s="63">
        <f>L6+L13+L19</f>
        <v>0</v>
      </c>
      <c r="M5" s="14" t="s">
        <v>8</v>
      </c>
      <c r="N5" s="4" t="s">
        <v>8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</v>
      </c>
      <c r="DN5" s="1" t="s">
        <v>8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6" t="s">
        <v>567</v>
      </c>
      <c r="B6" s="17" t="s">
        <v>8</v>
      </c>
      <c r="C6" s="41">
        <v>0</v>
      </c>
      <c r="D6" s="17" t="s">
        <v>8</v>
      </c>
      <c r="E6" s="18"/>
      <c r="F6" s="65">
        <f t="shared" si="0"/>
        <v>0</v>
      </c>
      <c r="G6" s="18"/>
      <c r="H6" s="65">
        <f>H7</f>
        <v>0</v>
      </c>
      <c r="I6" s="18"/>
      <c r="J6" s="65">
        <f>J7</f>
        <v>0</v>
      </c>
      <c r="K6" s="18"/>
      <c r="L6" s="65">
        <f>L7</f>
        <v>0</v>
      </c>
      <c r="M6" s="18" t="s">
        <v>8</v>
      </c>
      <c r="N6" s="26" t="s">
        <v>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6" t="s">
        <v>259</v>
      </c>
      <c r="B7" s="17" t="s">
        <v>8</v>
      </c>
      <c r="C7" s="41">
        <v>0</v>
      </c>
      <c r="D7" s="17" t="s">
        <v>8</v>
      </c>
      <c r="E7" s="18"/>
      <c r="F7" s="65">
        <f t="shared" si="0"/>
        <v>0</v>
      </c>
      <c r="G7" s="18"/>
      <c r="H7" s="65">
        <f>SUM(H8:H11)</f>
        <v>0</v>
      </c>
      <c r="I7" s="18"/>
      <c r="J7" s="65">
        <f>SUM(J8:J11)</f>
        <v>0</v>
      </c>
      <c r="K7" s="18"/>
      <c r="L7" s="65">
        <f>SUM(L8:L11)</f>
        <v>0</v>
      </c>
      <c r="M7" s="18" t="s">
        <v>8</v>
      </c>
      <c r="N7" s="26" t="s">
        <v>8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</v>
      </c>
      <c r="DN7" s="1" t="s">
        <v>8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6" t="s">
        <v>36</v>
      </c>
      <c r="B8" s="17" t="s">
        <v>192</v>
      </c>
      <c r="C8" s="40">
        <v>61</v>
      </c>
      <c r="D8" s="17" t="s">
        <v>584</v>
      </c>
      <c r="E8" s="18"/>
      <c r="F8" s="65">
        <f t="shared" si="0"/>
        <v>0</v>
      </c>
      <c r="G8" s="18"/>
      <c r="H8" s="65">
        <f>TRUNC(C8*G8,0)</f>
        <v>0</v>
      </c>
      <c r="I8" s="18"/>
      <c r="J8" s="65">
        <f>TRUNC(C8*I8,0)</f>
        <v>0</v>
      </c>
      <c r="K8" s="18"/>
      <c r="L8" s="65">
        <f>TRUNC(C8*K8,0)</f>
        <v>0</v>
      </c>
      <c r="M8" s="18" t="s">
        <v>8</v>
      </c>
      <c r="N8" s="26" t="s">
        <v>51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335</v>
      </c>
      <c r="DN8" s="1" t="s">
        <v>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6" t="s">
        <v>373</v>
      </c>
      <c r="B9" s="17" t="s">
        <v>192</v>
      </c>
      <c r="C9" s="40">
        <v>50</v>
      </c>
      <c r="D9" s="17" t="s">
        <v>584</v>
      </c>
      <c r="E9" s="18"/>
      <c r="F9" s="65">
        <f t="shared" si="0"/>
        <v>0</v>
      </c>
      <c r="G9" s="18"/>
      <c r="H9" s="65">
        <f>TRUNC(C9*G9,0)</f>
        <v>0</v>
      </c>
      <c r="I9" s="18"/>
      <c r="J9" s="65">
        <f>TRUNC(C9*I9,0)</f>
        <v>0</v>
      </c>
      <c r="K9" s="18"/>
      <c r="L9" s="65">
        <f>TRUNC(C9*K9,0)</f>
        <v>0</v>
      </c>
      <c r="M9" s="18" t="s">
        <v>8</v>
      </c>
      <c r="N9" s="26" t="s">
        <v>201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339</v>
      </c>
      <c r="DN9" s="1" t="s">
        <v>8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6" t="s">
        <v>288</v>
      </c>
      <c r="B10" s="17" t="s">
        <v>185</v>
      </c>
      <c r="C10" s="40">
        <v>23</v>
      </c>
      <c r="D10" s="17" t="s">
        <v>584</v>
      </c>
      <c r="E10" s="18"/>
      <c r="F10" s="65">
        <f t="shared" si="0"/>
        <v>0</v>
      </c>
      <c r="G10" s="18"/>
      <c r="H10" s="65">
        <f>TRUNC(C10*G10,0)</f>
        <v>0</v>
      </c>
      <c r="I10" s="18"/>
      <c r="J10" s="65">
        <f>TRUNC(C10*I10,0)</f>
        <v>0</v>
      </c>
      <c r="K10" s="18"/>
      <c r="L10" s="65">
        <f>TRUNC(C10*K10,0)</f>
        <v>0</v>
      </c>
      <c r="M10" s="18" t="s">
        <v>8</v>
      </c>
      <c r="N10" s="26" t="s">
        <v>310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524</v>
      </c>
      <c r="DN10" s="1" t="s">
        <v>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6" t="s">
        <v>272</v>
      </c>
      <c r="B11" s="17" t="s">
        <v>696</v>
      </c>
      <c r="C11" s="40">
        <v>34</v>
      </c>
      <c r="D11" s="17" t="s">
        <v>584</v>
      </c>
      <c r="E11" s="18"/>
      <c r="F11" s="65">
        <f t="shared" si="0"/>
        <v>0</v>
      </c>
      <c r="G11" s="18"/>
      <c r="H11" s="65">
        <f>TRUNC(C11*G11,0)</f>
        <v>0</v>
      </c>
      <c r="I11" s="18"/>
      <c r="J11" s="65">
        <f>TRUNC(C11*I11,0)</f>
        <v>0</v>
      </c>
      <c r="K11" s="18"/>
      <c r="L11" s="65">
        <f>TRUNC(C11*K11,0)</f>
        <v>0</v>
      </c>
      <c r="M11" s="18" t="s">
        <v>8</v>
      </c>
      <c r="N11" s="26" t="s">
        <v>541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9</v>
      </c>
      <c r="DN11" s="1" t="s">
        <v>8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6" t="s">
        <v>2</v>
      </c>
      <c r="B12" s="17" t="s">
        <v>8</v>
      </c>
      <c r="C12" s="41">
        <v>0</v>
      </c>
      <c r="D12" s="17" t="s">
        <v>8</v>
      </c>
      <c r="E12" s="18"/>
      <c r="F12" s="65">
        <f t="shared" si="0"/>
        <v>0</v>
      </c>
      <c r="G12" s="18"/>
      <c r="H12" s="65">
        <f>TRUNC(C12*G12,0)</f>
        <v>0</v>
      </c>
      <c r="I12" s="18"/>
      <c r="J12" s="65">
        <f>TRUNC(C12*I12,0)</f>
        <v>0</v>
      </c>
      <c r="K12" s="18"/>
      <c r="L12" s="65">
        <f>TRUNC(C12*K12,0)</f>
        <v>0</v>
      </c>
      <c r="M12" s="18" t="s">
        <v>8</v>
      </c>
      <c r="N12" s="26" t="s">
        <v>8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</v>
      </c>
      <c r="DN12" s="1" t="s">
        <v>8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6" t="s">
        <v>316</v>
      </c>
      <c r="B13" s="17" t="s">
        <v>8</v>
      </c>
      <c r="C13" s="41">
        <v>0</v>
      </c>
      <c r="D13" s="17" t="s">
        <v>8</v>
      </c>
      <c r="E13" s="18"/>
      <c r="F13" s="65">
        <f t="shared" si="0"/>
        <v>0</v>
      </c>
      <c r="G13" s="18"/>
      <c r="H13" s="65">
        <f>H14</f>
        <v>0</v>
      </c>
      <c r="I13" s="18"/>
      <c r="J13" s="65">
        <f>J14</f>
        <v>0</v>
      </c>
      <c r="K13" s="18"/>
      <c r="L13" s="65">
        <f>L14</f>
        <v>0</v>
      </c>
      <c r="M13" s="18" t="s">
        <v>8</v>
      </c>
      <c r="N13" s="26" t="s">
        <v>8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</v>
      </c>
      <c r="DN13" s="1" t="s">
        <v>8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6" t="s">
        <v>161</v>
      </c>
      <c r="B14" s="17" t="s">
        <v>8</v>
      </c>
      <c r="C14" s="41">
        <v>0</v>
      </c>
      <c r="D14" s="17" t="s">
        <v>8</v>
      </c>
      <c r="E14" s="18"/>
      <c r="F14" s="65">
        <f t="shared" si="0"/>
        <v>0</v>
      </c>
      <c r="G14" s="18"/>
      <c r="H14" s="65">
        <f>SUM(H15:H17)</f>
        <v>0</v>
      </c>
      <c r="I14" s="18"/>
      <c r="J14" s="65">
        <f>SUM(J15:J17)</f>
        <v>0</v>
      </c>
      <c r="K14" s="18"/>
      <c r="L14" s="65">
        <f>SUM(L15:L17)</f>
        <v>0</v>
      </c>
      <c r="M14" s="18" t="s">
        <v>8</v>
      </c>
      <c r="N14" s="26" t="s">
        <v>8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</v>
      </c>
      <c r="DN14" s="1" t="s">
        <v>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6" t="s">
        <v>50</v>
      </c>
      <c r="B15" s="17" t="s">
        <v>32</v>
      </c>
      <c r="C15" s="40">
        <v>75</v>
      </c>
      <c r="D15" s="17" t="s">
        <v>531</v>
      </c>
      <c r="E15" s="18"/>
      <c r="F15" s="65">
        <f t="shared" si="0"/>
        <v>0</v>
      </c>
      <c r="G15" s="18"/>
      <c r="H15" s="65">
        <f>TRUNC(C15*G15,0)</f>
        <v>0</v>
      </c>
      <c r="I15" s="18"/>
      <c r="J15" s="65">
        <f>TRUNC(C15*I15,0)</f>
        <v>0</v>
      </c>
      <c r="K15" s="18"/>
      <c r="L15" s="65">
        <f>TRUNC(C15*K15,0)</f>
        <v>0</v>
      </c>
      <c r="M15" s="18" t="s">
        <v>8</v>
      </c>
      <c r="N15" s="26" t="s">
        <v>456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119</v>
      </c>
      <c r="DN15" s="1" t="s">
        <v>8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6" t="s">
        <v>675</v>
      </c>
      <c r="B16" s="17" t="s">
        <v>682</v>
      </c>
      <c r="C16" s="40">
        <v>3</v>
      </c>
      <c r="D16" s="17" t="s">
        <v>478</v>
      </c>
      <c r="E16" s="18"/>
      <c r="F16" s="65">
        <f t="shared" si="0"/>
        <v>0</v>
      </c>
      <c r="G16" s="18"/>
      <c r="H16" s="65">
        <f>TRUNC(C16*G16,0)</f>
        <v>0</v>
      </c>
      <c r="I16" s="18"/>
      <c r="J16" s="65">
        <f>TRUNC(C16*I16,0)</f>
        <v>0</v>
      </c>
      <c r="K16" s="18"/>
      <c r="L16" s="65">
        <f>TRUNC(C16*K16,0)</f>
        <v>0</v>
      </c>
      <c r="M16" s="18" t="s">
        <v>8</v>
      </c>
      <c r="N16" s="26" t="s">
        <v>649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374</v>
      </c>
      <c r="DN16" s="1" t="s">
        <v>8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6" t="s">
        <v>417</v>
      </c>
      <c r="B17" s="17" t="s">
        <v>682</v>
      </c>
      <c r="C17" s="40">
        <v>3</v>
      </c>
      <c r="D17" s="17" t="s">
        <v>478</v>
      </c>
      <c r="E17" s="18"/>
      <c r="F17" s="65">
        <f t="shared" si="0"/>
        <v>0</v>
      </c>
      <c r="G17" s="18"/>
      <c r="H17" s="65">
        <f>TRUNC(C17*G17,0)</f>
        <v>0</v>
      </c>
      <c r="I17" s="18"/>
      <c r="J17" s="65">
        <f>TRUNC(C17*I17,0)</f>
        <v>0</v>
      </c>
      <c r="K17" s="18"/>
      <c r="L17" s="65">
        <f>TRUNC(C17*K17,0)</f>
        <v>0</v>
      </c>
      <c r="M17" s="18" t="s">
        <v>8</v>
      </c>
      <c r="N17" s="26" t="s">
        <v>577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43</v>
      </c>
      <c r="DN17" s="1" t="s">
        <v>8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6" t="s">
        <v>2</v>
      </c>
      <c r="B18" s="17" t="s">
        <v>8</v>
      </c>
      <c r="C18" s="41">
        <v>0</v>
      </c>
      <c r="D18" s="17" t="s">
        <v>8</v>
      </c>
      <c r="E18" s="18"/>
      <c r="F18" s="65">
        <f t="shared" si="0"/>
        <v>0</v>
      </c>
      <c r="G18" s="18"/>
      <c r="H18" s="65">
        <f>TRUNC(C18*G18,0)</f>
        <v>0</v>
      </c>
      <c r="I18" s="18"/>
      <c r="J18" s="65">
        <f>TRUNC(C18*I18,0)</f>
        <v>0</v>
      </c>
      <c r="K18" s="18"/>
      <c r="L18" s="65">
        <f>TRUNC(C18*K18,0)</f>
        <v>0</v>
      </c>
      <c r="M18" s="18" t="s">
        <v>8</v>
      </c>
      <c r="N18" s="26" t="s">
        <v>8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</v>
      </c>
      <c r="DN18" s="1" t="s">
        <v>8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6" t="s">
        <v>220</v>
      </c>
      <c r="B19" s="17" t="s">
        <v>8</v>
      </c>
      <c r="C19" s="41">
        <v>0</v>
      </c>
      <c r="D19" s="17" t="s">
        <v>8</v>
      </c>
      <c r="E19" s="18"/>
      <c r="F19" s="65">
        <f t="shared" si="0"/>
        <v>0</v>
      </c>
      <c r="G19" s="18"/>
      <c r="H19" s="65">
        <f>H20</f>
        <v>0</v>
      </c>
      <c r="I19" s="18"/>
      <c r="J19" s="65">
        <f>J20</f>
        <v>0</v>
      </c>
      <c r="K19" s="18"/>
      <c r="L19" s="65">
        <f>L20</f>
        <v>0</v>
      </c>
      <c r="M19" s="18" t="s">
        <v>8</v>
      </c>
      <c r="N19" s="26" t="s">
        <v>8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8</v>
      </c>
      <c r="DN19" s="1" t="s">
        <v>8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6" t="s">
        <v>394</v>
      </c>
      <c r="B20" s="17" t="s">
        <v>8</v>
      </c>
      <c r="C20" s="41">
        <v>0</v>
      </c>
      <c r="D20" s="17" t="s">
        <v>8</v>
      </c>
      <c r="E20" s="18"/>
      <c r="F20" s="65">
        <f t="shared" si="0"/>
        <v>0</v>
      </c>
      <c r="G20" s="18"/>
      <c r="H20" s="65">
        <f>SUM(H21:H24)</f>
        <v>0</v>
      </c>
      <c r="I20" s="18"/>
      <c r="J20" s="65">
        <f>SUM(J21:J24)</f>
        <v>0</v>
      </c>
      <c r="K20" s="18"/>
      <c r="L20" s="65">
        <f>SUM(L21:L24)</f>
        <v>0</v>
      </c>
      <c r="M20" s="18" t="s">
        <v>8</v>
      </c>
      <c r="N20" s="26" t="s">
        <v>8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8</v>
      </c>
      <c r="DN20" s="1" t="s">
        <v>8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6" t="s">
        <v>147</v>
      </c>
      <c r="B21" s="17" t="s">
        <v>571</v>
      </c>
      <c r="C21" s="38">
        <v>2.1019999999999999</v>
      </c>
      <c r="D21" s="17" t="s">
        <v>351</v>
      </c>
      <c r="E21" s="18"/>
      <c r="F21" s="65">
        <f t="shared" si="0"/>
        <v>0</v>
      </c>
      <c r="G21" s="18"/>
      <c r="H21" s="65">
        <f t="shared" ref="H21:H26" si="1">TRUNC(C21*G21,0)</f>
        <v>0</v>
      </c>
      <c r="I21" s="18"/>
      <c r="J21" s="65">
        <f t="shared" ref="J21:J26" si="2">TRUNC(C21*I21,0)</f>
        <v>0</v>
      </c>
      <c r="K21" s="18"/>
      <c r="L21" s="65">
        <f t="shared" ref="L21:L26" si="3">TRUNC(C21*K21,0)</f>
        <v>0</v>
      </c>
      <c r="M21" s="18" t="s">
        <v>8</v>
      </c>
      <c r="N21" s="26" t="s">
        <v>695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436</v>
      </c>
      <c r="DN21" s="1" t="s">
        <v>8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6" t="s">
        <v>18</v>
      </c>
      <c r="B22" s="17" t="s">
        <v>252</v>
      </c>
      <c r="C22" s="38">
        <v>2.1019999999999999</v>
      </c>
      <c r="D22" s="17" t="s">
        <v>351</v>
      </c>
      <c r="E22" s="18"/>
      <c r="F22" s="65">
        <f t="shared" si="0"/>
        <v>0</v>
      </c>
      <c r="G22" s="18"/>
      <c r="H22" s="65">
        <f t="shared" si="1"/>
        <v>0</v>
      </c>
      <c r="I22" s="18"/>
      <c r="J22" s="65">
        <f t="shared" si="2"/>
        <v>0</v>
      </c>
      <c r="K22" s="18"/>
      <c r="L22" s="65">
        <f t="shared" si="3"/>
        <v>0</v>
      </c>
      <c r="M22" s="18" t="s">
        <v>8</v>
      </c>
      <c r="N22" s="26" t="s">
        <v>505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331</v>
      </c>
      <c r="DN22" s="1" t="s">
        <v>8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6" t="s">
        <v>49</v>
      </c>
      <c r="B23" s="17" t="s">
        <v>551</v>
      </c>
      <c r="C23" s="40">
        <v>41</v>
      </c>
      <c r="D23" s="17" t="s">
        <v>584</v>
      </c>
      <c r="E23" s="18"/>
      <c r="F23" s="65">
        <f t="shared" si="0"/>
        <v>0</v>
      </c>
      <c r="G23" s="18"/>
      <c r="H23" s="65">
        <f t="shared" si="1"/>
        <v>0</v>
      </c>
      <c r="I23" s="18"/>
      <c r="J23" s="65">
        <f t="shared" si="2"/>
        <v>0</v>
      </c>
      <c r="K23" s="18"/>
      <c r="L23" s="65">
        <f t="shared" si="3"/>
        <v>0</v>
      </c>
      <c r="M23" s="18" t="s">
        <v>8</v>
      </c>
      <c r="N23" s="26" t="s">
        <v>367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697</v>
      </c>
      <c r="DN23" s="1" t="s">
        <v>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6" t="s">
        <v>168</v>
      </c>
      <c r="B24" s="17" t="s">
        <v>8</v>
      </c>
      <c r="C24" s="40">
        <v>1</v>
      </c>
      <c r="D24" s="17" t="s">
        <v>257</v>
      </c>
      <c r="E24" s="18"/>
      <c r="F24" s="65">
        <f t="shared" si="0"/>
        <v>0</v>
      </c>
      <c r="G24" s="18"/>
      <c r="H24" s="65">
        <f t="shared" si="1"/>
        <v>0</v>
      </c>
      <c r="I24" s="18"/>
      <c r="J24" s="65">
        <f t="shared" si="2"/>
        <v>0</v>
      </c>
      <c r="K24" s="18"/>
      <c r="L24" s="65">
        <f t="shared" si="3"/>
        <v>0</v>
      </c>
      <c r="M24" s="18" t="s">
        <v>8</v>
      </c>
      <c r="N24" s="26" t="s">
        <v>142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664</v>
      </c>
      <c r="DN24" s="1" t="s">
        <v>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6" t="s">
        <v>8</v>
      </c>
      <c r="B25" s="17" t="s">
        <v>8</v>
      </c>
      <c r="C25" s="41">
        <v>0</v>
      </c>
      <c r="D25" s="17" t="s">
        <v>8</v>
      </c>
      <c r="E25" s="18"/>
      <c r="F25" s="65">
        <f t="shared" si="0"/>
        <v>0</v>
      </c>
      <c r="G25" s="18"/>
      <c r="H25" s="65">
        <f t="shared" si="1"/>
        <v>0</v>
      </c>
      <c r="I25" s="18"/>
      <c r="J25" s="65">
        <f t="shared" si="2"/>
        <v>0</v>
      </c>
      <c r="K25" s="18"/>
      <c r="L25" s="65">
        <f t="shared" si="3"/>
        <v>0</v>
      </c>
      <c r="M25" s="18" t="s">
        <v>8</v>
      </c>
      <c r="N25" s="26" t="s">
        <v>8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</v>
      </c>
      <c r="DN25" s="1" t="s">
        <v>8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6" t="s">
        <v>428</v>
      </c>
      <c r="B26" s="17" t="s">
        <v>8</v>
      </c>
      <c r="C26" s="41">
        <v>0</v>
      </c>
      <c r="D26" s="17" t="s">
        <v>8</v>
      </c>
      <c r="E26" s="18"/>
      <c r="F26" s="65">
        <f t="shared" si="0"/>
        <v>0</v>
      </c>
      <c r="G26" s="18"/>
      <c r="H26" s="65">
        <f t="shared" si="1"/>
        <v>0</v>
      </c>
      <c r="I26" s="18"/>
      <c r="J26" s="65">
        <f t="shared" si="2"/>
        <v>0</v>
      </c>
      <c r="K26" s="18"/>
      <c r="L26" s="65">
        <f t="shared" si="3"/>
        <v>0</v>
      </c>
      <c r="M26" s="18" t="s">
        <v>8</v>
      </c>
      <c r="N26" s="26" t="s">
        <v>8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</v>
      </c>
      <c r="DN26" s="1" t="s">
        <v>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6" t="s">
        <v>271</v>
      </c>
      <c r="B27" s="17" t="s">
        <v>8</v>
      </c>
      <c r="C27" s="41">
        <v>0</v>
      </c>
      <c r="D27" s="17" t="s">
        <v>8</v>
      </c>
      <c r="E27" s="18"/>
      <c r="F27" s="65">
        <f t="shared" si="0"/>
        <v>0</v>
      </c>
      <c r="G27" s="18"/>
      <c r="H27" s="65">
        <f>H28+H32+H35</f>
        <v>0</v>
      </c>
      <c r="I27" s="18"/>
      <c r="J27" s="65">
        <f>J28+J32+J35</f>
        <v>0</v>
      </c>
      <c r="K27" s="18"/>
      <c r="L27" s="65">
        <f>L28+L32+L35</f>
        <v>0</v>
      </c>
      <c r="M27" s="18" t="s">
        <v>8</v>
      </c>
      <c r="N27" s="26" t="s">
        <v>8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8</v>
      </c>
      <c r="DN27" s="1" t="s">
        <v>8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6" t="s">
        <v>504</v>
      </c>
      <c r="B28" s="17" t="s">
        <v>8</v>
      </c>
      <c r="C28" s="41">
        <v>0</v>
      </c>
      <c r="D28" s="17" t="s">
        <v>8</v>
      </c>
      <c r="E28" s="18"/>
      <c r="F28" s="65">
        <f t="shared" si="0"/>
        <v>0</v>
      </c>
      <c r="G28" s="18"/>
      <c r="H28" s="65">
        <f>SUM(H29:H31)</f>
        <v>0</v>
      </c>
      <c r="I28" s="18"/>
      <c r="J28" s="65">
        <f>SUM(J29:J31)</f>
        <v>0</v>
      </c>
      <c r="K28" s="18"/>
      <c r="L28" s="65">
        <f>SUM(L29:L31)</f>
        <v>0</v>
      </c>
      <c r="M28" s="18" t="s">
        <v>8</v>
      </c>
      <c r="N28" s="26" t="s">
        <v>8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8</v>
      </c>
      <c r="DN28" s="1" t="s">
        <v>8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6" t="s">
        <v>240</v>
      </c>
      <c r="B29" s="17" t="s">
        <v>549</v>
      </c>
      <c r="C29" s="40">
        <v>10</v>
      </c>
      <c r="D29" s="17" t="s">
        <v>584</v>
      </c>
      <c r="E29" s="18"/>
      <c r="F29" s="65">
        <f t="shared" si="0"/>
        <v>0</v>
      </c>
      <c r="G29" s="18"/>
      <c r="H29" s="65">
        <f>TRUNC(C29*G29,0)</f>
        <v>0</v>
      </c>
      <c r="I29" s="18"/>
      <c r="J29" s="65">
        <f>TRUNC(C29*I29,0)</f>
        <v>0</v>
      </c>
      <c r="K29" s="18">
        <v>0</v>
      </c>
      <c r="L29" s="65">
        <f>TRUNC(C29*K29,0)</f>
        <v>0</v>
      </c>
      <c r="M29" s="18" t="s">
        <v>8</v>
      </c>
      <c r="N29" s="26" t="s">
        <v>8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228</v>
      </c>
      <c r="DN29" s="1" t="s">
        <v>8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6" t="s">
        <v>240</v>
      </c>
      <c r="B30" s="17" t="s">
        <v>433</v>
      </c>
      <c r="C30" s="40">
        <v>31</v>
      </c>
      <c r="D30" s="17" t="s">
        <v>584</v>
      </c>
      <c r="E30" s="18"/>
      <c r="F30" s="65">
        <f t="shared" si="0"/>
        <v>0</v>
      </c>
      <c r="G30" s="18"/>
      <c r="H30" s="65">
        <f>TRUNC(C30*G30,0)</f>
        <v>0</v>
      </c>
      <c r="I30" s="18">
        <v>0</v>
      </c>
      <c r="J30" s="65">
        <f>TRUNC(C30*I30,0)</f>
        <v>0</v>
      </c>
      <c r="K30" s="18">
        <v>0</v>
      </c>
      <c r="L30" s="65">
        <f>TRUNC(C30*K30,0)</f>
        <v>0</v>
      </c>
      <c r="M30" s="18" t="s">
        <v>8</v>
      </c>
      <c r="N30" s="26" t="s">
        <v>8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599</v>
      </c>
      <c r="DN30" s="1" t="s">
        <v>8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6" t="s">
        <v>166</v>
      </c>
      <c r="B31" s="17" t="s">
        <v>80</v>
      </c>
      <c r="C31" s="38">
        <v>0.54</v>
      </c>
      <c r="D31" s="17" t="s">
        <v>537</v>
      </c>
      <c r="E31" s="18"/>
      <c r="F31" s="65">
        <f t="shared" si="0"/>
        <v>0</v>
      </c>
      <c r="G31" s="18"/>
      <c r="H31" s="65">
        <f>TRUNC(C31/100*G31,0)</f>
        <v>0</v>
      </c>
      <c r="I31" s="18">
        <v>0</v>
      </c>
      <c r="J31" s="65">
        <f>TRUNC(C31/100*I31,0)</f>
        <v>0</v>
      </c>
      <c r="K31" s="18">
        <v>0</v>
      </c>
      <c r="L31" s="65">
        <f>TRUNC(C31/100*K31,0)</f>
        <v>0</v>
      </c>
      <c r="M31" s="18" t="s">
        <v>8</v>
      </c>
      <c r="N31" s="26" t="s">
        <v>8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438</v>
      </c>
      <c r="DN31" s="1" t="s">
        <v>411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6" t="s">
        <v>648</v>
      </c>
      <c r="B32" s="17" t="s">
        <v>8</v>
      </c>
      <c r="C32" s="41">
        <v>0</v>
      </c>
      <c r="D32" s="17" t="s">
        <v>8</v>
      </c>
      <c r="E32" s="18"/>
      <c r="F32" s="65">
        <f t="shared" si="0"/>
        <v>0</v>
      </c>
      <c r="G32" s="18"/>
      <c r="H32" s="65">
        <f>SUM(H33:H34)</f>
        <v>0</v>
      </c>
      <c r="I32" s="18">
        <v>0</v>
      </c>
      <c r="J32" s="65">
        <f>SUM(J33:J34)</f>
        <v>0</v>
      </c>
      <c r="K32" s="18">
        <v>0</v>
      </c>
      <c r="L32" s="65">
        <f>SUM(L33:L34)</f>
        <v>0</v>
      </c>
      <c r="M32" s="18" t="s">
        <v>8</v>
      </c>
      <c r="N32" s="26" t="s">
        <v>8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</v>
      </c>
      <c r="DN32" s="1" t="s">
        <v>8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6" t="s">
        <v>234</v>
      </c>
      <c r="B33" s="17" t="s">
        <v>243</v>
      </c>
      <c r="C33" s="38">
        <v>2.1019999999999999</v>
      </c>
      <c r="D33" s="17" t="s">
        <v>351</v>
      </c>
      <c r="E33" s="18"/>
      <c r="F33" s="65">
        <f t="shared" si="0"/>
        <v>0</v>
      </c>
      <c r="G33" s="18"/>
      <c r="H33" s="65">
        <f>TRUNC(C33*G33,0)</f>
        <v>0</v>
      </c>
      <c r="I33" s="18">
        <v>0</v>
      </c>
      <c r="J33" s="65">
        <f>TRUNC(C33*I33,0)</f>
        <v>0</v>
      </c>
      <c r="K33" s="18">
        <v>0</v>
      </c>
      <c r="L33" s="65">
        <f>TRUNC(C33*K33,0)</f>
        <v>0</v>
      </c>
      <c r="M33" s="18" t="s">
        <v>8</v>
      </c>
      <c r="N33" s="26" t="s">
        <v>8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608</v>
      </c>
      <c r="DN33" s="1" t="s">
        <v>8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6" t="s">
        <v>166</v>
      </c>
      <c r="B34" s="17" t="s">
        <v>80</v>
      </c>
      <c r="C34" s="38">
        <v>0.54</v>
      </c>
      <c r="D34" s="17" t="s">
        <v>537</v>
      </c>
      <c r="E34" s="18"/>
      <c r="F34" s="65">
        <f t="shared" si="0"/>
        <v>0</v>
      </c>
      <c r="G34" s="18"/>
      <c r="H34" s="65">
        <f>TRUNC(C34/100*G34,0)</f>
        <v>0</v>
      </c>
      <c r="I34" s="18">
        <v>0</v>
      </c>
      <c r="J34" s="65">
        <f>TRUNC(C34/100*I34,0)</f>
        <v>0</v>
      </c>
      <c r="K34" s="18">
        <v>0</v>
      </c>
      <c r="L34" s="65">
        <f>TRUNC(C34/100*K34,0)</f>
        <v>0</v>
      </c>
      <c r="M34" s="18" t="s">
        <v>8</v>
      </c>
      <c r="N34" s="26" t="s">
        <v>8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438</v>
      </c>
      <c r="DN34" s="1" t="s">
        <v>263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6" t="s">
        <v>455</v>
      </c>
      <c r="B35" s="17" t="s">
        <v>8</v>
      </c>
      <c r="C35" s="41">
        <v>0</v>
      </c>
      <c r="D35" s="17" t="s">
        <v>8</v>
      </c>
      <c r="E35" s="18"/>
      <c r="F35" s="65">
        <f t="shared" si="0"/>
        <v>0</v>
      </c>
      <c r="G35" s="18"/>
      <c r="H35" s="65">
        <f>H36</f>
        <v>0</v>
      </c>
      <c r="I35" s="18">
        <v>0</v>
      </c>
      <c r="J35" s="65">
        <f>J36</f>
        <v>0</v>
      </c>
      <c r="K35" s="18">
        <v>0</v>
      </c>
      <c r="L35" s="65">
        <f>L36</f>
        <v>0</v>
      </c>
      <c r="M35" s="18" t="s">
        <v>8</v>
      </c>
      <c r="N35" s="26" t="s">
        <v>8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8</v>
      </c>
      <c r="DN35" s="1" t="s">
        <v>8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5" t="s">
        <v>602</v>
      </c>
      <c r="B36" s="20" t="s">
        <v>8</v>
      </c>
      <c r="C36" s="117">
        <v>1</v>
      </c>
      <c r="D36" s="20" t="s">
        <v>392</v>
      </c>
      <c r="E36" s="21"/>
      <c r="F36" s="67">
        <f t="shared" si="0"/>
        <v>0</v>
      </c>
      <c r="G36" s="21"/>
      <c r="H36" s="67">
        <f>TRUNC(C36*G36,0)</f>
        <v>0</v>
      </c>
      <c r="I36" s="21">
        <f>견적및기타!L5</f>
        <v>0</v>
      </c>
      <c r="J36" s="67">
        <f>TRUNC(C36*I36,0)</f>
        <v>0</v>
      </c>
      <c r="K36" s="21">
        <f>견적및기타!M5</f>
        <v>0</v>
      </c>
      <c r="L36" s="67">
        <f>TRUNC(C36*K36,0)</f>
        <v>0</v>
      </c>
      <c r="M36" s="21" t="s">
        <v>8</v>
      </c>
      <c r="N36" s="7" t="s">
        <v>8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395</v>
      </c>
      <c r="DN36" s="1" t="s">
        <v>8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"/>
      <c r="B37" s="8"/>
      <c r="C37" s="1"/>
      <c r="D37" s="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</sheetData>
  <mergeCells count="12">
    <mergeCell ref="M3:M4"/>
    <mergeCell ref="N3:N4"/>
    <mergeCell ref="E3:F3"/>
    <mergeCell ref="G3:H3"/>
    <mergeCell ref="I3:J3"/>
    <mergeCell ref="K3:L3"/>
    <mergeCell ref="A1:N1"/>
    <mergeCell ref="A2:M2"/>
    <mergeCell ref="A3:A4"/>
    <mergeCell ref="B3:B4"/>
    <mergeCell ref="C3:C4"/>
    <mergeCell ref="D3:D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53"/>
  <sheetViews>
    <sheetView showGridLines="0" topLeftCell="A10" workbookViewId="0">
      <selection activeCell="C22" sqref="C22:C29"/>
    </sheetView>
  </sheetViews>
  <sheetFormatPr defaultRowHeight="18" customHeight="1" x14ac:dyDescent="0.2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116" width="9.140625" customWidth="1"/>
    <col min="117" max="118" width="0" hidden="1" customWidth="1"/>
  </cols>
  <sheetData>
    <row r="1" spans="1:119" ht="26.1" customHeight="1" x14ac:dyDescent="0.2">
      <c r="A1" s="127" t="s">
        <v>93</v>
      </c>
      <c r="B1" s="127"/>
      <c r="C1" s="127"/>
      <c r="D1" s="12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20.100000000000001" customHeight="1" x14ac:dyDescent="0.2">
      <c r="A2" s="137" t="s">
        <v>685</v>
      </c>
      <c r="B2" s="137"/>
      <c r="C2" s="137"/>
      <c r="D2" s="13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128" t="s">
        <v>627</v>
      </c>
      <c r="B3" s="121" t="s">
        <v>633</v>
      </c>
      <c r="C3" s="121" t="s">
        <v>636</v>
      </c>
      <c r="D3" s="123" t="s">
        <v>105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129"/>
      <c r="B4" s="122"/>
      <c r="C4" s="122"/>
      <c r="D4" s="12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 x14ac:dyDescent="0.2">
      <c r="A5" s="2" t="s">
        <v>258</v>
      </c>
      <c r="B5" s="13" t="s">
        <v>8</v>
      </c>
      <c r="C5" s="63">
        <f>내역서!F5</f>
        <v>0</v>
      </c>
      <c r="D5" s="118" t="s">
        <v>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</v>
      </c>
      <c r="DN5" s="1" t="s">
        <v>452</v>
      </c>
      <c r="DO5" s="1"/>
    </row>
    <row r="6" spans="1:119" ht="18" customHeight="1" x14ac:dyDescent="0.2">
      <c r="A6" s="16" t="s">
        <v>568</v>
      </c>
      <c r="B6" s="17" t="s">
        <v>8</v>
      </c>
      <c r="C6" s="65">
        <f>내역서!H5</f>
        <v>0</v>
      </c>
      <c r="D6" s="119" t="s">
        <v>8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8</v>
      </c>
      <c r="DN6" s="1" t="s">
        <v>304</v>
      </c>
      <c r="DO6" s="1"/>
    </row>
    <row r="7" spans="1:119" ht="18" customHeight="1" x14ac:dyDescent="0.2">
      <c r="A7" s="16" t="s">
        <v>122</v>
      </c>
      <c r="B7" s="17" t="s">
        <v>8</v>
      </c>
      <c r="C7" s="65">
        <f>내역서!J5</f>
        <v>0</v>
      </c>
      <c r="D7" s="119" t="s">
        <v>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</v>
      </c>
      <c r="DN7" s="1" t="s">
        <v>104</v>
      </c>
      <c r="DO7" s="1"/>
    </row>
    <row r="8" spans="1:119" ht="18" customHeight="1" x14ac:dyDescent="0.2">
      <c r="A8" s="16" t="s">
        <v>674</v>
      </c>
      <c r="B8" s="17" t="s">
        <v>8</v>
      </c>
      <c r="C8" s="65">
        <f>내역서!L5</f>
        <v>0</v>
      </c>
      <c r="D8" s="119" t="s">
        <v>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</v>
      </c>
      <c r="DN8" s="1" t="s">
        <v>669</v>
      </c>
      <c r="DO8" s="1"/>
    </row>
    <row r="9" spans="1:119" ht="18" customHeight="1" x14ac:dyDescent="0.2">
      <c r="A9" s="16" t="s">
        <v>560</v>
      </c>
      <c r="B9" s="17" t="s">
        <v>624</v>
      </c>
      <c r="C9" s="65">
        <f>TRUNC((C7)*0.191,0)</f>
        <v>0</v>
      </c>
      <c r="D9" s="119" t="s">
        <v>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</v>
      </c>
      <c r="DN9" s="1" t="s">
        <v>237</v>
      </c>
      <c r="DO9" s="1"/>
    </row>
    <row r="10" spans="1:119" ht="18" customHeight="1" x14ac:dyDescent="0.2">
      <c r="A10" s="16" t="s">
        <v>653</v>
      </c>
      <c r="B10" s="17" t="s">
        <v>635</v>
      </c>
      <c r="C10" s="65">
        <f>TRUNC((C7+C9)*0.0356,0)</f>
        <v>0</v>
      </c>
      <c r="D10" s="119" t="s"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8</v>
      </c>
      <c r="DN10" s="1" t="s">
        <v>1</v>
      </c>
      <c r="DO10" s="1"/>
    </row>
    <row r="11" spans="1:119" ht="18" customHeight="1" x14ac:dyDescent="0.2">
      <c r="A11" s="16" t="s">
        <v>566</v>
      </c>
      <c r="B11" s="17" t="s">
        <v>385</v>
      </c>
      <c r="C11" s="65">
        <f>TRUNC((C7+C9)*0.0101,0)</f>
        <v>0</v>
      </c>
      <c r="D11" s="119" t="s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8</v>
      </c>
      <c r="DN11" s="1" t="s">
        <v>638</v>
      </c>
      <c r="DO11" s="1"/>
    </row>
    <row r="12" spans="1:119" ht="18" customHeight="1" x14ac:dyDescent="0.2">
      <c r="A12" s="16" t="s">
        <v>103</v>
      </c>
      <c r="B12" s="17" t="s">
        <v>89</v>
      </c>
      <c r="C12" s="65">
        <f>TRUNC((C7)*0.03595,0)</f>
        <v>0</v>
      </c>
      <c r="D12" s="119" t="s">
        <v>8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</v>
      </c>
      <c r="DN12" s="1" t="s">
        <v>146</v>
      </c>
      <c r="DO12" s="1"/>
    </row>
    <row r="13" spans="1:119" ht="18" customHeight="1" x14ac:dyDescent="0.2">
      <c r="A13" s="16" t="s">
        <v>115</v>
      </c>
      <c r="B13" s="17" t="s">
        <v>613</v>
      </c>
      <c r="C13" s="65">
        <f>TRUNC((C7)*0.0475,0)</f>
        <v>0</v>
      </c>
      <c r="D13" s="119" t="s">
        <v>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</v>
      </c>
      <c r="DN13" s="1" t="s">
        <v>596</v>
      </c>
      <c r="DO13" s="1"/>
    </row>
    <row r="14" spans="1:119" ht="18" customHeight="1" x14ac:dyDescent="0.2">
      <c r="A14" s="16" t="s">
        <v>555</v>
      </c>
      <c r="B14" s="17" t="s">
        <v>83</v>
      </c>
      <c r="C14" s="65">
        <f>TRUNC((C12)*0.1314,0)</f>
        <v>0</v>
      </c>
      <c r="D14" s="119" t="s">
        <v>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</v>
      </c>
      <c r="DN14" s="1" t="s">
        <v>645</v>
      </c>
      <c r="DO14" s="1"/>
    </row>
    <row r="15" spans="1:119" ht="18" customHeight="1" x14ac:dyDescent="0.2">
      <c r="A15" s="16" t="s">
        <v>370</v>
      </c>
      <c r="B15" s="17" t="s">
        <v>632</v>
      </c>
      <c r="C15" s="65">
        <f>TRUNC((C5)*0.0032,0)</f>
        <v>0</v>
      </c>
      <c r="D15" s="119" t="s">
        <v>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8</v>
      </c>
      <c r="DN15" s="1" t="s">
        <v>196</v>
      </c>
      <c r="DO15" s="1"/>
    </row>
    <row r="16" spans="1:119" ht="18" customHeight="1" x14ac:dyDescent="0.2">
      <c r="A16" s="16" t="s">
        <v>401</v>
      </c>
      <c r="B16" s="17" t="s">
        <v>167</v>
      </c>
      <c r="C16" s="65">
        <f>TRUNC((C6+C7)*0.0315*1.2,0)</f>
        <v>0</v>
      </c>
      <c r="D16" s="119" t="s">
        <v>8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8</v>
      </c>
      <c r="DN16" s="1" t="s">
        <v>170</v>
      </c>
      <c r="DO16" s="1"/>
    </row>
    <row r="17" spans="1:119" ht="18" customHeight="1" x14ac:dyDescent="0.2">
      <c r="A17" s="16" t="s">
        <v>690</v>
      </c>
      <c r="B17" s="17" t="s">
        <v>369</v>
      </c>
      <c r="C17" s="65">
        <f>TRUNC((C6+C7+C9)*0.055,0)</f>
        <v>0</v>
      </c>
      <c r="D17" s="119" t="s">
        <v>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8</v>
      </c>
      <c r="DN17" s="1" t="s">
        <v>466</v>
      </c>
      <c r="DO17" s="1"/>
    </row>
    <row r="18" spans="1:119" ht="18" customHeight="1" x14ac:dyDescent="0.2">
      <c r="A18" s="16" t="s">
        <v>598</v>
      </c>
      <c r="B18" s="17" t="s">
        <v>216</v>
      </c>
      <c r="C18" s="65">
        <f>TRUNC((C5)*0.008,0)</f>
        <v>0</v>
      </c>
      <c r="D18" s="119" t="s">
        <v>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</v>
      </c>
      <c r="DN18" s="1" t="s">
        <v>443</v>
      </c>
      <c r="DO18" s="1"/>
    </row>
    <row r="19" spans="1:119" ht="18" customHeight="1" x14ac:dyDescent="0.2">
      <c r="A19" s="16" t="s">
        <v>189</v>
      </c>
      <c r="B19" s="17" t="s">
        <v>469</v>
      </c>
      <c r="C19" s="65">
        <f>TRUNC((C7+C9)*0.00006,0)</f>
        <v>0</v>
      </c>
      <c r="D19" s="119" t="s">
        <v>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8</v>
      </c>
      <c r="DN19" s="1" t="s">
        <v>118</v>
      </c>
      <c r="DO19" s="1"/>
    </row>
    <row r="20" spans="1:119" ht="18" customHeight="1" x14ac:dyDescent="0.2">
      <c r="A20" s="16" t="s">
        <v>197</v>
      </c>
      <c r="B20" s="17" t="s">
        <v>390</v>
      </c>
      <c r="C20" s="65">
        <f>TRUNC((C7+C9)*0.0009,0)</f>
        <v>0</v>
      </c>
      <c r="D20" s="119" t="s">
        <v>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8</v>
      </c>
      <c r="DN20" s="1" t="s">
        <v>158</v>
      </c>
      <c r="DO20" s="1"/>
    </row>
    <row r="21" spans="1:119" ht="18" customHeight="1" x14ac:dyDescent="0.2">
      <c r="A21" s="16" t="s">
        <v>56</v>
      </c>
      <c r="B21" s="17" t="s">
        <v>465</v>
      </c>
      <c r="C21" s="65">
        <f>TRUNC((C5+SUM(C9:C20))*0.08,0)</f>
        <v>0</v>
      </c>
      <c r="D21" s="119" t="s">
        <v>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8</v>
      </c>
      <c r="DN21" s="1" t="s">
        <v>17</v>
      </c>
      <c r="DO21" s="1"/>
    </row>
    <row r="22" spans="1:119" ht="18" customHeight="1" x14ac:dyDescent="0.2">
      <c r="A22" s="16" t="s">
        <v>75</v>
      </c>
      <c r="B22" s="17" t="s">
        <v>317</v>
      </c>
      <c r="C22" s="65"/>
      <c r="D22" s="119" t="s">
        <v>416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</v>
      </c>
      <c r="DN22" s="1" t="s">
        <v>477</v>
      </c>
      <c r="DO22" s="1"/>
    </row>
    <row r="23" spans="1:119" ht="18" customHeight="1" x14ac:dyDescent="0.2">
      <c r="A23" s="16" t="s">
        <v>415</v>
      </c>
      <c r="B23" s="17" t="s">
        <v>520</v>
      </c>
      <c r="C23" s="65"/>
      <c r="D23" s="119" t="s">
        <v>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8</v>
      </c>
      <c r="DN23" s="1" t="s">
        <v>70</v>
      </c>
      <c r="DO23" s="1"/>
    </row>
    <row r="24" spans="1:119" ht="18" customHeight="1" x14ac:dyDescent="0.2">
      <c r="A24" s="16" t="s">
        <v>559</v>
      </c>
      <c r="B24" s="17" t="s">
        <v>517</v>
      </c>
      <c r="C24" s="65"/>
      <c r="D24" s="119" t="s">
        <v>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8</v>
      </c>
      <c r="DN24" s="1" t="s">
        <v>420</v>
      </c>
      <c r="DO24" s="1"/>
    </row>
    <row r="25" spans="1:119" ht="18" customHeight="1" x14ac:dyDescent="0.2">
      <c r="A25" s="16" t="s">
        <v>442</v>
      </c>
      <c r="B25" s="17" t="s">
        <v>325</v>
      </c>
      <c r="C25" s="65"/>
      <c r="D25" s="119" t="s">
        <v>8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</v>
      </c>
      <c r="DN25" s="1" t="s">
        <v>287</v>
      </c>
      <c r="DO25" s="1"/>
    </row>
    <row r="26" spans="1:119" ht="18" customHeight="1" x14ac:dyDescent="0.2">
      <c r="A26" s="16" t="s">
        <v>270</v>
      </c>
      <c r="B26" s="17" t="s">
        <v>8</v>
      </c>
      <c r="C26" s="65"/>
      <c r="D26" s="119" t="s">
        <v>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8</v>
      </c>
      <c r="DN26" s="1" t="s">
        <v>408</v>
      </c>
      <c r="DO26" s="1"/>
    </row>
    <row r="27" spans="1:119" ht="18" customHeight="1" x14ac:dyDescent="0.2">
      <c r="A27" s="16" t="s">
        <v>441</v>
      </c>
      <c r="B27" s="17" t="s">
        <v>491</v>
      </c>
      <c r="C27" s="65"/>
      <c r="D27" s="119" t="s">
        <v>8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8</v>
      </c>
      <c r="DN27" s="1" t="s">
        <v>619</v>
      </c>
      <c r="DO27" s="1"/>
    </row>
    <row r="28" spans="1:119" ht="18" customHeight="1" x14ac:dyDescent="0.2">
      <c r="A28" s="16" t="s">
        <v>8</v>
      </c>
      <c r="B28" s="17" t="s">
        <v>8</v>
      </c>
      <c r="C28" s="65"/>
      <c r="D28" s="119" t="s">
        <v>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8</v>
      </c>
      <c r="DN28" s="1" t="s">
        <v>8</v>
      </c>
      <c r="DO28" s="1"/>
    </row>
    <row r="29" spans="1:119" ht="18" customHeight="1" x14ac:dyDescent="0.2">
      <c r="A29" s="16" t="s">
        <v>8</v>
      </c>
      <c r="B29" s="17" t="s">
        <v>8</v>
      </c>
      <c r="C29" s="65"/>
      <c r="D29" s="119" t="s">
        <v>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8</v>
      </c>
      <c r="DN29" s="1" t="s">
        <v>8</v>
      </c>
      <c r="DO29" s="1"/>
    </row>
    <row r="30" spans="1:119" ht="18" customHeight="1" x14ac:dyDescent="0.2">
      <c r="A30" s="16" t="s">
        <v>8</v>
      </c>
      <c r="B30" s="17" t="s">
        <v>8</v>
      </c>
      <c r="C30" s="65">
        <v>0</v>
      </c>
      <c r="D30" s="119" t="s">
        <v>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8</v>
      </c>
      <c r="DN30" s="1" t="s">
        <v>8</v>
      </c>
      <c r="DO30" s="1"/>
    </row>
    <row r="31" spans="1:119" ht="18" customHeight="1" x14ac:dyDescent="0.2">
      <c r="A31" s="16" t="s">
        <v>8</v>
      </c>
      <c r="B31" s="17" t="s">
        <v>8</v>
      </c>
      <c r="C31" s="65">
        <v>0</v>
      </c>
      <c r="D31" s="119" t="s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8</v>
      </c>
      <c r="DN31" s="1" t="s">
        <v>8</v>
      </c>
      <c r="DO31" s="1"/>
    </row>
    <row r="32" spans="1:119" ht="18" customHeight="1" x14ac:dyDescent="0.2">
      <c r="A32" s="16" t="s">
        <v>8</v>
      </c>
      <c r="B32" s="17" t="s">
        <v>8</v>
      </c>
      <c r="C32" s="65">
        <v>0</v>
      </c>
      <c r="D32" s="119" t="s">
        <v>8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8</v>
      </c>
      <c r="DN32" s="1" t="s">
        <v>8</v>
      </c>
      <c r="DO32" s="1"/>
    </row>
    <row r="33" spans="1:119" ht="18" customHeight="1" x14ac:dyDescent="0.2">
      <c r="A33" s="16" t="s">
        <v>8</v>
      </c>
      <c r="B33" s="17" t="s">
        <v>8</v>
      </c>
      <c r="C33" s="65">
        <v>0</v>
      </c>
      <c r="D33" s="119" t="s">
        <v>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8</v>
      </c>
      <c r="DN33" s="1" t="s">
        <v>8</v>
      </c>
      <c r="DO33" s="1"/>
    </row>
    <row r="34" spans="1:119" ht="18" customHeight="1" x14ac:dyDescent="0.2">
      <c r="A34" s="16" t="s">
        <v>8</v>
      </c>
      <c r="B34" s="17" t="s">
        <v>8</v>
      </c>
      <c r="C34" s="65">
        <v>0</v>
      </c>
      <c r="D34" s="119" t="s">
        <v>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8</v>
      </c>
      <c r="DN34" s="1" t="s">
        <v>8</v>
      </c>
      <c r="DO34" s="1"/>
    </row>
    <row r="35" spans="1:119" ht="18" customHeight="1" x14ac:dyDescent="0.2">
      <c r="A35" s="16" t="s">
        <v>8</v>
      </c>
      <c r="B35" s="17" t="s">
        <v>8</v>
      </c>
      <c r="C35" s="65">
        <v>0</v>
      </c>
      <c r="D35" s="119" t="s">
        <v>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8</v>
      </c>
      <c r="DN35" s="1" t="s">
        <v>8</v>
      </c>
      <c r="DO35" s="1"/>
    </row>
    <row r="36" spans="1:119" ht="18" customHeight="1" x14ac:dyDescent="0.2">
      <c r="A36" s="16" t="s">
        <v>8</v>
      </c>
      <c r="B36" s="17" t="s">
        <v>8</v>
      </c>
      <c r="C36" s="65">
        <v>0</v>
      </c>
      <c r="D36" s="119" t="s">
        <v>8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8</v>
      </c>
      <c r="DN36" s="1" t="s">
        <v>8</v>
      </c>
      <c r="DO36" s="1"/>
    </row>
    <row r="37" spans="1:119" ht="18" customHeight="1" x14ac:dyDescent="0.2">
      <c r="A37" s="16" t="s">
        <v>8</v>
      </c>
      <c r="B37" s="17" t="s">
        <v>8</v>
      </c>
      <c r="C37" s="65">
        <v>0</v>
      </c>
      <c r="D37" s="119" t="s">
        <v>8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8</v>
      </c>
      <c r="DN37" s="1" t="s">
        <v>8</v>
      </c>
      <c r="DO37" s="1"/>
    </row>
    <row r="38" spans="1:119" ht="18" customHeight="1" x14ac:dyDescent="0.2">
      <c r="A38" s="16" t="s">
        <v>8</v>
      </c>
      <c r="B38" s="17" t="s">
        <v>8</v>
      </c>
      <c r="C38" s="65">
        <v>0</v>
      </c>
      <c r="D38" s="119" t="s">
        <v>8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8</v>
      </c>
      <c r="DN38" s="1" t="s">
        <v>8</v>
      </c>
      <c r="DO38" s="1"/>
    </row>
    <row r="39" spans="1:119" ht="18" customHeight="1" x14ac:dyDescent="0.2">
      <c r="A39" s="16" t="s">
        <v>8</v>
      </c>
      <c r="B39" s="17" t="s">
        <v>8</v>
      </c>
      <c r="C39" s="65">
        <v>0</v>
      </c>
      <c r="D39" s="119" t="s">
        <v>8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8</v>
      </c>
      <c r="DN39" s="1" t="s">
        <v>8</v>
      </c>
      <c r="DO39" s="1"/>
    </row>
    <row r="40" spans="1:119" ht="18" customHeight="1" x14ac:dyDescent="0.2">
      <c r="A40" s="16" t="s">
        <v>8</v>
      </c>
      <c r="B40" s="17" t="s">
        <v>8</v>
      </c>
      <c r="C40" s="65">
        <v>0</v>
      </c>
      <c r="D40" s="119" t="s">
        <v>8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8</v>
      </c>
      <c r="DN40" s="1" t="s">
        <v>8</v>
      </c>
      <c r="DO40" s="1"/>
    </row>
    <row r="41" spans="1:119" ht="18" customHeight="1" x14ac:dyDescent="0.2">
      <c r="A41" s="16" t="s">
        <v>8</v>
      </c>
      <c r="B41" s="17" t="s">
        <v>8</v>
      </c>
      <c r="C41" s="65">
        <v>0</v>
      </c>
      <c r="D41" s="119" t="s">
        <v>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8</v>
      </c>
      <c r="DN41" s="1" t="s">
        <v>8</v>
      </c>
      <c r="DO41" s="1"/>
    </row>
    <row r="42" spans="1:119" ht="18" customHeight="1" x14ac:dyDescent="0.2">
      <c r="A42" s="16" t="s">
        <v>8</v>
      </c>
      <c r="B42" s="17" t="s">
        <v>8</v>
      </c>
      <c r="C42" s="65">
        <v>0</v>
      </c>
      <c r="D42" s="119" t="s">
        <v>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</v>
      </c>
      <c r="DN42" s="1" t="s">
        <v>8</v>
      </c>
      <c r="DO42" s="1"/>
    </row>
    <row r="43" spans="1:119" ht="18" customHeight="1" x14ac:dyDescent="0.2">
      <c r="A43" s="16" t="s">
        <v>8</v>
      </c>
      <c r="B43" s="17" t="s">
        <v>8</v>
      </c>
      <c r="C43" s="65">
        <v>0</v>
      </c>
      <c r="D43" s="119" t="s">
        <v>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8</v>
      </c>
      <c r="DN43" s="1" t="s">
        <v>8</v>
      </c>
      <c r="DO43" s="1"/>
    </row>
    <row r="44" spans="1:119" ht="18" customHeight="1" x14ac:dyDescent="0.2">
      <c r="A44" s="16" t="s">
        <v>8</v>
      </c>
      <c r="B44" s="17" t="s">
        <v>8</v>
      </c>
      <c r="C44" s="65">
        <v>0</v>
      </c>
      <c r="D44" s="119" t="s">
        <v>8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8</v>
      </c>
      <c r="DN44" s="1" t="s">
        <v>8</v>
      </c>
      <c r="DO44" s="1"/>
    </row>
    <row r="45" spans="1:119" ht="18" customHeight="1" x14ac:dyDescent="0.2">
      <c r="A45" s="16" t="s">
        <v>8</v>
      </c>
      <c r="B45" s="17" t="s">
        <v>8</v>
      </c>
      <c r="C45" s="65">
        <v>0</v>
      </c>
      <c r="D45" s="119" t="s">
        <v>8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8</v>
      </c>
      <c r="DN45" s="1" t="s">
        <v>8</v>
      </c>
      <c r="DO45" s="1"/>
    </row>
    <row r="46" spans="1:119" ht="18" customHeight="1" x14ac:dyDescent="0.2">
      <c r="A46" s="16" t="s">
        <v>8</v>
      </c>
      <c r="B46" s="17" t="s">
        <v>8</v>
      </c>
      <c r="C46" s="65">
        <v>0</v>
      </c>
      <c r="D46" s="119" t="s">
        <v>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8</v>
      </c>
      <c r="DN46" s="1" t="s">
        <v>8</v>
      </c>
      <c r="DO46" s="1"/>
    </row>
    <row r="47" spans="1:119" ht="18" customHeight="1" x14ac:dyDescent="0.2">
      <c r="A47" s="16" t="s">
        <v>8</v>
      </c>
      <c r="B47" s="17" t="s">
        <v>8</v>
      </c>
      <c r="C47" s="65">
        <v>0</v>
      </c>
      <c r="D47" s="119" t="s">
        <v>8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</v>
      </c>
      <c r="DN47" s="1" t="s">
        <v>8</v>
      </c>
      <c r="DO47" s="1"/>
    </row>
    <row r="48" spans="1:119" ht="18" customHeight="1" x14ac:dyDescent="0.2">
      <c r="A48" s="16" t="s">
        <v>8</v>
      </c>
      <c r="B48" s="17" t="s">
        <v>8</v>
      </c>
      <c r="C48" s="65">
        <v>0</v>
      </c>
      <c r="D48" s="119" t="s">
        <v>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8</v>
      </c>
      <c r="DN48" s="1" t="s">
        <v>8</v>
      </c>
      <c r="DO48" s="1"/>
    </row>
    <row r="49" spans="1:119" ht="18" customHeight="1" x14ac:dyDescent="0.2">
      <c r="A49" s="16" t="s">
        <v>8</v>
      </c>
      <c r="B49" s="17" t="s">
        <v>8</v>
      </c>
      <c r="C49" s="65">
        <v>0</v>
      </c>
      <c r="D49" s="119" t="s">
        <v>8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8</v>
      </c>
      <c r="DN49" s="1" t="s">
        <v>8</v>
      </c>
      <c r="DO49" s="1"/>
    </row>
    <row r="50" spans="1:119" ht="18" customHeight="1" x14ac:dyDescent="0.2">
      <c r="A50" s="16" t="s">
        <v>8</v>
      </c>
      <c r="B50" s="17" t="s">
        <v>8</v>
      </c>
      <c r="C50" s="65">
        <v>0</v>
      </c>
      <c r="D50" s="119" t="s">
        <v>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8</v>
      </c>
      <c r="DN50" s="1" t="s">
        <v>8</v>
      </c>
      <c r="DO50" s="1"/>
    </row>
    <row r="51" spans="1:119" ht="18" customHeight="1" x14ac:dyDescent="0.2">
      <c r="A51" s="16" t="s">
        <v>8</v>
      </c>
      <c r="B51" s="17" t="s">
        <v>8</v>
      </c>
      <c r="C51" s="65">
        <v>0</v>
      </c>
      <c r="D51" s="119" t="s">
        <v>8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8</v>
      </c>
      <c r="DN51" s="1" t="s">
        <v>8</v>
      </c>
      <c r="DO51" s="1"/>
    </row>
    <row r="52" spans="1:119" ht="18" customHeight="1" x14ac:dyDescent="0.2">
      <c r="A52" s="5" t="s">
        <v>8</v>
      </c>
      <c r="B52" s="20" t="s">
        <v>8</v>
      </c>
      <c r="C52" s="67">
        <v>0</v>
      </c>
      <c r="D52" s="120" t="s">
        <v>8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8</v>
      </c>
      <c r="DN52" s="1" t="s">
        <v>8</v>
      </c>
      <c r="DO52" s="1"/>
    </row>
    <row r="53" spans="1:119" ht="18" customHeight="1" x14ac:dyDescent="0.2">
      <c r="A53" s="1"/>
      <c r="B53" s="8"/>
      <c r="C53" s="1"/>
      <c r="D53" s="8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</row>
  </sheetData>
  <mergeCells count="6">
    <mergeCell ref="A1:D1"/>
    <mergeCell ref="A2:D2"/>
    <mergeCell ref="A3:A4"/>
    <mergeCell ref="B3:B4"/>
    <mergeCell ref="C3:C4"/>
    <mergeCell ref="D3:D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29"/>
  <sheetViews>
    <sheetView showGridLines="0" workbookViewId="0">
      <selection activeCell="A5" sqref="A5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3.28515625" customWidth="1"/>
    <col min="6" max="6" width="15.5703125" customWidth="1"/>
    <col min="7" max="7" width="13.28515625" customWidth="1"/>
    <col min="8" max="8" width="15.5703125" customWidth="1"/>
    <col min="9" max="9" width="13.28515625" customWidth="1"/>
    <col min="10" max="10" width="15.5703125" customWidth="1"/>
    <col min="11" max="11" width="13.28515625" customWidth="1"/>
    <col min="12" max="12" width="15.5703125" customWidth="1"/>
    <col min="13" max="13" width="14" customWidth="1"/>
    <col min="14" max="116" width="9.140625" customWidth="1"/>
    <col min="117" max="118" width="0" hidden="1" customWidth="1"/>
  </cols>
  <sheetData>
    <row r="1" spans="1:128" ht="26.1" customHeight="1" x14ac:dyDescent="0.2">
      <c r="A1" s="127" t="s">
        <v>550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37" t="s">
        <v>685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8" t="s">
        <v>132</v>
      </c>
      <c r="B3" s="121" t="s">
        <v>308</v>
      </c>
      <c r="C3" s="121" t="s">
        <v>41</v>
      </c>
      <c r="D3" s="121" t="s">
        <v>668</v>
      </c>
      <c r="E3" s="125" t="s">
        <v>242</v>
      </c>
      <c r="F3" s="126"/>
      <c r="G3" s="125" t="s">
        <v>190</v>
      </c>
      <c r="H3" s="126"/>
      <c r="I3" s="125" t="s">
        <v>476</v>
      </c>
      <c r="J3" s="126"/>
      <c r="K3" s="125" t="s">
        <v>496</v>
      </c>
      <c r="L3" s="125"/>
      <c r="M3" s="132" t="s">
        <v>301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9"/>
      <c r="B4" s="122"/>
      <c r="C4" s="122"/>
      <c r="D4" s="130"/>
      <c r="E4" s="10" t="s">
        <v>29</v>
      </c>
      <c r="F4" s="11" t="s">
        <v>55</v>
      </c>
      <c r="G4" s="11" t="s">
        <v>29</v>
      </c>
      <c r="H4" s="11" t="s">
        <v>55</v>
      </c>
      <c r="I4" s="11" t="s">
        <v>29</v>
      </c>
      <c r="J4" s="11" t="s">
        <v>55</v>
      </c>
      <c r="K4" s="11" t="s">
        <v>29</v>
      </c>
      <c r="L4" s="12" t="s">
        <v>55</v>
      </c>
      <c r="M4" s="12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2" t="s">
        <v>567</v>
      </c>
      <c r="B5" s="13" t="s">
        <v>8</v>
      </c>
      <c r="C5" s="3" t="s">
        <v>8</v>
      </c>
      <c r="D5" s="13" t="s">
        <v>8</v>
      </c>
      <c r="E5" s="14">
        <f t="shared" ref="E5:F8" si="0">G5+I5+K5</f>
        <v>0</v>
      </c>
      <c r="F5" s="63">
        <f t="shared" si="0"/>
        <v>0</v>
      </c>
      <c r="G5" s="14">
        <v>0</v>
      </c>
      <c r="H5" s="63">
        <f>내역서!H6</f>
        <v>0</v>
      </c>
      <c r="I5" s="14">
        <v>0</v>
      </c>
      <c r="J5" s="63">
        <f>내역서!J6</f>
        <v>0</v>
      </c>
      <c r="K5" s="14">
        <v>0</v>
      </c>
      <c r="L5" s="63">
        <f>내역서!L6</f>
        <v>0</v>
      </c>
      <c r="M5" s="4" t="s">
        <v>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322</v>
      </c>
      <c r="DN5" s="1" t="s">
        <v>8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6" t="s">
        <v>316</v>
      </c>
      <c r="B6" s="17" t="s">
        <v>8</v>
      </c>
      <c r="C6" s="25" t="s">
        <v>8</v>
      </c>
      <c r="D6" s="17" t="s">
        <v>8</v>
      </c>
      <c r="E6" s="18">
        <f t="shared" si="0"/>
        <v>0</v>
      </c>
      <c r="F6" s="65">
        <f t="shared" si="0"/>
        <v>0</v>
      </c>
      <c r="G6" s="18">
        <v>0</v>
      </c>
      <c r="H6" s="65">
        <f>내역서!H13</f>
        <v>0</v>
      </c>
      <c r="I6" s="18">
        <v>0</v>
      </c>
      <c r="J6" s="65">
        <f>내역서!J13</f>
        <v>0</v>
      </c>
      <c r="K6" s="18">
        <v>0</v>
      </c>
      <c r="L6" s="65">
        <f>내역서!L13</f>
        <v>0</v>
      </c>
      <c r="M6" s="26" t="s">
        <v>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160</v>
      </c>
      <c r="DN6" s="1" t="s">
        <v>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6" t="s">
        <v>220</v>
      </c>
      <c r="B7" s="17" t="s">
        <v>8</v>
      </c>
      <c r="C7" s="25" t="s">
        <v>8</v>
      </c>
      <c r="D7" s="17" t="s">
        <v>8</v>
      </c>
      <c r="E7" s="18">
        <f t="shared" si="0"/>
        <v>0</v>
      </c>
      <c r="F7" s="65">
        <f t="shared" si="0"/>
        <v>0</v>
      </c>
      <c r="G7" s="18">
        <v>0</v>
      </c>
      <c r="H7" s="65">
        <f>내역서!H19</f>
        <v>0</v>
      </c>
      <c r="I7" s="18">
        <v>0</v>
      </c>
      <c r="J7" s="65">
        <f>내역서!J19</f>
        <v>0</v>
      </c>
      <c r="K7" s="18">
        <v>0</v>
      </c>
      <c r="L7" s="65">
        <f>내역서!L19</f>
        <v>0</v>
      </c>
      <c r="M7" s="26" t="s">
        <v>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573</v>
      </c>
      <c r="DN7" s="1" t="s">
        <v>8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6" t="s">
        <v>42</v>
      </c>
      <c r="B8" s="17" t="s">
        <v>8</v>
      </c>
      <c r="C8" s="25" t="s">
        <v>8</v>
      </c>
      <c r="D8" s="17" t="s">
        <v>8</v>
      </c>
      <c r="E8" s="18">
        <f t="shared" si="0"/>
        <v>0</v>
      </c>
      <c r="F8" s="65">
        <f t="shared" si="0"/>
        <v>0</v>
      </c>
      <c r="G8" s="18">
        <v>0</v>
      </c>
      <c r="H8" s="65">
        <f>SUM(H5:H7)</f>
        <v>0</v>
      </c>
      <c r="I8" s="18">
        <v>0</v>
      </c>
      <c r="J8" s="65">
        <f>SUM(J5:J7)</f>
        <v>0</v>
      </c>
      <c r="K8" s="18">
        <v>0</v>
      </c>
      <c r="L8" s="65">
        <f>SUM(L5:L7)</f>
        <v>0</v>
      </c>
      <c r="M8" s="26" t="s">
        <v>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88</v>
      </c>
      <c r="DN8" s="1" t="s">
        <v>286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6" t="s">
        <v>0</v>
      </c>
      <c r="B9" s="17" t="s">
        <v>16</v>
      </c>
      <c r="C9" s="25">
        <v>1</v>
      </c>
      <c r="D9" s="17" t="s">
        <v>392</v>
      </c>
      <c r="E9" s="18">
        <f t="shared" ref="E9:E28" si="1">G9+I9+K9</f>
        <v>0</v>
      </c>
      <c r="F9" s="65">
        <f>원가계산서!C9</f>
        <v>0</v>
      </c>
      <c r="G9" s="18">
        <v>0</v>
      </c>
      <c r="H9" s="65">
        <v>0</v>
      </c>
      <c r="I9" s="18">
        <v>0</v>
      </c>
      <c r="J9" s="65">
        <v>0</v>
      </c>
      <c r="K9" s="18">
        <v>0</v>
      </c>
      <c r="L9" s="65">
        <v>0</v>
      </c>
      <c r="M9" s="26" t="s">
        <v>8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155</v>
      </c>
      <c r="DN9" s="1" t="s">
        <v>8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6" t="s">
        <v>503</v>
      </c>
      <c r="B10" s="17" t="s">
        <v>16</v>
      </c>
      <c r="C10" s="25">
        <v>1</v>
      </c>
      <c r="D10" s="17" t="s">
        <v>392</v>
      </c>
      <c r="E10" s="18">
        <f t="shared" si="1"/>
        <v>0</v>
      </c>
      <c r="F10" s="65">
        <f>원가계산서!C10</f>
        <v>0</v>
      </c>
      <c r="G10" s="18">
        <v>0</v>
      </c>
      <c r="H10" s="65">
        <v>0</v>
      </c>
      <c r="I10" s="18">
        <v>0</v>
      </c>
      <c r="J10" s="65">
        <v>0</v>
      </c>
      <c r="K10" s="18">
        <v>0</v>
      </c>
      <c r="L10" s="65">
        <v>0</v>
      </c>
      <c r="M10" s="26" t="s">
        <v>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312</v>
      </c>
      <c r="DN10" s="1" t="s">
        <v>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6" t="s">
        <v>19</v>
      </c>
      <c r="B11" s="17" t="s">
        <v>16</v>
      </c>
      <c r="C11" s="25">
        <v>1</v>
      </c>
      <c r="D11" s="17" t="s">
        <v>392</v>
      </c>
      <c r="E11" s="18">
        <f t="shared" si="1"/>
        <v>0</v>
      </c>
      <c r="F11" s="65">
        <f>원가계산서!C11</f>
        <v>0</v>
      </c>
      <c r="G11" s="18">
        <v>0</v>
      </c>
      <c r="H11" s="65">
        <v>0</v>
      </c>
      <c r="I11" s="18">
        <v>0</v>
      </c>
      <c r="J11" s="65">
        <v>0</v>
      </c>
      <c r="K11" s="18">
        <v>0</v>
      </c>
      <c r="L11" s="65">
        <v>0</v>
      </c>
      <c r="M11" s="26" t="s">
        <v>8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492</v>
      </c>
      <c r="DN11" s="1" t="s">
        <v>8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6" t="s">
        <v>102</v>
      </c>
      <c r="B12" s="17" t="s">
        <v>16</v>
      </c>
      <c r="C12" s="25">
        <v>1</v>
      </c>
      <c r="D12" s="17" t="s">
        <v>392</v>
      </c>
      <c r="E12" s="18">
        <f t="shared" si="1"/>
        <v>0</v>
      </c>
      <c r="F12" s="65">
        <f>원가계산서!C12</f>
        <v>0</v>
      </c>
      <c r="G12" s="18">
        <v>0</v>
      </c>
      <c r="H12" s="65">
        <v>0</v>
      </c>
      <c r="I12" s="18">
        <v>0</v>
      </c>
      <c r="J12" s="65">
        <v>0</v>
      </c>
      <c r="K12" s="18">
        <v>0</v>
      </c>
      <c r="L12" s="65">
        <v>0</v>
      </c>
      <c r="M12" s="26" t="s">
        <v>8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673</v>
      </c>
      <c r="DN12" s="1" t="s">
        <v>8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6" t="s">
        <v>618</v>
      </c>
      <c r="B13" s="17" t="s">
        <v>16</v>
      </c>
      <c r="C13" s="25">
        <v>1</v>
      </c>
      <c r="D13" s="17" t="s">
        <v>392</v>
      </c>
      <c r="E13" s="18">
        <f t="shared" si="1"/>
        <v>0</v>
      </c>
      <c r="F13" s="65">
        <f>원가계산서!C13</f>
        <v>0</v>
      </c>
      <c r="G13" s="18">
        <v>0</v>
      </c>
      <c r="H13" s="65">
        <v>0</v>
      </c>
      <c r="I13" s="18">
        <v>0</v>
      </c>
      <c r="J13" s="65">
        <v>0</v>
      </c>
      <c r="K13" s="18">
        <v>0</v>
      </c>
      <c r="L13" s="65">
        <v>0</v>
      </c>
      <c r="M13" s="26" t="s">
        <v>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154</v>
      </c>
      <c r="DN13" s="1" t="s">
        <v>8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6" t="s">
        <v>176</v>
      </c>
      <c r="B14" s="17" t="s">
        <v>16</v>
      </c>
      <c r="C14" s="25">
        <v>1</v>
      </c>
      <c r="D14" s="17" t="s">
        <v>392</v>
      </c>
      <c r="E14" s="18">
        <f t="shared" si="1"/>
        <v>0</v>
      </c>
      <c r="F14" s="65">
        <f>원가계산서!C14</f>
        <v>0</v>
      </c>
      <c r="G14" s="18">
        <v>0</v>
      </c>
      <c r="H14" s="65">
        <v>0</v>
      </c>
      <c r="I14" s="18">
        <v>0</v>
      </c>
      <c r="J14" s="65">
        <v>0</v>
      </c>
      <c r="K14" s="18">
        <v>0</v>
      </c>
      <c r="L14" s="65">
        <v>0</v>
      </c>
      <c r="M14" s="26" t="s">
        <v>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227</v>
      </c>
      <c r="DN14" s="1" t="s">
        <v>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6" t="s">
        <v>211</v>
      </c>
      <c r="B15" s="17" t="s">
        <v>16</v>
      </c>
      <c r="C15" s="25">
        <v>1</v>
      </c>
      <c r="D15" s="17" t="s">
        <v>392</v>
      </c>
      <c r="E15" s="18">
        <f t="shared" si="1"/>
        <v>0</v>
      </c>
      <c r="F15" s="65">
        <f>원가계산서!C15</f>
        <v>0</v>
      </c>
      <c r="G15" s="18">
        <v>0</v>
      </c>
      <c r="H15" s="65">
        <v>0</v>
      </c>
      <c r="I15" s="18">
        <v>0</v>
      </c>
      <c r="J15" s="65">
        <v>0</v>
      </c>
      <c r="K15" s="18">
        <v>0</v>
      </c>
      <c r="L15" s="65">
        <v>0</v>
      </c>
      <c r="M15" s="26" t="s">
        <v>8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407</v>
      </c>
      <c r="DN15" s="1" t="s">
        <v>8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6" t="s">
        <v>540</v>
      </c>
      <c r="B16" s="17" t="s">
        <v>16</v>
      </c>
      <c r="C16" s="25">
        <v>1</v>
      </c>
      <c r="D16" s="17" t="s">
        <v>392</v>
      </c>
      <c r="E16" s="18">
        <f t="shared" si="1"/>
        <v>0</v>
      </c>
      <c r="F16" s="65">
        <f>원가계산서!C16</f>
        <v>0</v>
      </c>
      <c r="G16" s="18">
        <v>0</v>
      </c>
      <c r="H16" s="65">
        <v>0</v>
      </c>
      <c r="I16" s="18">
        <v>0</v>
      </c>
      <c r="J16" s="65">
        <v>0</v>
      </c>
      <c r="K16" s="18">
        <v>0</v>
      </c>
      <c r="L16" s="65">
        <v>0</v>
      </c>
      <c r="M16" s="26" t="s">
        <v>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591</v>
      </c>
      <c r="DN16" s="1" t="s">
        <v>8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6" t="s">
        <v>117</v>
      </c>
      <c r="B17" s="17" t="s">
        <v>16</v>
      </c>
      <c r="C17" s="25">
        <v>1</v>
      </c>
      <c r="D17" s="17" t="s">
        <v>392</v>
      </c>
      <c r="E17" s="18">
        <f t="shared" si="1"/>
        <v>0</v>
      </c>
      <c r="F17" s="65">
        <f>원가계산서!C17</f>
        <v>0</v>
      </c>
      <c r="G17" s="18">
        <v>0</v>
      </c>
      <c r="H17" s="65">
        <v>0</v>
      </c>
      <c r="I17" s="18">
        <v>0</v>
      </c>
      <c r="J17" s="65">
        <v>0</v>
      </c>
      <c r="K17" s="18">
        <v>0</v>
      </c>
      <c r="L17" s="65">
        <v>0</v>
      </c>
      <c r="M17" s="26" t="s">
        <v>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65</v>
      </c>
      <c r="DN17" s="1" t="s">
        <v>8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6" t="s">
        <v>516</v>
      </c>
      <c r="B18" s="17" t="s">
        <v>16</v>
      </c>
      <c r="C18" s="25">
        <v>1</v>
      </c>
      <c r="D18" s="17" t="s">
        <v>392</v>
      </c>
      <c r="E18" s="18">
        <f t="shared" si="1"/>
        <v>0</v>
      </c>
      <c r="F18" s="65">
        <f>원가계산서!C18</f>
        <v>0</v>
      </c>
      <c r="G18" s="18">
        <v>0</v>
      </c>
      <c r="H18" s="65">
        <v>0</v>
      </c>
      <c r="I18" s="18">
        <v>0</v>
      </c>
      <c r="J18" s="65">
        <v>0</v>
      </c>
      <c r="K18" s="18">
        <v>0</v>
      </c>
      <c r="L18" s="65">
        <v>0</v>
      </c>
      <c r="M18" s="26" t="s">
        <v>8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232</v>
      </c>
      <c r="DN18" s="1" t="s">
        <v>8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6" t="s">
        <v>406</v>
      </c>
      <c r="B19" s="17" t="s">
        <v>16</v>
      </c>
      <c r="C19" s="25">
        <v>1</v>
      </c>
      <c r="D19" s="17" t="s">
        <v>392</v>
      </c>
      <c r="E19" s="18">
        <f t="shared" si="1"/>
        <v>0</v>
      </c>
      <c r="F19" s="65">
        <f>원가계산서!C19</f>
        <v>0</v>
      </c>
      <c r="G19" s="18">
        <v>0</v>
      </c>
      <c r="H19" s="65">
        <v>0</v>
      </c>
      <c r="I19" s="18">
        <v>0</v>
      </c>
      <c r="J19" s="65">
        <v>0</v>
      </c>
      <c r="K19" s="18">
        <v>0</v>
      </c>
      <c r="L19" s="65">
        <v>0</v>
      </c>
      <c r="M19" s="26" t="s">
        <v>8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400</v>
      </c>
      <c r="DN19" s="1" t="s">
        <v>8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6" t="s">
        <v>231</v>
      </c>
      <c r="B20" s="17" t="s">
        <v>16</v>
      </c>
      <c r="C20" s="25">
        <v>1</v>
      </c>
      <c r="D20" s="17" t="s">
        <v>392</v>
      </c>
      <c r="E20" s="18">
        <f t="shared" si="1"/>
        <v>0</v>
      </c>
      <c r="F20" s="65">
        <f>원가계산서!C20</f>
        <v>0</v>
      </c>
      <c r="G20" s="18">
        <v>0</v>
      </c>
      <c r="H20" s="65">
        <v>0</v>
      </c>
      <c r="I20" s="18">
        <v>0</v>
      </c>
      <c r="J20" s="65">
        <v>0</v>
      </c>
      <c r="K20" s="18">
        <v>0</v>
      </c>
      <c r="L20" s="65">
        <v>0</v>
      </c>
      <c r="M20" s="26" t="s">
        <v>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587</v>
      </c>
      <c r="DN20" s="1" t="s">
        <v>8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6" t="s">
        <v>601</v>
      </c>
      <c r="B21" s="17" t="s">
        <v>16</v>
      </c>
      <c r="C21" s="25">
        <v>1</v>
      </c>
      <c r="D21" s="17" t="s">
        <v>392</v>
      </c>
      <c r="E21" s="18">
        <f t="shared" si="1"/>
        <v>0</v>
      </c>
      <c r="F21" s="65">
        <f>원가계산서!C21</f>
        <v>0</v>
      </c>
      <c r="G21" s="18">
        <v>0</v>
      </c>
      <c r="H21" s="65">
        <v>0</v>
      </c>
      <c r="I21" s="18">
        <v>0</v>
      </c>
      <c r="J21" s="65">
        <v>0</v>
      </c>
      <c r="K21" s="18">
        <v>0</v>
      </c>
      <c r="L21" s="65">
        <v>0</v>
      </c>
      <c r="M21" s="26" t="s">
        <v>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69</v>
      </c>
      <c r="DN21" s="1" t="s">
        <v>8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6" t="s">
        <v>31</v>
      </c>
      <c r="B22" s="17" t="s">
        <v>8</v>
      </c>
      <c r="C22" s="25" t="s">
        <v>8</v>
      </c>
      <c r="D22" s="17" t="s">
        <v>8</v>
      </c>
      <c r="E22" s="18">
        <f t="shared" si="1"/>
        <v>0</v>
      </c>
      <c r="F22" s="65">
        <f>SUM(F8:F21)</f>
        <v>0</v>
      </c>
      <c r="G22" s="18">
        <v>0</v>
      </c>
      <c r="H22" s="65">
        <v>0</v>
      </c>
      <c r="I22" s="18">
        <v>0</v>
      </c>
      <c r="J22" s="65">
        <v>0</v>
      </c>
      <c r="K22" s="18">
        <v>0</v>
      </c>
      <c r="L22" s="65">
        <v>0</v>
      </c>
      <c r="M22" s="26" t="s">
        <v>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451</v>
      </c>
      <c r="DN22" s="1" t="s">
        <v>107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6" t="s">
        <v>188</v>
      </c>
      <c r="B23" s="17" t="s">
        <v>16</v>
      </c>
      <c r="C23" s="25">
        <v>1</v>
      </c>
      <c r="D23" s="17" t="s">
        <v>392</v>
      </c>
      <c r="E23" s="18">
        <f t="shared" si="1"/>
        <v>0</v>
      </c>
      <c r="F23" s="65">
        <f>원가계산서!C22</f>
        <v>0</v>
      </c>
      <c r="G23" s="18">
        <v>0</v>
      </c>
      <c r="H23" s="65">
        <v>0</v>
      </c>
      <c r="I23" s="18">
        <v>0</v>
      </c>
      <c r="J23" s="65">
        <v>0</v>
      </c>
      <c r="K23" s="18">
        <v>0</v>
      </c>
      <c r="L23" s="65">
        <v>0</v>
      </c>
      <c r="M23" s="26" t="s">
        <v>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230</v>
      </c>
      <c r="DN23" s="1" t="s">
        <v>8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6" t="s">
        <v>418</v>
      </c>
      <c r="B24" s="17" t="s">
        <v>8</v>
      </c>
      <c r="C24" s="25" t="s">
        <v>8</v>
      </c>
      <c r="D24" s="17" t="s">
        <v>8</v>
      </c>
      <c r="E24" s="18">
        <f t="shared" si="1"/>
        <v>0</v>
      </c>
      <c r="F24" s="65">
        <f>SUM(F22:F23)</f>
        <v>0</v>
      </c>
      <c r="G24" s="18">
        <v>0</v>
      </c>
      <c r="H24" s="65">
        <v>0</v>
      </c>
      <c r="I24" s="18">
        <v>0</v>
      </c>
      <c r="J24" s="65">
        <v>0</v>
      </c>
      <c r="K24" s="18">
        <v>0</v>
      </c>
      <c r="L24" s="65">
        <v>0</v>
      </c>
      <c r="M24" s="26" t="s">
        <v>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451</v>
      </c>
      <c r="DN24" s="1" t="s">
        <v>681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6" t="s">
        <v>219</v>
      </c>
      <c r="B25" s="17" t="s">
        <v>8</v>
      </c>
      <c r="C25" s="25">
        <v>1</v>
      </c>
      <c r="D25" s="17" t="s">
        <v>392</v>
      </c>
      <c r="E25" s="18">
        <f t="shared" si="1"/>
        <v>0</v>
      </c>
      <c r="F25" s="65">
        <f>F24*0.1</f>
        <v>0</v>
      </c>
      <c r="G25" s="18">
        <v>0</v>
      </c>
      <c r="H25" s="65">
        <v>0</v>
      </c>
      <c r="I25" s="18">
        <v>0</v>
      </c>
      <c r="J25" s="65">
        <v>0</v>
      </c>
      <c r="K25" s="18">
        <v>0</v>
      </c>
      <c r="L25" s="65">
        <v>0</v>
      </c>
      <c r="M25" s="26" t="s">
        <v>8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451</v>
      </c>
      <c r="DN25" s="1" t="s">
        <v>468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6" t="s">
        <v>483</v>
      </c>
      <c r="B26" s="17" t="s">
        <v>16</v>
      </c>
      <c r="C26" s="25">
        <v>1</v>
      </c>
      <c r="D26" s="17" t="s">
        <v>392</v>
      </c>
      <c r="E26" s="18">
        <f t="shared" si="1"/>
        <v>0</v>
      </c>
      <c r="F26" s="65">
        <f>SUM(F24:F25)</f>
        <v>0</v>
      </c>
      <c r="G26" s="18">
        <v>0</v>
      </c>
      <c r="H26" s="65">
        <v>0</v>
      </c>
      <c r="I26" s="18">
        <v>0</v>
      </c>
      <c r="J26" s="65">
        <v>0</v>
      </c>
      <c r="K26" s="18">
        <v>0</v>
      </c>
      <c r="L26" s="65">
        <v>0</v>
      </c>
      <c r="M26" s="26" t="s">
        <v>8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451</v>
      </c>
      <c r="DN26" s="1" t="s">
        <v>53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6" t="s">
        <v>470</v>
      </c>
      <c r="B27" s="17" t="s">
        <v>16</v>
      </c>
      <c r="C27" s="25">
        <v>1</v>
      </c>
      <c r="D27" s="17" t="s">
        <v>392</v>
      </c>
      <c r="E27" s="18">
        <f t="shared" si="1"/>
        <v>0</v>
      </c>
      <c r="F27" s="65">
        <f>원가계산서!C26</f>
        <v>0</v>
      </c>
      <c r="G27" s="18">
        <v>0</v>
      </c>
      <c r="H27" s="65">
        <v>0</v>
      </c>
      <c r="I27" s="18">
        <v>0</v>
      </c>
      <c r="J27" s="65">
        <v>0</v>
      </c>
      <c r="K27" s="18">
        <v>0</v>
      </c>
      <c r="L27" s="65">
        <v>0</v>
      </c>
      <c r="M27" s="26" t="s">
        <v>8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111</v>
      </c>
      <c r="DN27" s="1" t="s">
        <v>8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5" t="s">
        <v>194</v>
      </c>
      <c r="B28" s="20" t="s">
        <v>16</v>
      </c>
      <c r="C28" s="6">
        <v>1</v>
      </c>
      <c r="D28" s="20" t="s">
        <v>392</v>
      </c>
      <c r="E28" s="21">
        <f t="shared" si="1"/>
        <v>0</v>
      </c>
      <c r="F28" s="67">
        <f>SUM(F26:F27)</f>
        <v>0</v>
      </c>
      <c r="G28" s="21">
        <v>0</v>
      </c>
      <c r="H28" s="67">
        <v>0</v>
      </c>
      <c r="I28" s="21">
        <v>0</v>
      </c>
      <c r="J28" s="67">
        <v>0</v>
      </c>
      <c r="K28" s="21">
        <v>0</v>
      </c>
      <c r="L28" s="67">
        <v>0</v>
      </c>
      <c r="M28" s="7" t="s">
        <v>8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451</v>
      </c>
      <c r="DN28" s="1" t="s">
        <v>502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"/>
      <c r="B29" s="8"/>
      <c r="C29" s="1"/>
      <c r="D29" s="8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</sheetData>
  <mergeCells count="11">
    <mergeCell ref="G3:H3"/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자재단가</vt:lpstr>
      <vt:lpstr>노임단가</vt:lpstr>
      <vt:lpstr>견적및기타</vt:lpstr>
      <vt:lpstr>건설기계 적용기준</vt:lpstr>
      <vt:lpstr>건설기계</vt:lpstr>
      <vt:lpstr>건설기계 목록</vt:lpstr>
      <vt:lpstr>단가산출</vt:lpstr>
      <vt:lpstr>단가산출 목록</vt:lpstr>
      <vt:lpstr>일위대가</vt:lpstr>
      <vt:lpstr>일위대가 목록</vt:lpstr>
      <vt:lpstr>내역서</vt:lpstr>
      <vt:lpstr>원가계산서</vt:lpstr>
      <vt:lpstr>총공사비집계표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ulju</dc:creator>
  <cp:lastModifiedBy>UIju</cp:lastModifiedBy>
  <dcterms:created xsi:type="dcterms:W3CDTF">2026-10-30T00:13:08Z</dcterms:created>
  <dcterms:modified xsi:type="dcterms:W3CDTF">2026-10-30T01:23:39Z</dcterms:modified>
</cp:coreProperties>
</file>